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.25.22" sheetId="1" r:id="rId4"/>
    <sheet state="visible" name="Sheet2" sheetId="2" r:id="rId5"/>
    <sheet state="visible" name="Attributes" sheetId="3" r:id="rId6"/>
  </sheets>
  <definedNames>
    <definedName hidden="1" localSheetId="0" name="_xlnm._FilterDatabase">'7.25.22'!$A$1:$AB$6306</definedName>
    <definedName hidden="1" localSheetId="1" name="_xlnm._FilterDatabase">Sheet2!$A$1:$X$25</definedName>
  </definedNames>
  <calcPr/>
</workbook>
</file>

<file path=xl/sharedStrings.xml><?xml version="1.0" encoding="utf-8"?>
<sst xmlns="http://schemas.openxmlformats.org/spreadsheetml/2006/main" count="102982" uniqueCount="17305">
  <si>
    <t>Opportunity ID</t>
  </si>
  <si>
    <t>Ultimate Parent Account Name</t>
  </si>
  <si>
    <t>Opportunity Name</t>
  </si>
  <si>
    <t>Stage</t>
  </si>
  <si>
    <t>Amount (converted) Currency</t>
  </si>
  <si>
    <t>Amount (converted)</t>
  </si>
  <si>
    <t>Created Date</t>
  </si>
  <si>
    <t>Close Date</t>
  </si>
  <si>
    <t>System Close Date</t>
  </si>
  <si>
    <t>Confidential</t>
  </si>
  <si>
    <t>Opportunity Lead: Full Name</t>
  </si>
  <si>
    <t>Attriburte</t>
  </si>
  <si>
    <t>Opportunity Lead: Local LOS 1</t>
  </si>
  <si>
    <t>Opportunity Lead: Local LOS 2</t>
  </si>
  <si>
    <t>Opportunity Lead: Local LOS 3</t>
  </si>
  <si>
    <t>Opportunity Lead: Local LOS 4</t>
  </si>
  <si>
    <t>Opportunity Lead: Market Team</t>
  </si>
  <si>
    <t>Primary Campaign: Campaign Name</t>
  </si>
  <si>
    <t>Opportunity Lead: Employee Number</t>
  </si>
  <si>
    <t>Connected Opportunity: Opportunity Name</t>
  </si>
  <si>
    <t>Opportunity Connection Type</t>
  </si>
  <si>
    <t>Industry Sector</t>
  </si>
  <si>
    <t>Opportunity Owner</t>
  </si>
  <si>
    <t>Opportunity Lead: Management Level</t>
  </si>
  <si>
    <t>0064L00000Bcygj</t>
  </si>
  <si>
    <t>PG&amp;E Corporation</t>
  </si>
  <si>
    <t>Engineering &amp; Work Mgmt: Schedule &amp; Dispatch, Resource Mgmt, Field Work Processes</t>
  </si>
  <si>
    <t>Target</t>
  </si>
  <si>
    <t>USD</t>
  </si>
  <si>
    <t>Matthew Comte</t>
  </si>
  <si>
    <t>Consulting Solutions</t>
  </si>
  <si>
    <t>Transformation</t>
  </si>
  <si>
    <t>Operations Transform</t>
  </si>
  <si>
    <t>Operations Transformation [C-000450]</t>
  </si>
  <si>
    <t>CS_Industry_Ops_EUM_Telecom</t>
  </si>
  <si>
    <t>Power and Utilities</t>
  </si>
  <si>
    <t>Sarah Arnall</t>
  </si>
  <si>
    <t>Partner</t>
  </si>
  <si>
    <t>0064L00000BmFiy</t>
  </si>
  <si>
    <t>General Electric Company</t>
  </si>
  <si>
    <t>GE Separation - Opportunity Set (Do not edit without talking to Rachael Grossman)</t>
  </si>
  <si>
    <t>15/2/2022</t>
  </si>
  <si>
    <t>31/12/2022</t>
  </si>
  <si>
    <t>Ryan Hawk</t>
  </si>
  <si>
    <t>GE Separation - Corporate - Deals-Related Spin Support</t>
  </si>
  <si>
    <t>Pull-Through</t>
  </si>
  <si>
    <t>Manufacturing</t>
  </si>
  <si>
    <t>0064L00000BdXa6</t>
  </si>
  <si>
    <t>II-VI Incorporated</t>
  </si>
  <si>
    <t>Enterprise Business Transformation - Phase 3 #FFG 3.0</t>
  </si>
  <si>
    <t>17/12/2021</t>
  </si>
  <si>
    <t>22/5/2023</t>
  </si>
  <si>
    <t>Paul Carrannanto</t>
  </si>
  <si>
    <t>Ent Strategy &amp; Value</t>
  </si>
  <si>
    <t>Enterprise Strategy &amp; Value [C-000430]</t>
  </si>
  <si>
    <t>CS_EDT_CM_IPS</t>
  </si>
  <si>
    <t>Phased; Parent</t>
  </si>
  <si>
    <t>John Xu</t>
  </si>
  <si>
    <t>0064L0000041SRX</t>
  </si>
  <si>
    <t>Intel Corporation</t>
  </si>
  <si>
    <t>Intel Digital Transformation (incl. S/4)</t>
  </si>
  <si>
    <t>Mike Pegler</t>
  </si>
  <si>
    <t>CS_EDT_Multi_Funct</t>
  </si>
  <si>
    <t>Technology</t>
  </si>
  <si>
    <t>Scott Brown</t>
  </si>
  <si>
    <t>0064L00000BnvEt</t>
  </si>
  <si>
    <t>Centene Corporation</t>
  </si>
  <si>
    <t>Platform consolidation #GCOE #PayerCO&amp;ITrans</t>
  </si>
  <si>
    <t>Close</t>
  </si>
  <si>
    <t>31/7/2022</t>
  </si>
  <si>
    <t>George Mansour</t>
  </si>
  <si>
    <t>Clinical Transform</t>
  </si>
  <si>
    <t>Clinical Transformation [C-000400]</t>
  </si>
  <si>
    <t>CS_Industry_Payer</t>
  </si>
  <si>
    <t>Health Services</t>
  </si>
  <si>
    <t>0064L00000Bd3eJ</t>
  </si>
  <si>
    <t>Shell PLC</t>
  </si>
  <si>
    <t>Shell - IT Strategic Pathfinders #BigBet</t>
  </si>
  <si>
    <t>Interact</t>
  </si>
  <si>
    <t>Austin Morris</t>
  </si>
  <si>
    <t>CS_Cloud_CM_IPS</t>
  </si>
  <si>
    <t>Energy</t>
  </si>
  <si>
    <t>0064L00000BndPk</t>
  </si>
  <si>
    <t>Citigroup Inc.</t>
  </si>
  <si>
    <t>Transaction Management - Wholesale Lending Contracts : Phase 2</t>
  </si>
  <si>
    <t>26/8/2022</t>
  </si>
  <si>
    <t>Jai Sinha</t>
  </si>
  <si>
    <t>CS_EDT_BCM_AWM</t>
  </si>
  <si>
    <t>Banking and Capital Markets</t>
  </si>
  <si>
    <t>Pradeep Pandey</t>
  </si>
  <si>
    <t>0064L00000Bo6sF</t>
  </si>
  <si>
    <t>Enterprise Holdings Inc.</t>
  </si>
  <si>
    <t>EHI Finance Transformation - Phase 4</t>
  </si>
  <si>
    <t>20/4/2022</t>
  </si>
  <si>
    <t>John Tvrdik</t>
  </si>
  <si>
    <t>Finance Transform</t>
  </si>
  <si>
    <t>Finance Transformation [C-000440]</t>
  </si>
  <si>
    <t>CS_Finance_CM</t>
  </si>
  <si>
    <t>Business Services</t>
  </si>
  <si>
    <t>0064L000007wF98</t>
  </si>
  <si>
    <t>GE IT Transformation #GET+DD</t>
  </si>
  <si>
    <t>28/4/2021</t>
  </si>
  <si>
    <t>30/4/2023</t>
  </si>
  <si>
    <t>CS_Industry_Ops_IP_Tech</t>
  </si>
  <si>
    <t>Matthew Schwienteck</t>
  </si>
  <si>
    <t>0064L00000DJkc2</t>
  </si>
  <si>
    <t>Alphabet Inc.</t>
  </si>
  <si>
    <t>Alphabet Finance Transformation &amp; Managed Services #TMTMSO</t>
  </si>
  <si>
    <t>13/6/2022</t>
  </si>
  <si>
    <t>30/9/2022</t>
  </si>
  <si>
    <t>Manoj Arora</t>
  </si>
  <si>
    <t>CS_Finance_TMT</t>
  </si>
  <si>
    <t>Kalil Samra</t>
  </si>
  <si>
    <t>0064L00000AraIb</t>
  </si>
  <si>
    <t>United Natural Foods Inc.</t>
  </si>
  <si>
    <t>UNFI -- Financial ERP Transformation/Implementation #Selection</t>
  </si>
  <si>
    <t>TK (Touseef) Khowaja</t>
  </si>
  <si>
    <t>Retail</t>
  </si>
  <si>
    <t>Dave Fioretti</t>
  </si>
  <si>
    <t>0064L0000097m1E</t>
  </si>
  <si>
    <t>PepsiCo, Inc.</t>
  </si>
  <si>
    <t>Pepsi Digital Space Optimization #DVC #FFG3.0</t>
  </si>
  <si>
    <t>Propose</t>
  </si>
  <si>
    <t>21/6/2021</t>
  </si>
  <si>
    <t>Mohib Yousufani</t>
  </si>
  <si>
    <t>Consumer</t>
  </si>
  <si>
    <t>0064L000003zDAQ</t>
  </si>
  <si>
    <t>BP PLC.</t>
  </si>
  <si>
    <t>bp T&amp;S Power Trading Implementation #bigbet</t>
  </si>
  <si>
    <t>14/9/2020</t>
  </si>
  <si>
    <t>31/8/2022</t>
  </si>
  <si>
    <t>0064L000003zBQl</t>
  </si>
  <si>
    <t>Baptist Memorial Health Services</t>
  </si>
  <si>
    <t>Business modernization enabled by ERP</t>
  </si>
  <si>
    <t>19/8/2022</t>
  </si>
  <si>
    <t>Amy Cochran</t>
  </si>
  <si>
    <t>CS_Industry_Provider_Transformation</t>
  </si>
  <si>
    <t>Patrick Forster</t>
  </si>
  <si>
    <t>0064I00000zSoiP</t>
  </si>
  <si>
    <t>WEATHERFORD INTERNATIONAL PUBLIC LIMITED COMPANY</t>
  </si>
  <si>
    <t>WFT - ERP / EPM/ HCM Phase 2 - Implementation #BigBet</t>
  </si>
  <si>
    <t>Keith Considine</t>
  </si>
  <si>
    <t>Brian Brezina</t>
  </si>
  <si>
    <t>0064L000009gJJX</t>
  </si>
  <si>
    <t>Global Payments Inc.</t>
  </si>
  <si>
    <t>Project Sparrow - Execution Phase #FFG3.0</t>
  </si>
  <si>
    <t>Sanchit Tiwari</t>
  </si>
  <si>
    <t>0064L00000Bf25h</t>
  </si>
  <si>
    <t>Pepsi Digital Value Creation Scale Up - Wave 2</t>
  </si>
  <si>
    <t>29/1/2022</t>
  </si>
  <si>
    <t>29/9/2023</t>
  </si>
  <si>
    <t>0064L00000CWtux</t>
  </si>
  <si>
    <t>NextEra Energy, Inc.</t>
  </si>
  <si>
    <t>CIS Implementation - 2024</t>
  </si>
  <si>
    <t>19/4/2022</t>
  </si>
  <si>
    <t>30/6/2024</t>
  </si>
  <si>
    <t>Geoff Plese</t>
  </si>
  <si>
    <t>Customer Transform</t>
  </si>
  <si>
    <t>Customer Transformation [C-000410]</t>
  </si>
  <si>
    <t>CS_Commercial_CRM_CM_IPS_HI</t>
  </si>
  <si>
    <t>Gina Hoy</t>
  </si>
  <si>
    <t>0064L00000Boyjt</t>
  </si>
  <si>
    <t>WALGREENS BOOTS ALLIANCE, INC.</t>
  </si>
  <si>
    <t>Centralized Services - Phase 4 (FY23) #CallCenter #DVC</t>
  </si>
  <si>
    <t>25/5/2022</t>
  </si>
  <si>
    <t>30/8/2022</t>
  </si>
  <si>
    <t>Varun Sharma</t>
  </si>
  <si>
    <t>Laura Shrum</t>
  </si>
  <si>
    <t>0064L00000ArWeH</t>
  </si>
  <si>
    <t>Rite Aid Corporation</t>
  </si>
  <si>
    <t>Rite Aid- #ProjectNorthstar - FIN/RTC Transformation - Release 3 (Primary)</t>
  </si>
  <si>
    <t>31/5/2023</t>
  </si>
  <si>
    <t>Adam Kennedy</t>
  </si>
  <si>
    <t>Chris DeMicco</t>
  </si>
  <si>
    <t>0064L00000ArtDU</t>
  </si>
  <si>
    <t>Rite Aid- #ProjectNorthstar - FIN/RTC Transformation - Release 2 (Primary)</t>
  </si>
  <si>
    <t>0064L00000BnqrK</t>
  </si>
  <si>
    <t>UnitedHealth Group Incorporated</t>
  </si>
  <si>
    <t>DVC_GBS Phase 2/3</t>
  </si>
  <si>
    <t>25/11/2022</t>
  </si>
  <si>
    <t>Charlotte Reardon</t>
  </si>
  <si>
    <t>CS_EDT_Health_Services</t>
  </si>
  <si>
    <t>0064L00000D8XQj</t>
  </si>
  <si>
    <t>Hitachi Transport System, Ltd.</t>
  </si>
  <si>
    <t>Nest - TSA Separation Execution  #CiaB</t>
  </si>
  <si>
    <t>29/6/2022</t>
  </si>
  <si>
    <t>14/12/2022</t>
  </si>
  <si>
    <t>Suheb Siddiqui</t>
  </si>
  <si>
    <t>Delivering Deal Val</t>
  </si>
  <si>
    <t>Delivering Deal Value [C-000420]</t>
  </si>
  <si>
    <t>Transportation and Logistics</t>
  </si>
  <si>
    <t>0064L00000B1LzK</t>
  </si>
  <si>
    <t>Project Unicorn</t>
  </si>
  <si>
    <t>Maria Blanco</t>
  </si>
  <si>
    <t>0064L00000DJgbZ</t>
  </si>
  <si>
    <t>Intel Cost Transformation Phase II #FFG3.0</t>
  </si>
  <si>
    <t>Arup Chatterji</t>
  </si>
  <si>
    <t>CS_EDT_TMT</t>
  </si>
  <si>
    <t>Intel Cost Transformation #FFG</t>
  </si>
  <si>
    <t>Phased</t>
  </si>
  <si>
    <t>Gaya Kuharajan</t>
  </si>
  <si>
    <t>0064L00000CWcWR</t>
  </si>
  <si>
    <t>2023 Centene Platform Consolidation</t>
  </si>
  <si>
    <t>30/12/2022</t>
  </si>
  <si>
    <t>Mukund Srirangapatnam</t>
  </si>
  <si>
    <t>Kimberly DiNapoli</t>
  </si>
  <si>
    <t>Managing Director</t>
  </si>
  <si>
    <t>0064L000002bfQ4</t>
  </si>
  <si>
    <t>Albany Medical Center</t>
  </si>
  <si>
    <t>Rural Equity Initiative - *Strategic Reimbursement*</t>
  </si>
  <si>
    <t>13/5/2021</t>
  </si>
  <si>
    <t>Chad Leopard</t>
  </si>
  <si>
    <t>Brandon McCain</t>
  </si>
  <si>
    <t>0064L00000CXdCs</t>
  </si>
  <si>
    <t>Shell - Consolidation Engine Replacement | Phase 2</t>
  </si>
  <si>
    <t>16/6/2023</t>
  </si>
  <si>
    <t>Leonardo De Biasi</t>
  </si>
  <si>
    <t>CS_Finance_IPS_EUM_PU</t>
  </si>
  <si>
    <t>Rory Weston</t>
  </si>
  <si>
    <t>0064L000002Z758</t>
  </si>
  <si>
    <t>WFT ERP Phase 3+ #BigBet</t>
  </si>
  <si>
    <t>31/10/2023</t>
  </si>
  <si>
    <t>0064L00000As81K</t>
  </si>
  <si>
    <t>ConocoPhillips</t>
  </si>
  <si>
    <t>nxtgenERP Change Order &amp; New Scope 2022</t>
  </si>
  <si>
    <t>18/11/2021</t>
  </si>
  <si>
    <t>29/7/2022</t>
  </si>
  <si>
    <t>Robert Gruman</t>
  </si>
  <si>
    <t>Workforce Transform</t>
  </si>
  <si>
    <t>Workforce Transformation [C-000480]</t>
  </si>
  <si>
    <t>0064L00000DFrfl</t>
  </si>
  <si>
    <t>Pacific Mutual Holding Company</t>
  </si>
  <si>
    <t>Workplace Benefits MVP2</t>
  </si>
  <si>
    <t>17/6/2022</t>
  </si>
  <si>
    <t>Jim Quick</t>
  </si>
  <si>
    <t>Services Transform</t>
  </si>
  <si>
    <t>Service Transformation [C-000460]</t>
  </si>
  <si>
    <t>CS_Industry_Insurance</t>
  </si>
  <si>
    <t>Workforce Benefits Market Strategy Mobilization</t>
  </si>
  <si>
    <t>Insurance</t>
  </si>
  <si>
    <t>0064L000007wQ9g</t>
  </si>
  <si>
    <t>Alliant Energy Corporation</t>
  </si>
  <si>
    <t>EWAM Program Implementation</t>
  </si>
  <si>
    <t>Michael Chapman</t>
  </si>
  <si>
    <t>Mike Faerber</t>
  </si>
  <si>
    <t>0064L00000ArBJw</t>
  </si>
  <si>
    <t>Southern Company</t>
  </si>
  <si>
    <t>Ash Pond Program Project Controls Support - aaS</t>
  </si>
  <si>
    <t>14/10/2021</t>
  </si>
  <si>
    <t>Daryl Walcroft</t>
  </si>
  <si>
    <t>0064L00000DFYWW</t>
  </si>
  <si>
    <t>Morningstar Inc.</t>
  </si>
  <si>
    <t>Software Engineering Staff Aug Part One</t>
  </si>
  <si>
    <t>Rakesh Bhatia</t>
  </si>
  <si>
    <t>Media and Entertainment</t>
  </si>
  <si>
    <t>David Nestor</t>
  </si>
  <si>
    <t>0064L00000B2E3T</t>
  </si>
  <si>
    <t>Ameritas Mutual Holding Company</t>
  </si>
  <si>
    <t>Ameritas-Finance Implementation Pipeline #Oracle_INS (Advisory led, ASUS)</t>
  </si>
  <si>
    <t>Brett Maher</t>
  </si>
  <si>
    <t>CS_Finance_Insurance</t>
  </si>
  <si>
    <t>Change Order; Parent</t>
  </si>
  <si>
    <t>Tony Bialorucki</t>
  </si>
  <si>
    <t>0064L000009g4sH</t>
  </si>
  <si>
    <t>Wegmans Food Markets, Inc.</t>
  </si>
  <si>
    <t>Business and Systems Transformation</t>
  </si>
  <si>
    <t>Kelly Pedersen</t>
  </si>
  <si>
    <t>Retail_Business_Transformation</t>
  </si>
  <si>
    <t>0064L00000CXOeN</t>
  </si>
  <si>
    <t>Pinnacle West Capital Corporation</t>
  </si>
  <si>
    <t>SCORE Program SI</t>
  </si>
  <si>
    <t>29/4/2022</t>
  </si>
  <si>
    <t>Derek Manville</t>
  </si>
  <si>
    <t>0064L00000AqddR</t>
  </si>
  <si>
    <t>GE Aviation Digital Transformation (CEO, MSO)</t>
  </si>
  <si>
    <t>23/9/2021</t>
  </si>
  <si>
    <t>27/12/2022</t>
  </si>
  <si>
    <t>Stephen Pillsbury</t>
  </si>
  <si>
    <t>0064L00000BmQuv</t>
  </si>
  <si>
    <t>Business and Systems Transformation - Phase 2</t>
  </si>
  <si>
    <t>21/2/2022</t>
  </si>
  <si>
    <t>31/10/2022</t>
  </si>
  <si>
    <t>Nicholas Durante</t>
  </si>
  <si>
    <t>0064L00000BmMFs</t>
  </si>
  <si>
    <t>GRUPO ARGOS S.A.</t>
  </si>
  <si>
    <t>Argos Spinoff Separation #CiaB #SAP+M&amp;APE</t>
  </si>
  <si>
    <t>17/2/2022</t>
  </si>
  <si>
    <t>CS_Deal_Corporate_M&amp;A_IPS</t>
  </si>
  <si>
    <t>Project Amsterdam</t>
  </si>
  <si>
    <t>Engineering and Construction</t>
  </si>
  <si>
    <t>0064L00000BoSIw</t>
  </si>
  <si>
    <t>Meiji Yasuda Life Insurance Company</t>
  </si>
  <si>
    <t>EB DCX Portals Execution</t>
  </si>
  <si>
    <t>23/12/2022</t>
  </si>
  <si>
    <t>Susmitha Kakumani</t>
  </si>
  <si>
    <t>0064L00000DMAiC</t>
  </si>
  <si>
    <t>Nuvance Health</t>
  </si>
  <si>
    <t>Nuvance Phase 3 Clinically Driven Rev Cycle *rev cycle</t>
  </si>
  <si>
    <t>20/7/2022</t>
  </si>
  <si>
    <t>John Rich</t>
  </si>
  <si>
    <t>0064L00000BoSpM</t>
  </si>
  <si>
    <t>AT&amp;T Inc.</t>
  </si>
  <si>
    <t>Project Neon (Managed Servcies)</t>
  </si>
  <si>
    <t>David Shebay</t>
  </si>
  <si>
    <t>CS_MidMarket</t>
  </si>
  <si>
    <t>Telecommunications</t>
  </si>
  <si>
    <t>Walker Barnum</t>
  </si>
  <si>
    <t>0064I00000zRfN7</t>
  </si>
  <si>
    <t>VOLKSWAGEN AKTIENGESELLSCHAFT</t>
  </si>
  <si>
    <t>SAP 4 H Central Finance Roll Out at VW in the US #MW</t>
  </si>
  <si>
    <t>22/11/2019</t>
  </si>
  <si>
    <t>CS_Finance_IPS_IP</t>
  </si>
  <si>
    <t>Automotive</t>
  </si>
  <si>
    <t>Dietmar Ostermann</t>
  </si>
  <si>
    <t>0064L00000CWu28</t>
  </si>
  <si>
    <t>Blue Cross Blue Shield Of Michigan Mutual Insurance Company</t>
  </si>
  <si>
    <t>Nasco Migration Execution Support #PayerCO&amp;ITrans</t>
  </si>
  <si>
    <t>28/10/2022</t>
  </si>
  <si>
    <t>Christopher Joyce</t>
  </si>
  <si>
    <t>0064L00000BerLi</t>
  </si>
  <si>
    <t>Rochester Regional Health System</t>
  </si>
  <si>
    <t>25/1/2022</t>
  </si>
  <si>
    <t>0064L00000BnBQ7</t>
  </si>
  <si>
    <t>GE Separation - Corporate - SMO Post 3/31</t>
  </si>
  <si>
    <t>16/3/2022</t>
  </si>
  <si>
    <t>Daniel O'Neill</t>
  </si>
  <si>
    <t>GE Separation - Corporate - SMO</t>
  </si>
  <si>
    <t>Rachael Grossman</t>
  </si>
  <si>
    <t>0064L00000DFreY</t>
  </si>
  <si>
    <t>Workforce Benefits Execution MVP1</t>
  </si>
  <si>
    <t>16/6/2022</t>
  </si>
  <si>
    <t>0064L00000Bo1cb</t>
  </si>
  <si>
    <t>GE Separation - Corporate - DT Execution CO 3</t>
  </si>
  <si>
    <t>18/4/2022</t>
  </si>
  <si>
    <t>Ram Jayaraman</t>
  </si>
  <si>
    <t>GE Separation- Corporate - IT SMO</t>
  </si>
  <si>
    <t>0064L00000B2D2A</t>
  </si>
  <si>
    <t>Liberty Mutual Holding Company Inc.</t>
  </si>
  <si>
    <t>GRM EIS Implementation Extension H2 2022 - WEM, Asia MCM, Andes</t>
  </si>
  <si>
    <t>Robert Walker</t>
  </si>
  <si>
    <t>0064L00000D8zyB</t>
  </si>
  <si>
    <t>Voya Financial Inc</t>
  </si>
  <si>
    <t>Project Beta - Post Close</t>
  </si>
  <si>
    <t>19/7/2022</t>
  </si>
  <si>
    <t>Michael Mariani</t>
  </si>
  <si>
    <t>CS_Deal_Corporate_M&amp;A_FS</t>
  </si>
  <si>
    <t>Jaclyn Millstein</t>
  </si>
  <si>
    <t>0064L00000BlEyq</t>
  </si>
  <si>
    <t>Markel Corporation</t>
  </si>
  <si>
    <t>Markel Finance Cloud Implementation #Oracle_INS</t>
  </si>
  <si>
    <t>Michael McDonald</t>
  </si>
  <si>
    <t>0064L00000BoAiJ</t>
  </si>
  <si>
    <t>Durant Bancorp. Inc.</t>
  </si>
  <si>
    <t>growth strategy support - digital cloud transformation #XPCGrowth</t>
  </si>
  <si>
    <t>22/4/2022</t>
  </si>
  <si>
    <t>Paul Blase</t>
  </si>
  <si>
    <t>0064L00000D8We6</t>
  </si>
  <si>
    <t>Celanese Corporation</t>
  </si>
  <si>
    <t>TSA Exit Execution - Site Migration, HRIS, Payroll, Commercial #CiaB</t>
  </si>
  <si>
    <t>28/6/2022</t>
  </si>
  <si>
    <t>30/11/2022</t>
  </si>
  <si>
    <t>Chemicals</t>
  </si>
  <si>
    <t>0064L00000B0kbJ</t>
  </si>
  <si>
    <t>Aflac Incorporated</t>
  </si>
  <si>
    <t>Argus Dental and Vision - EIS SI 2023</t>
  </si>
  <si>
    <t>23/8/2021</t>
  </si>
  <si>
    <t>29/12/2023</t>
  </si>
  <si>
    <t>Charlene Glidden</t>
  </si>
  <si>
    <t>Lacey Swanepoel</t>
  </si>
  <si>
    <t>0064L00000DLOxd</t>
  </si>
  <si>
    <t>UNUM Group</t>
  </si>
  <si>
    <t>Unum UK Digital Modernization - Majesco End of Life</t>
  </si>
  <si>
    <t>0064L00000DLOxx</t>
  </si>
  <si>
    <t>JAB Holding Company s.ŕ.r.l.</t>
  </si>
  <si>
    <t>EIS Digital Pet Insurance Modernization</t>
  </si>
  <si>
    <t>Asset and Wealth Management</t>
  </si>
  <si>
    <t>0064L00000B0kTK</t>
  </si>
  <si>
    <t>The Hartford Financial Services Group Inc.</t>
  </si>
  <si>
    <t>Group Transformation (SI work)</t>
  </si>
  <si>
    <t>GB Tech Modernization (Sept '21 -Jan '22)</t>
  </si>
  <si>
    <t>0064L00000DM0N5</t>
  </si>
  <si>
    <t>Project Cortez - TSYS Managed Services Partner Model Implementation #FFG #Callcenter</t>
  </si>
  <si>
    <t>16/7/2022</t>
  </si>
  <si>
    <t>Shahshams Zaheer</t>
  </si>
  <si>
    <t>0064L00000DLP8R</t>
  </si>
  <si>
    <t>Swan General Ltd</t>
  </si>
  <si>
    <t>Digital Transformation EIS</t>
  </si>
  <si>
    <t>0064L00000CWW3U</t>
  </si>
  <si>
    <t>Shell - Pathfinder Trading &amp; Supply  #BigBet</t>
  </si>
  <si>
    <t>Pull-Through; Parent</t>
  </si>
  <si>
    <t>Sarah Classen</t>
  </si>
  <si>
    <t>0064L00000CXFW1</t>
  </si>
  <si>
    <t>MetLife, Inc.</t>
  </si>
  <si>
    <t>Group Benefits Transformation Partner (Majesco)</t>
  </si>
  <si>
    <t>26/4/2022</t>
  </si>
  <si>
    <t>0064I000015SlRE</t>
  </si>
  <si>
    <t>Emerson Electric Co.</t>
  </si>
  <si>
    <t>Confidential #COVID-19 Compliance Project Ram</t>
  </si>
  <si>
    <t>0064L00000BgZBM</t>
  </si>
  <si>
    <t>Ben E. Keith Company</t>
  </si>
  <si>
    <t>Ben E Keith - Blue Yonder - $10M</t>
  </si>
  <si>
    <t>Mithun Samani Mohan</t>
  </si>
  <si>
    <t>CS_Industry_Ops_CM</t>
  </si>
  <si>
    <t>Ellen McInerney</t>
  </si>
  <si>
    <t>0064L00000BgZCy</t>
  </si>
  <si>
    <t>UNFI - Blue Yonder - $10M</t>
  </si>
  <si>
    <t>Brian Houck</t>
  </si>
  <si>
    <t>0064L00000CXiV9</t>
  </si>
  <si>
    <t>Textron Inc.</t>
  </si>
  <si>
    <t>Bell Smart Factory</t>
  </si>
  <si>
    <t>Aerospace and Defence</t>
  </si>
  <si>
    <t>John Livingstone</t>
  </si>
  <si>
    <t>0064L00000Bp0Uv</t>
  </si>
  <si>
    <t>Project Beta - Change Order 1 (Sign to Close)</t>
  </si>
  <si>
    <t>30/7/2022</t>
  </si>
  <si>
    <t>0064L00000D8sv8</t>
  </si>
  <si>
    <t>Mayo Clinic</t>
  </si>
  <si>
    <t>Mayo Clinic *VBO* Ongoing Placement FY24</t>
  </si>
  <si>
    <t>13/7/2022</t>
  </si>
  <si>
    <t>Stacey Empson</t>
  </si>
  <si>
    <t>0064L00000CWcWq</t>
  </si>
  <si>
    <t>2024 Centene Platform Consolidation</t>
  </si>
  <si>
    <t>0064L0000099TtB</t>
  </si>
  <si>
    <t>Shell - Marketing Cloud: Greenlots, Inspire, Chems, CoE  #BigBet</t>
  </si>
  <si>
    <t>28/7/2021</t>
  </si>
  <si>
    <t>16/12/2022</t>
  </si>
  <si>
    <t>0064L00000DLJgG</t>
  </si>
  <si>
    <t>The Coca-Cola Company</t>
  </si>
  <si>
    <t>TCCC Platform Services Transformation</t>
  </si>
  <si>
    <t>27/6/2022</t>
  </si>
  <si>
    <t>28/2/2023</t>
  </si>
  <si>
    <t>Carlos Navarro</t>
  </si>
  <si>
    <t>Samantha Dennis</t>
  </si>
  <si>
    <t>0064L00000Apwwg</t>
  </si>
  <si>
    <t>KeyCorp</t>
  </si>
  <si>
    <t>Keybank - Commercial Servicing Transformation Phase 2+</t>
  </si>
  <si>
    <t>26/8/2021</t>
  </si>
  <si>
    <t>Justin Kaufman</t>
  </si>
  <si>
    <t>CS_Industry_Banking</t>
  </si>
  <si>
    <t>0064L00000DLKZ6</t>
  </si>
  <si>
    <t>PEP North America SAP TPM Remediation</t>
  </si>
  <si>
    <t>Ethan Dameron</t>
  </si>
  <si>
    <t>CS_Marketing_Transformation</t>
  </si>
  <si>
    <t>0064L000004wx7s</t>
  </si>
  <si>
    <t>Illinois Agricultural Association</t>
  </si>
  <si>
    <t>Country ERP Modernization Implementation</t>
  </si>
  <si>
    <t>14/1/2021</t>
  </si>
  <si>
    <t>15/12/2022</t>
  </si>
  <si>
    <t>Rob Elliott</t>
  </si>
  <si>
    <t>0064L000002bec6</t>
  </si>
  <si>
    <t>Providence Health &amp; Services</t>
  </si>
  <si>
    <t>0064L000001vPve</t>
  </si>
  <si>
    <t>Project Revolution Restart</t>
  </si>
  <si>
    <t>17/7/2020</t>
  </si>
  <si>
    <t>13/6/2022 8:55 pm</t>
  </si>
  <si>
    <t>0064L00000CVzGv</t>
  </si>
  <si>
    <t>State Street Corporation</t>
  </si>
  <si>
    <t>Alpha Implementation Partnership (Year 2)</t>
  </si>
  <si>
    <t>29/3/2022</t>
  </si>
  <si>
    <t>William Cotter</t>
  </si>
  <si>
    <t>Robert Bucchino</t>
  </si>
  <si>
    <t>0064L00000CVzIr</t>
  </si>
  <si>
    <t>Alpha Implementation Partnership (Year 3)</t>
  </si>
  <si>
    <t>0064L000009g35p</t>
  </si>
  <si>
    <t>WestRock Company</t>
  </si>
  <si>
    <t>o9 Supply Chain Planning Technology Implementation</t>
  </si>
  <si>
    <t>25/5/2022 11:24 pm</t>
  </si>
  <si>
    <t>Peter Domanko</t>
  </si>
  <si>
    <t>Forest, Paper and Packaging</t>
  </si>
  <si>
    <t>0064L00000DM4XT</t>
  </si>
  <si>
    <t>Lamar Advertising</t>
  </si>
  <si>
    <t>ERP Full Scope Implementation</t>
  </si>
  <si>
    <t>18/7/2022</t>
  </si>
  <si>
    <t>28/4/2023</t>
  </si>
  <si>
    <t>0064L00000B2E4C</t>
  </si>
  <si>
    <t>Alpha Implementation Partnership</t>
  </si>
  <si>
    <t>29/9/2022</t>
  </si>
  <si>
    <t>Tamika Boateng</t>
  </si>
  <si>
    <t>0064L00000Bnd4R</t>
  </si>
  <si>
    <t>Rivian Automotive Inc.</t>
  </si>
  <si>
    <t>Inventory and Production Support - Phase 2</t>
  </si>
  <si>
    <t>Rivian Change Management Support</t>
  </si>
  <si>
    <t>Brian Decker</t>
  </si>
  <si>
    <t>0064L000004wpu1</t>
  </si>
  <si>
    <t>Boston Scientific Corporation</t>
  </si>
  <si>
    <t>SAP S/4 Release 2</t>
  </si>
  <si>
    <t>13/1/2021</t>
  </si>
  <si>
    <t>21/10/2022</t>
  </si>
  <si>
    <t>Randy Brown</t>
  </si>
  <si>
    <t>CS_Finance_Payer_Pharma</t>
  </si>
  <si>
    <t>Pharma and Life Sciences</t>
  </si>
  <si>
    <t>0064L00000D8Wxc</t>
  </si>
  <si>
    <t>Eaton Corporation Public Limited Company</t>
  </si>
  <si>
    <t>Eaton S/4 Request for PwC ROM and Approach (Alternative SI)</t>
  </si>
  <si>
    <t>Frank Kobyluch</t>
  </si>
  <si>
    <t>Jose Rocha</t>
  </si>
  <si>
    <t>0064L00000D8zmU</t>
  </si>
  <si>
    <t>Sempra Energy</t>
  </si>
  <si>
    <t>Smart Meter 2.0 Program PMO</t>
  </si>
  <si>
    <t>Barbara Miki Sootkoos</t>
  </si>
  <si>
    <t>0064L00000DG7lu</t>
  </si>
  <si>
    <t>The Boeing Company</t>
  </si>
  <si>
    <t>Boeing Workday Re-Implementation</t>
  </si>
  <si>
    <t>24/6/2022</t>
  </si>
  <si>
    <t>Justin Hall</t>
  </si>
  <si>
    <t>CS_HR_Transformation</t>
  </si>
  <si>
    <t>Boeing Workday Blueprint &amp; Architecture Roadmap</t>
  </si>
  <si>
    <t>Brigid O'Donnell</t>
  </si>
  <si>
    <t>0064L000009fgQm</t>
  </si>
  <si>
    <t>Huntington Ingalls Industries Inc.</t>
  </si>
  <si>
    <t>Payroll Implementation - Phase 2</t>
  </si>
  <si>
    <t>23/7/2021</t>
  </si>
  <si>
    <t>Mike Boro</t>
  </si>
  <si>
    <t>CS_Rewards_and_Well-Being</t>
  </si>
  <si>
    <t>Mike Shomaker</t>
  </si>
  <si>
    <t>0064L00000DJT92</t>
  </si>
  <si>
    <t>Apollo Global Management, Inc.</t>
  </si>
  <si>
    <t>Project Connect - IT Teams Extension #CIAB</t>
  </si>
  <si>
    <t>15/7/2022</t>
  </si>
  <si>
    <t>Rohan Iyer</t>
  </si>
  <si>
    <t>0064L000009AhXd</t>
  </si>
  <si>
    <t>PETROLEOS DE VENEZUELA S A</t>
  </si>
  <si>
    <t>Phase 2: Trading system implementation</t>
  </si>
  <si>
    <t>17/11/2021</t>
  </si>
  <si>
    <t>Sean Ruckel</t>
  </si>
  <si>
    <t>Phase I: Trading system selection and conceptual design</t>
  </si>
  <si>
    <t>Krishna Prativadibhayankaram</t>
  </si>
  <si>
    <t>Director</t>
  </si>
  <si>
    <t>0064I00000zUd7r</t>
  </si>
  <si>
    <t>L3Harris Technologies, Inc.</t>
  </si>
  <si>
    <t>L3Harris Project Pathfinder Full Program (Not including Acct Recs) #MW</t>
  </si>
  <si>
    <t>0064L00000CYQHn</t>
  </si>
  <si>
    <t>Bristol-Myers Squibb Company</t>
  </si>
  <si>
    <t>BMS Finance Integration (LER/Rhine) - Jan - Jun 23</t>
  </si>
  <si>
    <t>23/5/2022</t>
  </si>
  <si>
    <t>31/1/2023</t>
  </si>
  <si>
    <t>Bobby Shuman</t>
  </si>
  <si>
    <t>CS_Deal_Corporate_M&amp;A_PLS_Med</t>
  </si>
  <si>
    <t>Michael Atamanuk</t>
  </si>
  <si>
    <t>0064L00000BoLyt</t>
  </si>
  <si>
    <t>Banner Health</t>
  </si>
  <si>
    <t>Clinician &amp; Patient Engage + Coord Capabilities - Build Phase #Growth</t>
  </si>
  <si>
    <t>Will Nolen</t>
  </si>
  <si>
    <t>Clinician &amp; Patient Engage + Coord Capabilities - Diagnostic Phase</t>
  </si>
  <si>
    <t>Emily Grehan</t>
  </si>
  <si>
    <t>0064L00000CVWDN</t>
  </si>
  <si>
    <t>CVS Health Corporation</t>
  </si>
  <si>
    <t>CVS: Medicaid NextGen: 2023 execution support #PayerCO&amp;ITrans</t>
  </si>
  <si>
    <t>20/1/2023</t>
  </si>
  <si>
    <t>0064L00000Bos2m</t>
  </si>
  <si>
    <t>GE Separation - Healthcare - SMO - Phase 2</t>
  </si>
  <si>
    <t>20/5/2022</t>
  </si>
  <si>
    <t>Lev Holubec</t>
  </si>
  <si>
    <t>GE Separation - Healthcare - SMO - Phase 1</t>
  </si>
  <si>
    <t>0064L00000B0zFA</t>
  </si>
  <si>
    <t>Raymond James Financial, Inc.</t>
  </si>
  <si>
    <t>RJF: Workday HCM Implementation &amp; Transformation</t>
  </si>
  <si>
    <t>31/8/2021</t>
  </si>
  <si>
    <t>Arjun Saxena</t>
  </si>
  <si>
    <t>Brett Kaufman</t>
  </si>
  <si>
    <t>0064L000004vLox</t>
  </si>
  <si>
    <t>DOW Inc.</t>
  </si>
  <si>
    <t>LER Phase 2: Design / Implementation</t>
  </si>
  <si>
    <t>Sarah Rodriguez</t>
  </si>
  <si>
    <t>Ian Sturgess</t>
  </si>
  <si>
    <t>0064L00000Bet7i</t>
  </si>
  <si>
    <t>Fidelity National Information Services, Inc</t>
  </si>
  <si>
    <t>FIS - CPQ and Pricing Implementation - Implementation Phase</t>
  </si>
  <si>
    <t>26/1/2022</t>
  </si>
  <si>
    <t>31/3/2023</t>
  </si>
  <si>
    <t>Charlie Hohenshelt</t>
  </si>
  <si>
    <t>CS_Commercial_CRM_FS_TMT</t>
  </si>
  <si>
    <t>FIS - CPQ and Pricing Implementation - Global Design</t>
  </si>
  <si>
    <t>Jason Robert</t>
  </si>
  <si>
    <t>0064L00000Bg4DE</t>
  </si>
  <si>
    <t>WBA WAG Health Acceleration Engagement Commercial Program Launch #HVM</t>
  </si>
  <si>
    <t>22/2/2022</t>
  </si>
  <si>
    <t>Jayanth Godla</t>
  </si>
  <si>
    <t>Nori Schurwan</t>
  </si>
  <si>
    <t>0064I00000qsIxD</t>
  </si>
  <si>
    <t>Helmerich &amp; Payne Inc.</t>
  </si>
  <si>
    <t>H&amp;P Oracle Cloud ERP Implementation</t>
  </si>
  <si>
    <t>15/3/2019</t>
  </si>
  <si>
    <t>Robbie Biggers</t>
  </si>
  <si>
    <t>0064L00000DFlE5</t>
  </si>
  <si>
    <t>KDP -  eB2B/RE scaling - Phase 2 and beyond</t>
  </si>
  <si>
    <t>14/6/2022</t>
  </si>
  <si>
    <t>Alex Kushnir</t>
  </si>
  <si>
    <t>KDP - Digital route to market - eB2B #RGM</t>
  </si>
  <si>
    <t>Louise Fuller</t>
  </si>
  <si>
    <t>0064L000007weTi</t>
  </si>
  <si>
    <t>PPL Corporation</t>
  </si>
  <si>
    <t>PPL GL Replacement</t>
  </si>
  <si>
    <t>14/5/2021</t>
  </si>
  <si>
    <t>Blake Cooper</t>
  </si>
  <si>
    <t>0064L00000Bcydp</t>
  </si>
  <si>
    <t>Enterprise Investment Planning Platform for EO (Copperleaf)</t>
  </si>
  <si>
    <t>Reza Jenab</t>
  </si>
  <si>
    <t>0064L00000BnyF5</t>
  </si>
  <si>
    <t>Global Payments R12 Migration</t>
  </si>
  <si>
    <t>14/4/2022</t>
  </si>
  <si>
    <t>Kenneth LaManna</t>
  </si>
  <si>
    <t>CS_Finance_Banking</t>
  </si>
  <si>
    <t>Saikat Sen</t>
  </si>
  <si>
    <t>0064L00000CWM9h</t>
  </si>
  <si>
    <t>Blackstone Group Management LLC</t>
  </si>
  <si>
    <t>BX China IT Buildout - Phase 3</t>
  </si>
  <si>
    <t>28/7/2022</t>
  </si>
  <si>
    <t>Jay Kaduson</t>
  </si>
  <si>
    <t>Private Equity</t>
  </si>
  <si>
    <t>Daniel Czajkowski</t>
  </si>
  <si>
    <t>0064L00000B0sCE</t>
  </si>
  <si>
    <t>Gilead Sciences, Inc.</t>
  </si>
  <si>
    <t>Gilead:IT  Gilead NextGen Clinical Platform Implementation #R&amp;DAutomation</t>
  </si>
  <si>
    <t>Ian Shafer</t>
  </si>
  <si>
    <t>CS_Industry_Clinical_R&amp;D</t>
  </si>
  <si>
    <t>0064L00000B2uiF</t>
  </si>
  <si>
    <t>Phillips 66 Company</t>
  </si>
  <si>
    <t>P66 - Enterprise Wide CLM Inplementation</t>
  </si>
  <si>
    <t>21/10/2021</t>
  </si>
  <si>
    <t>Marty Makulski</t>
  </si>
  <si>
    <t>Merry Wright</t>
  </si>
  <si>
    <t>0064L00000CVj6x</t>
  </si>
  <si>
    <t>Claims technology platform modernization - implementation support #PayerCO&amp;ITrans #OHI</t>
  </si>
  <si>
    <t>22/3/2022</t>
  </si>
  <si>
    <t>14/10/2022</t>
  </si>
  <si>
    <t>0064L00000CVWDO</t>
  </si>
  <si>
    <t>CVS: Medicaid NextGen: 2024 execution support #PayerCO&amp;ITrans</t>
  </si>
  <si>
    <t>19/1/2024</t>
  </si>
  <si>
    <t>0064L00000ArD0c</t>
  </si>
  <si>
    <t>Mckesson Corporation</t>
  </si>
  <si>
    <t>Pricing Implementation - Phase 2 #FFG3.0</t>
  </si>
  <si>
    <t>15/10/2021</t>
  </si>
  <si>
    <t>Ted Fuhr</t>
  </si>
  <si>
    <t>CS_EDT_PLS</t>
  </si>
  <si>
    <t>Pricing Implementation - Phase 1</t>
  </si>
  <si>
    <t>0064L000009BCre</t>
  </si>
  <si>
    <t>Public Service Enterprise Group</t>
  </si>
  <si>
    <t>PSEG LI Time &amp; Attendance</t>
  </si>
  <si>
    <t>Karen Brennan-Holton</t>
  </si>
  <si>
    <t>CS_HR_Talent_Change</t>
  </si>
  <si>
    <t>Michelle Klein</t>
  </si>
  <si>
    <t>0064L000009BCps</t>
  </si>
  <si>
    <t>PSEG LI ADMS</t>
  </si>
  <si>
    <t>0064L00000CVB88</t>
  </si>
  <si>
    <t>Berkshire Hathaway Inc.</t>
  </si>
  <si>
    <t>Duracell - Global SFDC TPM Deployment #RGM</t>
  </si>
  <si>
    <t>CPG_Marketing_Transformation</t>
  </si>
  <si>
    <t>Duracell - Performance Analyzer License</t>
  </si>
  <si>
    <t>0064L0000041LdF</t>
  </si>
  <si>
    <t>Hewlett Packard Enterprise Company</t>
  </si>
  <si>
    <t>HPE Sales Comp Anaplan Implementation Phase 3 - North America/APJ #TMTPricing</t>
  </si>
  <si>
    <t>29/10/2022</t>
  </si>
  <si>
    <t>Amit Dhir</t>
  </si>
  <si>
    <t>0064L00000BgZBq</t>
  </si>
  <si>
    <t>STRIPES US HOLDING Inc.</t>
  </si>
  <si>
    <t>Mattress Firm - Blue Yonder - $8M</t>
  </si>
  <si>
    <t>0064L000002beZR</t>
  </si>
  <si>
    <t>CommonSpirit Health</t>
  </si>
  <si>
    <t>Rural Equity Initiative *Strategic Reimbursement*</t>
  </si>
  <si>
    <t>28/9/2022</t>
  </si>
  <si>
    <t>0064L00000BnyQw</t>
  </si>
  <si>
    <t>Advanced Drainage Systems Inc.</t>
  </si>
  <si>
    <t>ADS - Smart Factory Transformation</t>
  </si>
  <si>
    <t>William VanBuskirk</t>
  </si>
  <si>
    <t>0064L000006BMjX</t>
  </si>
  <si>
    <t>NiSource Inc.</t>
  </si>
  <si>
    <t>Utilities Planning Tool</t>
  </si>
  <si>
    <t>30/9/2023</t>
  </si>
  <si>
    <t>WAM/GIS Implementation #BigBet</t>
  </si>
  <si>
    <t>Dhruv Shah</t>
  </si>
  <si>
    <t>0064L000004wdYc</t>
  </si>
  <si>
    <t>UBS Group AG</t>
  </si>
  <si>
    <t>UBS - WMAP Field Support #WMA</t>
  </si>
  <si>
    <t>Michael Pino</t>
  </si>
  <si>
    <t>Gary Ponce</t>
  </si>
  <si>
    <t>0064L00000Bnvku</t>
  </si>
  <si>
    <t>GE Separation - Corporate - Op Separation and Stranded Costs</t>
  </si>
  <si>
    <t>Joseph Joy</t>
  </si>
  <si>
    <t>Navneeth Krishnan Srinivasan</t>
  </si>
  <si>
    <t>0064L0000099UKR</t>
  </si>
  <si>
    <t>AIPM Copperleaf Implementation Release 3-4 #BigBets</t>
  </si>
  <si>
    <t>29/7/2021</t>
  </si>
  <si>
    <t>30/3/2023</t>
  </si>
  <si>
    <t>AIPM Copperleaf Implementation Release 1</t>
  </si>
  <si>
    <t>Brett Haynie</t>
  </si>
  <si>
    <t>0064L00000Aqyhb</t>
  </si>
  <si>
    <t>FPL S/4 Hana - Phase 3 - T&amp;D/Hypercare #MW</t>
  </si>
  <si>
    <t>28/11/2022</t>
  </si>
  <si>
    <t>0064L00000BoM1O</t>
  </si>
  <si>
    <t>Mitsubishi UFJ Financial Group, Inc.</t>
  </si>
  <si>
    <t>Project Symphony - LD1 Extension &amp; SD1 support - OTA Systems</t>
  </si>
  <si>
    <t>Manish Laad</t>
  </si>
  <si>
    <t>Sourish Ray</t>
  </si>
  <si>
    <t>0064L000002beYP</t>
  </si>
  <si>
    <t>Scripps Health</t>
  </si>
  <si>
    <t>0064L00000BlgQc</t>
  </si>
  <si>
    <t>Eaton Lease Accounting Managed Services #S&amp;P#POD</t>
  </si>
  <si>
    <t>Matthew Wilhelm</t>
  </si>
  <si>
    <t>0064L00000BoXv4</t>
  </si>
  <si>
    <t>Kforce Inc.</t>
  </si>
  <si>
    <t>Back Office Transformation - 2023 Core Financials &amp; HCM Implementation</t>
  </si>
  <si>
    <t>Reagan Strey</t>
  </si>
  <si>
    <t>0064L00000DLtjM</t>
  </si>
  <si>
    <t>Xcel Energy Inc.</t>
  </si>
  <si>
    <t>Corporate Performance Management</t>
  </si>
  <si>
    <t>Todd Jirovec</t>
  </si>
  <si>
    <t>Lawrence Wearden</t>
  </si>
  <si>
    <t>0064L000007FL8O</t>
  </si>
  <si>
    <t>AltaGas Ltd.</t>
  </si>
  <si>
    <t>WGL - TransRM - SAP S/4 Ph1 #BigBet</t>
  </si>
  <si>
    <t>24/3/2021</t>
  </si>
  <si>
    <t>0064L00000Bkua5</t>
  </si>
  <si>
    <t>Asset Knowledge Management (UN Cutover)</t>
  </si>
  <si>
    <t>16/12/2021</t>
  </si>
  <si>
    <t>Mark Menzie</t>
  </si>
  <si>
    <t>Asset Knowledge Management (MRC Risk Model, Supplemental Gas Models, Field Data, UPDM)-Phased</t>
  </si>
  <si>
    <t>Change Order</t>
  </si>
  <si>
    <t>Cem Pusatcioglu</t>
  </si>
  <si>
    <t>0065800000YamkK</t>
  </si>
  <si>
    <t>Eversource Energy</t>
  </si>
  <si>
    <t>Mobile Work Management Implementation for Mobile Electric Meter Services</t>
  </si>
  <si>
    <t>26/4/2018</t>
  </si>
  <si>
    <t>0064L00000Bmm9g</t>
  </si>
  <si>
    <t>Enterprise Business Transformation - Phase 2A #FFG3.0</t>
  </si>
  <si>
    <t>0064L000002bfRg</t>
  </si>
  <si>
    <t>Catholic Health System Of Buffalo</t>
  </si>
  <si>
    <t>0064L000003zhrE</t>
  </si>
  <si>
    <t>Program Optimus FP&amp;A Release 2</t>
  </si>
  <si>
    <t>24/9/2020</t>
  </si>
  <si>
    <t>Kabid Choudhury</t>
  </si>
  <si>
    <t>0064L00000DM8FX</t>
  </si>
  <si>
    <t>Program Optimus FP&amp;A Release 2 Updated</t>
  </si>
  <si>
    <t>Rachel Burke</t>
  </si>
  <si>
    <t>0064L000009BOiu</t>
  </si>
  <si>
    <t>Leidos Holdings, Inc.</t>
  </si>
  <si>
    <t>Leidos - Project Insight (EPM) Wave 2</t>
  </si>
  <si>
    <t>14/12/2021</t>
  </si>
  <si>
    <t>0064L000004wyHK</t>
  </si>
  <si>
    <t>SENA SGP - Endur Upgrade</t>
  </si>
  <si>
    <t>Ken Lesniak</t>
  </si>
  <si>
    <t>0064L00000CXgKn</t>
  </si>
  <si>
    <t>INFOSYS LIMITED</t>
  </si>
  <si>
    <t>Retirement CoE - Transformation Partnership #DVC #FFG3.0</t>
  </si>
  <si>
    <t>0064L00000BfT1B</t>
  </si>
  <si>
    <t>Contact Center - Value Based Deal - Phase 2 #CallCenter #DVC</t>
  </si>
  <si>
    <t>Michael Hogan</t>
  </si>
  <si>
    <t>Christopher Harner</t>
  </si>
  <si>
    <t>0064L000009AoKW</t>
  </si>
  <si>
    <t>Protego Trust Bank NA</t>
  </si>
  <si>
    <t>Protego Build-Operate-Transfer (BOT) #Oracle_BCM</t>
  </si>
  <si>
    <t>19/11/2021</t>
  </si>
  <si>
    <t>Alberto Corvo</t>
  </si>
  <si>
    <t>CS_Industry_Capital_Markets</t>
  </si>
  <si>
    <t>Deb Seidner</t>
  </si>
  <si>
    <t>0064L00000CXjrG</t>
  </si>
  <si>
    <t>Northern Trust Corporation</t>
  </si>
  <si>
    <t>NTAS Transformation (Phase 2)</t>
  </si>
  <si>
    <t>Livia Dinu</t>
  </si>
  <si>
    <t>0064L00000CXsDo</t>
  </si>
  <si>
    <t>IOWA FARM BUREAU FEDERATION</t>
  </si>
  <si>
    <t>PAS Inforce Migration Execution - Deferred Annuities</t>
  </si>
  <si>
    <t>Anup Madampath</t>
  </si>
  <si>
    <t>Prasanna Moghe</t>
  </si>
  <si>
    <t>0064L00000CWQJm</t>
  </si>
  <si>
    <t>Martek Phase 1-5</t>
  </si>
  <si>
    <t>Martek Phase 0</t>
  </si>
  <si>
    <t>Amber Papadopoulos</t>
  </si>
  <si>
    <t>0064L00000BnWND</t>
  </si>
  <si>
    <t>Competitive Pricing Strategy Tool- Phase 2 Rollout</t>
  </si>
  <si>
    <t>David Moss</t>
  </si>
  <si>
    <t>Competitive Pricing Strategy Tool- RFP Response &amp; Phase 1</t>
  </si>
  <si>
    <t>Matt Morrison</t>
  </si>
  <si>
    <t>0064L000001wDjE</t>
  </si>
  <si>
    <t>Fidelity National Financial</t>
  </si>
  <si>
    <t>Finance Modernization - Phase 2 (2021) #Hawk</t>
  </si>
  <si>
    <t>0064L00000CH74D</t>
  </si>
  <si>
    <t>Hilton Worldwide Holdings, Inc.</t>
  </si>
  <si>
    <t>VoC - Implementation Phase 1</t>
  </si>
  <si>
    <t>22/6/2022</t>
  </si>
  <si>
    <t>Matthew Egol</t>
  </si>
  <si>
    <t>Hospitality and Leisure</t>
  </si>
  <si>
    <t>Emma Hartman</t>
  </si>
  <si>
    <t>0064L00000BoUgD</t>
  </si>
  <si>
    <t>Meta Platforms, Inc.</t>
  </si>
  <si>
    <t>FB Content Governance 2023 Support</t>
  </si>
  <si>
    <t>20/12/2022</t>
  </si>
  <si>
    <t>Daniel Hays</t>
  </si>
  <si>
    <t>0064L00000BmoYZ</t>
  </si>
  <si>
    <t>Duracell HRIS Implementation</t>
  </si>
  <si>
    <t>Joe Henderson</t>
  </si>
  <si>
    <t>Duracell HRIS Vendor Selection</t>
  </si>
  <si>
    <t>0064L00000BgZC5</t>
  </si>
  <si>
    <t>Nordstrom INC.</t>
  </si>
  <si>
    <t>Nordstrom - Blue Yonder - $6M</t>
  </si>
  <si>
    <t>0064L000002b812</t>
  </si>
  <si>
    <t>Unitypoint Health</t>
  </si>
  <si>
    <t>Unitypoint HCM/ERP Project</t>
  </si>
  <si>
    <t>27/4/2021</t>
  </si>
  <si>
    <t>Craig Gooch</t>
  </si>
  <si>
    <t>Randy Ulrey</t>
  </si>
  <si>
    <t>0064L00000DLVZY</t>
  </si>
  <si>
    <t>WBA FY23 Transformational Cost Management #FFG</t>
  </si>
  <si>
    <t>Augusto Giacoman</t>
  </si>
  <si>
    <t>Thomas Chan</t>
  </si>
  <si>
    <t>0064L000009B6WB</t>
  </si>
  <si>
    <t>CDW Corporation</t>
  </si>
  <si>
    <t>CDW HR Shared Services, Change Management, and HR Technologies</t>
  </si>
  <si>
    <t>Diane Youden</t>
  </si>
  <si>
    <t>Jill Parsons</t>
  </si>
  <si>
    <t>0064L00000DJdzg</t>
  </si>
  <si>
    <t>The Veritas Capital Fund VI, L.P</t>
  </si>
  <si>
    <t>Anthology &amp; Blackboard Integration Execution Phase</t>
  </si>
  <si>
    <t>Samir Singh</t>
  </si>
  <si>
    <t>Ravi Kalidindi</t>
  </si>
  <si>
    <t>0064L00000BdjRe</t>
  </si>
  <si>
    <t>Ionis Pharmaceuticals.</t>
  </si>
  <si>
    <t>Commercialization Capability Build #4</t>
  </si>
  <si>
    <t>23/12/2021</t>
  </si>
  <si>
    <t>Dave Powell</t>
  </si>
  <si>
    <t>Commercialization Capability Build</t>
  </si>
  <si>
    <t>0064L00000DFYgH</t>
  </si>
  <si>
    <t>Finance Capability Transformation (FCT) RFP</t>
  </si>
  <si>
    <t>Muhammad Hassan</t>
  </si>
  <si>
    <t>Abigail Morris</t>
  </si>
  <si>
    <t>0064L00000BfPJq</t>
  </si>
  <si>
    <t>S. C. Johnson &amp; Son , Inc</t>
  </si>
  <si>
    <t>SCJ - SAP TPM International Expansion #RGM</t>
  </si>
  <si>
    <t>0064L00000BoZzc</t>
  </si>
  <si>
    <t>Nordstrom Retail to Cost Phase 3</t>
  </si>
  <si>
    <t>Alan Voels</t>
  </si>
  <si>
    <t>Retail_Cost_Transformation</t>
  </si>
  <si>
    <t>Caitlyn Quilty</t>
  </si>
  <si>
    <t>0064L00000Bfsyd</t>
  </si>
  <si>
    <t>Omaha Public Power District</t>
  </si>
  <si>
    <t>OPPD EPM Release 1 (Foundational)</t>
  </si>
  <si>
    <t>18/2/2022</t>
  </si>
  <si>
    <t>0064L00000DJRap</t>
  </si>
  <si>
    <t>GEHC Supply Chain Planning</t>
  </si>
  <si>
    <t>0064L00000BmMen</t>
  </si>
  <si>
    <t>GE Separation - Corporate - Stat Remediation - Q3 / Q4 2022</t>
  </si>
  <si>
    <t>Jamie Barakat</t>
  </si>
  <si>
    <t>Chris Harjung</t>
  </si>
  <si>
    <t>0064L00000BmFr1</t>
  </si>
  <si>
    <t>One Rock Capital Partners LLC</t>
  </si>
  <si>
    <t>Blue Triton Brands - TPM Phase 2 - SAP TPM Enhancements</t>
  </si>
  <si>
    <t>David Ganiear</t>
  </si>
  <si>
    <t>Shubhankar Goswami</t>
  </si>
  <si>
    <t>0064L00000BfCBP</t>
  </si>
  <si>
    <t>Sysco Corporation</t>
  </si>
  <si>
    <t>B2B Loyalty Pilot &amp; Implement</t>
  </si>
  <si>
    <t>Ari Kertesz</t>
  </si>
  <si>
    <t>John Rolston</t>
  </si>
  <si>
    <t>0064L00000CH5DJ</t>
  </si>
  <si>
    <t>Toronto Dominion Bank</t>
  </si>
  <si>
    <t>Commercial Loan Review Support and nCino Optimization Discovery</t>
  </si>
  <si>
    <t>Vincent Fries</t>
  </si>
  <si>
    <t>Nicholas Madejski</t>
  </si>
  <si>
    <t>0064L00000BfCDp</t>
  </si>
  <si>
    <t>Salesforce Design &amp; Implement</t>
  </si>
  <si>
    <t>0064L00000BopRP</t>
  </si>
  <si>
    <t>Digital Supply Chain Transformation (FY23 big bet)</t>
  </si>
  <si>
    <t>18/5/2022</t>
  </si>
  <si>
    <t>K.B. Clausen</t>
  </si>
  <si>
    <t>0064L000007xhiI</t>
  </si>
  <si>
    <t>iFIT Health &amp; Fitness Inc.</t>
  </si>
  <si>
    <t>iFit - Digital Analytics Platform</t>
  </si>
  <si>
    <t>16/6/2021</t>
  </si>
  <si>
    <t>Samrat Sharma</t>
  </si>
  <si>
    <t>Ian Kahn</t>
  </si>
  <si>
    <t>0064L00000CWcku</t>
  </si>
  <si>
    <t>AT&amp;T Indirect Channel Transformation</t>
  </si>
  <si>
    <t>16/9/2022</t>
  </si>
  <si>
    <t>Mukesh Singh</t>
  </si>
  <si>
    <t>Daniel Rash</t>
  </si>
  <si>
    <t>0064L0000041j9c</t>
  </si>
  <si>
    <t>National Grid Plc</t>
  </si>
  <si>
    <t>LDC Gas Management System - Choice Program #MW</t>
  </si>
  <si>
    <t>Jurian Goei</t>
  </si>
  <si>
    <t>0064L00000DLJeP</t>
  </si>
  <si>
    <t>Category Growth - HSTC</t>
  </si>
  <si>
    <t>Carrie Shea</t>
  </si>
  <si>
    <t>0064L00000CXD2i</t>
  </si>
  <si>
    <t>Eaton S/4 services beyond Prime SI role</t>
  </si>
  <si>
    <t>Amanda Chapman</t>
  </si>
  <si>
    <t>0064L00000DLKLY</t>
  </si>
  <si>
    <t>Glanbia Public Limited Company</t>
  </si>
  <si>
    <t>Glanbia SAP TPM Implementation</t>
  </si>
  <si>
    <t>0064L00000D8bXt</t>
  </si>
  <si>
    <t>The Procter &amp; Gamble Company</t>
  </si>
  <si>
    <t>Digital Supply Chain Azure/IoT for Manufacturing Plants - Phase 1 RFP</t>
  </si>
  <si>
    <t>Ricardo Ruiz-Huidobro</t>
  </si>
  <si>
    <t>0064L000009AkYU</t>
  </si>
  <si>
    <t>Ameritas-Finance Implementation Pipeline - Release 2/3 (Advisory led, ASUS)</t>
  </si>
  <si>
    <t>31/1/2024</t>
  </si>
  <si>
    <t>0064L00000CX0J2</t>
  </si>
  <si>
    <t>Pfizer Inc.</t>
  </si>
  <si>
    <t>Pfizer IM Strategic Program Management - DCT &amp; eSource #DCT</t>
  </si>
  <si>
    <t>Brian Slizgi</t>
  </si>
  <si>
    <t>Michael Kelley</t>
  </si>
  <si>
    <t>0064L00000BftCu</t>
  </si>
  <si>
    <t>AIPM Copperleaf Enterprise Portfolio Accelerated Implementation for Trans/Fac/Storage</t>
  </si>
  <si>
    <t>0064I000015Sxgt</t>
  </si>
  <si>
    <t>MSA Safety Incorporated</t>
  </si>
  <si>
    <t>MSA - ERP Implementation (end of 2021) #Burgh</t>
  </si>
  <si>
    <t>0064I00000wxkzR</t>
  </si>
  <si>
    <t>UPMC</t>
  </si>
  <si>
    <t>UPMC - ERP Oracle Cloud (2023) #Burgh  #ITRoadmap #MWAlliance</t>
  </si>
  <si>
    <t>14/9/2019</t>
  </si>
  <si>
    <t>24/6/2023</t>
  </si>
  <si>
    <t>0064L00000BfsS8</t>
  </si>
  <si>
    <t>Encompass Health Corporation</t>
  </si>
  <si>
    <t>Encompass Revenue Cycle Transformation</t>
  </si>
  <si>
    <t>Mike Larson</t>
  </si>
  <si>
    <t>Todd Shores</t>
  </si>
  <si>
    <t>0064L00000BfsTa</t>
  </si>
  <si>
    <t>OMERS Administration Corporation</t>
  </si>
  <si>
    <t>CHS Revenue Cycle Transformation</t>
  </si>
  <si>
    <t>0064L00000BfsUE</t>
  </si>
  <si>
    <t>United Health Services Corporation</t>
  </si>
  <si>
    <t>UHS Revenue Cycle Transformation</t>
  </si>
  <si>
    <t>24/2/2023</t>
  </si>
  <si>
    <t>0064L00000BfsUF</t>
  </si>
  <si>
    <t>Tenet Healthcare Corporation</t>
  </si>
  <si>
    <t>Tenet Database Migration and Consolidation</t>
  </si>
  <si>
    <t>25/3/2023</t>
  </si>
  <si>
    <t>0064L0000099vDn</t>
  </si>
  <si>
    <t>Walmart Inc.</t>
  </si>
  <si>
    <t>Health &amp; Wellness RFI</t>
  </si>
  <si>
    <t>Jeffrey Jaymont</t>
  </si>
  <si>
    <t>Marisela Lewis</t>
  </si>
  <si>
    <t>0064L00000BoMIU</t>
  </si>
  <si>
    <t>Healthfirst Inc.</t>
  </si>
  <si>
    <t>Healthfirst HFC Clinical Program Design 2022 -BH, HIV, SC Plus balance of HFC 2022 #HVM</t>
  </si>
  <si>
    <t>30/4/2022</t>
  </si>
  <si>
    <t>22/7/2022</t>
  </si>
  <si>
    <t>John Andrewes</t>
  </si>
  <si>
    <t>0064L00000BeM5d</t>
  </si>
  <si>
    <t>Regions Financial Corporation</t>
  </si>
  <si>
    <t>Regions Bank - Deposits Core Modernization (#FIS)</t>
  </si>
  <si>
    <t>13/1/2022</t>
  </si>
  <si>
    <t>Justin O'Connor</t>
  </si>
  <si>
    <t>Brian Kemmerer</t>
  </si>
  <si>
    <t>0064L000002bRDi</t>
  </si>
  <si>
    <t>Consumer Bank Divestitures</t>
  </si>
  <si>
    <t>Paul Kennedy</t>
  </si>
  <si>
    <t>Lawrence Nesser</t>
  </si>
  <si>
    <t>0064I00000q15uQ</t>
  </si>
  <si>
    <t>Health Care Service Corporation, A Mutual Legal Reserve Company</t>
  </si>
  <si>
    <t>HealthCloud / Care Management *Customer*</t>
  </si>
  <si>
    <t>22/4/2019</t>
  </si>
  <si>
    <t>Keith Fengler</t>
  </si>
  <si>
    <t>Sara Bartolucci</t>
  </si>
  <si>
    <t>0064L00000CXt6U</t>
  </si>
  <si>
    <t>Kaiser Permanente</t>
  </si>
  <si>
    <t>Phase 2 - IT FFG Enterprise Testing</t>
  </si>
  <si>
    <t>Kenny Chan</t>
  </si>
  <si>
    <t>Allison Peterson</t>
  </si>
  <si>
    <t>0064L00000CXR7g</t>
  </si>
  <si>
    <t>Shell - RESPC US Launch</t>
  </si>
  <si>
    <t>Chi Onyewuchi</t>
  </si>
  <si>
    <t>0064L000001uaF8</t>
  </si>
  <si>
    <t>Westinghouse Air Brake Technologies Corporation</t>
  </si>
  <si>
    <t>Wabtec - Global ERP Strategy &amp; Rationalization-Pull-Through</t>
  </si>
  <si>
    <t>23/6/2020</t>
  </si>
  <si>
    <t>0064I00000y5NN4</t>
  </si>
  <si>
    <t>bp FIN US x Segment Finance Transf. Campaign</t>
  </si>
  <si>
    <t>0064L000007uLNK</t>
  </si>
  <si>
    <t>Plant Vogtle Unit 4 Program Controls Support and Advisory #PMaaS</t>
  </si>
  <si>
    <t>20/4/2021</t>
  </si>
  <si>
    <t>0064L000002bejI</t>
  </si>
  <si>
    <t>Loma Linda University</t>
  </si>
  <si>
    <t>0064L00000BnUIu</t>
  </si>
  <si>
    <t>Blue Triton - TPM Phase 2</t>
  </si>
  <si>
    <t>0064L00000BmB5c</t>
  </si>
  <si>
    <t>First Republic Bank</t>
  </si>
  <si>
    <t>FRB AFS Vision Build FY24</t>
  </si>
  <si>
    <t>28/7/2023</t>
  </si>
  <si>
    <t>Timothy Davis</t>
  </si>
  <si>
    <t>David Sisko</t>
  </si>
  <si>
    <t>0064L000009fT2p</t>
  </si>
  <si>
    <t>Takeda Pharmaceutical Company Limited</t>
  </si>
  <si>
    <t>[Big Bet] Tech Implementation (Finance, R&amp;D, Commercial, Compliance)</t>
  </si>
  <si>
    <t>16/7/2021</t>
  </si>
  <si>
    <t>Jean-Marc Neimetz</t>
  </si>
  <si>
    <t>Kelsey LeVangie</t>
  </si>
  <si>
    <t>0064L00000As80N</t>
  </si>
  <si>
    <t>nxtgenERP Change Orders &amp; New Scope 2023</t>
  </si>
  <si>
    <t>0064L000007xWbS</t>
  </si>
  <si>
    <t>Journey 2022+ Transformation Portfolio</t>
  </si>
  <si>
    <t>Hannah VanParys</t>
  </si>
  <si>
    <t>0064I0000132Las</t>
  </si>
  <si>
    <t>Entergy Corporation</t>
  </si>
  <si>
    <t>EAM-WFMS PERFORM Wave 1 - Distribution*big bet*</t>
  </si>
  <si>
    <t>25/2/2020</t>
  </si>
  <si>
    <t>CR 35 - EPOCH Field</t>
  </si>
  <si>
    <t>0064I00000qs1l9</t>
  </si>
  <si>
    <t>Lockheed Martin Corporation</t>
  </si>
  <si>
    <t>Lockheed FP&amp;A (Hyperion Cloud) - Phase 1</t>
  </si>
  <si>
    <t>27/1/2023</t>
  </si>
  <si>
    <t>Holly McKenzie</t>
  </si>
  <si>
    <t>0064L00000BekNe</t>
  </si>
  <si>
    <t>Laboratory Corporation Of America Holdings</t>
  </si>
  <si>
    <t>Labcorp RC Phase 2 *rev cycle*</t>
  </si>
  <si>
    <t>21/1/2022</t>
  </si>
  <si>
    <t>0064L00000BekOM</t>
  </si>
  <si>
    <t>Labcorp RC Design and Configuration *rev cycle*</t>
  </si>
  <si>
    <t>0064L00000ArkaY</t>
  </si>
  <si>
    <t>Supply Chain Transformation</t>
  </si>
  <si>
    <t>Richard Judy</t>
  </si>
  <si>
    <t>0064L000009AEE8</t>
  </si>
  <si>
    <t>BSC Enterprise Performance Management</t>
  </si>
  <si>
    <t>27/10/2021</t>
  </si>
  <si>
    <t>Alex Legan</t>
  </si>
  <si>
    <t>0065800000jiWLU</t>
  </si>
  <si>
    <t>SNC Vogtle Continued PMaaS Support</t>
  </si>
  <si>
    <t>Travis Bell</t>
  </si>
  <si>
    <t>0064L00000BoFca</t>
  </si>
  <si>
    <t>GE Healthcare - Treasury Advisory Services</t>
  </si>
  <si>
    <t>Eric Cohen</t>
  </si>
  <si>
    <t>0064L000003zMpv</t>
  </si>
  <si>
    <t>Stanley Black &amp; Decker, Inc.</t>
  </si>
  <si>
    <t>I4.0 as a Service #MW</t>
  </si>
  <si>
    <t>16/9/2020</t>
  </si>
  <si>
    <t>0064L00000BlM26</t>
  </si>
  <si>
    <t>Mount Sinai Health Systems Inc</t>
  </si>
  <si>
    <t>Mount Sinai Pop Health Deal Services #payeranalytics</t>
  </si>
  <si>
    <t>Giri Rao</t>
  </si>
  <si>
    <t>Kelly Tsaur</t>
  </si>
  <si>
    <t>0064L00000BeiM3</t>
  </si>
  <si>
    <t>Veritas Capital Fund Management LLC</t>
  </si>
  <si>
    <t>SaaS Medicaid Data Platform - #DJI #RWDEvGen</t>
  </si>
  <si>
    <t>Mark Mynhier</t>
  </si>
  <si>
    <t>Kyle Siemers</t>
  </si>
  <si>
    <t>0064L00000BoSoA</t>
  </si>
  <si>
    <t>Project Legacy (Phase 3)</t>
  </si>
  <si>
    <t>Brian Updike</t>
  </si>
  <si>
    <t>0064L000004268A</t>
  </si>
  <si>
    <t>TRICARE T-5 Implementation (Post-award)</t>
  </si>
  <si>
    <t>20/11/2020</t>
  </si>
  <si>
    <t>Frank Lemmon</t>
  </si>
  <si>
    <t>0064L00000Beygw</t>
  </si>
  <si>
    <t>U.S. Bancorp</t>
  </si>
  <si>
    <t>US Bank - Lending and Core Modernization Opportunity (FIS)</t>
  </si>
  <si>
    <t>27/1/2022</t>
  </si>
  <si>
    <t>Kleber Niza</t>
  </si>
  <si>
    <t>0064L00000Botld</t>
  </si>
  <si>
    <t>Koppers Holdings Inc.</t>
  </si>
  <si>
    <t>Koppers - ERP/Oracle</t>
  </si>
  <si>
    <t>0064L00000BoSRo</t>
  </si>
  <si>
    <t>Allstate Corporation</t>
  </si>
  <si>
    <t>Allstate Benefits Insurance Managed Services #FSInsuranceMSO</t>
  </si>
  <si>
    <t>Kevin Caceres</t>
  </si>
  <si>
    <t>Gregory Laverriere</t>
  </si>
  <si>
    <t>0064L00000Bnqu9</t>
  </si>
  <si>
    <t>Enterprise CX transformation</t>
  </si>
  <si>
    <t>0064L00000DG1Rj</t>
  </si>
  <si>
    <t>Gilead: Transformation - Post SAP Future State Org Design - Implementation Phase</t>
  </si>
  <si>
    <t>21/6/2022</t>
  </si>
  <si>
    <t>Sarabeth Rees</t>
  </si>
  <si>
    <t>Jason Lemons</t>
  </si>
  <si>
    <t>0064L000003yXwE</t>
  </si>
  <si>
    <t>FHIT Implementation</t>
  </si>
  <si>
    <t>25/8/2020</t>
  </si>
  <si>
    <t>Jessica Mendel</t>
  </si>
  <si>
    <t>0064L00000BfFoc</t>
  </si>
  <si>
    <t>Spectrum Brands Inc</t>
  </si>
  <si>
    <t>Spectrum SAP TPM Implementation</t>
  </si>
  <si>
    <t>17/2/2023</t>
  </si>
  <si>
    <t>0064L00000BdS8J</t>
  </si>
  <si>
    <t>Verizon Communications Inc.</t>
  </si>
  <si>
    <t>EPM Implementation</t>
  </si>
  <si>
    <t>Timothy Kuroda</t>
  </si>
  <si>
    <t>0064I00000zReSB</t>
  </si>
  <si>
    <t>BH Energy Oracle Transformation</t>
  </si>
  <si>
    <t>EUR_Next_Generation_Corporate_Office</t>
  </si>
  <si>
    <t>Amy Neilson</t>
  </si>
  <si>
    <t>0064L00000BlHur</t>
  </si>
  <si>
    <t>FRB AFS Vision Build FY23</t>
  </si>
  <si>
    <t>28/12/2022</t>
  </si>
  <si>
    <t>0064L000007xoL6</t>
  </si>
  <si>
    <t>DCP Midstream, LLC</t>
  </si>
  <si>
    <t>DCP Midstream - Maximo Upgrade</t>
  </si>
  <si>
    <t>18/6/2021</t>
  </si>
  <si>
    <t>Mike Scheller</t>
  </si>
  <si>
    <t>0064L00000BmMgQ</t>
  </si>
  <si>
    <t>Tampa General Hospital</t>
  </si>
  <si>
    <t>Experience Center Implementation</t>
  </si>
  <si>
    <t>Claudia Douglass</t>
  </si>
  <si>
    <t>0064L00000B2rck</t>
  </si>
  <si>
    <t>Rush University Medical Center</t>
  </si>
  <si>
    <t>ERP Implementation</t>
  </si>
  <si>
    <t>20/10/2021</t>
  </si>
  <si>
    <t>Bryan Sung</t>
  </si>
  <si>
    <t>0064L00000Blihu</t>
  </si>
  <si>
    <t>Polaris Industries</t>
  </si>
  <si>
    <t>Polaris - ERP Upgrade</t>
  </si>
  <si>
    <t>30/6/2023</t>
  </si>
  <si>
    <t>Robert Demeter</t>
  </si>
  <si>
    <t>Emily Wachholz</t>
  </si>
  <si>
    <t>0064L00000DM1EO</t>
  </si>
  <si>
    <t>AT&amp;T Business Legacy Migration Execution</t>
  </si>
  <si>
    <t>17/7/2022</t>
  </si>
  <si>
    <t>Robert Ruark</t>
  </si>
  <si>
    <t>0064I00000wx3Ye</t>
  </si>
  <si>
    <t>ANSYS Inc.</t>
  </si>
  <si>
    <t>Ansys - ERP Implementation (mid 2022)</t>
  </si>
  <si>
    <t>0064L00000CVSK5</t>
  </si>
  <si>
    <t>Jacobs Solutions Inc.</t>
  </si>
  <si>
    <t>Jacobs - Divergent Solutions Op Model Design &amp; Implementation - Phase II</t>
  </si>
  <si>
    <t>Earl Simpkins</t>
  </si>
  <si>
    <t>Steve Woodlock</t>
  </si>
  <si>
    <t>0064L00000BcpYo</t>
  </si>
  <si>
    <t>Becton, Dickinson and Company</t>
  </si>
  <si>
    <t>US Commercial and Customer Operations: Reporting and Analytics Transformation</t>
  </si>
  <si>
    <t>Carlos Moreira</t>
  </si>
  <si>
    <t>0064L000002bldg</t>
  </si>
  <si>
    <t>Adventist Health System/west</t>
  </si>
  <si>
    <t>18/5/2021</t>
  </si>
  <si>
    <t>0064L00000BgYOg</t>
  </si>
  <si>
    <t>Rockwell Automation, Inc.</t>
  </si>
  <si>
    <t>Rockwell Automation - Blue Yonder - $5M</t>
  </si>
  <si>
    <t>0064L00000BgZBg</t>
  </si>
  <si>
    <t>Dollar Tree, Inc.</t>
  </si>
  <si>
    <t>Dollar Tree - Blue Yonder - $5M</t>
  </si>
  <si>
    <t>0064L00000D8T02</t>
  </si>
  <si>
    <t>Grupo Bimbo, S.A.B. de C.V.</t>
  </si>
  <si>
    <t>Performance Analyzer</t>
  </si>
  <si>
    <t>25/6/2022</t>
  </si>
  <si>
    <t>Penny Boswell</t>
  </si>
  <si>
    <t>0064L00000AqK3E</t>
  </si>
  <si>
    <t>Anthem, Inc.</t>
  </si>
  <si>
    <t>AIM technology Implementation #HVM</t>
  </si>
  <si>
    <t>0064L00000BmIR6</t>
  </si>
  <si>
    <t>Fidelity Security Life Insurance Co.</t>
  </si>
  <si>
    <t>FTJ TPA Oracle OHI-OIRMB/Portals Implementation #CO&amp;IPayerTrans #OHI</t>
  </si>
  <si>
    <t>16/2/2022</t>
  </si>
  <si>
    <t>Hans Breville</t>
  </si>
  <si>
    <t>Gregory Anderson</t>
  </si>
  <si>
    <t>0064L00000D8VC6</t>
  </si>
  <si>
    <t>Beta - Compliance Conversion</t>
  </si>
  <si>
    <t>25/7/2022</t>
  </si>
  <si>
    <t>Daniel Poole</t>
  </si>
  <si>
    <t>0064L00000D8zgM</t>
  </si>
  <si>
    <t>Microsoft Corporation</t>
  </si>
  <si>
    <t>MSFT HR FY23 GTA Hiring for the Future</t>
  </si>
  <si>
    <t>Patrick Pugh</t>
  </si>
  <si>
    <t>Min Kim</t>
  </si>
  <si>
    <t>0064L000001wFZL</t>
  </si>
  <si>
    <t>DVC - GPD turnaround on top of systems (cx + care model + digital)</t>
  </si>
  <si>
    <t>Sundar Subramanian</t>
  </si>
  <si>
    <t>0064L00000DG6xG</t>
  </si>
  <si>
    <t>Kimberly-Clark Corporation</t>
  </si>
  <si>
    <t>KCNA - SAP_AES - TPM Support</t>
  </si>
  <si>
    <t>23/6/2022</t>
  </si>
  <si>
    <t>Amit Edla</t>
  </si>
  <si>
    <t>Rohit Sawant</t>
  </si>
  <si>
    <t>0064L00000Bfa72</t>
  </si>
  <si>
    <t>The Bank of New York Mellon Corporation</t>
  </si>
  <si>
    <t>Managed Services</t>
  </si>
  <si>
    <t>13/8/2022</t>
  </si>
  <si>
    <t>Mojdeh Singh</t>
  </si>
  <si>
    <t>0064L00000BmB61</t>
  </si>
  <si>
    <t>FRB Commercial ncino LOS - R2 FY23</t>
  </si>
  <si>
    <t>0064L00000DLTds</t>
  </si>
  <si>
    <t>RJF Advisor Payroll System Modernization - Impl</t>
  </si>
  <si>
    <t>Paul Livak</t>
  </si>
  <si>
    <t>0064L000007wnx0</t>
  </si>
  <si>
    <t>SSM Health</t>
  </si>
  <si>
    <t>RRC Reclass FFY 23-25 (SSM Health) - *Strategic Reimbursement*</t>
  </si>
  <si>
    <t>20/5/2021</t>
  </si>
  <si>
    <t>16/8/2022</t>
  </si>
  <si>
    <t>Richard Grisoli</t>
  </si>
  <si>
    <t>0064L00000DLPl9</t>
  </si>
  <si>
    <t>RJ Advisor Payout Modernization</t>
  </si>
  <si>
    <t>Justine Zordan</t>
  </si>
  <si>
    <t>0064L00000D96Il</t>
  </si>
  <si>
    <t>Citi Enterprise Risk - India build-out BOT</t>
  </si>
  <si>
    <t>0064L00000Bobsn</t>
  </si>
  <si>
    <t>Public Investment Fund</t>
  </si>
  <si>
    <t>NEOM - Digital Health Ecosystem #RWDEvGen</t>
  </si>
  <si>
    <t>NEOM Digital Health Advisory and Assistance Services (A&amp;AS)</t>
  </si>
  <si>
    <t>Regional, State, Local and City Government</t>
  </si>
  <si>
    <t>Praveen Krishna</t>
  </si>
  <si>
    <t>0064L00000BgYQD</t>
  </si>
  <si>
    <t>United Parcel Service Inc.</t>
  </si>
  <si>
    <t>FAVT EPM 2023 H1 #Finance</t>
  </si>
  <si>
    <t>Christopher Dimuzio</t>
  </si>
  <si>
    <t>0064L0000099AWm</t>
  </si>
  <si>
    <t>CVS: Medicaid NextGen &gt;&gt; claims platform implementation support #PayerCO&amp;ITrans</t>
  </si>
  <si>
    <t>20/7/2021</t>
  </si>
  <si>
    <t>0064L00000Bfeg8</t>
  </si>
  <si>
    <t>Archer Daniels Midland Company</t>
  </si>
  <si>
    <t>ADM - QMR, Doc Management and Complaints Management #QualityManagedServices</t>
  </si>
  <si>
    <t>Sam Venugopal</t>
  </si>
  <si>
    <t>CS_Industry_Ops_PLS</t>
  </si>
  <si>
    <t>Priyanka Chaudhary</t>
  </si>
  <si>
    <t>0064L00000BlJru</t>
  </si>
  <si>
    <t>Wintrust Financial Corporation</t>
  </si>
  <si>
    <t>Wintrust nCino R2</t>
  </si>
  <si>
    <t>Murali Nallapaty</t>
  </si>
  <si>
    <t>0064L00000BlJrz</t>
  </si>
  <si>
    <t>Wintrust nCino R3</t>
  </si>
  <si>
    <t>0064L00000DBQSl</t>
  </si>
  <si>
    <t>Global Wealth Integration</t>
  </si>
  <si>
    <t>0064L00000BocCn</t>
  </si>
  <si>
    <t>ORx - Underwriting Tools and Process [RFP]</t>
  </si>
  <si>
    <t>Philip Sclafani</t>
  </si>
  <si>
    <t>Zachary Dietrick</t>
  </si>
  <si>
    <t>0064L0000098xhy</t>
  </si>
  <si>
    <t>Manpowergroup Inc.</t>
  </si>
  <si>
    <t>End-to-End Shared Services and Outsourcing Optimization - Finance &amp; Accounting functions</t>
  </si>
  <si>
    <t>14/7/2021</t>
  </si>
  <si>
    <t>0064L00000D97be</t>
  </si>
  <si>
    <t>GE Separation - Vernova - Post Spin Statutory Readiness and Support</t>
  </si>
  <si>
    <t>0064L000002LZs5</t>
  </si>
  <si>
    <t>Wells Fargo &amp; Co.</t>
  </si>
  <si>
    <t>Cost Reduction (Risk) - 2022 #FFG 3.0</t>
  </si>
  <si>
    <t>19/8/2021</t>
  </si>
  <si>
    <t>William Kangas</t>
  </si>
  <si>
    <t>Michelle Laine</t>
  </si>
  <si>
    <t>0064I00000y7Zhf</t>
  </si>
  <si>
    <t>FBL Life-Comm Conversion</t>
  </si>
  <si>
    <t>23/10/2019</t>
  </si>
  <si>
    <t>Lawrence Taylor</t>
  </si>
  <si>
    <t>0064L000002LZsT</t>
  </si>
  <si>
    <t>Cost Reduction (Risk) - 2023 #FFG 3.0</t>
  </si>
  <si>
    <t>0064L00000B2007</t>
  </si>
  <si>
    <t>Salesforce Managed Services</t>
  </si>
  <si>
    <t>27/9/2021</t>
  </si>
  <si>
    <t>Simon Strom</t>
  </si>
  <si>
    <t>Kiran Jagal</t>
  </si>
  <si>
    <t>0064L00000CVSFA</t>
  </si>
  <si>
    <t>Sutter Health System</t>
  </si>
  <si>
    <t>FFY 2024-2026 Reimbursement Strategy - *Strategic Reimbursement*</t>
  </si>
  <si>
    <t>Pablo Marquez</t>
  </si>
  <si>
    <t>0064L00000BmluR</t>
  </si>
  <si>
    <t>Texas Health Resources</t>
  </si>
  <si>
    <t>THR_Navigation and Network Management Solution Phase II</t>
  </si>
  <si>
    <t>Alex Marsden</t>
  </si>
  <si>
    <t>0064L00000Be0jC</t>
  </si>
  <si>
    <t>BCBSM - Product Management - 2023 Post-MVP Implementation #PayerCO&amp;ITrans</t>
  </si>
  <si>
    <t>0064L00000B207m</t>
  </si>
  <si>
    <t>VCI Finance Transformation</t>
  </si>
  <si>
    <t>30/6/2022</t>
  </si>
  <si>
    <t>0064L00000DJXXR</t>
  </si>
  <si>
    <t>Sharecare Gmbh</t>
  </si>
  <si>
    <t>CareLinx Growth Strategy - Phase 2 - CS_EDT_PLS #HVM</t>
  </si>
  <si>
    <t>Sierra Hawthorne</t>
  </si>
  <si>
    <t>0064L00000B1ZBs</t>
  </si>
  <si>
    <t>Shell - Power Capability Building #BigBet</t>
  </si>
  <si>
    <t>15/9/2021</t>
  </si>
  <si>
    <t>0064L00000BgVnw</t>
  </si>
  <si>
    <t>KCNA SAP TPM S4 Integration &amp; Global Template</t>
  </si>
  <si>
    <t>0064L00000B1zzY</t>
  </si>
  <si>
    <t>Front Office Transformation / Salesforce</t>
  </si>
  <si>
    <t>0064L00000D94EN</t>
  </si>
  <si>
    <t>ABP Trust (RMR Group)</t>
  </si>
  <si>
    <t>TA HR Tech Selection</t>
  </si>
  <si>
    <t>21/7/2022</t>
  </si>
  <si>
    <t>Astik Ranade</t>
  </si>
  <si>
    <t>TA HR Transformation Strategy</t>
  </si>
  <si>
    <t>Brenda Reid</t>
  </si>
  <si>
    <t>0064L00000B200b</t>
  </si>
  <si>
    <t>Software Enabled Car OEM</t>
  </si>
  <si>
    <t>0064L000003zy5l</t>
  </si>
  <si>
    <t>SAP 4H Roll out at Audi NA</t>
  </si>
  <si>
    <t>0064L000006Bpe2</t>
  </si>
  <si>
    <t>Project Spree - Legacy Platform Reset #PayerCO&amp;ITrans #SS&amp;O</t>
  </si>
  <si>
    <t>15/3/2023</t>
  </si>
  <si>
    <t>0064L000001wDjx</t>
  </si>
  <si>
    <t>Finance Modernization - Phase 3 (2022) #Hawk</t>
  </si>
  <si>
    <t>0064L000003zDC2</t>
  </si>
  <si>
    <t>bp T&amp;S Right Angle upgrade #bigbet</t>
  </si>
  <si>
    <t>0064L000002bf0O</t>
  </si>
  <si>
    <t>Community Health Systems Inc.</t>
  </si>
  <si>
    <t>0064L000009AWtj</t>
  </si>
  <si>
    <t>FISHBACK FINANCIAL Corp.</t>
  </si>
  <si>
    <t>FB&amp;T nCino Delivery</t>
  </si>
  <si>
    <t>0064L00000B29fu</t>
  </si>
  <si>
    <t>Navistar / Traton Purchasing Platform Integration</t>
  </si>
  <si>
    <t>30/9/2021</t>
  </si>
  <si>
    <t>0064L00000Apc3L</t>
  </si>
  <si>
    <t>Nordstrom Retail to Cost Phase III</t>
  </si>
  <si>
    <t>Suni Shamapande</t>
  </si>
  <si>
    <t>0064L00000CYaSZ</t>
  </si>
  <si>
    <t>General Motors Company</t>
  </si>
  <si>
    <t>Purchasing Joint Venture</t>
  </si>
  <si>
    <t>26/5/2022</t>
  </si>
  <si>
    <t>Natalie Theodore</t>
  </si>
  <si>
    <t>0064L00000DLy7Y</t>
  </si>
  <si>
    <t>DENSO CORPORATION</t>
  </si>
  <si>
    <t>DENSO EPM 2.0: CaRS Enhancements, DNMX, FCC Optimization</t>
  </si>
  <si>
    <t>Feroz Razzaqui</t>
  </si>
  <si>
    <t>0064L00000DLTha</t>
  </si>
  <si>
    <t>Securitas AB</t>
  </si>
  <si>
    <t>Project Brown - Value Creation</t>
  </si>
  <si>
    <t>Mike Pokorski</t>
  </si>
  <si>
    <t>John Dougherty</t>
  </si>
  <si>
    <t>0064L00000Blmzz</t>
  </si>
  <si>
    <t>Barclays PLC</t>
  </si>
  <si>
    <t>Barclays Blueprint</t>
  </si>
  <si>
    <t>28/1/2022</t>
  </si>
  <si>
    <t>Dean Nicolacakis</t>
  </si>
  <si>
    <t>Joel Feliciano</t>
  </si>
  <si>
    <t>0064L00000D8zgg</t>
  </si>
  <si>
    <t>Global RE Project Management RFP Support</t>
  </si>
  <si>
    <t>Katherine Huh</t>
  </si>
  <si>
    <t>AWM_Bus_Model_Transf_and_Growth</t>
  </si>
  <si>
    <t>Sarah Beth Coxon</t>
  </si>
  <si>
    <t>0064L00000DJXcv</t>
  </si>
  <si>
    <t>FRB Commercial nCino R1 Foundation + SBL Delivery FY23 #SCB</t>
  </si>
  <si>
    <t>18/8/2022</t>
  </si>
  <si>
    <t>Erica Yung</t>
  </si>
  <si>
    <t>0064L00000As8QZ</t>
  </si>
  <si>
    <t>OnStar Insurance</t>
  </si>
  <si>
    <t>0064L00000Apyha</t>
  </si>
  <si>
    <t>Invercer Sa</t>
  </si>
  <si>
    <t>Lamosa - Central Finance</t>
  </si>
  <si>
    <t>Anderson Ramires</t>
  </si>
  <si>
    <t>Mexico Transform</t>
  </si>
  <si>
    <t>Jorge Sanchez</t>
  </si>
  <si>
    <t>0064L00000CH5Xc</t>
  </si>
  <si>
    <t>GE Separation - Energy - Standup Planning and Core SMO Support</t>
  </si>
  <si>
    <t>Varun Joshi</t>
  </si>
  <si>
    <t>GE Separation - Energy - DT Standup Planning (Main)</t>
  </si>
  <si>
    <t>Aakash Chhablani</t>
  </si>
  <si>
    <t>0064L00000Bo9CC</t>
  </si>
  <si>
    <t>EB DCX Execution ER Portal R2</t>
  </si>
  <si>
    <t>29/6/2022 8:50 pm</t>
  </si>
  <si>
    <t>0064L00000AqHdO</t>
  </si>
  <si>
    <t>Whole Health School of Medicine and Health Sciences, Inc</t>
  </si>
  <si>
    <t>*CI* Implementation</t>
  </si>
  <si>
    <t>Alyson Simonetta-Larkin</t>
  </si>
  <si>
    <t>Aparna Kumar</t>
  </si>
  <si>
    <t>0064L00000Blux7</t>
  </si>
  <si>
    <t>KP MembershipConnect CDS CY2023 Q1-Q2 #PayerCO&amp;ITrans</t>
  </si>
  <si>
    <t>Sarah Sprague</t>
  </si>
  <si>
    <t>0064L00000Bluxv</t>
  </si>
  <si>
    <t>KP MembershipConnect CDS CY2023 Q3-Q4 #PayerCO&amp;ITrans</t>
  </si>
  <si>
    <t>0064L00000CYXQk</t>
  </si>
  <si>
    <t>Hilton Grand Vacations Inc.</t>
  </si>
  <si>
    <t>Project Odyssey - IT IMO (Phase 2)</t>
  </si>
  <si>
    <t>Mayank Gupta</t>
  </si>
  <si>
    <t>CS_Deal_Corporate_M&amp;A_TMT</t>
  </si>
  <si>
    <t>0064L00000DJTv5</t>
  </si>
  <si>
    <t>Nationwide Mutual Insurance Company</t>
  </si>
  <si>
    <t>Clearwater Implementation (Consulting - AWM)</t>
  </si>
  <si>
    <t>Matthew Barnoski</t>
  </si>
  <si>
    <t>CS_Industry_AWM</t>
  </si>
  <si>
    <t>Andrew Haslehust-Smith</t>
  </si>
  <si>
    <t>0064L00000B2Woi</t>
  </si>
  <si>
    <t>Cushman &amp; Wakefield plc</t>
  </si>
  <si>
    <t>THD - ProEdge - Expansion Upskilling at Scale- Full integration of Workday and ProEdge - Expansion</t>
  </si>
  <si>
    <t>0064L000009fcT4</t>
  </si>
  <si>
    <t>IBERDROLA, S.A.</t>
  </si>
  <si>
    <t>Network Operations Perform #BigBet #USPerform</t>
  </si>
  <si>
    <t>21/7/2021</t>
  </si>
  <si>
    <t>Ralph Roam</t>
  </si>
  <si>
    <t>0064L000007wqBZ</t>
  </si>
  <si>
    <t>GIS Consolidation - Gas #BigBet</t>
  </si>
  <si>
    <t>23/9/2022</t>
  </si>
  <si>
    <t>0064L00000BoCsf</t>
  </si>
  <si>
    <t>GE Separation - Energy - HR Support Phase 2</t>
  </si>
  <si>
    <t>25/4/2022</t>
  </si>
  <si>
    <t>Sushil Ahuja</t>
  </si>
  <si>
    <t>GE Separation - Energy - HR Support Phase 1</t>
  </si>
  <si>
    <t>0064L00000Bfgu7</t>
  </si>
  <si>
    <t>Citibanamex Separation Management</t>
  </si>
  <si>
    <t>Katie Andersen</t>
  </si>
  <si>
    <t>0064L00000Bmlum</t>
  </si>
  <si>
    <t>Amazon.com, Inc.</t>
  </si>
  <si>
    <t>FIS Implementation Support - Oct 2022 to Mar 2023</t>
  </si>
  <si>
    <t>Naman Kuwadia</t>
  </si>
  <si>
    <t>0064L00000CGwhR</t>
  </si>
  <si>
    <t>#QMS BMS Quality Deployment Support CY2023</t>
  </si>
  <si>
    <t>Jan Paul Zonnenberg</t>
  </si>
  <si>
    <t>Sharad Narayan</t>
  </si>
  <si>
    <t>0064L00000BnN83</t>
  </si>
  <si>
    <t>UiPath, Inc.</t>
  </si>
  <si>
    <t>UiPath - Salesforce/Sales Tech Support</t>
  </si>
  <si>
    <t>23/3/2022</t>
  </si>
  <si>
    <t>Jason Wagner</t>
  </si>
  <si>
    <t>0064L00000Bfecu</t>
  </si>
  <si>
    <t>Potential work after Science Based Targets Climate Neutral</t>
  </si>
  <si>
    <t>Christopher Joline</t>
  </si>
  <si>
    <t>CS_ESG</t>
  </si>
  <si>
    <t>Megan Woods</t>
  </si>
  <si>
    <t>0064L00000CH7N1</t>
  </si>
  <si>
    <t>BC Partners Holdings Limited</t>
  </si>
  <si>
    <t>FY23 Transformation Goal</t>
  </si>
  <si>
    <t>Elizabeth Perreault</t>
  </si>
  <si>
    <t>0064L000009fj9N</t>
  </si>
  <si>
    <t>Signature Bank</t>
  </si>
  <si>
    <t>Signature FINANCIAL  - ncino Leasing Build/Test/Deploy</t>
  </si>
  <si>
    <t>27/7/2021</t>
  </si>
  <si>
    <t>0064L00000CXa59</t>
  </si>
  <si>
    <t>K2 Program Support H1'23</t>
  </si>
  <si>
    <t>Jared Schreff</t>
  </si>
  <si>
    <t>Karlie Humphreys</t>
  </si>
  <si>
    <t>0064L00000DLNxc</t>
  </si>
  <si>
    <t>PGE.com Support - Data Model Development</t>
  </si>
  <si>
    <t>Joan Chan</t>
  </si>
  <si>
    <t>0064L00000Bp0EK</t>
  </si>
  <si>
    <t>Symphony July-Sept 2022</t>
  </si>
  <si>
    <t>Joshua Carter</t>
  </si>
  <si>
    <t>Danielle Murphy</t>
  </si>
  <si>
    <t>0064L00000BmsvT</t>
  </si>
  <si>
    <t>CSX Program Support Extension 1 #PayerCO&amp;Trans</t>
  </si>
  <si>
    <t>Mackenzie Heal</t>
  </si>
  <si>
    <t>0064L00000BoUgN</t>
  </si>
  <si>
    <t>Regulatory and Policy Strategy: T&amp;S - Primary/Secondary Research 2023</t>
  </si>
  <si>
    <t>Rahul Kapoor</t>
  </si>
  <si>
    <t>0064L00000CVmb5</t>
  </si>
  <si>
    <t>Project Janus - SMO - Sign to Close</t>
  </si>
  <si>
    <t>Mike Ross</t>
  </si>
  <si>
    <t>0064L00000CYb9U</t>
  </si>
  <si>
    <t>Carefirst Inc.</t>
  </si>
  <si>
    <t>Claims Solution Modernization &gt;&gt; FEPOC execution support 2023 #PayerCO&amp;ITrans</t>
  </si>
  <si>
    <t>0064L00000CXjhk</t>
  </si>
  <si>
    <t>Honeywell International Inc.</t>
  </si>
  <si>
    <t>E2E Planning - 2022</t>
  </si>
  <si>
    <t>Mark Beekman</t>
  </si>
  <si>
    <t>Ankur Udani</t>
  </si>
  <si>
    <t>0064L00000CXRwD</t>
  </si>
  <si>
    <t>AT&amp;T Biz Data Migration Execution Legacy +1 Products</t>
  </si>
  <si>
    <t>22/9/2022</t>
  </si>
  <si>
    <t>CS_Data_AI_Analytics</t>
  </si>
  <si>
    <t>0064I00000zTbF5</t>
  </si>
  <si>
    <t>Waste Management, Inc.</t>
  </si>
  <si>
    <t>WM - Payroll Outsourcing Implementation</t>
  </si>
  <si>
    <t>19/12/2019</t>
  </si>
  <si>
    <t>25/12/2022</t>
  </si>
  <si>
    <t>Elizabeth Yates</t>
  </si>
  <si>
    <t>Laurie Ann Fleet</t>
  </si>
  <si>
    <t>0064L00000CYbRc</t>
  </si>
  <si>
    <t>United Launch Alliance L.l.c.</t>
  </si>
  <si>
    <t>ULA - Supply Chain Sourcing Execution</t>
  </si>
  <si>
    <t>27/5/2022</t>
  </si>
  <si>
    <t>Doug Anderson</t>
  </si>
  <si>
    <t>0064L00000CGubQ</t>
  </si>
  <si>
    <t>GM Supply Chain Visibility and Early Warning</t>
  </si>
  <si>
    <t>15/6/2022</t>
  </si>
  <si>
    <t>Carlos Thimann</t>
  </si>
  <si>
    <t>0064L00000ApgeN</t>
  </si>
  <si>
    <t>Advocate Aurora Health</t>
  </si>
  <si>
    <t>Advocate Aurora Health *VBO* FY23</t>
  </si>
  <si>
    <t>16/8/2021</t>
  </si>
  <si>
    <t>0064L000003yRQC</t>
  </si>
  <si>
    <t>ULA S/4 ERP Migration</t>
  </si>
  <si>
    <t>21/8/2020</t>
  </si>
  <si>
    <t>22/4/2023</t>
  </si>
  <si>
    <t>Curt Bigelow</t>
  </si>
  <si>
    <t>0064L00000BlgRV</t>
  </si>
  <si>
    <t>Moody's Corporation</t>
  </si>
  <si>
    <t>Moody's - #Coupa P2P Global Implementation</t>
  </si>
  <si>
    <t>Coupa S2P Implementation</t>
  </si>
  <si>
    <t>Steven Klatt-Lasso</t>
  </si>
  <si>
    <t>0064L00000BoM6n</t>
  </si>
  <si>
    <t>GE Separation - Energy - Finance Support phase 2</t>
  </si>
  <si>
    <t>31/7/2023</t>
  </si>
  <si>
    <t>GE Separation - Energy - SMO Main</t>
  </si>
  <si>
    <t>0064L0000099UnG</t>
  </si>
  <si>
    <t>Associated Banc-Corp</t>
  </si>
  <si>
    <t>Deposit Core Banking System Integration (#Finxact)</t>
  </si>
  <si>
    <t>0064L000009fXgt</t>
  </si>
  <si>
    <t>Program Optimus FP&amp;A Release 3</t>
  </si>
  <si>
    <t>19/7/2021</t>
  </si>
  <si>
    <t>0064L00000Blv1s</t>
  </si>
  <si>
    <t>DCT Implementation Managed Service Support #medable</t>
  </si>
  <si>
    <t>Marigrace Ambrosia</t>
  </si>
  <si>
    <t>0064L00000ArkjB</t>
  </si>
  <si>
    <t>*CI* KP BJT SOM Full Accreditation Support Phase I</t>
  </si>
  <si>
    <t>0064L000002LSiH</t>
  </si>
  <si>
    <t>AT&amp;T Oracle Cloud ERP</t>
  </si>
  <si>
    <t>17/8/2021</t>
  </si>
  <si>
    <t>0064L000009gGzc</t>
  </si>
  <si>
    <t>Procurement Strategy execution / Value Capture #FFG</t>
  </si>
  <si>
    <t>0064L00000Bfsl0</t>
  </si>
  <si>
    <t>Comcast Corporation</t>
  </si>
  <si>
    <t>Comcast Business - Sales &amp; Service Transformation 2023 Delivery #TMTSales</t>
  </si>
  <si>
    <t>Aubrey Hochstuhl</t>
  </si>
  <si>
    <t>0064L00000D92Eu</t>
  </si>
  <si>
    <t>AMZN Finance: Pre-implementation Review - System TBD</t>
  </si>
  <si>
    <t>Debra Skorupka</t>
  </si>
  <si>
    <t>Brian York</t>
  </si>
  <si>
    <t>0064L00000CVmjO</t>
  </si>
  <si>
    <t>CVS Aetna HCB - CM UM Work Assignment Optimization #HVM #PayerCO&amp;ITrans</t>
  </si>
  <si>
    <t>0064L000007wduO</t>
  </si>
  <si>
    <t>Vistra Corp.</t>
  </si>
  <si>
    <t>Vistra Allegro Upgrade - V8 to Vx</t>
  </si>
  <si>
    <t>0064L00000AqhLF</t>
  </si>
  <si>
    <t>Baker Hughes Company</t>
  </si>
  <si>
    <t>Baker Hughes OFS Product Cost</t>
  </si>
  <si>
    <t>24/9/2021</t>
  </si>
  <si>
    <t>30/10/2022</t>
  </si>
  <si>
    <t>Reid Morrison</t>
  </si>
  <si>
    <t>0064L00000CY3WI</t>
  </si>
  <si>
    <t>Incitec Pivot Limited</t>
  </si>
  <si>
    <t>Project Breeze (TitaNobel IT Integration - Discovery)</t>
  </si>
  <si>
    <t>14/5/2022</t>
  </si>
  <si>
    <t>30/5/2022</t>
  </si>
  <si>
    <t>Marwan Zakaria</t>
  </si>
  <si>
    <t>0064L00000B29Od</t>
  </si>
  <si>
    <t>Labcorp - *RC Tech* *Rev Cycle* Design Phase</t>
  </si>
  <si>
    <t>0064L00000DJRZ2</t>
  </si>
  <si>
    <t>Centerpoint Energy Inc.</t>
  </si>
  <si>
    <t>CNP BPC Re-Implementation</t>
  </si>
  <si>
    <t>0064L00000CXQUF</t>
  </si>
  <si>
    <t>Phase 2 Rev Cycle Extension *Rev Cycle* *RC Tech*</t>
  </si>
  <si>
    <t>0064L000004w0UA</t>
  </si>
  <si>
    <t>Astellas Pharma Inc.</t>
  </si>
  <si>
    <t>#IOBP -- OPR Enablement</t>
  </si>
  <si>
    <t>18/12/2020</t>
  </si>
  <si>
    <t>Anthony Di Stefano</t>
  </si>
  <si>
    <t>0064L00000CV8an</t>
  </si>
  <si>
    <t>#IOBP -- Operational Planning Refresh - Phase 2</t>
  </si>
  <si>
    <t>0064L00000DLFsp</t>
  </si>
  <si>
    <t>BCBSM Behavioral Health Implementation #HVM</t>
  </si>
  <si>
    <t>0064L00000DLxc6</t>
  </si>
  <si>
    <t>Xcel - S2P Implementation</t>
  </si>
  <si>
    <t>14/7/2022</t>
  </si>
  <si>
    <t>Trent Graham</t>
  </si>
  <si>
    <t>0064L00000CYQFJ</t>
  </si>
  <si>
    <t>BMS Finance Integration (Core Finance) - Jan - Jun 23</t>
  </si>
  <si>
    <t>0064L000009fT2u</t>
  </si>
  <si>
    <t>[Big Bet] S4 Hana/Business Planning</t>
  </si>
  <si>
    <t>Amit Sharma</t>
  </si>
  <si>
    <t>0064L00000BoXAr</t>
  </si>
  <si>
    <t>R&amp;D Clinical Trials Accrual System Design &amp; Implementation FY23</t>
  </si>
  <si>
    <t>0064L00000Ar597</t>
  </si>
  <si>
    <t>C&amp;W - Upskilling Assessment and Execution Phase 3 #proedge - Expansion</t>
  </si>
  <si>
    <t>Ann Johnston</t>
  </si>
  <si>
    <t>Michael Berland</t>
  </si>
  <si>
    <t>0064L00000424Ya</t>
  </si>
  <si>
    <t>GSK PLC</t>
  </si>
  <si>
    <t>#QMS eQMS</t>
  </si>
  <si>
    <t>19/11/2020</t>
  </si>
  <si>
    <t>0064L000009B66h</t>
  </si>
  <si>
    <t>MSFT DLS FY22 MAVS HR TR H2 Deal Support</t>
  </si>
  <si>
    <t>Christopher Ayers</t>
  </si>
  <si>
    <t>0064L00000DFtwe</t>
  </si>
  <si>
    <t>Spectrum Health Hospitals Inc</t>
  </si>
  <si>
    <t>Beaumont Health  *FFG*  Clinical Implementation</t>
  </si>
  <si>
    <t>Ginger Pilgrim</t>
  </si>
  <si>
    <t>0064L00000DG4XQ</t>
  </si>
  <si>
    <t>Xylem Inc.</t>
  </si>
  <si>
    <t>Xylem - #Coupa &amp; Ariba P2I</t>
  </si>
  <si>
    <t>David Rosselli</t>
  </si>
  <si>
    <t>0064L00000BgMRb</t>
  </si>
  <si>
    <t>Pfizer - Complaints Management #QualityManagedServices</t>
  </si>
  <si>
    <t>26/2/2022</t>
  </si>
  <si>
    <t>Kareem Elwakil</t>
  </si>
  <si>
    <t>0064L00000B2TmY</t>
  </si>
  <si>
    <t>AT&amp;T Biz EducationNet Acceleration</t>
  </si>
  <si>
    <t>0064I00000y8Jhv</t>
  </si>
  <si>
    <t>NICO Finance Datamart Implementation (US branches)</t>
  </si>
  <si>
    <t>29/10/2019</t>
  </si>
  <si>
    <t>INS_Imprv_perf_thru_Fin_Actuarial_Tax</t>
  </si>
  <si>
    <t>0064L00000ArD0d</t>
  </si>
  <si>
    <t>Pricing Implementation - Phase 3 #FFG</t>
  </si>
  <si>
    <t>0065800000YZOgw</t>
  </si>
  <si>
    <t>Hyatt Hotels Corporation</t>
  </si>
  <si>
    <t>Hyatt: IGP Alert Buttons</t>
  </si>
  <si>
    <t>23/3/2018</t>
  </si>
  <si>
    <t>Jon Glick</t>
  </si>
  <si>
    <t>Maggie Adams</t>
  </si>
  <si>
    <t>0064L00000BnPgC</t>
  </si>
  <si>
    <t>C4C Replacement</t>
  </si>
  <si>
    <t>25/3/2022</t>
  </si>
  <si>
    <t>Alexander Wisniewski</t>
  </si>
  <si>
    <t>0064L00000BfZQd</t>
  </si>
  <si>
    <t>Microsoft Project Daphne #ESG-TMT-Wave1</t>
  </si>
  <si>
    <t>Robert Moline</t>
  </si>
  <si>
    <t>0064L00000DFrmN</t>
  </si>
  <si>
    <t>Project Forte Financial Reporting Solution</t>
  </si>
  <si>
    <t>Nitin Lalwani</t>
  </si>
  <si>
    <t>Xiaoxiao Xu</t>
  </si>
  <si>
    <t>0064L00000AqOaI</t>
  </si>
  <si>
    <t>Bank Of Hawaii Corporation</t>
  </si>
  <si>
    <t>Bank of Hawaii nCino Delivery Release 1 #&lt;$50B #SCB</t>
  </si>
  <si>
    <t>14/9/2021</t>
  </si>
  <si>
    <t>Paul Bird</t>
  </si>
  <si>
    <t>0064L00000CVEF2</t>
  </si>
  <si>
    <t>AT&amp;T Mobility Credits - Contingent Payment</t>
  </si>
  <si>
    <t>0064L00000BlJix</t>
  </si>
  <si>
    <t>Siepmann Stiftung</t>
  </si>
  <si>
    <t>Aldi VCO Phase 3 #CMRETAIL</t>
  </si>
  <si>
    <t>Todd Bargman</t>
  </si>
  <si>
    <t>0064L00000DG1on</t>
  </si>
  <si>
    <t>Deere &amp; Company</t>
  </si>
  <si>
    <t>Deere - Lean Material Flow Automation Factory Consulting - Phase 2</t>
  </si>
  <si>
    <t>Owen Taylor</t>
  </si>
  <si>
    <t>0064L00000Bd1vD</t>
  </si>
  <si>
    <t>Commercialization Capability Build #3</t>
  </si>
  <si>
    <t>0064L00000B1qAI</t>
  </si>
  <si>
    <t>The Hershey Company</t>
  </si>
  <si>
    <t>Hershey SAP TPM+DME Upgrade + S4 Integration - Phase 3 #RGM</t>
  </si>
  <si>
    <t>22/9/2021</t>
  </si>
  <si>
    <t>0064L00000AqQ3p</t>
  </si>
  <si>
    <t>WGL - TransRM - Asset Risk Ph2 #BigBet</t>
  </si>
  <si>
    <t>Kaite Coyne</t>
  </si>
  <si>
    <t>0064L00000Bf6ex</t>
  </si>
  <si>
    <t>Halliburton Company</t>
  </si>
  <si>
    <t>Carbon Ledger Implementation</t>
  </si>
  <si>
    <t>0064L00000Bf6h3</t>
  </si>
  <si>
    <t>Christus Health</t>
  </si>
  <si>
    <t>Rural Strategy &amp; Rural Equity Analysis - *Strategic Reimbursement*</t>
  </si>
  <si>
    <t>0064L00000Bf6fl</t>
  </si>
  <si>
    <t>Valero Energy Corporation</t>
  </si>
  <si>
    <t>Sammy Lakshmanan</t>
  </si>
  <si>
    <t>0064L000009fOPZ</t>
  </si>
  <si>
    <t>Ross Stores, Inc.</t>
  </si>
  <si>
    <t>Logistics Capability (TMS Phs 1)</t>
  </si>
  <si>
    <t>Ron Klein</t>
  </si>
  <si>
    <t>Sean Centilli</t>
  </si>
  <si>
    <t>0064L00000DFrDw</t>
  </si>
  <si>
    <t>Benefit Config Modernization - Implementation Support 2023 #PayerCO&amp;ITrans</t>
  </si>
  <si>
    <t>0064L00000B2SRF</t>
  </si>
  <si>
    <t>Best Buy Co. Inc.</t>
  </si>
  <si>
    <t>Best Buy Health CRM Optimization - Implementation Phase</t>
  </si>
  <si>
    <t>Sreekumar Krishnamony</t>
  </si>
  <si>
    <t>Krista Cook</t>
  </si>
  <si>
    <t>0064L00000D8XC3</t>
  </si>
  <si>
    <t>The Hain Celestial Group Inc</t>
  </si>
  <si>
    <t>Hain HighRadius Phase 2 - Business Integration</t>
  </si>
  <si>
    <t>0064L00000Bnqpi</t>
  </si>
  <si>
    <t>DVC_OptumCare Phase 2</t>
  </si>
  <si>
    <t>0064L000001uHbD</t>
  </si>
  <si>
    <t>General Dynamics Corporation</t>
  </si>
  <si>
    <t>GDIT Oracle EPM Implementation</t>
  </si>
  <si>
    <t>18/6/2020</t>
  </si>
  <si>
    <t>Lilly Ou</t>
  </si>
  <si>
    <t>0064L00000BoQn7</t>
  </si>
  <si>
    <t>Abbvie Inc.</t>
  </si>
  <si>
    <t>#QualityManagedServices</t>
  </si>
  <si>
    <t>Drew Kaneps</t>
  </si>
  <si>
    <t>0064L00000BotcM</t>
  </si>
  <si>
    <t>BMS - DVC Automate Insight Packets #FFG3.0</t>
  </si>
  <si>
    <t>Shaguna Punj</t>
  </si>
  <si>
    <t>Kristin Sharp</t>
  </si>
  <si>
    <t>0064L00000Bnok2</t>
  </si>
  <si>
    <t>PEP CDP POC &amp; Implementation #martech</t>
  </si>
  <si>
    <t>Vishal Garg</t>
  </si>
  <si>
    <t>Jane Griffin</t>
  </si>
  <si>
    <t>0064L000001uXNs</t>
  </si>
  <si>
    <t>GPM: Strategic: Global Price Management Governance and Solutions *Pricing*</t>
  </si>
  <si>
    <t>22/6/2020</t>
  </si>
  <si>
    <t>21/7/2021 8:36 pm</t>
  </si>
  <si>
    <t>Francis Ruffy</t>
  </si>
  <si>
    <t>0064L00000D968g</t>
  </si>
  <si>
    <t>Project Tiger Operationalization</t>
  </si>
  <si>
    <t>Marcus Simms</t>
  </si>
  <si>
    <t>Evan Foo</t>
  </si>
  <si>
    <t>0064L000004wjTN</t>
  </si>
  <si>
    <t>Eli Lilly And Company</t>
  </si>
  <si>
    <t>Follow-on - M&amp;Q competitive assessment</t>
  </si>
  <si>
    <t>0064L000009gKzF</t>
  </si>
  <si>
    <t>Project Bull Run - Design and Implementation 2022</t>
  </si>
  <si>
    <t>Project Bull Run - Strategy #DCT</t>
  </si>
  <si>
    <t>Sean Rooney</t>
  </si>
  <si>
    <t>0064L00000D95o7</t>
  </si>
  <si>
    <t>Down Payment Elasticity Model- #Collections_FY23</t>
  </si>
  <si>
    <t>TJ Hill</t>
  </si>
  <si>
    <t>0064L00000Bfemu</t>
  </si>
  <si>
    <t>Embecta Corp.</t>
  </si>
  <si>
    <t>Embecta - Complaints Management #QualityManagedServices</t>
  </si>
  <si>
    <t>0064L00000DLoZG</t>
  </si>
  <si>
    <t>Wells Fargo CCaaS Transformation Data Architecture #callcenter #dvc</t>
  </si>
  <si>
    <t>Dave Friedman</t>
  </si>
  <si>
    <t>0064L000007xIvH</t>
  </si>
  <si>
    <t>DENSO NA: CaRS (Mexico DNMX)</t>
  </si>
  <si>
    <t>0064L00000BmZGZ</t>
  </si>
  <si>
    <t>BMS GPS Operating Model Implementation</t>
  </si>
  <si>
    <t>25/2/2022</t>
  </si>
  <si>
    <t>Karan Sahni</t>
  </si>
  <si>
    <t>0064L00000B2Mul</t>
  </si>
  <si>
    <t>COA - Phase 3</t>
  </si>
  <si>
    <t>15/9/2022</t>
  </si>
  <si>
    <t>Mikel Nicks</t>
  </si>
  <si>
    <t>0064L00000CWwkw</t>
  </si>
  <si>
    <t>Project Neo TSA (Jul-Dec 2022)</t>
  </si>
  <si>
    <t>Bill Schmitt</t>
  </si>
  <si>
    <t>0064L00000DLore</t>
  </si>
  <si>
    <t>Centene - FY22 Enterprise JA</t>
  </si>
  <si>
    <t>Scott Pollak</t>
  </si>
  <si>
    <t>Vidya Raman</t>
  </si>
  <si>
    <t>0064L00000CH5An</t>
  </si>
  <si>
    <t>MRO Optimization Phase 3 Packaging #FFG</t>
  </si>
  <si>
    <t>Akshay Singh</t>
  </si>
  <si>
    <t>Michael Davidson</t>
  </si>
  <si>
    <t>0064L000009AhPe</t>
  </si>
  <si>
    <t>Synovus Financial CORP.</t>
  </si>
  <si>
    <t>Synovus nCino LOS Delivery Release 2 FY23 #&lt;50B #SCB</t>
  </si>
  <si>
    <t>16/11/2021</t>
  </si>
  <si>
    <t>14/7/2022 2:49 am</t>
  </si>
  <si>
    <t>0064L00000CVEtC</t>
  </si>
  <si>
    <t>CDW SSC Design (Phase I) Fin/CWS</t>
  </si>
  <si>
    <t>Andres Gomez</t>
  </si>
  <si>
    <t>0064L00000BogZ5</t>
  </si>
  <si>
    <t>KP MembershipConnect CDS CY2022 Q4 #PayerCO&amp;ITrans</t>
  </si>
  <si>
    <t>0064L00000BlSUv</t>
  </si>
  <si>
    <t>AbbVie Content Lifecycle Transformation - Phase 2</t>
  </si>
  <si>
    <t>15/1/2022</t>
  </si>
  <si>
    <t>Phil Regnault</t>
  </si>
  <si>
    <t>0064L00000AqPtk</t>
  </si>
  <si>
    <t>BMS #FFG3.0 Phase 3 - Beyond Commercial #XPCVBB</t>
  </si>
  <si>
    <t>Rick Edmunds</t>
  </si>
  <si>
    <t>0064L00000DFgos</t>
  </si>
  <si>
    <t>Stellantis N.V.</t>
  </si>
  <si>
    <t>One Reporting Tool - USA</t>
  </si>
  <si>
    <t>0064I00000r3Vx4</t>
  </si>
  <si>
    <t>Kao Usa Inc.</t>
  </si>
  <si>
    <t>Performance Analyzer (SaaS) #RGM</t>
  </si>
  <si>
    <t>0064L00000BgOtD</t>
  </si>
  <si>
    <t>TPM for Coca-Cola Canada Bottling</t>
  </si>
  <si>
    <t>27/2/2022</t>
  </si>
  <si>
    <t>0064L0000041Sg3</t>
  </si>
  <si>
    <t>KC APAC SAP TPM *RGM*</t>
  </si>
  <si>
    <t>0064L000006zlI7</t>
  </si>
  <si>
    <t>Houston Methodist Hospital</t>
  </si>
  <si>
    <t>Houston Methodist CRM on MS Dynamics - Enterprise Rollout #MSFTProvider</t>
  </si>
  <si>
    <t>16/3/2021</t>
  </si>
  <si>
    <t>Deepak Goyal</t>
  </si>
  <si>
    <t>0064L00000Bm6vT</t>
  </si>
  <si>
    <t>Apexon Health</t>
  </si>
  <si>
    <t>Apexon Health OHI Implementation #PayerCO&amp;ITrans #OHI #HVM</t>
  </si>
  <si>
    <t>0064L00000BoQnC</t>
  </si>
  <si>
    <t>Bunge Limited</t>
  </si>
  <si>
    <t>0064L00000BoQnH</t>
  </si>
  <si>
    <t>Ingredion Incorporated</t>
  </si>
  <si>
    <t>INGR - #QualityManagedServices</t>
  </si>
  <si>
    <t>15/6/2023</t>
  </si>
  <si>
    <t>0064L00000BoQmO</t>
  </si>
  <si>
    <t>Cargill Incorporated</t>
  </si>
  <si>
    <t>0064L00000BfeaZ</t>
  </si>
  <si>
    <t>Potential work after Strategic Investment- Global Risk Scenario</t>
  </si>
  <si>
    <t>Brittany Schmidt</t>
  </si>
  <si>
    <t>0064L00000AqVxx</t>
  </si>
  <si>
    <t>GE Gas Power Product Lifecycle Configuration Management Execution #GET+DD</t>
  </si>
  <si>
    <t>17/9/2021</t>
  </si>
  <si>
    <t>Anthony Caletka</t>
  </si>
  <si>
    <t>0064L000009AmGh</t>
  </si>
  <si>
    <t>Adventist Health System/Sunbelt Inc.</t>
  </si>
  <si>
    <t>AdventHealth GPH Use Case Implementation</t>
  </si>
  <si>
    <t>Larry Patrick</t>
  </si>
  <si>
    <t>Eden Passon</t>
  </si>
  <si>
    <t>0064L000009BJyh</t>
  </si>
  <si>
    <t>Morgan Stanley</t>
  </si>
  <si>
    <t>MSWM - Account &amp; Data Conversion (PM-BAs)</t>
  </si>
  <si>
    <t>29/8/2022</t>
  </si>
  <si>
    <t>0064L00000CW8sw</t>
  </si>
  <si>
    <t>HCSC Large Programs IT Implementation Support #PayerCO&amp;ITrans</t>
  </si>
  <si>
    <t>0064L00000DJX9y</t>
  </si>
  <si>
    <t>HMS Integration Phase 3a and 4</t>
  </si>
  <si>
    <t>Nikhil Menon</t>
  </si>
  <si>
    <t>Mukul Agrawal</t>
  </si>
  <si>
    <t>0064L00000BmFtl</t>
  </si>
  <si>
    <t>Northern Trust - Workday Adaptive Planning Deployment</t>
  </si>
  <si>
    <t>Jaime Garza</t>
  </si>
  <si>
    <t>Blake Wetzel</t>
  </si>
  <si>
    <t>0064L000009gJHW</t>
  </si>
  <si>
    <t>Amgen Inc.</t>
  </si>
  <si>
    <t>Amgen ADI Next Gen Development DCT Design #DCT</t>
  </si>
  <si>
    <t>Amgen ADI Next Gen Development Strategy: Design Hub, DCT, CTR #DCT #ClinTrialDesign</t>
  </si>
  <si>
    <t>0064L00000Bomxw</t>
  </si>
  <si>
    <t>SNC Vogtle Post Commissioning Support</t>
  </si>
  <si>
    <t>17/5/2022</t>
  </si>
  <si>
    <t>0064L00000DFZGU</t>
  </si>
  <si>
    <t>Chart of Accounts FT Program</t>
  </si>
  <si>
    <t>Noam Heller</t>
  </si>
  <si>
    <t>0064L000001vuyo</t>
  </si>
  <si>
    <t>Energy Transfer LP</t>
  </si>
  <si>
    <t>Crude Trading Optimization</t>
  </si>
  <si>
    <t>31/7/2020</t>
  </si>
  <si>
    <t>Cara Arnold</t>
  </si>
  <si>
    <t>0064L00000BfQNi</t>
  </si>
  <si>
    <t>FY23 R2R and Analytics Support</t>
  </si>
  <si>
    <t>FB R2R Controllership RFQ - FY22</t>
  </si>
  <si>
    <t>0064L00000DJTQl</t>
  </si>
  <si>
    <t>Promedica Health System Inc.</t>
  </si>
  <si>
    <t>ProMedica Capacity Management Implementation</t>
  </si>
  <si>
    <t>Lisebeth Forbes</t>
  </si>
  <si>
    <t>Senior Manager</t>
  </si>
  <si>
    <t>0064L00000CYfBY</t>
  </si>
  <si>
    <t>WH - Phase 2 EHR Implementation Support *RC Tech* *Rev Cycle*</t>
  </si>
  <si>
    <t>28/5/2022</t>
  </si>
  <si>
    <t>Keith Mauger</t>
  </si>
  <si>
    <t>Peter Johnson</t>
  </si>
  <si>
    <t>0064L00000CYUE3</t>
  </si>
  <si>
    <t>SVB Financial Group</t>
  </si>
  <si>
    <t>SVB Payment Ops and Governance Improvements (Phase 3)</t>
  </si>
  <si>
    <t>Sean Viergutz</t>
  </si>
  <si>
    <t>Zach Zimmer</t>
  </si>
  <si>
    <t>0064L00000CYUE2</t>
  </si>
  <si>
    <t>SVB Payment Ops and Governance Improvements (Phase 2)</t>
  </si>
  <si>
    <t>0064L00000DJRu6</t>
  </si>
  <si>
    <t>Viatris Inc.</t>
  </si>
  <si>
    <t>Viatris Integration - Phase 14 (3Q 2022) - HIA 2</t>
  </si>
  <si>
    <t>15/8/2022</t>
  </si>
  <si>
    <t>Dinkar Saran</t>
  </si>
  <si>
    <t>0064L00000DJRu0</t>
  </si>
  <si>
    <t>Viatris Integration - Phase 14 (3Q 2022) - HIA</t>
  </si>
  <si>
    <t>0064L00000CY0cr</t>
  </si>
  <si>
    <t>Kohlberg &amp; Co. LP</t>
  </si>
  <si>
    <t>Sterile Operations Transformation: FY23 1Q Support</t>
  </si>
  <si>
    <t>13/5/2022</t>
  </si>
  <si>
    <t>Alex Tallarida</t>
  </si>
  <si>
    <t>0064L00000ArXDg</t>
  </si>
  <si>
    <t>The Williams Companies Inc.</t>
  </si>
  <si>
    <t>Williams - Wave 3 Standardization &amp; Simplification (Endur)</t>
  </si>
  <si>
    <t>Sammy Njogu</t>
  </si>
  <si>
    <t>0064L000002aPEu</t>
  </si>
  <si>
    <t>Digital Finance Transformation - FP&amp;A 2022 Workstream</t>
  </si>
  <si>
    <t>Frank Mackris</t>
  </si>
  <si>
    <t>0064L00000BnWDr</t>
  </si>
  <si>
    <t>Studios back-office systems (MGM Integration)</t>
  </si>
  <si>
    <t>Paige Hayes</t>
  </si>
  <si>
    <t>Sachin Khairnar</t>
  </si>
  <si>
    <t>0064L00000DLVYp</t>
  </si>
  <si>
    <t>Memorial Sloan-Kettering Cancer Center</t>
  </si>
  <si>
    <t>Epic Rev Cycle Implementation Support Phase 2 *Rev Cycle Tech*</t>
  </si>
  <si>
    <t>Scott Ramer</t>
  </si>
  <si>
    <t>0064L00000DLVYk</t>
  </si>
  <si>
    <t>Epic Rev Cycle Implementation Support Phase 1 *Rev Cycle Tech*</t>
  </si>
  <si>
    <t>0064L00000Aqdaw</t>
  </si>
  <si>
    <t>Elliott Capital Advisors, L.P</t>
  </si>
  <si>
    <t>Privates Data Platform &amp; Reporting Build Out Support</t>
  </si>
  <si>
    <t>Bruce Hutchison</t>
  </si>
  <si>
    <t>Chris Bell</t>
  </si>
  <si>
    <t>0064L00000DFerk</t>
  </si>
  <si>
    <t>Dexcom, Inc.</t>
  </si>
  <si>
    <t>EU Channel Service Strategy- Implemenation</t>
  </si>
  <si>
    <t>Kevin McLellan</t>
  </si>
  <si>
    <t>0064L00000B0qg5</t>
  </si>
  <si>
    <t>C.H. Boehringer Sohn AG &amp; Co. KG</t>
  </si>
  <si>
    <t>BI DCT Business Case &amp; Center of Excellence Managed Service #DCT</t>
  </si>
  <si>
    <t>0064L000002brbK</t>
  </si>
  <si>
    <t>Icon Public Limited Company</t>
  </si>
  <si>
    <t>ICON / PRA BU Implementation</t>
  </si>
  <si>
    <t>Anup Kharode</t>
  </si>
  <si>
    <t>Mike DeMarco</t>
  </si>
  <si>
    <t>0064L00000BeiLy</t>
  </si>
  <si>
    <t>#MedAffairs #RWDEvGen -- Evidence Generation Observational Study (BI)</t>
  </si>
  <si>
    <t>0064L00000B36Qg</t>
  </si>
  <si>
    <t>Eisai Co., Ltd.</t>
  </si>
  <si>
    <t>RWE Observational Study (OBG or Med Affairs) #RWDEvGen</t>
  </si>
  <si>
    <t>Kelechi Nwoku</t>
  </si>
  <si>
    <t>0064L00000BnRYF</t>
  </si>
  <si>
    <t>Cinedigm Corp</t>
  </si>
  <si>
    <t>Cinedigm Corp - ERP Upgrade</t>
  </si>
  <si>
    <t>26/3/2022</t>
  </si>
  <si>
    <t>Tracy Tieu</t>
  </si>
  <si>
    <t>0064L00000DM4kN</t>
  </si>
  <si>
    <t>HP Inc.</t>
  </si>
  <si>
    <t>HP Q4 Supply Chain Support</t>
  </si>
  <si>
    <t>Michael Whitman</t>
  </si>
  <si>
    <t>Tiago Leal</t>
  </si>
  <si>
    <t>0064L00000DFrdV</t>
  </si>
  <si>
    <t>CIS Implementation - Oracle CC&amp;B</t>
  </si>
  <si>
    <t>0064L000003yYLx</t>
  </si>
  <si>
    <t>Lumen Technologies</t>
  </si>
  <si>
    <t>Lumen -  Finance Transformation (S/4 Implementation)</t>
  </si>
  <si>
    <t>26/8/2020</t>
  </si>
  <si>
    <t>Hollie Sinclair</t>
  </si>
  <si>
    <t>0064L00000BoeUB</t>
  </si>
  <si>
    <t>Clearlake Capital Group L.p.</t>
  </si>
  <si>
    <t>TSI - OneStream Implementation</t>
  </si>
  <si>
    <t>Mikayla Call</t>
  </si>
  <si>
    <t>0064L000006gtll</t>
  </si>
  <si>
    <t>ncino TM/Cash Mgt Deployment #&lt;$50B</t>
  </si>
  <si>
    <t>25/2/2021</t>
  </si>
  <si>
    <t>0064L00000DJmjz</t>
  </si>
  <si>
    <t>Arena acquisition extension</t>
  </si>
  <si>
    <t>Brian Krall</t>
  </si>
  <si>
    <t>0064L00000BcpaQ</t>
  </si>
  <si>
    <t>US Commercial: Pricing Transformation *Pricing</t>
  </si>
  <si>
    <t>0064L00000BcpbY</t>
  </si>
  <si>
    <t>Unison Capital Partners IV LPS</t>
  </si>
  <si>
    <t>KKC - Commercial Data and Analytics Managed Services</t>
  </si>
  <si>
    <t>0064L00000Bcpcv</t>
  </si>
  <si>
    <t>Global Pricing Transformation</t>
  </si>
  <si>
    <t>0064L00000BgZu7</t>
  </si>
  <si>
    <t>COP SAP EDMS</t>
  </si>
  <si>
    <t>Faeez Yousuff</t>
  </si>
  <si>
    <t>0064L00000D97b5</t>
  </si>
  <si>
    <t>GE Separation - HealthCare - Post Spin Statutory Readiness and Support</t>
  </si>
  <si>
    <t>14/4/2023</t>
  </si>
  <si>
    <t>0064L00000D97cS</t>
  </si>
  <si>
    <t>GE Separation - Aerospace - Post Spin Statutory Readiness and Support</t>
  </si>
  <si>
    <t>15/9/2023</t>
  </si>
  <si>
    <t>0064L000002aylA</t>
  </si>
  <si>
    <t>bp T&amp;S GPTA Project Evolve - Perform</t>
  </si>
  <si>
    <t>22/4/2021</t>
  </si>
  <si>
    <t>0064L00000BcpMJ</t>
  </si>
  <si>
    <t>US Commercial and Customer Operations: Contract Operations Transformation *Pricing</t>
  </si>
  <si>
    <t>0064L00000Bm9Rv</t>
  </si>
  <si>
    <t>Project Denali (ABK) - IMO</t>
  </si>
  <si>
    <t>Change Order; Pull-Through; Phased; Parent</t>
  </si>
  <si>
    <t>Mariska Howell</t>
  </si>
  <si>
    <t>0064L00000Bmjcz</t>
  </si>
  <si>
    <t>Bell Factory Performance (DSC) - Smart Factory Phase 2</t>
  </si>
  <si>
    <t>0064L00000DLnx7</t>
  </si>
  <si>
    <t>2023 AMZ Kuiper PS Integration Support</t>
  </si>
  <si>
    <t>Jessica Heidman</t>
  </si>
  <si>
    <t>0064L00000DLN8I</t>
  </si>
  <si>
    <t>Digital Health</t>
  </si>
  <si>
    <t>0064L00000CGvuJ</t>
  </si>
  <si>
    <t>Project NEOM Phase 2 #FFG</t>
  </si>
  <si>
    <t>18/11/2022</t>
  </si>
  <si>
    <t>John Foody</t>
  </si>
  <si>
    <t>0064L00000B2pU5</t>
  </si>
  <si>
    <t>FAVT EPM 2023 H2 #Finance</t>
  </si>
  <si>
    <t>0064L000003z8wj</t>
  </si>
  <si>
    <t>Sunoco - Products Trading Optimization (River Logic)</t>
  </si>
  <si>
    <t>0064L00000Bfeh7</t>
  </si>
  <si>
    <t>Apax Partners Holdings Ltd</t>
  </si>
  <si>
    <t>Potential work after Apax PortCo GhG measurement project (#AWMESG)</t>
  </si>
  <si>
    <t>Donald Reed</t>
  </si>
  <si>
    <t>0064L00000CX4cN</t>
  </si>
  <si>
    <t>WF CIB FX Client Onboarding Support</t>
  </si>
  <si>
    <t>John Giannotto</t>
  </si>
  <si>
    <t>Sanam Shah</t>
  </si>
  <si>
    <t>0064L000007Fh8u</t>
  </si>
  <si>
    <t>Energy Transfer Managed Services for Trading applications</t>
  </si>
  <si>
    <t>Phani Durbhakula</t>
  </si>
  <si>
    <t>ADV_IPS_Managed_Services</t>
  </si>
  <si>
    <t>0064L00000BlON1</t>
  </si>
  <si>
    <t>Billing &amp; Rev Rec Implementation - Phase 2</t>
  </si>
  <si>
    <t>James Buckley</t>
  </si>
  <si>
    <t>0064L00000CYtTi</t>
  </si>
  <si>
    <t>Trinity Health Corp.</t>
  </si>
  <si>
    <t>Dubuque RRC Reclass + Wage Index - 23 to 25 *Strategic Reimbursement*</t>
  </si>
  <si>
    <t>0064L00000CYt4E</t>
  </si>
  <si>
    <t>GPS PM Support 2023 - Medicaid NextGen #PayerCO&amp;ITrans</t>
  </si>
  <si>
    <t>0064L00000B1cMo</t>
  </si>
  <si>
    <t>HCSC ACE 2022 Q3-Q4</t>
  </si>
  <si>
    <t>Sanchit Madan</t>
  </si>
  <si>
    <t>Elizabeth Acquaah-Harrison</t>
  </si>
  <si>
    <t>0064L00000CWTmB</t>
  </si>
  <si>
    <t>Phase 1: Medicare Line of Business Health Plan Marketing &amp; Admin Capabilities + Performance Assessment &amp; Optimization</t>
  </si>
  <si>
    <t>Thom Bales</t>
  </si>
  <si>
    <t>0064L00000DLJWL</t>
  </si>
  <si>
    <t>Enterprise MCA Redesign - Amendment #2</t>
  </si>
  <si>
    <t>Christopher Scarpati</t>
  </si>
  <si>
    <t>Enterprise MCA Redesign - Amendment #1</t>
  </si>
  <si>
    <t>Scott Levine</t>
  </si>
  <si>
    <t>0064L00000BfvNN</t>
  </si>
  <si>
    <t>WBA Lease Administration and Accounting Implementation</t>
  </si>
  <si>
    <t>0064L00000Aqdb1</t>
  </si>
  <si>
    <t>Workflow Build Out Support</t>
  </si>
  <si>
    <t>0064L00000DLzk7</t>
  </si>
  <si>
    <t>UBS / WMAP - Jan-Jun 2023 Support  #WMA / $2,200,000</t>
  </si>
  <si>
    <t>Derek Hayes</t>
  </si>
  <si>
    <t>Vishal Rawal</t>
  </si>
  <si>
    <t>0064L00000Bel0k</t>
  </si>
  <si>
    <t>Internet Corporation For Assigned Names And Numbers</t>
  </si>
  <si>
    <t>ICANN DEI Consulting Services RFP</t>
  </si>
  <si>
    <t>22/1/2022</t>
  </si>
  <si>
    <t>Sabah Cambrelen</t>
  </si>
  <si>
    <t>0064L00000CYb49</t>
  </si>
  <si>
    <t>UBS / WMAP - July-Dec 2022 Support  #WMA / $2,200,000</t>
  </si>
  <si>
    <t>0064L00000BgMRu</t>
  </si>
  <si>
    <t>Ultragenyx Pharmaceutical Inc.</t>
  </si>
  <si>
    <t>Ultragenyx - QMR, eQMS Model Office and Complaints Management #QualityManagedServices</t>
  </si>
  <si>
    <t>0064L00000BoQmn</t>
  </si>
  <si>
    <t>Conagra Brands, Inc.</t>
  </si>
  <si>
    <t>0064L00000DMB1c</t>
  </si>
  <si>
    <t>GSK - Modular Content Integration &amp; Operating Model</t>
  </si>
  <si>
    <t>Scott Sutton</t>
  </si>
  <si>
    <t>0064L00000D8x3X</t>
  </si>
  <si>
    <t>Evergy, Inc.</t>
  </si>
  <si>
    <t>Endur Upgrade - Change Order 1</t>
  </si>
  <si>
    <t>0064L00000BnKWa</t>
  </si>
  <si>
    <t>MSFT DLS FY22 MAVS Support Nimbus Phase Q4 Change Order</t>
  </si>
  <si>
    <t>MSFT DLS FY22-23 MAVS Support Nimbus Phase 2 and 3 Extension</t>
  </si>
  <si>
    <t>Nathan Kolmodin</t>
  </si>
  <si>
    <t>0064L000002aorP</t>
  </si>
  <si>
    <t>RJF WM Operations Transformation #DVC</t>
  </si>
  <si>
    <t>19/4/2021</t>
  </si>
  <si>
    <t>0064L000006A71s</t>
  </si>
  <si>
    <t>0064L00000D8vdR</t>
  </si>
  <si>
    <t>Project College - July - October Support</t>
  </si>
  <si>
    <t>Glenn Trepeta</t>
  </si>
  <si>
    <t>0064L00000CVF4B</t>
  </si>
  <si>
    <t>DCT Implementation Phase #Medable #dct</t>
  </si>
  <si>
    <t>0064L00000CVF4U</t>
  </si>
  <si>
    <t>DCT Implementation Phase #Medable #DCT</t>
  </si>
  <si>
    <t>0064L00000CVF4V</t>
  </si>
  <si>
    <t>Gilead: Transformation R&amp;D: DCT Implementation Phase #Medable #DCT</t>
  </si>
  <si>
    <t>0064L00000CVF67</t>
  </si>
  <si>
    <t>Roche Holding AG</t>
  </si>
  <si>
    <t>0064L00000CVF5N</t>
  </si>
  <si>
    <t>0064L00000CVF6G</t>
  </si>
  <si>
    <t>MERCK Kommanditgesellschaft auf Aktien</t>
  </si>
  <si>
    <t>0064L00000Bf6eY</t>
  </si>
  <si>
    <t>17/11/2023</t>
  </si>
  <si>
    <t>0064L00000Bf6iL</t>
  </si>
  <si>
    <t>Carbon Digital Solutions - Implementation</t>
  </si>
  <si>
    <t>0064L000007xNt3</t>
  </si>
  <si>
    <t>KKR &amp; Co. Inc</t>
  </si>
  <si>
    <t>Colonial - Maximo Inventory &amp; Work Mgmt Ph 2</t>
  </si>
  <si>
    <t>24/3/2023</t>
  </si>
  <si>
    <t>Colonial - Maximo Inventory &amp; Work Mgmt Ph 1</t>
  </si>
  <si>
    <t>0064L00000BoSKn</t>
  </si>
  <si>
    <t>KP Innovaccer POC System Integration Support</t>
  </si>
  <si>
    <t>0064L000009AC96</t>
  </si>
  <si>
    <t>Abbvie_NextGen LuproLink</t>
  </si>
  <si>
    <t>0064L00000BoSR5</t>
  </si>
  <si>
    <t>Kemper Corporation</t>
  </si>
  <si>
    <t>Kemper Insurance Managed Services #FSInsuranceMSO</t>
  </si>
  <si>
    <t>0064L00000D8zNG</t>
  </si>
  <si>
    <t>BJC HealthCare</t>
  </si>
  <si>
    <t>BJC RFP - Contact Center &amp; MKTing #MSFTProvider</t>
  </si>
  <si>
    <t>Drew Poulos</t>
  </si>
  <si>
    <t>0064L00000Bo26v</t>
  </si>
  <si>
    <t>Jps Health Network</t>
  </si>
  <si>
    <t>A&amp;AN Access Implementation</t>
  </si>
  <si>
    <t>0064L00000DFPUl</t>
  </si>
  <si>
    <t>Evolution of Commercial GBS Phase I</t>
  </si>
  <si>
    <t>Steven Treppo</t>
  </si>
  <si>
    <t>Greg Gothie</t>
  </si>
  <si>
    <t>0064L00000CWj9X</t>
  </si>
  <si>
    <t>US Dept. Of Health &amp; Human Services Program Support Center.</t>
  </si>
  <si>
    <t>CY2024 Bid Desk Reviews</t>
  </si>
  <si>
    <t>13/4/2022</t>
  </si>
  <si>
    <t>15/5/2023</t>
  </si>
  <si>
    <t>Robert Macagnano</t>
  </si>
  <si>
    <t>Central, National, Federal Government</t>
  </si>
  <si>
    <t>0064L00000DLrPt</t>
  </si>
  <si>
    <t>Molina Healthcare, Inc.</t>
  </si>
  <si>
    <t>Molina VBC Operations Remediation #HVM</t>
  </si>
  <si>
    <t>Mike Lee</t>
  </si>
  <si>
    <t>0064L00000CGykA</t>
  </si>
  <si>
    <t>Asante Health System</t>
  </si>
  <si>
    <t>Asante FFY24-26 Reimbursement Strategy (WI/OM/PRS/Provider Merger/RRC) *Strategic Reimbursement*</t>
  </si>
  <si>
    <t>Christine Paton</t>
  </si>
  <si>
    <t>0064L00000CXjoq</t>
  </si>
  <si>
    <t>bp- C&amp;P - Project Leap transition support MSCO to COCO</t>
  </si>
  <si>
    <t>Alexandra Hallas Button</t>
  </si>
  <si>
    <t>0064L00000CXjpV</t>
  </si>
  <si>
    <t>F-35 Value Chain Strategy and Process Mapping - Phase 3 #FFG</t>
  </si>
  <si>
    <t>31/8/2023</t>
  </si>
  <si>
    <t>Scott Kittrell</t>
  </si>
  <si>
    <t>0064L00000CXjpU</t>
  </si>
  <si>
    <t>F-35 Value Chain Strategy and Process Mapping - Phase 2 #FFG</t>
  </si>
  <si>
    <t>0064L00000CWVmK</t>
  </si>
  <si>
    <t>Wintrust - Core Modernization (#FIS)</t>
  </si>
  <si>
    <t>0064L00000CXjqw</t>
  </si>
  <si>
    <t>bp- C&amp;P - ROO Strategic Sourcing</t>
  </si>
  <si>
    <t>0064L000007xKSZ</t>
  </si>
  <si>
    <t>H&amp;P - Asset Management Ph 2</t>
  </si>
  <si>
    <t>H&amp;P - Asset Management Ph 1</t>
  </si>
  <si>
    <t>0064L00000B3CTt</t>
  </si>
  <si>
    <t>Christus Rural Health Clinic Strategies II - *Strategic Reimbursement*</t>
  </si>
  <si>
    <t>28/10/2021</t>
  </si>
  <si>
    <t>28/10/2021 9:24 pm</t>
  </si>
  <si>
    <t>Jim Adams</t>
  </si>
  <si>
    <t>Anne Almeida</t>
  </si>
  <si>
    <t>0064L00000CGyOy</t>
  </si>
  <si>
    <t>GSP Asset Visibility Phase 2</t>
  </si>
  <si>
    <t>Alexandra Psaris</t>
  </si>
  <si>
    <t>0064L00000Bg991</t>
  </si>
  <si>
    <t>AT&amp;T Seller's Insights Portal for Global Enterprise</t>
  </si>
  <si>
    <t>24/2/2022</t>
  </si>
  <si>
    <t>0064L00000BoQTq</t>
  </si>
  <si>
    <t>HP Project Trifecta Phase 3</t>
  </si>
  <si>
    <t>Satyen Popat</t>
  </si>
  <si>
    <t>Makenna Coxey</t>
  </si>
  <si>
    <t>0064L00000CXzs0</t>
  </si>
  <si>
    <t>Froedtert Health Inc.</t>
  </si>
  <si>
    <t>Froedtert Health: Pharmacy Optimization (Phase 2: Implementation) *FFG*</t>
  </si>
  <si>
    <t>Connie Yang</t>
  </si>
  <si>
    <t>0064L00000BfXEf</t>
  </si>
  <si>
    <t>The Southern Company Limited</t>
  </si>
  <si>
    <t>0064L00000BorBJ</t>
  </si>
  <si>
    <t>CSX Program Support Extension 2 #PayerCO&amp;Trans</t>
  </si>
  <si>
    <t>19/5/2022</t>
  </si>
  <si>
    <t>PSS: CSX Support #PayerCO&amp;ITrans</t>
  </si>
  <si>
    <t>0064L00000B0zbL</t>
  </si>
  <si>
    <t>FP&amp;A EPM planning tool implementation</t>
  </si>
  <si>
    <t>Hank Woo</t>
  </si>
  <si>
    <t>0064L00000DLNSK</t>
  </si>
  <si>
    <t>TCCC Alcohol - M&amp;S</t>
  </si>
  <si>
    <t>0064L00000AsA8V</t>
  </si>
  <si>
    <t>Project Phoenix 2022 Q4 Extension Absence Management</t>
  </si>
  <si>
    <t>Rima Safari</t>
  </si>
  <si>
    <t>0064L00000DLNQu</t>
  </si>
  <si>
    <t>TCCC Alcohol - Capabilities</t>
  </si>
  <si>
    <t>0064L00000DLNS6</t>
  </si>
  <si>
    <t>TCCC Alcohol - Innovation</t>
  </si>
  <si>
    <t>0064L00000DLNS5</t>
  </si>
  <si>
    <t>TCCC Alcohol Strategy</t>
  </si>
  <si>
    <t>0064L00000CXiAQ</t>
  </si>
  <si>
    <t>Panduit Corp.</t>
  </si>
  <si>
    <t>Panduit - Oracle ERP Transformation - Implementation (OCM Link to Campaign)</t>
  </si>
  <si>
    <t>John Karren</t>
  </si>
  <si>
    <t>Panduit - Oracle ERP Transformation - Implementation</t>
  </si>
  <si>
    <t>0064L00000BlWaw</t>
  </si>
  <si>
    <t>Hostess Brands, Inc.</t>
  </si>
  <si>
    <t>Hostess - Performance Analyzer #pricing #rgm #tpm</t>
  </si>
  <si>
    <t>18/1/2022</t>
  </si>
  <si>
    <t>29/4/2023</t>
  </si>
  <si>
    <t>0064L000002bzFS</t>
  </si>
  <si>
    <t>CVS HCB Driver Based Planning P2 #PayerFFG_Admin</t>
  </si>
  <si>
    <t>24/5/2021</t>
  </si>
  <si>
    <t>Jeffrey Gitlin</t>
  </si>
  <si>
    <t>Paul Veronneau</t>
  </si>
  <si>
    <t>0064L00000CW2hv</t>
  </si>
  <si>
    <t>Adobe/Martech (take from ACN/Merkle)</t>
  </si>
  <si>
    <t>30/3/2022</t>
  </si>
  <si>
    <t>19/12/2022</t>
  </si>
  <si>
    <t>0064L00000CWTn9</t>
  </si>
  <si>
    <t>Phase 2: Medicare Line of Business Health Plan Marketing &amp; Admin Capabilities + Performance Assessment &amp; Optimization</t>
  </si>
  <si>
    <t>0064L00000Bmix8</t>
  </si>
  <si>
    <t>Ross Stores Self Checkout Phase II</t>
  </si>
  <si>
    <t>28/2/2022</t>
  </si>
  <si>
    <t>0064L00000D8cwg</t>
  </si>
  <si>
    <t>TIGER - Support Retainer</t>
  </si>
  <si>
    <t>Sandhya Banskota</t>
  </si>
  <si>
    <t>0064L00000D8vGc</t>
  </si>
  <si>
    <t>Capital One Financial Corporation</t>
  </si>
  <si>
    <t>COS Infrastructure Separation</t>
  </si>
  <si>
    <t>Nathan Meyer</t>
  </si>
  <si>
    <t>Michael Callahan</t>
  </si>
  <si>
    <t>0064L00000DJXWi</t>
  </si>
  <si>
    <t>Launch Operations Spantime reductions/Capital Initiatives PM</t>
  </si>
  <si>
    <t>0064L00000Boa7M</t>
  </si>
  <si>
    <t>Fifth Third Financial Corporation</t>
  </si>
  <si>
    <t>Commercial LAS PLANNING AFS Vision FY23 Jul-Dec</t>
  </si>
  <si>
    <t>0064L0000097beE</t>
  </si>
  <si>
    <t>Zurich Insurance Group AG</t>
  </si>
  <si>
    <t>Commercializing GTO Group Technology and Operations - Operationalize Phase</t>
  </si>
  <si>
    <t>John Van Puffelen</t>
  </si>
  <si>
    <t>0064L00000D8SkN</t>
  </si>
  <si>
    <t>RPM International Inc</t>
  </si>
  <si>
    <t>OneStream Implementation: Phase 2a - Consolidations and Account Recs</t>
  </si>
  <si>
    <t>OneStream Implementation: Phase 1 - Holistic Design</t>
  </si>
  <si>
    <t>Yuriy Khomenko</t>
  </si>
  <si>
    <t>0064L00000DLoj1</t>
  </si>
  <si>
    <t>Cook Group Incorporated</t>
  </si>
  <si>
    <t>Enterprise Cost Transformation Phase 3 #FFG3.0</t>
  </si>
  <si>
    <t>0064L00000D8d5s</t>
  </si>
  <si>
    <t>Ross Stores Self Checkout Phase II #FFG</t>
  </si>
  <si>
    <t>0064L00000D8QvA</t>
  </si>
  <si>
    <t>Talcott Resolution Life Insurance Company (TL)</t>
  </si>
  <si>
    <t>Talcott Resolution Life PAS Implementation</t>
  </si>
  <si>
    <t>Joshua Schwartz</t>
  </si>
  <si>
    <t>Talcott Resolution Life PAS - Vendor Selection &amp; Mobilization</t>
  </si>
  <si>
    <t>0064L000004wVno</t>
  </si>
  <si>
    <t>New Jersey Resources Corp.</t>
  </si>
  <si>
    <t>NJR Energy Services - Wholesale Gas Trading Systems</t>
  </si>
  <si>
    <t>0064L00000BopPi</t>
  </si>
  <si>
    <t>CRH Public Limited Company</t>
  </si>
  <si>
    <t>AMAT Backoffice Systems Transformation - Design/Blueprint</t>
  </si>
  <si>
    <t>0064L00000Bcn2R</t>
  </si>
  <si>
    <t>Benefits Preference Analysis and Optimization</t>
  </si>
  <si>
    <t>Jan Seele</t>
  </si>
  <si>
    <t>0064L00000DFls5</t>
  </si>
  <si>
    <t>Amerihealth Caritas Health Plan</t>
  </si>
  <si>
    <t>Finance and EPM Operating Model and Cloud Execution Phase 2</t>
  </si>
  <si>
    <t>Mike Swanson</t>
  </si>
  <si>
    <t>0064L00000B29k1</t>
  </si>
  <si>
    <t>THR *FFG* G&amp;A Implementation</t>
  </si>
  <si>
    <t>Joy Schroeder</t>
  </si>
  <si>
    <t>0064L00000Bm6om</t>
  </si>
  <si>
    <t>Community Health Network</t>
  </si>
  <si>
    <t>CHN Microsoft Dynamics CRM Implementation #MSFTProvider</t>
  </si>
  <si>
    <t>0064L00000CXdnC</t>
  </si>
  <si>
    <t>H &amp; S Ventures LLC</t>
  </si>
  <si>
    <t>Sustainability Vision and Activation</t>
  </si>
  <si>
    <t>Alyssa Anderson</t>
  </si>
  <si>
    <t>Nicholas Oliver</t>
  </si>
  <si>
    <t>0064L00000CYFT7</t>
  </si>
  <si>
    <t>Emory University</t>
  </si>
  <si>
    <t>Rural/RRC/Reclass + MAA Analysis *Strategic Reimbursement*</t>
  </si>
  <si>
    <t>Benjamin O'Malley</t>
  </si>
  <si>
    <t>0064L00000CXds6</t>
  </si>
  <si>
    <t>AT&amp;T GIS for EIS FedGov FRPs</t>
  </si>
  <si>
    <t>0064L00000Bm4rP</t>
  </si>
  <si>
    <t>0064L00000CXdrr</t>
  </si>
  <si>
    <t>AT&amp;T Enterprise Account Analytics &amp; Operating Model / Digital Twin</t>
  </si>
  <si>
    <t>0064I00000zUPqH</t>
  </si>
  <si>
    <t>Shared Services Implementation</t>
  </si>
  <si>
    <t>Danielle Bahri</t>
  </si>
  <si>
    <t>0064L00000CXD6z</t>
  </si>
  <si>
    <t>United Airlines Holdings Inc.</t>
  </si>
  <si>
    <t>United Airlines- Fuel Accounting System Implementation</t>
  </si>
  <si>
    <t>Sherry Tan</t>
  </si>
  <si>
    <t>0064L00000DLJmd</t>
  </si>
  <si>
    <t>MileagePlus Program 2023 Update Support and 2024 Redesign</t>
  </si>
  <si>
    <t>Mary Hardy</t>
  </si>
  <si>
    <t>0064L00000DFlCs</t>
  </si>
  <si>
    <t>KDP - eB2B/RE Phase 1</t>
  </si>
  <si>
    <t>0064L00000BfT1L</t>
  </si>
  <si>
    <t>CVS Novologix Implementation Planning Phase 2</t>
  </si>
  <si>
    <t>13/9/2022</t>
  </si>
  <si>
    <t>CVS Novologix Implementation Planning</t>
  </si>
  <si>
    <t>Sruthi Madhavan</t>
  </si>
  <si>
    <t>0064L00000BoMIZ</t>
  </si>
  <si>
    <t>BLUE CROSS AND BLUE SHIELD OF KANSAS INC.</t>
  </si>
  <si>
    <t>BCBSKS VBC Transformation 2025 #HVM</t>
  </si>
  <si>
    <t>0064L00000D8QaM</t>
  </si>
  <si>
    <t>GPD Integration Support</t>
  </si>
  <si>
    <t>0064L00000BgDBy</t>
  </si>
  <si>
    <t>Visa Inc.</t>
  </si>
  <si>
    <t>Global Equity and Equity Mobility</t>
  </si>
  <si>
    <t>Jennifer George</t>
  </si>
  <si>
    <t>Karen Slotsky</t>
  </si>
  <si>
    <t>0064L00000BfQet</t>
  </si>
  <si>
    <t>Microsoft Sustainability Carbon Ledger #ESG-TMT-Wave1</t>
  </si>
  <si>
    <t>0064L00000Aq6ST</t>
  </si>
  <si>
    <t>Manpower Solutions Limited</t>
  </si>
  <si>
    <t>Finance Shared Services (BOT)</t>
  </si>
  <si>
    <t>William Gilet</t>
  </si>
  <si>
    <t>Shared Services &amp; Outsourcing</t>
  </si>
  <si>
    <t>0064L00000CWPh9</t>
  </si>
  <si>
    <t>Evolent Health LLC</t>
  </si>
  <si>
    <t>Product Management Implementation #PayerCO&amp;ITrans</t>
  </si>
  <si>
    <t>0064L000009gJE1</t>
  </si>
  <si>
    <t>AbbVie Centralized Monitoring Design #DCT</t>
  </si>
  <si>
    <t>AbbVie Centralized Monitoring Assessment &amp; Strategy #DCT</t>
  </si>
  <si>
    <t>0064L00000CXd3R</t>
  </si>
  <si>
    <t>Data Mesh - Palantir &amp; Snowflake Integration (AT&amp;T Biz. and AT&amp;T Consumer)</t>
  </si>
  <si>
    <t>Alexa Bauman</t>
  </si>
  <si>
    <t>0064L00000AqWQu</t>
  </si>
  <si>
    <t>GE Renewable Energy ONW Operations MFG Platforming</t>
  </si>
  <si>
    <t>17/12/2022</t>
  </si>
  <si>
    <t>0064L00000BfQNT</t>
  </si>
  <si>
    <t>Project Sapphire - Phase IV (FT)</t>
  </si>
  <si>
    <t>0064L00000DFimF</t>
  </si>
  <si>
    <t>Arca Continental, S.A.B. de C.V.</t>
  </si>
  <si>
    <t>CCSWB End to End Process Improvement</t>
  </si>
  <si>
    <t>Maria De Abreu</t>
  </si>
  <si>
    <t>0064L00000Aqyd0</t>
  </si>
  <si>
    <t>Data Center Consolidation - Phase 2 (Execution)</t>
  </si>
  <si>
    <t>29/12/2022</t>
  </si>
  <si>
    <t>Greg Chiasson</t>
  </si>
  <si>
    <t>Kelley Nakos</t>
  </si>
  <si>
    <t>0064L000002LU5s</t>
  </si>
  <si>
    <t>Anthem Sales Transformation</t>
  </si>
  <si>
    <t>Beth Olson</t>
  </si>
  <si>
    <t>0064L00000Bn6kr</t>
  </si>
  <si>
    <t>Cost of Performance Phase III #FFG</t>
  </si>
  <si>
    <t>14/3/2022</t>
  </si>
  <si>
    <t>0064L00000DBMCV</t>
  </si>
  <si>
    <t>Supply Chain Modernization - Phase 2</t>
  </si>
  <si>
    <t>Dan Stolarski</t>
  </si>
  <si>
    <t>0064L000009AGmH</t>
  </si>
  <si>
    <t>The Desmarais Family Residuary Trust</t>
  </si>
  <si>
    <t>Fund Admin Conversion Support</t>
  </si>
  <si>
    <t>29/10/2021</t>
  </si>
  <si>
    <t>Fund Finance Op Model Design</t>
  </si>
  <si>
    <t>0064L0000040Cbi</t>
  </si>
  <si>
    <t>Intel M&amp;A Buy Side</t>
  </si>
  <si>
    <t>Marc Suidan</t>
  </si>
  <si>
    <t>0064I00000zUSwI</t>
  </si>
  <si>
    <t>Federal National Mortgage Association</t>
  </si>
  <si>
    <t>Implement Fit for Growth</t>
  </si>
  <si>
    <t>Alexia Patry</t>
  </si>
  <si>
    <t>0064L00000BnFUy</t>
  </si>
  <si>
    <t>St. Luke's Health Network Inc.</t>
  </si>
  <si>
    <t>A&amp;AN Access Transformation</t>
  </si>
  <si>
    <t>18/3/2022</t>
  </si>
  <si>
    <t>0064L00000CYBsN</t>
  </si>
  <si>
    <t>United Services Automobile Association</t>
  </si>
  <si>
    <t>Coupa Platform Implementation</t>
  </si>
  <si>
    <t>0064L00000CX04a</t>
  </si>
  <si>
    <t>CHS Cerner Hub Consolidation and Expansion</t>
  </si>
  <si>
    <t>0064L000007W2Fh</t>
  </si>
  <si>
    <t>CVS Cognitive Scale P1 #xPC:PayerAnalytics #Alliance:CognitiveScale #PayerAnalytics #AIML</t>
  </si>
  <si>
    <t>0064L000004wuEi</t>
  </si>
  <si>
    <t>Billing Platform Transformation</t>
  </si>
  <si>
    <t>Brandon Meek</t>
  </si>
  <si>
    <t>0064L00000CYvg0</t>
  </si>
  <si>
    <t>Old Dominion University</t>
  </si>
  <si>
    <t>ODU integration phase III</t>
  </si>
  <si>
    <t>Margaret Stover</t>
  </si>
  <si>
    <t>AShake Raines</t>
  </si>
  <si>
    <t>0064L00000CYAis</t>
  </si>
  <si>
    <t>GE Separation - Energy - Treasury Services</t>
  </si>
  <si>
    <t>Adam Taplinger</t>
  </si>
  <si>
    <t>0064L00000Bmv5I</t>
  </si>
  <si>
    <t>Syneos Health, Inc</t>
  </si>
  <si>
    <t>Syenos - ERP Program - Enterprise Planning, Budgeting Cloud &amp; EDM</t>
  </si>
  <si>
    <t>Alex Herzing</t>
  </si>
  <si>
    <t>0064L00000BoXv9</t>
  </si>
  <si>
    <t>Back Office Transformation - 2023 EPM Implementation</t>
  </si>
  <si>
    <t>0064L00000BoXuu</t>
  </si>
  <si>
    <t>Back Office Transformation - 2023 PSA Implementation</t>
  </si>
  <si>
    <t>0064L00000CvhdY</t>
  </si>
  <si>
    <t>Alliant Energy - #Coupa P2I Implementation</t>
  </si>
  <si>
    <t>0064L00000BfqDZ</t>
  </si>
  <si>
    <t>Undergrounding Support</t>
  </si>
  <si>
    <t>0064L00000CH0Nh</t>
  </si>
  <si>
    <t>Cambia Health Solutions</t>
  </si>
  <si>
    <t>Cambia - Care Model and CoC Transformation #HVM</t>
  </si>
  <si>
    <t>18/6/2022</t>
  </si>
  <si>
    <t>0064L00000Bfa64</t>
  </si>
  <si>
    <t>Managed Services Opportunity</t>
  </si>
  <si>
    <t>31/5/2022</t>
  </si>
  <si>
    <t>Debasis Sahu</t>
  </si>
  <si>
    <t>0064L00000CWKbN</t>
  </si>
  <si>
    <t>The Charles Schwab Corporation</t>
  </si>
  <si>
    <t>Schwab - Vendor Mgmt for CC &amp; BO Services #dvc #callcenter</t>
  </si>
  <si>
    <t>0064L00000Aqdah</t>
  </si>
  <si>
    <t>TPA Onboarding &amp; Transition Support</t>
  </si>
  <si>
    <t>0064L00000Bo74V</t>
  </si>
  <si>
    <t>S2P Technology Implementation</t>
  </si>
  <si>
    <t>21/4/2022</t>
  </si>
  <si>
    <t>0064L00000CWmvc</t>
  </si>
  <si>
    <t>PII - Supply Chain Constraint Management ph 2</t>
  </si>
  <si>
    <t>Marc Waco</t>
  </si>
  <si>
    <t>PII - Supply Chain Constraint Management ph 1</t>
  </si>
  <si>
    <t>0064L00000DLxvS</t>
  </si>
  <si>
    <t>#QMS Veeva QualityDocs Implementation</t>
  </si>
  <si>
    <t>Patrick McMahon</t>
  </si>
  <si>
    <t>0064L00000Apc5q</t>
  </si>
  <si>
    <t>Kimberly Clark Product Costing Phase III</t>
  </si>
  <si>
    <t>0064L00000DLVCo</t>
  </si>
  <si>
    <t>Complaints Management #QualityManagedServices</t>
  </si>
  <si>
    <t>Sujeet Deshpande</t>
  </si>
  <si>
    <t>0064L00000CYR1G</t>
  </si>
  <si>
    <t>Policy Mod Umbrella 1.4 and 2.0 Development</t>
  </si>
  <si>
    <t>24/5/2022</t>
  </si>
  <si>
    <t>Brandon Gabel</t>
  </si>
  <si>
    <t>Sudhakar Swaminathan</t>
  </si>
  <si>
    <t>0064L00000DFwAF</t>
  </si>
  <si>
    <t>BCBSM Project Columbia Risk Adjustment Transition Mgmt #HVM</t>
  </si>
  <si>
    <t>20/6/2022</t>
  </si>
  <si>
    <t>Bret Bumerts</t>
  </si>
  <si>
    <t>0064L00000BoXCQ</t>
  </si>
  <si>
    <t>Europe Finance Opportunities [Placeholder]</t>
  </si>
  <si>
    <t>31/5/2024</t>
  </si>
  <si>
    <t>0064L00000ArTby</t>
  </si>
  <si>
    <t>FGL - Distribution Management Majesco Implementation - Phase 5 #HAWK</t>
  </si>
  <si>
    <t>Brad Denning</t>
  </si>
  <si>
    <t>0064L00000CYPOm</t>
  </si>
  <si>
    <t>FFG Op Model Transformation</t>
  </si>
  <si>
    <t>Richard Rose</t>
  </si>
  <si>
    <t>0064L00000BoUzF</t>
  </si>
  <si>
    <t>EOF Operations Domestic Location Strategy #FFG</t>
  </si>
  <si>
    <t>Fuad Abdelhadi</t>
  </si>
  <si>
    <t>RAHUL GUPTA</t>
  </si>
  <si>
    <t>0064L00000DFcy0</t>
  </si>
  <si>
    <t>Palo Alto Networks, Inc.</t>
  </si>
  <si>
    <t>PANW Anaplan Phase 1</t>
  </si>
  <si>
    <t>0064L00000DFcyP</t>
  </si>
  <si>
    <t>PANW Anaplan Phase 2</t>
  </si>
  <si>
    <t>0064L00000BgNhj</t>
  </si>
  <si>
    <t>R&amp;D: Frictionless Patient &amp; Site Experience #DCT #medable</t>
  </si>
  <si>
    <t>0064L00000BgNht</t>
  </si>
  <si>
    <t>R&amp;D: Risk Tolerance &amp; Innovation #orgstrat</t>
  </si>
  <si>
    <t>0064L00000BgMQ9</t>
  </si>
  <si>
    <t>Digital: Portfolio &amp; People Prioritization #IOBP</t>
  </si>
  <si>
    <t>0064L00000BgMQN</t>
  </si>
  <si>
    <t>Digital: Behavioral Modification #orgstrat</t>
  </si>
  <si>
    <t>0064L00000BgMRa</t>
  </si>
  <si>
    <t>Modernatx, Inc.</t>
  </si>
  <si>
    <t>Moderna - Complaints Management #QualityManagedServices</t>
  </si>
  <si>
    <t>0064L00000BfZrJ</t>
  </si>
  <si>
    <t>WGL - TransRM - Scheduling &amp; Mobility</t>
  </si>
  <si>
    <t>Jaclyn Wavra</t>
  </si>
  <si>
    <t>0064L00000BdV0w</t>
  </si>
  <si>
    <t>Global NRM GBS- Phase 2</t>
  </si>
  <si>
    <t>0064L00000Bd41D</t>
  </si>
  <si>
    <t>GMF - HR System Implementation</t>
  </si>
  <si>
    <t>Kristin Ritter</t>
  </si>
  <si>
    <t>0064L00000CWHfz</t>
  </si>
  <si>
    <t>Münchener Rückversicherungs-Gesellschaft Aktiengesellschaft in München</t>
  </si>
  <si>
    <t>Business Process Improvement - RFI #FFG</t>
  </si>
  <si>
    <t>Francois Ramette</t>
  </si>
  <si>
    <t>CS_EDT_Insurance</t>
  </si>
  <si>
    <t>Brad LeBlanc</t>
  </si>
  <si>
    <t>0064L00000BdDVy</t>
  </si>
  <si>
    <t>ICERTIS Implementation</t>
  </si>
  <si>
    <t>0064L00000CVglC</t>
  </si>
  <si>
    <t>#IOBP - Amgen PD Planning and Forecasting Implementation</t>
  </si>
  <si>
    <t>0064L00000DLvLl</t>
  </si>
  <si>
    <t>Corporate Operations aaS #TMTMSO Vendor value management aaS: Content</t>
  </si>
  <si>
    <t>31/12/2023</t>
  </si>
  <si>
    <t>JB Seal</t>
  </si>
  <si>
    <t>Katie Cassidy</t>
  </si>
  <si>
    <t>0064L00000DLvLq</t>
  </si>
  <si>
    <t>Corporate Operations aaS #TMTMSO Vendor value management aaS: EE/AO/IO</t>
  </si>
  <si>
    <t>0064L000002ZhWb</t>
  </si>
  <si>
    <t>GE ProEdge for Finance - Finance wide rollout - Expansion</t>
  </si>
  <si>
    <t>19/3/2021</t>
  </si>
  <si>
    <t>0064L00000AqOST</t>
  </si>
  <si>
    <t>Project KPop (PHM) Implementation SI/BI Efforts #GCOE #Medicaid</t>
  </si>
  <si>
    <t>Mike Longacre</t>
  </si>
  <si>
    <t>Ramankutty Anoop</t>
  </si>
  <si>
    <t>0064L00000DG1cI</t>
  </si>
  <si>
    <t>MSFT CELA - Project Denali Regulatory Financial Data Support FY23 H2 #TMTMSO</t>
  </si>
  <si>
    <t>MSFT CELA - Project Denali Regulatory Financial Data Support FY23 H1 #TMTMSO</t>
  </si>
  <si>
    <t>Derek Sept</t>
  </si>
  <si>
    <t>0064L00000CWjH6</t>
  </si>
  <si>
    <t>CY2025 Bid Desk Reviews</t>
  </si>
  <si>
    <t>15/5/2024</t>
  </si>
  <si>
    <t>0064L00000Bei8a</t>
  </si>
  <si>
    <t>Marriott International, Inc.</t>
  </si>
  <si>
    <t>Loyalty program activation implementation</t>
  </si>
  <si>
    <t>Kaci Riverol</t>
  </si>
  <si>
    <t>0064L00000CWjIJ</t>
  </si>
  <si>
    <t>CY2026 Bid Desk Reviews</t>
  </si>
  <si>
    <t>15/5/2025</t>
  </si>
  <si>
    <t>0064L00000D8ziX</t>
  </si>
  <si>
    <t>Global Facilities Management Transition</t>
  </si>
  <si>
    <t>0064L00000CWjJR</t>
  </si>
  <si>
    <t>CY2027 Bid Desk Reviews</t>
  </si>
  <si>
    <t>15/5/2026</t>
  </si>
  <si>
    <t>0064L00000CWjKK</t>
  </si>
  <si>
    <t>CY2028 Bid Desk Reviews</t>
  </si>
  <si>
    <t>17/5/2027</t>
  </si>
  <si>
    <t>0064L00000CXmOM</t>
  </si>
  <si>
    <t>Willis Towers Watson Public Limited Company</t>
  </si>
  <si>
    <t>E2E Financial Planning Redesign - Phase 1</t>
  </si>
  <si>
    <t>0064L00000B2cDE</t>
  </si>
  <si>
    <t>CW Enterprise Rollout of a "Your Tomorrow" Strategy</t>
  </si>
  <si>
    <t>13/10/2021</t>
  </si>
  <si>
    <t>0064L00000Bd1w6</t>
  </si>
  <si>
    <t>Enterprise Cost Transformation #FFG3.0</t>
  </si>
  <si>
    <t>27/7/2022</t>
  </si>
  <si>
    <t>0064L000002akl9</t>
  </si>
  <si>
    <t>MSFT CELA Reporting FY24</t>
  </si>
  <si>
    <t>16/4/2021</t>
  </si>
  <si>
    <t>18/6/2023</t>
  </si>
  <si>
    <t>MSFT CELA Reporting FY22</t>
  </si>
  <si>
    <t>Alyssa Talley</t>
  </si>
  <si>
    <t>0064L00000CY36e</t>
  </si>
  <si>
    <t>Citi Basel III Data Remediation</t>
  </si>
  <si>
    <t>Alessandra Shaaya</t>
  </si>
  <si>
    <t>0064L00000CVFGu</t>
  </si>
  <si>
    <t>EPM 2.0 - Budget, Forecast &amp; Strategic Plan</t>
  </si>
  <si>
    <t>Allie Procknal</t>
  </si>
  <si>
    <t>0064L00000AruIL</t>
  </si>
  <si>
    <t>LifePoint Health D&amp;A Platform Program Support</t>
  </si>
  <si>
    <t>Siddharth Doshi</t>
  </si>
  <si>
    <t>0064L00000Bdb1j</t>
  </si>
  <si>
    <t>Chipotle Mexican Grill, Inc.</t>
  </si>
  <si>
    <t>Chipotle - personalization at scale</t>
  </si>
  <si>
    <t>20/12/2021</t>
  </si>
  <si>
    <t>0064L00000Besay</t>
  </si>
  <si>
    <t>BCBS Michigan - Enterprise Automation Integration #ProEdgexAutomation</t>
  </si>
  <si>
    <t>Paul Tenuta</t>
  </si>
  <si>
    <t>Lauren O'Brien</t>
  </si>
  <si>
    <t>0064L00000Bou9u</t>
  </si>
  <si>
    <t>HP Supply Chain #FFG3.0 (S&amp;OP)</t>
  </si>
  <si>
    <t>Sahil Bhardwaj</t>
  </si>
  <si>
    <t>0064L00000D8vUy</t>
  </si>
  <si>
    <t>Shell Downstream Digital Twin - Phase 2</t>
  </si>
  <si>
    <t>Shell Downstream Digital Twin - Phase 1</t>
  </si>
  <si>
    <t>0064L00000BfbfK</t>
  </si>
  <si>
    <t>Aon Global Limited</t>
  </si>
  <si>
    <t>NA Efficiency Support #FFG3.0</t>
  </si>
  <si>
    <t>14/2/2022</t>
  </si>
  <si>
    <t>Surabhi Gandotra</t>
  </si>
  <si>
    <t>0064L00000BfQDY</t>
  </si>
  <si>
    <t>Enterprise Shared Services - Op Model Design Phase 2</t>
  </si>
  <si>
    <t>18/2/2022 8:08 pm</t>
  </si>
  <si>
    <t>Enterprise Shared Services - Op Model Design Phase 1</t>
  </si>
  <si>
    <t>0064L00000DLyM9</t>
  </si>
  <si>
    <t>TPG Capital, L.P.</t>
  </si>
  <si>
    <t>Operation BEST - Business Readiness Support Extension 2</t>
  </si>
  <si>
    <t>Stacy Dunton</t>
  </si>
  <si>
    <t>Operation BEST - Business Readiness &amp; IT Delivery Structure Support</t>
  </si>
  <si>
    <t>Namrta Khanna</t>
  </si>
  <si>
    <t>0064L00000Boebg</t>
  </si>
  <si>
    <t>ESGO Data Lineage &amp; Reporting</t>
  </si>
  <si>
    <t>Pat Curtin</t>
  </si>
  <si>
    <t>0064L00000DFSnb</t>
  </si>
  <si>
    <t>Liberty - Climate Literacy Program #ProEdgexESG</t>
  </si>
  <si>
    <t>Julia Lamm</t>
  </si>
  <si>
    <t>0064L00000DJZOb</t>
  </si>
  <si>
    <t>Walgreens Health Acceleration - Clinical Care Model #HVM</t>
  </si>
  <si>
    <t>Payer_Health_Value_Mgmt</t>
  </si>
  <si>
    <t>Bharath Shivananda Mamathambika</t>
  </si>
  <si>
    <t>0064L00000D8QUT</t>
  </si>
  <si>
    <t>FRB AFS Vision Planning FY23 - Data, Collateral, Custom Reporting #Comm50B+</t>
  </si>
  <si>
    <t>0064L00000DFSng</t>
  </si>
  <si>
    <t>Liberty - GRM Claims Change Management</t>
  </si>
  <si>
    <t>Beth Lyons</t>
  </si>
  <si>
    <t>0064L00000BmjhG</t>
  </si>
  <si>
    <t>The University Of Texas System.</t>
  </si>
  <si>
    <t>UTSW: Supply Chain Benchmarking Service *FFG*</t>
  </si>
  <si>
    <t>Colleen Farragher</t>
  </si>
  <si>
    <t>0064L00000CXZqx</t>
  </si>
  <si>
    <t>MS Finance Talent Attrition</t>
  </si>
  <si>
    <t>Aditi Bansal</t>
  </si>
  <si>
    <t>Haley Zhou</t>
  </si>
  <si>
    <t>0064L00000CGykK</t>
  </si>
  <si>
    <t>Frazier Management LLC</t>
  </si>
  <si>
    <t>Leiters - Operational Transformation</t>
  </si>
  <si>
    <t>0064L000006CW8u</t>
  </si>
  <si>
    <t>Buckeye Gp Holdings Lp</t>
  </si>
  <si>
    <t>EAM / Reliability Improvement Ph 1</t>
  </si>
  <si>
    <t>13/2/2021</t>
  </si>
  <si>
    <t>21/5/2021 10:50 pm</t>
  </si>
  <si>
    <t>0064L00000CXW9A</t>
  </si>
  <si>
    <t>Medicaid NextGen Product Mgt and PHP 2022 support  #PayerCO&amp;ITrans</t>
  </si>
  <si>
    <t>0064L000009BANS</t>
  </si>
  <si>
    <t>Cardinal Health Inc.</t>
  </si>
  <si>
    <t>Cardinal Health Procurement BPO #S&amp;P#POD</t>
  </si>
  <si>
    <t>Wynn Bailey</t>
  </si>
  <si>
    <t>Donna Wrinkle</t>
  </si>
  <si>
    <t>0064L00000CH2ui</t>
  </si>
  <si>
    <t>Springfield Memorial Hospital</t>
  </si>
  <si>
    <t>Springfield Memorial Hospital 2024 Wage Index/IME/RRC - *Strategic Reimbursement*</t>
  </si>
  <si>
    <t>0064L00000BmWKx</t>
  </si>
  <si>
    <t>Services Transformation Q3 Q4 2022</t>
  </si>
  <si>
    <t>Richard Schweiger</t>
  </si>
  <si>
    <t>0064L0000041iCf</t>
  </si>
  <si>
    <t>Finance Transformation Wave 3 - ERP BI Functional Support</t>
  </si>
  <si>
    <t>25/8/2023</t>
  </si>
  <si>
    <t>0064L00000BoZiC</t>
  </si>
  <si>
    <t>JUBILANT PHARMOVA LIMITED</t>
  </si>
  <si>
    <t>Value Unlock- Operating Model and Benchmarking</t>
  </si>
  <si>
    <t>Chetan Ghatge</t>
  </si>
  <si>
    <t>0064L00000CYCAy</t>
  </si>
  <si>
    <t>ocV!BE ESG PMO &amp; Comms #ESG #ESGMSFT</t>
  </si>
  <si>
    <t>0064L00000BlosH</t>
  </si>
  <si>
    <t>Barclays AAIT Operating Model Framework &amp; Implementation</t>
  </si>
  <si>
    <t>0064L000009AS3i</t>
  </si>
  <si>
    <t>P66_2022 Commodity Managed Services_Power and Gas Trading</t>
  </si>
  <si>
    <t>Commercial Applications Managed Services</t>
  </si>
  <si>
    <t>0064L00000Bge6H</t>
  </si>
  <si>
    <t>AbbVie SKYRIZI CD Buy &amp; Bill Launch Support - Phase 3</t>
  </si>
  <si>
    <t>Andrew Caragher</t>
  </si>
  <si>
    <t>0064L00000DFs13</t>
  </si>
  <si>
    <t>Aries -  H1 2023 MOR Extension (Proj)</t>
  </si>
  <si>
    <t>Shuxin Zheng</t>
  </si>
  <si>
    <t>0064L00000CYn34</t>
  </si>
  <si>
    <t>Aries -  H2 2022 MOR Extension (Proj)</t>
  </si>
  <si>
    <t>0064L00000D8Wry</t>
  </si>
  <si>
    <t>BlueTriton Project Athena IT PMO Change Order (Cutover)</t>
  </si>
  <si>
    <t>Tony Filipe</t>
  </si>
  <si>
    <t>CS_Deal_M&amp;A_PE</t>
  </si>
  <si>
    <t>0064L00000ArLVJ</t>
  </si>
  <si>
    <t>Nbsh Acquisition LLC</t>
  </si>
  <si>
    <t>Appian Enhancements and Support 2022</t>
  </si>
  <si>
    <t>22/10/2021</t>
  </si>
  <si>
    <t>0064L00000Bn2HA</t>
  </si>
  <si>
    <t>SDG&amp;E Construction Projects Accounting Improvements</t>
  </si>
  <si>
    <t>Philip McLemore</t>
  </si>
  <si>
    <t>0064L00000Bnbu1</t>
  </si>
  <si>
    <t>Verily HRIS Pre-Implementation</t>
  </si>
  <si>
    <t>Dave Eberhardt</t>
  </si>
  <si>
    <t>Verily 2022 HRIS Implementation #TMTMSO</t>
  </si>
  <si>
    <t>Kim Barkus</t>
  </si>
  <si>
    <t>0064L000009B4Cn</t>
  </si>
  <si>
    <t>HP - Contra Phase 4 Deployment</t>
  </si>
  <si>
    <t>Robbert De Vries</t>
  </si>
  <si>
    <t>Kaiser Kaiserani</t>
  </si>
  <si>
    <t>0064L000006j86Q</t>
  </si>
  <si>
    <t>AdventHealth *VBO* Cerner Legacy A/R (3 of 3) FY24 Extension</t>
  </si>
  <si>
    <t>AdventHealth *VBO* Cerner Legacy A/R FY22 (1 of 3)</t>
  </si>
  <si>
    <t>Recurring</t>
  </si>
  <si>
    <t>0064L00000BnkCy</t>
  </si>
  <si>
    <t>Multicare Health System</t>
  </si>
  <si>
    <t>FFY24-26 Reclass/Wage/OM &amp; FYE21-23 S-10 *Strategic Reimbursement*</t>
  </si>
  <si>
    <t>0064L0000099AcQ</t>
  </si>
  <si>
    <t>Product Solution - implementation and deployment support 2022 #PayerCO&amp;ITrans</t>
  </si>
  <si>
    <t>0064L0000041iDO</t>
  </si>
  <si>
    <t>Finance Transformation Wave 3 - Billing Implementation</t>
  </si>
  <si>
    <t>0064L000002alIv</t>
  </si>
  <si>
    <t>Mutual Of America Life Insurance Company</t>
  </si>
  <si>
    <t>Pension managed services</t>
  </si>
  <si>
    <t>17/4/2021</t>
  </si>
  <si>
    <t>Isaac Buchen</t>
  </si>
  <si>
    <t>0064L00000BehW7</t>
  </si>
  <si>
    <t>Wsfs Financial Corp.</t>
  </si>
  <si>
    <t>WSFS DT - Data Buildup Extending Customer Link</t>
  </si>
  <si>
    <t>20/1/2022</t>
  </si>
  <si>
    <t>George Korizis</t>
  </si>
  <si>
    <t>0064L000007xOB7</t>
  </si>
  <si>
    <t>ADM - Commodity Trading #Salesforce Platform</t>
  </si>
  <si>
    <t>Darci Moore</t>
  </si>
  <si>
    <t>0064L00000CWwyq</t>
  </si>
  <si>
    <t>Data and Analytics GBS Design</t>
  </si>
  <si>
    <t>Amy Murphy</t>
  </si>
  <si>
    <t>0064L00000ArMke</t>
  </si>
  <si>
    <t>Intel Marketplace - Design Phase Sprint 2</t>
  </si>
  <si>
    <t>Todd McElfresh</t>
  </si>
  <si>
    <t>0064L00000Besuy</t>
  </si>
  <si>
    <t>Alts FFG Data MSP Support #DATA</t>
  </si>
  <si>
    <t>Ankur Pahwa</t>
  </si>
  <si>
    <t>0064L00000CYmF6</t>
  </si>
  <si>
    <t>Intercontinental Exchange, Inc.</t>
  </si>
  <si>
    <t>Amex Options</t>
  </si>
  <si>
    <t>Alexander Snodgrass</t>
  </si>
  <si>
    <t>0064L00000DLrSi</t>
  </si>
  <si>
    <t>CHS - *SMART* IP License Renewal - FY23</t>
  </si>
  <si>
    <t>Shannon O'Shea</t>
  </si>
  <si>
    <t>Taylor McBrearty</t>
  </si>
  <si>
    <t>0064L00000BoLh9</t>
  </si>
  <si>
    <t>Advanced Customer Engagement</t>
  </si>
  <si>
    <t>William Suvari</t>
  </si>
  <si>
    <t>0064L00000D8Xcp</t>
  </si>
  <si>
    <t>Loews Corporation</t>
  </si>
  <si>
    <t>CNA Procurement Managed Service Support | FY23 Sept - June | #S&amp;P#POD</t>
  </si>
  <si>
    <t>Scott Boruff</t>
  </si>
  <si>
    <t>Brett Anton</t>
  </si>
  <si>
    <t>0064L00000D929u</t>
  </si>
  <si>
    <t>Gentherm Incorporated</t>
  </si>
  <si>
    <t>Project Astute IMO extension</t>
  </si>
  <si>
    <t>0064L00000BmPWN</t>
  </si>
  <si>
    <t>Trading system Managed Services</t>
  </si>
  <si>
    <t>20/2/2022</t>
  </si>
  <si>
    <t>0064L00000BgMPt</t>
  </si>
  <si>
    <t>Illumina Inc.</t>
  </si>
  <si>
    <t>Illumina - QMR, Doc Management &amp; Complaints Management #QualityManagedServices</t>
  </si>
  <si>
    <t>0064L00000BoMOm</t>
  </si>
  <si>
    <t>Microsoft Operations Market Research Facility: FY23 Program</t>
  </si>
  <si>
    <t>Eric Goldsborough</t>
  </si>
  <si>
    <t>Kim David Greenwood</t>
  </si>
  <si>
    <t>0064L000006BMFy</t>
  </si>
  <si>
    <t>Catering Customer and Go To Market Strategy</t>
  </si>
  <si>
    <t>0064L00000DLvLC</t>
  </si>
  <si>
    <t>Corporate Operations aaS #TMTMSO Vendor value management aaS: SBG</t>
  </si>
  <si>
    <t>0064L00000B1pLP</t>
  </si>
  <si>
    <t>Commonwealth Care Alliance</t>
  </si>
  <si>
    <t>Commonwealth Care Alliance - Project Bigfoot - Clinical Transformation #HVM</t>
  </si>
  <si>
    <t>Trisha Swift</t>
  </si>
  <si>
    <t>James McNeil</t>
  </si>
  <si>
    <t>0064L00000CWk6m</t>
  </si>
  <si>
    <t>Mclaren Health Care Corporation</t>
  </si>
  <si>
    <t>McLaren Pharmacy Optimization Analysis &amp; Implementation (Part 2) *FFG*</t>
  </si>
  <si>
    <t>0064L00000Bnbbn</t>
  </si>
  <si>
    <t>Intel - IDM2.0 Salesforce Reimplementation</t>
  </si>
  <si>
    <t>31/3/2022</t>
  </si>
  <si>
    <t>0064L00000CYLaT</t>
  </si>
  <si>
    <t>Walgreens Next - Omni Merchandising Modernization #CMRetail</t>
  </si>
  <si>
    <t>21/5/2022</t>
  </si>
  <si>
    <t>Jill Noeh</t>
  </si>
  <si>
    <t>0064L000006VAVf</t>
  </si>
  <si>
    <t>Atlantic Union Bankshares Corporation</t>
  </si>
  <si>
    <t>Atlantic Union Bank EPM Transformation</t>
  </si>
  <si>
    <t>17/2/2021</t>
  </si>
  <si>
    <t>Arjun Katyal</t>
  </si>
  <si>
    <t>0064L00000BeF36</t>
  </si>
  <si>
    <t>Geospatial Analytics for Biz</t>
  </si>
  <si>
    <t>0064L00000Bf6wd</t>
  </si>
  <si>
    <t>Indiana University Health Inc.</t>
  </si>
  <si>
    <t>*A&amp;AN* IU Health: Patient Access Transformation - Implementation (Phase 5)</t>
  </si>
  <si>
    <t>*A&amp;AN* IU Health: Patient Access Transformation - Assessment (Phase 1)</t>
  </si>
  <si>
    <t>0064L00000Bf6wc</t>
  </si>
  <si>
    <t>*A&amp;AN* IU Health: Patient Access Transformation - Implementation (Phase 4)</t>
  </si>
  <si>
    <t>0064L00000Bf6wX</t>
  </si>
  <si>
    <t>*A&amp;AN* IU Health: Patient Access Transformation - Implementation (Phase 3)</t>
  </si>
  <si>
    <t>0064L00000DLQgo</t>
  </si>
  <si>
    <t>Clayton Dubilier &amp; Rice Inc.</t>
  </si>
  <si>
    <t>Project Galaxy - Carveout in a Box - SAP Hana Implementation Phase II Extension #CIAB</t>
  </si>
  <si>
    <t>Ajit Singh</t>
  </si>
  <si>
    <t>0064L00000B20Ug</t>
  </si>
  <si>
    <t>BMS Clinical Trials Risk Management (CTRM) R3 System Integration.  #automation</t>
  </si>
  <si>
    <t>28/9/2021</t>
  </si>
  <si>
    <t>DNU: HIA_PLS_FFG_R&amp;D</t>
  </si>
  <si>
    <t>Rachel Mercado</t>
  </si>
  <si>
    <t>0064L00000BeEdC</t>
  </si>
  <si>
    <t>AT&amp;T Biz Seller's Insight Mid Market Use Case Development</t>
  </si>
  <si>
    <t>0064L00000DLrOg</t>
  </si>
  <si>
    <t>American Securities LLC</t>
  </si>
  <si>
    <t>Pinnacle IMO Support Phase II (Synergy Tracking)</t>
  </si>
  <si>
    <t>Kevin Kloske</t>
  </si>
  <si>
    <t>Justin Payne</t>
  </si>
  <si>
    <t>0064L00000CWfxu</t>
  </si>
  <si>
    <t>MUFG Payments Modernization</t>
  </si>
  <si>
    <t>Souvanik Ghosh</t>
  </si>
  <si>
    <t>0064L00000Bnr0C</t>
  </si>
  <si>
    <t>Project KPop (PHM) Medi-Cal Q3-Q4 2022 #GCOEcaid</t>
  </si>
  <si>
    <t>0064I00000y7Jg8</t>
  </si>
  <si>
    <t>Inova Health System Foundation</t>
  </si>
  <si>
    <t>Inova EPM Implementation - Planning</t>
  </si>
  <si>
    <t>22/10/2019</t>
  </si>
  <si>
    <t>Sean Richter</t>
  </si>
  <si>
    <t>0064L00000Bm9Xe</t>
  </si>
  <si>
    <t>Project Denali (ABK) - Services</t>
  </si>
  <si>
    <t>0064L00000Bm9Xy</t>
  </si>
  <si>
    <t>Project Denali (ABK) -Finance</t>
  </si>
  <si>
    <t>0064L000002Z0zh</t>
  </si>
  <si>
    <t>DXC Technology Company</t>
  </si>
  <si>
    <t>DXC IT Cost Optimization Program</t>
  </si>
  <si>
    <t>0064L000002blPP</t>
  </si>
  <si>
    <t>Highmark Health</t>
  </si>
  <si>
    <t>17/5/2021</t>
  </si>
  <si>
    <t>0064L000009Aax6</t>
  </si>
  <si>
    <t>NA Logistics Optimization - Phase 2 TL Utilization + Ocean Sourcing</t>
  </si>
  <si>
    <t>0064L00000AplB9</t>
  </si>
  <si>
    <t>Oracle Cloud EPM Project</t>
  </si>
  <si>
    <t>Craig Benbow</t>
  </si>
  <si>
    <t>0064L00000D8xTQ</t>
  </si>
  <si>
    <t>Nomura Holdings, Inc.</t>
  </si>
  <si>
    <t>Nomura Wholesale Risk Training Program</t>
  </si>
  <si>
    <t>Jason Maan</t>
  </si>
  <si>
    <t>0064L00000BlzwV</t>
  </si>
  <si>
    <t>Deal Score Module</t>
  </si>
  <si>
    <t>Mark Prentice</t>
  </si>
  <si>
    <t>Christine Blades</t>
  </si>
  <si>
    <t>0064L00000B1MNv</t>
  </si>
  <si>
    <t>Everlake Day 2 Data Strategy and Portfolio Management Support</t>
  </si>
  <si>
    <t>James Bird</t>
  </si>
  <si>
    <t>0064L00000CY9Dw</t>
  </si>
  <si>
    <t>OneStream Consolidations and FP&amp;A</t>
  </si>
  <si>
    <t>Nick Navarro</t>
  </si>
  <si>
    <t>0064I00000y8Orq</t>
  </si>
  <si>
    <t>Coca-Cola - RGM FSOP Design / Execution - 1,500,000</t>
  </si>
  <si>
    <t>30/10/2019</t>
  </si>
  <si>
    <t>0064L00000DLNa5</t>
  </si>
  <si>
    <t>Ops Transformation - RL Supply Chain</t>
  </si>
  <si>
    <t>24/11/2022</t>
  </si>
  <si>
    <t>0064L00000ApyoW</t>
  </si>
  <si>
    <t>Data Center Consolidation - Phase 1  (Strategy / Business Case Dev't)</t>
  </si>
  <si>
    <t>27/8/2021</t>
  </si>
  <si>
    <t>0064L00000Bopcm</t>
  </si>
  <si>
    <t>Hospital Sisters Health Systems</t>
  </si>
  <si>
    <t>St. John Hospital (Sisters) IME RRC *Strategic Reimbursement*</t>
  </si>
  <si>
    <t>0064L00000AqK2B</t>
  </si>
  <si>
    <t>Anthem Network Strategy / Beacon Health/ Follow on work</t>
  </si>
  <si>
    <t>0064L00000DLMOp</t>
  </si>
  <si>
    <t>Best Buy Health - Current Health App Integration Extension</t>
  </si>
  <si>
    <t>0064L00000DLoTm</t>
  </si>
  <si>
    <t>2023 AMZ Kuiper PS Integration Support  - 2 PMS</t>
  </si>
  <si>
    <t>0064L00000BfUUP</t>
  </si>
  <si>
    <t>BI Project Mercury Implementation</t>
  </si>
  <si>
    <t>Scott Mahoney</t>
  </si>
  <si>
    <t>Rohit Harve</t>
  </si>
  <si>
    <t>0064L00000Bp14z</t>
  </si>
  <si>
    <t>Wellstar Health System INC.</t>
  </si>
  <si>
    <t>WellStar CRM Transformation: Consolidated Access Center (Contact Center)  #MSFTProvider</t>
  </si>
  <si>
    <t>0064L00000Blz2I</t>
  </si>
  <si>
    <t>0064L00000CVOK6</t>
  </si>
  <si>
    <t>Cora PPM Implementation Support</t>
  </si>
  <si>
    <t>0064L00000CGuc9</t>
  </si>
  <si>
    <t>Stellantis SC Visibility and Early Warning</t>
  </si>
  <si>
    <t>0064L00000CXvs6</t>
  </si>
  <si>
    <t>AmerisourceBergen Corporation</t>
  </si>
  <si>
    <t>Global Business Services Strategy #FFG3.0</t>
  </si>
  <si>
    <t>Vinay Couto</t>
  </si>
  <si>
    <t>Kevin Basden</t>
  </si>
  <si>
    <t>0064L00000BnK6f</t>
  </si>
  <si>
    <t>Enterprise Cost Transformation Phase 2 #FFG3.0</t>
  </si>
  <si>
    <t>0064L000002bflR</t>
  </si>
  <si>
    <t>University Of Rochester</t>
  </si>
  <si>
    <t>0064L00000D8dA5</t>
  </si>
  <si>
    <t>Sterile Operations Transformation: FY23 3Q Support</t>
  </si>
  <si>
    <t>0064L00000D8dA4</t>
  </si>
  <si>
    <t>Sterile Operations Transformation: FY23 2Q Support</t>
  </si>
  <si>
    <t>0064L00000BopNw</t>
  </si>
  <si>
    <t>Project NEO SCO extension (July to Dec 2022)</t>
  </si>
  <si>
    <t>0064L00000CXwib</t>
  </si>
  <si>
    <t>Healthcare Realty Trust Incorporated</t>
  </si>
  <si>
    <t>MRI Implementation</t>
  </si>
  <si>
    <t>Kevin Fossee</t>
  </si>
  <si>
    <t>Lisa Kent</t>
  </si>
  <si>
    <t>0064L00000D8ci9</t>
  </si>
  <si>
    <t>Kohls Corporation</t>
  </si>
  <si>
    <t>Global Sourcing = Phase 4</t>
  </si>
  <si>
    <t>Cort Jacoby</t>
  </si>
  <si>
    <t>James Costa</t>
  </si>
  <si>
    <t>0064L000003zxhU</t>
  </si>
  <si>
    <t>GDLS EPM Implementation</t>
  </si>
  <si>
    <t>Maura Blaul</t>
  </si>
  <si>
    <t>0064L00000B0z7f</t>
  </si>
  <si>
    <t>Moderna  MVP implementation Phase 1</t>
  </si>
  <si>
    <t>Joseph Lamano</t>
  </si>
  <si>
    <t>Sophie Wyman</t>
  </si>
  <si>
    <t>0064L0000097p8A</t>
  </si>
  <si>
    <t>Memorial Health Services</t>
  </si>
  <si>
    <t>22/6/2021</t>
  </si>
  <si>
    <t>G and PS - Other</t>
  </si>
  <si>
    <t>0064L00000DBMGR</t>
  </si>
  <si>
    <t>Merchandising Modernization - Phase 2</t>
  </si>
  <si>
    <t>0064L00000BnZB1</t>
  </si>
  <si>
    <t>Digital Manufacturing Competency Support</t>
  </si>
  <si>
    <t>0064L00000BoKbe</t>
  </si>
  <si>
    <t>Global Sourcing = Phase 3</t>
  </si>
  <si>
    <t>0064L00000DFZH8</t>
  </si>
  <si>
    <t>RL FT Support H1 '23</t>
  </si>
  <si>
    <t>0064L00000CXdiD</t>
  </si>
  <si>
    <t>FOS Procedures and Training Documentation</t>
  </si>
  <si>
    <t>Brian Marsh</t>
  </si>
  <si>
    <t>0064L00000D92Gv</t>
  </si>
  <si>
    <t>P&amp;C Policy Modernization - M1 Strategy and Mobilization</t>
  </si>
  <si>
    <t>0064L000003zDE3</t>
  </si>
  <si>
    <t>CenterPoint - Gas Management System Vectren</t>
  </si>
  <si>
    <t>0064L00000BoZyU</t>
  </si>
  <si>
    <t>OPPD Data Managed Services 2</t>
  </si>
  <si>
    <t>Derek Baker</t>
  </si>
  <si>
    <t>David Jacobson</t>
  </si>
  <si>
    <t>0064L000009A9g7</t>
  </si>
  <si>
    <t>PointNext Phase 2 Costing</t>
  </si>
  <si>
    <t>25/10/2021</t>
  </si>
  <si>
    <t>Katie Wonders</t>
  </si>
  <si>
    <t>0064L00000AqhVt</t>
  </si>
  <si>
    <t>Hawaii Medical Service Association</t>
  </si>
  <si>
    <t>Project Aloha Phase 2 #PayerTransDeals</t>
  </si>
  <si>
    <t>25/9/2021</t>
  </si>
  <si>
    <t>0064L00000DFimo</t>
  </si>
  <si>
    <t>TCCC ME&amp;E Phase 5 Transformation PMO</t>
  </si>
  <si>
    <t>0064L00000DFYON</t>
  </si>
  <si>
    <t>IPL Separation - IT Separation Planning</t>
  </si>
  <si>
    <t>Nisheet Bhalla</t>
  </si>
  <si>
    <t>0064L000009fgfM</t>
  </si>
  <si>
    <t>SoFi Technologies, Inc.</t>
  </si>
  <si>
    <t>Digital Bank - Galileo</t>
  </si>
  <si>
    <t>24/7/2021</t>
  </si>
  <si>
    <t>0064L00000B2GSe</t>
  </si>
  <si>
    <t>Anthem - CareMore EMR follow on work</t>
  </si>
  <si>
    <t>0064L000001t9g6</t>
  </si>
  <si>
    <t>Hollyfrontier Corporation</t>
  </si>
  <si>
    <t>Trade capture and scheduling implementation</t>
  </si>
  <si>
    <t>20/5/2020</t>
  </si>
  <si>
    <t>ADV_IPS_R&amp;R</t>
  </si>
  <si>
    <t>0064L00000CYBzN</t>
  </si>
  <si>
    <t>GWS Supplier Diversity #S&amp;P #ESG</t>
  </si>
  <si>
    <t>0064L00000BmvaK</t>
  </si>
  <si>
    <t>Project Connect - Finance Support for Carveout</t>
  </si>
  <si>
    <t>Ed Jasaitis</t>
  </si>
  <si>
    <t>Haylie Altansukh</t>
  </si>
  <si>
    <t>0064L00000CYve0</t>
  </si>
  <si>
    <t>ODU integration IV</t>
  </si>
  <si>
    <t>0064L00000BnWhS</t>
  </si>
  <si>
    <t>Hess Corporation</t>
  </si>
  <si>
    <t>Asset Performance Management - Ph 2</t>
  </si>
  <si>
    <t>Asset Performance Management - Ph 1</t>
  </si>
  <si>
    <t>0064L00000DFiKL</t>
  </si>
  <si>
    <t>HR M&amp;A Integration Support - H1 23</t>
  </si>
  <si>
    <t>Michael Proppe</t>
  </si>
  <si>
    <t>Jess Lewis</t>
  </si>
  <si>
    <t>0064L00000DJdVm</t>
  </si>
  <si>
    <t>o9 E2E Planning Transformation</t>
  </si>
  <si>
    <t>Michael Couwenhoven</t>
  </si>
  <si>
    <t>0064L00000Bn4J2</t>
  </si>
  <si>
    <t>Project Platinum - Finance Workstream</t>
  </si>
  <si>
    <t>Phil Ng</t>
  </si>
  <si>
    <t>Daniel Hemmert</t>
  </si>
  <si>
    <t>0064L00000BoXtr</t>
  </si>
  <si>
    <t>P66 S4 go live - HVC IT Support</t>
  </si>
  <si>
    <t>0064L00000Bo6rv</t>
  </si>
  <si>
    <t>EHI Finance Transformation - Phase 3</t>
  </si>
  <si>
    <t>0064L00000BlQBq</t>
  </si>
  <si>
    <t>GE Aviation Digital Engineering Phase 1 - MSO - Strategy Development</t>
  </si>
  <si>
    <t>Mike Goulet</t>
  </si>
  <si>
    <t>Brandon Anthony</t>
  </si>
  <si>
    <t>0064L00000CY0Lb</t>
  </si>
  <si>
    <t>Commodity Risk Management - Phase 4: ROW Rollout and Technology Implementation</t>
  </si>
  <si>
    <t>ADV_IPS_Hedging</t>
  </si>
  <si>
    <t>Commodity Risk Management - Phase 3: US Rollout and Technology Selection</t>
  </si>
  <si>
    <t>0064L00000DM8G5</t>
  </si>
  <si>
    <t>CCB LIBOR Transition - 2023 Support</t>
  </si>
  <si>
    <t>Gaurav Shukla</t>
  </si>
  <si>
    <t>Jason Magesis</t>
  </si>
  <si>
    <t>0064L000004vLkW</t>
  </si>
  <si>
    <t>LER Phase 1: Planning</t>
  </si>
  <si>
    <t>0064L00000CXpF8</t>
  </si>
  <si>
    <t>#IOBP-Portfolio Ops Resource Management: Phase 2</t>
  </si>
  <si>
    <t>Aditya Shah</t>
  </si>
  <si>
    <t>Kevin Wrench</t>
  </si>
  <si>
    <t>0064L00000CXpEo</t>
  </si>
  <si>
    <t>#IOBP-Portfolio Ops Resource Management: Phase 1</t>
  </si>
  <si>
    <t>0064L00000CYQIb</t>
  </si>
  <si>
    <t>BMS Finance Integration (Wave 3 Ops) - Jan - Jun 23</t>
  </si>
  <si>
    <t>0064L00000CYPiC</t>
  </si>
  <si>
    <t>0064L00000DLVCA</t>
  </si>
  <si>
    <t>Locbox MRA Review &amp; Remediation</t>
  </si>
  <si>
    <t>Tanvi Patel</t>
  </si>
  <si>
    <t>0064L00000Aq0bj</t>
  </si>
  <si>
    <t>SAP S4 - Change Management Phase 3 (European Rollout)</t>
  </si>
  <si>
    <t>28/8/2021</t>
  </si>
  <si>
    <t>Carrie Wisher</t>
  </si>
  <si>
    <t>IP_Back_office_modernization</t>
  </si>
  <si>
    <t>0064L00000BoXAO</t>
  </si>
  <si>
    <t>Takeda US FP&amp;A Transformation Phase 2 (Anaplan) FY24</t>
  </si>
  <si>
    <t>27/6/2024</t>
  </si>
  <si>
    <t>0064L00000BoXB7</t>
  </si>
  <si>
    <t>Consolidations / Global Finance FY23</t>
  </si>
  <si>
    <t>0064L00000BoXB6</t>
  </si>
  <si>
    <t>R&amp;D Clinical Trials Accrual System Design &amp; Implementation FY24</t>
  </si>
  <si>
    <t>0064L00000DFwAE</t>
  </si>
  <si>
    <t>Molina Risk Adj. Operational Improvement #HVM</t>
  </si>
  <si>
    <t>0064L00000BoXBp</t>
  </si>
  <si>
    <t>Consolidations / Global Finance FY24</t>
  </si>
  <si>
    <t>30/5/2024</t>
  </si>
  <si>
    <t>0064L00000DFwBC</t>
  </si>
  <si>
    <t>Independence Health Group, Inc</t>
  </si>
  <si>
    <t>IBC Risk Adj. Operational Improvement #HVM</t>
  </si>
  <si>
    <t>0064L00000BoXDg</t>
  </si>
  <si>
    <t>GPLS projects [Placeholder]</t>
  </si>
  <si>
    <t>0064L00000AqT2u</t>
  </si>
  <si>
    <t>Intermountain Healthcare</t>
  </si>
  <si>
    <t>Project Buffalo</t>
  </si>
  <si>
    <t>16/9/2021</t>
  </si>
  <si>
    <t>Courtney Showell</t>
  </si>
  <si>
    <t>CS_Deal_Corporate_M&amp;A_Payer_Provider</t>
  </si>
  <si>
    <t>0064L000009AX3Y</t>
  </si>
  <si>
    <t>Blue Shield of California</t>
  </si>
  <si>
    <t>SFDC Clinical Transformation</t>
  </si>
  <si>
    <t>Trusha Bhatt</t>
  </si>
  <si>
    <t>0064L00000BoGJ6</t>
  </si>
  <si>
    <t>Grow Our Own Talent - Managed Services (Phase II) #TMTMSO</t>
  </si>
  <si>
    <t>27/4/2022</t>
  </si>
  <si>
    <t>Mudit Gupta</t>
  </si>
  <si>
    <t>0064L00000DLeWq</t>
  </si>
  <si>
    <t>Light &amp; Wonder, Inc.</t>
  </si>
  <si>
    <t>L&amp;W Fit For Growth</t>
  </si>
  <si>
    <t>David Rader</t>
  </si>
  <si>
    <t>0064L00000B2CTX</t>
  </si>
  <si>
    <t>GE FP&amp;A Transformation - Phase 3</t>
  </si>
  <si>
    <t>Jack Kilgust</t>
  </si>
  <si>
    <t>0064L00000B2CTS</t>
  </si>
  <si>
    <t>GE FP&amp;A Transformation - Phase 2</t>
  </si>
  <si>
    <t>0064L00000B2CTN</t>
  </si>
  <si>
    <t>GE FP&amp;A Transformation - Phase 1</t>
  </si>
  <si>
    <t>0064L00000DFSZU</t>
  </si>
  <si>
    <t>GCP T&amp;S Threat Intelligence &amp; Research</t>
  </si>
  <si>
    <t>0064L00000Bo4as</t>
  </si>
  <si>
    <t>Commercial LAS AFS Vision FY23 Apr-July</t>
  </si>
  <si>
    <t>0064L00000DMFqt</t>
  </si>
  <si>
    <t>QMS - UiPath E2E Support - Full Program - Phase 2</t>
  </si>
  <si>
    <t>0064L00000Bovlm</t>
  </si>
  <si>
    <t>Finance Transformation program governance (3 Part Finance Governance/FOF)</t>
  </si>
  <si>
    <t>Michelle McManus</t>
  </si>
  <si>
    <t>Finance Transformation IT support (3 Part Finance Governance/FOF)</t>
  </si>
  <si>
    <t>0064L00000Bovmu</t>
  </si>
  <si>
    <t>Mark Jenson</t>
  </si>
  <si>
    <t>Enterprise Level Stakeholder Management (3 Part Finance Governance/FOF)</t>
  </si>
  <si>
    <t>0064L00000CYqLl</t>
  </si>
  <si>
    <t>ii-vi Ph 2 Finance Initiatives Design</t>
  </si>
  <si>
    <t>0064L00000BdV4P</t>
  </si>
  <si>
    <t>DIRECTV - Adobe CDP</t>
  </si>
  <si>
    <t>0064L00000BfIwt</t>
  </si>
  <si>
    <t>Tri-State Generation and Transmission Association, Inc.</t>
  </si>
  <si>
    <t>FFG - Phase 2</t>
  </si>
  <si>
    <t>0064L0000098mJh</t>
  </si>
  <si>
    <t>Contract Management System</t>
  </si>
  <si>
    <t>Michael Giguere</t>
  </si>
  <si>
    <t>0064L00000D8ZOV</t>
  </si>
  <si>
    <t>Intercompany reporting Tax Requirements - Phase 2</t>
  </si>
  <si>
    <t>Tabitha DeFrancisco</t>
  </si>
  <si>
    <t>Cecilia Cardetti</t>
  </si>
  <si>
    <t>0064L000004xdA6</t>
  </si>
  <si>
    <t>RPAM Trading Solution</t>
  </si>
  <si>
    <t>27/1/2021</t>
  </si>
  <si>
    <t>0064L00000DFrbt</t>
  </si>
  <si>
    <t>PepsiCo Project Passback</t>
  </si>
  <si>
    <t>Steve Foran</t>
  </si>
  <si>
    <t>0064L00000BoBcv</t>
  </si>
  <si>
    <t>Veritiv Corporation</t>
  </si>
  <si>
    <t>OCM for Project Evolve (Wave1) Oracle Cloud and Project Ignite (digital commerce)</t>
  </si>
  <si>
    <t>24/4/2022</t>
  </si>
  <si>
    <t>Anna Doyle</t>
  </si>
  <si>
    <t>0064L00000D8za4</t>
  </si>
  <si>
    <t>AroundRx v2</t>
  </si>
  <si>
    <t>Alexander Cahill</t>
  </si>
  <si>
    <t>0064L00000CV3XU</t>
  </si>
  <si>
    <t>Neighborly Loyalty Implementation</t>
  </si>
  <si>
    <t>0064L00000BoSnp</t>
  </si>
  <si>
    <t>Project Neon (Finance Standup)</t>
  </si>
  <si>
    <t>0064L00000CWjFZ</t>
  </si>
  <si>
    <t>Sarah Suber</t>
  </si>
  <si>
    <t>0064L000009AtYi</t>
  </si>
  <si>
    <t>Baker Capital Corp</t>
  </si>
  <si>
    <t>Wine.com - Finance Transformation Phase 2</t>
  </si>
  <si>
    <t>24/11/2021</t>
  </si>
  <si>
    <t>Patrick Wimberly</t>
  </si>
  <si>
    <t>0064L00000DMDe2</t>
  </si>
  <si>
    <t>AbbVie Enterprise VBP Beyond Commercial (Phase 3) #FFG</t>
  </si>
  <si>
    <t>0064L00000DFc5o</t>
  </si>
  <si>
    <t>UPS - Customer Data Platform</t>
  </si>
  <si>
    <t>0064L00000CWk0M</t>
  </si>
  <si>
    <t>Steward Health Care Holdings LLC</t>
  </si>
  <si>
    <t>Steward Finance Transformation - Controllership</t>
  </si>
  <si>
    <t>22/6/2022 9:52 pm</t>
  </si>
  <si>
    <t>Dean Millard</t>
  </si>
  <si>
    <t>0064L00000Bl9rB</t>
  </si>
  <si>
    <t>GRS--Global Surety eQuote Platform Expansion</t>
  </si>
  <si>
    <t>30/12/2021</t>
  </si>
  <si>
    <t>William Horan</t>
  </si>
  <si>
    <t>0064L00000B1QHb</t>
  </si>
  <si>
    <t>BL - Abbvie RA Promotional Strategy (US Portion)</t>
  </si>
  <si>
    <t>Paul D'Alessandro</t>
  </si>
  <si>
    <t>Patrick Offner</t>
  </si>
  <si>
    <t>0064L00000DFWMA</t>
  </si>
  <si>
    <t>ICON HR Integration - Phase 4</t>
  </si>
  <si>
    <t>Shungu Chigariro</t>
  </si>
  <si>
    <t>0064L00000AsJH8</t>
  </si>
  <si>
    <t>Valley National Bancorp</t>
  </si>
  <si>
    <t>Finance Transformation - SAP for AP</t>
  </si>
  <si>
    <t>23/11/2021</t>
  </si>
  <si>
    <t>Musi Qureshi</t>
  </si>
  <si>
    <t>CS_TR_CJ_TRANSFORM_FINANCE_CFOC2_01FY22_PULSE SURVEY 2022 OUTLOOK</t>
  </si>
  <si>
    <t>0064L000002b20e</t>
  </si>
  <si>
    <t>Live Nation Entertainment, Inc.</t>
  </si>
  <si>
    <t>FP&amp;A Design and Implement</t>
  </si>
  <si>
    <t>24/4/2021</t>
  </si>
  <si>
    <t>0064L00000CYxdm</t>
  </si>
  <si>
    <t>Confidential New Facility Build - PMO Assess and Initiatives  - Phases 1&amp;2</t>
  </si>
  <si>
    <t>Jeff Seiff</t>
  </si>
  <si>
    <t>0064L00000Bgf4b</t>
  </si>
  <si>
    <t>SANTEN PHARMACEUTICAL CO.,LTD.</t>
  </si>
  <si>
    <t>Santen - QMR, Doc Management &amp; Complaints Management #QualityManagedServices</t>
  </si>
  <si>
    <t>0064L000004xDPA</t>
  </si>
  <si>
    <t>Project Spree - platform simplification #PayerCO&amp;ITrans #SS&amp;O</t>
  </si>
  <si>
    <t>20/1/2021</t>
  </si>
  <si>
    <t>0064L00000BgMSA</t>
  </si>
  <si>
    <t>Catalent Inc.</t>
  </si>
  <si>
    <t>Catalent - QMR, Doc Management &amp; Complaints Management #QualityManagedServices</t>
  </si>
  <si>
    <t>0064L00000BgMRv</t>
  </si>
  <si>
    <t>PTC Therapeutics, Inc.</t>
  </si>
  <si>
    <t>PTC Therapeutics - QMR, Doc Management &amp; Complaints Management #QualityManagedServices</t>
  </si>
  <si>
    <t>0064L00000DFcLc</t>
  </si>
  <si>
    <t>SodaStream Remediation and Integration Support</t>
  </si>
  <si>
    <t>Rajan Gandhi</t>
  </si>
  <si>
    <t>0064I00000qtvKq</t>
  </si>
  <si>
    <t>HILTON WORLDWIDE HOLDINGS INC</t>
  </si>
  <si>
    <t>IGP - Remaining RFP - Park Hotels &amp; Resorts</t>
  </si>
  <si>
    <t>Alec Massey</t>
  </si>
  <si>
    <t>0064L00000Bnb9u</t>
  </si>
  <si>
    <t>IVR Refinement #callcenter #dvc</t>
  </si>
  <si>
    <t>0064L00000CV0qQ</t>
  </si>
  <si>
    <t>Perkinelmer INC.</t>
  </si>
  <si>
    <t>Perkin Elmer - QMR, Doc Management &amp; Complaints Management #QualityManagedServices</t>
  </si>
  <si>
    <t>0064L00000CV0qu</t>
  </si>
  <si>
    <t>Rigel Pharmaceuticals, Inc.</t>
  </si>
  <si>
    <t>Rigel Pharma - QMR, Doc Management &amp; Complaints Management #QualityManagedServices</t>
  </si>
  <si>
    <t>0064L00000CV0rO</t>
  </si>
  <si>
    <t>Biomarin Pharmaceutical, Inc.</t>
  </si>
  <si>
    <t>Biomarin - QMR, Doc Management &amp; Complaints Management #QualityManagedServices</t>
  </si>
  <si>
    <t>0064L00000D93qR</t>
  </si>
  <si>
    <t>Counterparty Risk Management Platform-Model Risk Management- Phase 2 and 3</t>
  </si>
  <si>
    <t>Attilio Di Mattia</t>
  </si>
  <si>
    <t>0064L000009ezOR</t>
  </si>
  <si>
    <t>Thomas H. Lee Partners, L.P.</t>
  </si>
  <si>
    <t>THL - ERP Implementation</t>
  </si>
  <si>
    <t>29/6/2021</t>
  </si>
  <si>
    <t>0064L00000B2m3Q</t>
  </si>
  <si>
    <t>AAH Project OAR Smart Sourcing Assessment</t>
  </si>
  <si>
    <t>18/10/2021</t>
  </si>
  <si>
    <t>Kara Krajenta</t>
  </si>
  <si>
    <t>0064L00000D8Xeq</t>
  </si>
  <si>
    <t>Constellation Brands, Inc.</t>
  </si>
  <si>
    <t>CBI RGM Price Pack Architecture Opportunity Assessment &amp; Strategy</t>
  </si>
  <si>
    <t>Edward Landry</t>
  </si>
  <si>
    <t>0064L00000Blzob</t>
  </si>
  <si>
    <t>Trimble, Inc</t>
  </si>
  <si>
    <t>Trimble - Digital transformation training &amp; upskilling #adopt #ProEdgexWorkforce</t>
  </si>
  <si>
    <t>Susan Drea</t>
  </si>
  <si>
    <t>Astha Dutta</t>
  </si>
  <si>
    <t>0064L00000CYUci</t>
  </si>
  <si>
    <t>Tina Schrier</t>
  </si>
  <si>
    <t>0064L00000BoKNw</t>
  </si>
  <si>
    <t>Comcast Phase 2 and 3</t>
  </si>
  <si>
    <t>Alex Blanter</t>
  </si>
  <si>
    <t>Punit Bhargava</t>
  </si>
  <si>
    <t>0064L00000Bn9gk</t>
  </si>
  <si>
    <t>HPE - Sales Comp Anaplan Implementation Ph2b [bridge 2022] #TMTPricing</t>
  </si>
  <si>
    <t>Lana Raymonde</t>
  </si>
  <si>
    <t>0064L000004xHam</t>
  </si>
  <si>
    <t>Reyes Holdings LLC.</t>
  </si>
  <si>
    <t>GTM Redesign for FSOP and SS</t>
  </si>
  <si>
    <t>0064L00000BcVGu</t>
  </si>
  <si>
    <t>Barrel Park Brewery LLC</t>
  </si>
  <si>
    <t>Business Plan Development</t>
  </si>
  <si>
    <t>0064L00000DJR4O</t>
  </si>
  <si>
    <t>Hillenbrand Inc.</t>
  </si>
  <si>
    <t>Hillenbrand HCM HR Transformation &amp; OCM Support</t>
  </si>
  <si>
    <t>Kalvin Davies</t>
  </si>
  <si>
    <t>Hillenbrand HCM Implementation</t>
  </si>
  <si>
    <t>0064L00000DG3wU</t>
  </si>
  <si>
    <t>Diebold Nixdorf, Incorporated</t>
  </si>
  <si>
    <t>DN - Project Velocity - phase 2</t>
  </si>
  <si>
    <t>Patryk Siemion</t>
  </si>
  <si>
    <t>0064L00000BnsvE</t>
  </si>
  <si>
    <t>Alpha FO/MO Cash Product Strategy and Design</t>
  </si>
  <si>
    <t>19/7/2022 6:52 pm</t>
  </si>
  <si>
    <t>0064L00000BoUXQ</t>
  </si>
  <si>
    <t>OneStream - FP&amp;A implementation - Phase 2</t>
  </si>
  <si>
    <t>0064L00000CYpKH</t>
  </si>
  <si>
    <t>Eagleville Group B.V.</t>
  </si>
  <si>
    <t>Timex - Phase 3b and 4 - S&amp;OP - Workstream in Project Gemini</t>
  </si>
  <si>
    <t>Jackie Swanson</t>
  </si>
  <si>
    <t>0064L000004xpCj</t>
  </si>
  <si>
    <t>SAP S4 - Change Management Phase 2 (Latin America Rollout)</t>
  </si>
  <si>
    <t>29/1/2021</t>
  </si>
  <si>
    <t>0064L00000BoQCf</t>
  </si>
  <si>
    <t>MSFT MAVS CE&amp;S Deal Support - FY23</t>
  </si>
  <si>
    <t>Benjamin Hagen</t>
  </si>
  <si>
    <t>0064L00000DG3mF</t>
  </si>
  <si>
    <t>MCK PSAS Pricing Phase 1 CO</t>
  </si>
  <si>
    <t>0064L00000Bcpny</t>
  </si>
  <si>
    <t>Memorial Sloan-Kettering Cancer Center *VBO* Hospital Medicaid Recurring Placements</t>
  </si>
  <si>
    <t>0064L00000Ar94G</t>
  </si>
  <si>
    <t>Fuel Our Growth Phase 2: Strategic Sourcing (Gain Share Fee)</t>
  </si>
  <si>
    <t>0064L00000CH0JQ</t>
  </si>
  <si>
    <t>MSFT DLS FY23 H1 TR Nuance</t>
  </si>
  <si>
    <t>Yujian Yang</t>
  </si>
  <si>
    <t>0064L00000CYlQ6</t>
  </si>
  <si>
    <t>The Home Depot Inc.</t>
  </si>
  <si>
    <t>Associate Engagement Phase 1</t>
  </si>
  <si>
    <t>Peter Frank</t>
  </si>
  <si>
    <t>0064L00000DFrD8</t>
  </si>
  <si>
    <t>Benefit Config Modernization - Design and Planning 2022 #PayerCO&amp;ITrans</t>
  </si>
  <si>
    <t>0064L00000Bm9Xz</t>
  </si>
  <si>
    <t>Project Denali (ABK) - Sales</t>
  </si>
  <si>
    <t>0064L00000ArMlN</t>
  </si>
  <si>
    <t>Intel Marketplace_Design Phase - Sprint 3</t>
  </si>
  <si>
    <t>0064L00000DJZ0y</t>
  </si>
  <si>
    <t>Mount Sinai Health System - CCC Technology Strategy &amp; Roadmap #HVM</t>
  </si>
  <si>
    <t>Bryan Beaver</t>
  </si>
  <si>
    <t>0064L00000Bdb5H</t>
  </si>
  <si>
    <t>Carmax Inc.</t>
  </si>
  <si>
    <t>Carmax - Customer Data Mgmt</t>
  </si>
  <si>
    <t>Brad Herndon</t>
  </si>
  <si>
    <t>0064L00000BoqJ7</t>
  </si>
  <si>
    <t>Teladoc Health, Inc.</t>
  </si>
  <si>
    <t>TDH Xactly TQM CEA WDAY Integration &amp; FY23 Readiness</t>
  </si>
  <si>
    <t>Vineet Mishra</t>
  </si>
  <si>
    <t>Larry Melillo</t>
  </si>
  <si>
    <t>0064L00000BnKuX</t>
  </si>
  <si>
    <t>Reliable Community Bancshares Inc.</t>
  </si>
  <si>
    <t>Bank of Missouri nCino LOS Deployment Delivery FY23 #&lt;$50B #SCB</t>
  </si>
  <si>
    <t>0064L000009fSxp</t>
  </si>
  <si>
    <t>AEP + CustomerLink Integration</t>
  </si>
  <si>
    <t>Brian Morris</t>
  </si>
  <si>
    <t>Molly Early</t>
  </si>
  <si>
    <t>0064L00000CYBRk</t>
  </si>
  <si>
    <t>Citrix Systems Inc.</t>
  </si>
  <si>
    <t>Citrix CDP Implementation</t>
  </si>
  <si>
    <t>0064L00000BmQsL</t>
  </si>
  <si>
    <t>HIG GB Data Transformation</t>
  </si>
  <si>
    <t>0064L00000DM6o7</t>
  </si>
  <si>
    <t>University System Of Georgia</t>
  </si>
  <si>
    <t>Participant Retirement and Financial Education</t>
  </si>
  <si>
    <t>Cornell Staeger</t>
  </si>
  <si>
    <t>0064L00000DFv6L</t>
  </si>
  <si>
    <t>Zoetis Inc.</t>
  </si>
  <si>
    <t>Zoetis Phase 4: Retail Support_Amazon Rx Enablement</t>
  </si>
  <si>
    <t>19/6/2022</t>
  </si>
  <si>
    <t>Colin Carroll</t>
  </si>
  <si>
    <t>Nikki Frazer</t>
  </si>
  <si>
    <t>0064L00000BmOvR</t>
  </si>
  <si>
    <t>Back Office Transformation - SOW #3 Fit-Gap</t>
  </si>
  <si>
    <t>19/2/2022</t>
  </si>
  <si>
    <t>0064L00000DLoUz</t>
  </si>
  <si>
    <t>Grupo Coppel, S.A. de C.V.</t>
  </si>
  <si>
    <t>Core Banking - Planning Phase</t>
  </si>
  <si>
    <t>Raul Garcia</t>
  </si>
  <si>
    <t>0064L000002ahrX</t>
  </si>
  <si>
    <t>NextEra FPL_CX Transformation_Salesforce</t>
  </si>
  <si>
    <t>15/4/2021</t>
  </si>
  <si>
    <t>0064L00000BlGOu</t>
  </si>
  <si>
    <t>Merchant Peerless Strategy &amp; TAM</t>
  </si>
  <si>
    <t>0064L00000D8vGd</t>
  </si>
  <si>
    <t>SaaS Product - Phase 4 Reporting and KPIs</t>
  </si>
  <si>
    <t>0064L00000D8vGS</t>
  </si>
  <si>
    <t>SaaS Commercialization - Phase 3 Financials and GTM</t>
  </si>
  <si>
    <t>0064L00000AqmIL</t>
  </si>
  <si>
    <t>Int. 2.0 I/C Pillar Phase 3A 2022 - Finance</t>
  </si>
  <si>
    <t>29/9/2021</t>
  </si>
  <si>
    <t>Henryk Papiz</t>
  </si>
  <si>
    <t>0064L00000D8bMq</t>
  </si>
  <si>
    <t>Cracker Barrel Old Country Store INC.</t>
  </si>
  <si>
    <t>Digital Store Guest Enablement - 2023 Dev Support</t>
  </si>
  <si>
    <t>John Swadener</t>
  </si>
  <si>
    <t>Pasquale Gargiulo</t>
  </si>
  <si>
    <t>0064L000006BS0F</t>
  </si>
  <si>
    <t>Finance Automation &amp; Modernization</t>
  </si>
  <si>
    <t>Adam Proegler</t>
  </si>
  <si>
    <t>0064L00000DLKU7</t>
  </si>
  <si>
    <t>Contract Pricing Assessment Phase 2</t>
  </si>
  <si>
    <t>Shane Tormey</t>
  </si>
  <si>
    <t>Varun Rai</t>
  </si>
  <si>
    <t>0064L00000BonET</t>
  </si>
  <si>
    <t>BizLink and Lubes MS Extension</t>
  </si>
  <si>
    <t>0064L00000B0ujy</t>
  </si>
  <si>
    <t>#IOBP -- Global Medical Affairs Enablement</t>
  </si>
  <si>
    <t>0064L00000CVpH8</t>
  </si>
  <si>
    <t>KeyBank cost modeling managed service - #NextGenCostingMSO</t>
  </si>
  <si>
    <t>24/3/2022</t>
  </si>
  <si>
    <t>0064L00000BfQHL</t>
  </si>
  <si>
    <t>Ultra Clean Holdings INC.</t>
  </si>
  <si>
    <t>Austin SAP go-live suport</t>
  </si>
  <si>
    <t>Bala Ramanan</t>
  </si>
  <si>
    <t>0064L00000BcjFY</t>
  </si>
  <si>
    <t>Lucid Group, Inc.</t>
  </si>
  <si>
    <t>Lucid Motors - S/4 Delivery Change Management and Training</t>
  </si>
  <si>
    <t>29/11/2021</t>
  </si>
  <si>
    <t>Cydney Aiken</t>
  </si>
  <si>
    <t>Lucid Motors - S/4 Delivery</t>
  </si>
  <si>
    <t>Connor Blaul</t>
  </si>
  <si>
    <t>0064L00000DFimU</t>
  </si>
  <si>
    <t>Israel Discount Bank Ltd.</t>
  </si>
  <si>
    <t>5-Year Strategic Plan &amp; Growth Strategy</t>
  </si>
  <si>
    <t>0064L00000CXrrO</t>
  </si>
  <si>
    <t>Gilead: Transformation - Post SAP Future State Org Design</t>
  </si>
  <si>
    <t>0064L00000DJaz9</t>
  </si>
  <si>
    <t>Harwick - Custom FAW Development</t>
  </si>
  <si>
    <t>Marla Graeber</t>
  </si>
  <si>
    <t>Harwick Project - Phase 2 Business Transformation 1/3</t>
  </si>
  <si>
    <t>Alex Glanz-Berger</t>
  </si>
  <si>
    <t>0064L00000CYCAA</t>
  </si>
  <si>
    <t>Retail insights/ expansion</t>
  </si>
  <si>
    <t>26/9/2022</t>
  </si>
  <si>
    <t>0064L00000DLH7v</t>
  </si>
  <si>
    <t>Zoom Video Communications Inc.</t>
  </si>
  <si>
    <t>Zoom Video - Content Mgmt &amp; Web Analytics</t>
  </si>
  <si>
    <t>26/6/2022</t>
  </si>
  <si>
    <t>0064L00000CYB3Q</t>
  </si>
  <si>
    <t>Celanese - Project Milan Core IMO - Phase 2</t>
  </si>
  <si>
    <t>Rupinder Gill</t>
  </si>
  <si>
    <t>0064L00000CV5yI</t>
  </si>
  <si>
    <t>Warranty Expansion</t>
  </si>
  <si>
    <t>John Mulhall</t>
  </si>
  <si>
    <t>0064I00000y8YUQ</t>
  </si>
  <si>
    <t>Capital Planning, Prioritization, Portfolio Mgmt. Tool - T&amp;D</t>
  </si>
  <si>
    <t>31/10/2019</t>
  </si>
  <si>
    <t>Jon Howe</t>
  </si>
  <si>
    <t>0064L00000D8mX3</t>
  </si>
  <si>
    <t>BHSH Integration Execution - Future Cast</t>
  </si>
  <si>
    <t>Michael Petersen</t>
  </si>
  <si>
    <t>Chad Killian</t>
  </si>
  <si>
    <t>0064L0000069saz</t>
  </si>
  <si>
    <t>CSP Digital Commerce - SMT Loyalty Phase 2 (May-Sep)</t>
  </si>
  <si>
    <t>Mark Baker</t>
  </si>
  <si>
    <t>0064L000009faDV</t>
  </si>
  <si>
    <t>FRB BPO Vendor Selection Phase 2 #FFG</t>
  </si>
  <si>
    <t>Gretchen Lott</t>
  </si>
  <si>
    <t>0064L00000DM4Xx</t>
  </si>
  <si>
    <t>Takeda Value Optimization Initiative</t>
  </si>
  <si>
    <t>Eric Collins</t>
  </si>
  <si>
    <t>0064L00000CWfgH</t>
  </si>
  <si>
    <t>WBA - Customer Personas and Journey Development Experience</t>
  </si>
  <si>
    <t>0064L00000CWxWB</t>
  </si>
  <si>
    <t>WBA - Customer Personas and Journey Development Experience Extension / Follow On</t>
  </si>
  <si>
    <t>0064L00000DM7Ga</t>
  </si>
  <si>
    <t>Citigroup - Compensation TOM - 1,180,180</t>
  </si>
  <si>
    <t>Samuel Bloustein</t>
  </si>
  <si>
    <t>0064L00000DG4dE</t>
  </si>
  <si>
    <t>Syneos GTM 2.0</t>
  </si>
  <si>
    <t>0064L00000CY0G7</t>
  </si>
  <si>
    <t>GE Separation - Aviation - SMO - DT</t>
  </si>
  <si>
    <t>GE Separation - Aviation - SMO</t>
  </si>
  <si>
    <t>Ruth Romero Cavazos</t>
  </si>
  <si>
    <t>0064L00000B1QIt</t>
  </si>
  <si>
    <t>BL - RA for Elderly Phase 2 (US Portion)</t>
  </si>
  <si>
    <t>13/9/2021</t>
  </si>
  <si>
    <t>0064L00000CH2K6</t>
  </si>
  <si>
    <t>SCOUT Covid Vaccine and Inventory Forecasting Support</t>
  </si>
  <si>
    <t>Nick Bonny</t>
  </si>
  <si>
    <t>0064L00000DFqtI</t>
  </si>
  <si>
    <t>PMO Support for GDP Initiatives Change Order- 'Project Mango'</t>
  </si>
  <si>
    <t>16/6/2022 9:15 pm</t>
  </si>
  <si>
    <t>Kristina Capiak</t>
  </si>
  <si>
    <t>0064L00000D8XVj</t>
  </si>
  <si>
    <t>Saint Louis University</t>
  </si>
  <si>
    <t>Project Wimbledon- Post Close Support</t>
  </si>
  <si>
    <t>Clay Hale</t>
  </si>
  <si>
    <t>0064L00000CXVyX</t>
  </si>
  <si>
    <t>Retirement Recordkeeping CPP Transformation #DVC</t>
  </si>
  <si>
    <t>0064L000007tm7E</t>
  </si>
  <si>
    <t>PBNA Project Prime Phase 2B</t>
  </si>
  <si>
    <t>0064L00000Blcnm</t>
  </si>
  <si>
    <t>HPE - CRM Data Hygiene &amp; Governance</t>
  </si>
  <si>
    <t>0064L00000BgTFi</t>
  </si>
  <si>
    <t>TD Wealth &amp; Insurance - CC Transformation Strategy</t>
  </si>
  <si>
    <t>0064I000015TDtR</t>
  </si>
  <si>
    <t>Denso North America EDMCS (Data Management)</t>
  </si>
  <si>
    <t>0064L000009fcp5</t>
  </si>
  <si>
    <t>Blue Triton Brands - TPM - Phase 2 - Performance Analyzer Deployment #RGM</t>
  </si>
  <si>
    <t>22/7/2021</t>
  </si>
  <si>
    <t>Blue Triton Brands - TPM - Phase 1 - SAP TPM #RGM #SAP+M&amp;APE</t>
  </si>
  <si>
    <t>0064L00000DG4w1</t>
  </si>
  <si>
    <t>IT Services - Offshore Vendor Review</t>
  </si>
  <si>
    <t>0064L00000BlMTW</t>
  </si>
  <si>
    <t>TTS ESG Product Strategy #ESG #CS_ESG #FSClimateRisk</t>
  </si>
  <si>
    <t>0064L00000DG4Zg</t>
  </si>
  <si>
    <t>My Plus - Future of Work</t>
  </si>
  <si>
    <t>0064L00000ArcdM</t>
  </si>
  <si>
    <t>Baystate Health Inc.</t>
  </si>
  <si>
    <t>FY22-24 *Strategic Reimbursement*</t>
  </si>
  <si>
    <t>Craig Brondyke</t>
  </si>
  <si>
    <t>0064L00000DMEDl</t>
  </si>
  <si>
    <t>Informa Plc</t>
  </si>
  <si>
    <t>Curinos (Proj Ibis) - Value Creation Strategy</t>
  </si>
  <si>
    <t>0064L00000CXwuX</t>
  </si>
  <si>
    <t>Facets Modernization Business Integrator - PHASE 2 #DVC</t>
  </si>
  <si>
    <t>Pier Noventa</t>
  </si>
  <si>
    <t>0064L00000BopuC</t>
  </si>
  <si>
    <t>Brookfield Asset Management Inc.</t>
  </si>
  <si>
    <t>Luminace Salesforce Platform</t>
  </si>
  <si>
    <t>0064L00000BfQTR</t>
  </si>
  <si>
    <t>Microsoft Scope 3 Supply Chain Solution - Customer Zero #ESG-TMT-Wave1</t>
  </si>
  <si>
    <t>0064L00000BlQgZ</t>
  </si>
  <si>
    <t>ACI Worldwide, Inc.</t>
  </si>
  <si>
    <t>Banking SaaS Pricing Model</t>
  </si>
  <si>
    <t>14/1/2022</t>
  </si>
  <si>
    <t>Nicholas Schmiedeknecht</t>
  </si>
  <si>
    <t>0064L00000D8p36</t>
  </si>
  <si>
    <t>TIGER - Transformation Hub (Phase 2)</t>
  </si>
  <si>
    <t>0064L00000CWws7</t>
  </si>
  <si>
    <t>Project Neo NEB/Settlements/Working Capital (Jul-Dec 2022)</t>
  </si>
  <si>
    <t>0064L00000Bdeda</t>
  </si>
  <si>
    <t>Project SKY separations 2022 - Operations Support</t>
  </si>
  <si>
    <t>22/12/2021</t>
  </si>
  <si>
    <t>Glen Goldbach</t>
  </si>
  <si>
    <t>0064L00000D8VKe</t>
  </si>
  <si>
    <t>Pfizer Covid Vaccine Logistics and Distribution Support</t>
  </si>
  <si>
    <t>0064L00000DLv25</t>
  </si>
  <si>
    <t>Walmart ESG Data and Reporting Transformation #ESGMSFT</t>
  </si>
  <si>
    <t>0064L00000BnRA3</t>
  </si>
  <si>
    <t>Amazon Studios - ERP</t>
  </si>
  <si>
    <t>0064L00000Bd3Ae</t>
  </si>
  <si>
    <t>GTN - Japan deployment</t>
  </si>
  <si>
    <t>0064L00000Bd3DD</t>
  </si>
  <si>
    <t>GTN - Germany</t>
  </si>
  <si>
    <t>0064L00000CYpaU</t>
  </si>
  <si>
    <t>Entergy Transmission &amp; Distribution Merger Implementation</t>
  </si>
  <si>
    <t>Drew Miller</t>
  </si>
  <si>
    <t>0064L00000CXIWx</t>
  </si>
  <si>
    <t>Phase 2 - TM Servicing Implementation Support</t>
  </si>
  <si>
    <t>0064L00000Bf6eZ</t>
  </si>
  <si>
    <t>Carbon Ledger Pilot</t>
  </si>
  <si>
    <t>0064L00000Bf6ge</t>
  </si>
  <si>
    <t>0064L00000Bf6go</t>
  </si>
  <si>
    <t>Apache Corporation</t>
  </si>
  <si>
    <t>0064L00000DLQTL</t>
  </si>
  <si>
    <t>THD Retail FFG #FFG3.0</t>
  </si>
  <si>
    <t>0064L00000Bf6jE</t>
  </si>
  <si>
    <t>0064L00000Bf6kC</t>
  </si>
  <si>
    <t>Transocean Ltd.</t>
  </si>
  <si>
    <t>0064L00000B2uPo</t>
  </si>
  <si>
    <t>KP Employer Digital Strategy</t>
  </si>
  <si>
    <t>0064L00000CWWf9</t>
  </si>
  <si>
    <t>Unum Total Leave Migration</t>
  </si>
  <si>
    <t>0064L00000D8XEx</t>
  </si>
  <si>
    <t>Talcott Resolution Life PAS Strategy &amp; Roadmap</t>
  </si>
  <si>
    <t>0064L00000BnqpY</t>
  </si>
  <si>
    <t>Project Aurum - IMO Support Phase I</t>
  </si>
  <si>
    <t>Project Aurum TDD</t>
  </si>
  <si>
    <t>Adrian Kellams</t>
  </si>
  <si>
    <t>0064L00000BnqrF</t>
  </si>
  <si>
    <t>DVC_GBS</t>
  </si>
  <si>
    <t>0064L00000DLcD3</t>
  </si>
  <si>
    <t>NXP Semiconductors N.V.</t>
  </si>
  <si>
    <t>Avnet - Blue Yonder - $1M</t>
  </si>
  <si>
    <t>Arvind Niranjan</t>
  </si>
  <si>
    <t>Kanchi Bordick</t>
  </si>
  <si>
    <t>0064L00000CVwHc</t>
  </si>
  <si>
    <t>Comcast Employee FinWell Program</t>
  </si>
  <si>
    <t>28/3/2022</t>
  </si>
  <si>
    <t>Aaron Harding</t>
  </si>
  <si>
    <t>0064L000003yYa9</t>
  </si>
  <si>
    <t>MS - ETFC Acct Conversion Support - WMTech #WM</t>
  </si>
  <si>
    <t>Matthew Jong</t>
  </si>
  <si>
    <t>0064L00000DLcEV</t>
  </si>
  <si>
    <t>Wolfspeed - Blue Yonder - $1M</t>
  </si>
  <si>
    <t>0064L000003yXvp</t>
  </si>
  <si>
    <t>FHIT Implementation planning/preparation</t>
  </si>
  <si>
    <t>0064L00000BoAz5</t>
  </si>
  <si>
    <t>Discover Financial Services</t>
  </si>
  <si>
    <t>Discover International Support Model Design</t>
  </si>
  <si>
    <t>Namit Kapoor</t>
  </si>
  <si>
    <t>Akhil Jain</t>
  </si>
  <si>
    <t>0064L00000D8XTn</t>
  </si>
  <si>
    <t>Hackensack Meridian Health, Inc.</t>
  </si>
  <si>
    <t>Hackensack Implementation Project #MSFTProvider</t>
  </si>
  <si>
    <t>0064L00000D8XVo</t>
  </si>
  <si>
    <t>Northwestern Medicine</t>
  </si>
  <si>
    <t>Northwestern BizApps Strategy</t>
  </si>
  <si>
    <t>0064L00000DJkjO</t>
  </si>
  <si>
    <t>Job Architecture -- Pharmacy, Pop Healt, Contact Center</t>
  </si>
  <si>
    <t>0064L00000DLrRz</t>
  </si>
  <si>
    <t>Legacy Application Modernization / Cloud Migration Concept Phase</t>
  </si>
  <si>
    <t>0064L00000D8gXV</t>
  </si>
  <si>
    <t>Mercury Systems, Inc.</t>
  </si>
  <si>
    <t>Mercury Systems- Blue Yonder - $1M</t>
  </si>
  <si>
    <t>Mark Hermans</t>
  </si>
  <si>
    <t>Aliza LNU</t>
  </si>
  <si>
    <t>0064L00000B2rRD</t>
  </si>
  <si>
    <t>#QMS eQMS Implementation</t>
  </si>
  <si>
    <t>#QMS eQMS Selection</t>
  </si>
  <si>
    <t>0064L00000D8gXp</t>
  </si>
  <si>
    <t>Microsoft- Blue Yonder - $1M</t>
  </si>
  <si>
    <t>0064L00000DLOrB</t>
  </si>
  <si>
    <t>Tapestry, Inc.</t>
  </si>
  <si>
    <t>Pricing Capability Development</t>
  </si>
  <si>
    <t>Emre Sucu</t>
  </si>
  <si>
    <t>0064L00000D8gZv</t>
  </si>
  <si>
    <t>HPE- Blue Yonder - $1M</t>
  </si>
  <si>
    <t>0064L00000708pF</t>
  </si>
  <si>
    <t>MWI Price Management Implementation</t>
  </si>
  <si>
    <t>17/3/2021</t>
  </si>
  <si>
    <t>Rick Jean</t>
  </si>
  <si>
    <t>0064L00000D8gbN</t>
  </si>
  <si>
    <t>Facebook- Blue Yonder - $1M</t>
  </si>
  <si>
    <t>0064L00000D8gcL</t>
  </si>
  <si>
    <t>Starbucks Corporation</t>
  </si>
  <si>
    <t>Starbucks- Blue Yonder - $1M</t>
  </si>
  <si>
    <t>0064L00000D8gcf</t>
  </si>
  <si>
    <t>DoorDash, Inc.</t>
  </si>
  <si>
    <t>Doordash- Blue Yonder - $1M</t>
  </si>
  <si>
    <t>0064L00000D8gbr</t>
  </si>
  <si>
    <t>HP- Blue Yonder - $1M</t>
  </si>
  <si>
    <t>0064L000001uhNO</t>
  </si>
  <si>
    <t>Lear Corporation</t>
  </si>
  <si>
    <t>Oracle Cloud - On Prem Hyperion to the Cloud</t>
  </si>
  <si>
    <t>27/6/2020</t>
  </si>
  <si>
    <t>13/5/2023</t>
  </si>
  <si>
    <t>Natalie Delemar</t>
  </si>
  <si>
    <t>AD_BO_CJ_FFG_FINANCE TRANSFORMATION_06FY20_ORACLE FIN STABILITY SELLING TO CFO</t>
  </si>
  <si>
    <t>0064L00000BfXVk</t>
  </si>
  <si>
    <t>Hugh Le</t>
  </si>
  <si>
    <t>0064L00000CYnLX</t>
  </si>
  <si>
    <t>Wholesale Credit Risk Rating Support (US Portion) #credit</t>
  </si>
  <si>
    <t>Matthew Blumenfeld</t>
  </si>
  <si>
    <t>0064L00000D8hHJ</t>
  </si>
  <si>
    <t>Scientific Games/ LightWonder- Blue Yonder - $1M</t>
  </si>
  <si>
    <t>0064L00000BoB1V</t>
  </si>
  <si>
    <t>S&amp;OP Third Party Assessment - Phase 2</t>
  </si>
  <si>
    <t>Namit Mehta</t>
  </si>
  <si>
    <t>Brennan Matthews</t>
  </si>
  <si>
    <t>0064L00000Bf76c</t>
  </si>
  <si>
    <t>BMS FFG Smart Budgeting IP Generation</t>
  </si>
  <si>
    <t>0064L00000D8hIR</t>
  </si>
  <si>
    <t>Juniper Networks, Inc.</t>
  </si>
  <si>
    <t>Juniper networks- Blue Yonder - $1M</t>
  </si>
  <si>
    <t>0064L00000D8hHo</t>
  </si>
  <si>
    <t>Verizon- Blue Yonder - $1M</t>
  </si>
  <si>
    <t>0064L00000D8hHn</t>
  </si>
  <si>
    <t>Seagate Technology Public Limited Company</t>
  </si>
  <si>
    <t>Seagate- Blue Yonder - $1M</t>
  </si>
  <si>
    <t>0064L00000D8hIv</t>
  </si>
  <si>
    <t>Lumen- Blue Yonder - $1M</t>
  </si>
  <si>
    <t>0064L00000D8hJU</t>
  </si>
  <si>
    <t>D &amp; H Distributing Co.</t>
  </si>
  <si>
    <t>D&amp;H Dist- Blue Yonder - $1M</t>
  </si>
  <si>
    <t>0064L0000099Z5a</t>
  </si>
  <si>
    <t>Loan System Consolidation Change Management Program</t>
  </si>
  <si>
    <t>30/7/2021</t>
  </si>
  <si>
    <t>Christine Winters</t>
  </si>
  <si>
    <t>0064L00000D8hKN</t>
  </si>
  <si>
    <t>AT&amp;T- Blue Yonder - $1M</t>
  </si>
  <si>
    <t>0064L00000BdRW5</t>
  </si>
  <si>
    <t>ADS - S2P #Coupa Implementation</t>
  </si>
  <si>
    <t>15/12/2021</t>
  </si>
  <si>
    <t>0064L00000ArPhU</t>
  </si>
  <si>
    <t>SAP SE</t>
  </si>
  <si>
    <t>Sustainable economics / cost of growth assessment #FFG</t>
  </si>
  <si>
    <t>Henning Hagen</t>
  </si>
  <si>
    <t>0064L000001uUuy</t>
  </si>
  <si>
    <t>Future Cast Engagement #strategic - Phase 1 *Customer* *Dynamic*</t>
  </si>
  <si>
    <t>20/6/2020</t>
  </si>
  <si>
    <t>0064L00000Bf6b5</t>
  </si>
  <si>
    <t>Republic Services INC.</t>
  </si>
  <si>
    <t>RSI - Time &amp; Expense</t>
  </si>
  <si>
    <t>Amanda Spagnoli</t>
  </si>
  <si>
    <t>0064L00000BkyWb</t>
  </si>
  <si>
    <t>P&amp;G - Next Gen Customer Advantage</t>
  </si>
  <si>
    <t>18/12/2021</t>
  </si>
  <si>
    <t>Erica Ellis</t>
  </si>
  <si>
    <t>0064L00000Bf6d2</t>
  </si>
  <si>
    <t>GHG Implementation</t>
  </si>
  <si>
    <t>0064L00000CXYvz</t>
  </si>
  <si>
    <t>BBYH - Revenue Cycle Management Phase 2</t>
  </si>
  <si>
    <t>0064L00000Bg7ct</t>
  </si>
  <si>
    <t>Omni Hotels Management Corporation</t>
  </si>
  <si>
    <t>Loyalty Strategy &amp; Build</t>
  </si>
  <si>
    <t>23/2/2022</t>
  </si>
  <si>
    <t>0064L0000040ntd</t>
  </si>
  <si>
    <t>Marketing Analytics - Media Intelligence</t>
  </si>
  <si>
    <t>22/10/2020</t>
  </si>
  <si>
    <t>0064L00000BgZJu</t>
  </si>
  <si>
    <t>HAEMONETICS Corp.</t>
  </si>
  <si>
    <t>Oracle EPM - Consolidations (FCCS)</t>
  </si>
  <si>
    <t>Jarret Heller</t>
  </si>
  <si>
    <t>0064L00000DMB0t</t>
  </si>
  <si>
    <t>Hyatt - CDP Integration</t>
  </si>
  <si>
    <t>0064L00000Bg7fx</t>
  </si>
  <si>
    <t>0064L00000CGyMm</t>
  </si>
  <si>
    <t>nxtgenERP BU/Functional MI&amp;R Reporting &amp; EDW</t>
  </si>
  <si>
    <t>Mathew Keirnes</t>
  </si>
  <si>
    <t>0064L00000Bg7jz</t>
  </si>
  <si>
    <t>B2B Loyalty Strategy &amp; Build</t>
  </si>
  <si>
    <t>0064L00000DM0Qx</t>
  </si>
  <si>
    <t>#MedAffairs - Project MAC Phase II - Creating the MA Org for the Next 10 Years</t>
  </si>
  <si>
    <t>Keith Morris</t>
  </si>
  <si>
    <t>0064L000003z9Du</t>
  </si>
  <si>
    <t>Warranty Process Optimization / Warranty Cost Reduction</t>
  </si>
  <si>
    <t>0064L00000Aqo8I</t>
  </si>
  <si>
    <t>Live Oak Banking Company</t>
  </si>
  <si>
    <t>Live Oak nCino optimization delivery R2 #&lt;$50B</t>
  </si>
  <si>
    <t>0064L00000Aqo8J</t>
  </si>
  <si>
    <t>Live Oak Customer Engagement layer  #&lt;$50B</t>
  </si>
  <si>
    <t>0064L00000BnNEV</t>
  </si>
  <si>
    <t>S&amp;P Global Inc.</t>
  </si>
  <si>
    <t>S&amp;P Global - Digital Transformation / Operating Model Shift</t>
  </si>
  <si>
    <t>0064L0000069L8S</t>
  </si>
  <si>
    <t>SCJ - Marketing Bundle</t>
  </si>
  <si>
    <t>Katie Casselton</t>
  </si>
  <si>
    <t>0064L000003z9Fq</t>
  </si>
  <si>
    <t>In-/ Out-bound Logistics Strategy</t>
  </si>
  <si>
    <t>0064L00000BmllF</t>
  </si>
  <si>
    <t>ICP/LE Forecasting Transformation</t>
  </si>
  <si>
    <t>Chris Paley</t>
  </si>
  <si>
    <t>0064L00000D8VDJ</t>
  </si>
  <si>
    <t>SOLIL MANAGEMENT LLC</t>
  </si>
  <si>
    <t>ERP Replacement</t>
  </si>
  <si>
    <t>Tim Mueller</t>
  </si>
  <si>
    <t>Chris Moore</t>
  </si>
  <si>
    <t>0064L00000Bfgvt</t>
  </si>
  <si>
    <t>Compass Phase 4 - EPM for Capital</t>
  </si>
  <si>
    <t>0064L00000BoR2b</t>
  </si>
  <si>
    <t>BSC T2 Growth Strategy Refresh #FFG3.0</t>
  </si>
  <si>
    <t>Rohit Nayak</t>
  </si>
  <si>
    <t>0064I000011oCav</t>
  </si>
  <si>
    <t>MSFT Commerce Finance FY22 Portfolio Service</t>
  </si>
  <si>
    <t>18/1/2020</t>
  </si>
  <si>
    <t>Jim Berres</t>
  </si>
  <si>
    <t>0064L00000BoPuI</t>
  </si>
  <si>
    <t>Amazon AWS Sales Transformation as a Growth Enabler</t>
  </si>
  <si>
    <t>Jose Baptista</t>
  </si>
  <si>
    <t>0064L000009AQPc</t>
  </si>
  <si>
    <t>L3Harris Digital Engineering - CY23 Implementation Support [Placeholder]</t>
  </si>
  <si>
    <t>L3Harris Digital Engineering - CY22 Program Support</t>
  </si>
  <si>
    <t>0064L000009AQPI</t>
  </si>
  <si>
    <t>L3Harris Digital Engineering - Ext. 2021</t>
  </si>
  <si>
    <t>0064L00000CYn5K</t>
  </si>
  <si>
    <t>Phase 2 - Vendor ROI framework for Wires Replacement #Volante</t>
  </si>
  <si>
    <t>0064L00000CYn5e</t>
  </si>
  <si>
    <t>ESG Climate Data Accelerator Phase 2 - Implementation</t>
  </si>
  <si>
    <t>Rick Wysong</t>
  </si>
  <si>
    <t>0064L00000B2MlF</t>
  </si>
  <si>
    <t>Salesforce, Inc.</t>
  </si>
  <si>
    <t>Treasury Management System Migration to Quantum</t>
  </si>
  <si>
    <t>Cheryl Cornelius</t>
  </si>
  <si>
    <t>0064L00000DBQNR</t>
  </si>
  <si>
    <t>PEP Innovation Management - Phase 4 (FY23 Support)</t>
  </si>
  <si>
    <t>Rajesh Patnaik</t>
  </si>
  <si>
    <t>Kevin McEachern</t>
  </si>
  <si>
    <t>0064L00000CXVtd</t>
  </si>
  <si>
    <t>AMZN Finance: AP / AR System Architecture / Accounting Team Support (Original)</t>
  </si>
  <si>
    <t>Christina Reip</t>
  </si>
  <si>
    <t>0064L00000CXG8A</t>
  </si>
  <si>
    <t>Treasury Transformation</t>
  </si>
  <si>
    <t>0064L00000B2MgK</t>
  </si>
  <si>
    <t>Aligned Disciplined Growth (Fit for Growth) - Strategy &amp; Alignment</t>
  </si>
  <si>
    <t>Roger Wery</t>
  </si>
  <si>
    <t>0064L00000DBQXC</t>
  </si>
  <si>
    <t>5-Year VCG Sales/Care/Ops Plan / 'No Holds Barred'</t>
  </si>
  <si>
    <t>0064L00000DLNRq</t>
  </si>
  <si>
    <t>Xcel Energy - #Coupa S2P Implementation</t>
  </si>
  <si>
    <t>0064L000001vymS</t>
  </si>
  <si>
    <t>Fit for Growth - Finance Transformation</t>
  </si>
  <si>
    <t>0064L00000Bg7Tr</t>
  </si>
  <si>
    <t>Five Below Inc</t>
  </si>
  <si>
    <t>0064L00000Bg7UQ</t>
  </si>
  <si>
    <t>Costco Wholesale</t>
  </si>
  <si>
    <t>0064L00000Bg7Uk</t>
  </si>
  <si>
    <t>0064L00000Bg7XA</t>
  </si>
  <si>
    <t>0064L00000Bg7Vx</t>
  </si>
  <si>
    <t>Jetblue Airways Corporation</t>
  </si>
  <si>
    <t>0064L00000Bg7ZB</t>
  </si>
  <si>
    <t>Skechers U.S.A. Inc.</t>
  </si>
  <si>
    <t>0064L00000DLNa4</t>
  </si>
  <si>
    <t>Ops Transformation - Sourcing and Procurement</t>
  </si>
  <si>
    <t>Stefan Zorn</t>
  </si>
  <si>
    <t>0064L0000097c1S</t>
  </si>
  <si>
    <t>Dollar General Corporation</t>
  </si>
  <si>
    <t>Dollar General Clinic Strategy - *Strategic Reimbursement*</t>
  </si>
  <si>
    <t>0064L00000DMAF4</t>
  </si>
  <si>
    <t>Shell - Swap Dealer Operations Transformation</t>
  </si>
  <si>
    <t>0064L000001w8YB</t>
  </si>
  <si>
    <t>Duracell - TPM Performance Analyzer Implementation Support #RGM</t>
  </si>
  <si>
    <t>Hans Van Delden</t>
  </si>
  <si>
    <t>Duracell TPM - NA Design + Impl. #RGM</t>
  </si>
  <si>
    <t>Marika Gola</t>
  </si>
  <si>
    <t>0064L000007wWLa</t>
  </si>
  <si>
    <t>BMS  Celgene Integration - LER Global Supply Chain Addition</t>
  </si>
  <si>
    <t>0064L00000BgZGl</t>
  </si>
  <si>
    <t>Data Strategy Mobilization</t>
  </si>
  <si>
    <t>Helene Kubon Skulstad</t>
  </si>
  <si>
    <t>0064L00000D95oq</t>
  </si>
  <si>
    <t>Billing Credits - Expansion</t>
  </si>
  <si>
    <t>0064L00000CXgRt</t>
  </si>
  <si>
    <t>LifeCo Future Proofing &amp; Financial Wellness</t>
  </si>
  <si>
    <t>Juneen Kirk</t>
  </si>
  <si>
    <t>Margo Hutkins</t>
  </si>
  <si>
    <t>0065800000jh8OR</t>
  </si>
  <si>
    <t>Organ Analysis - *Strategic Reimbursement*</t>
  </si>
  <si>
    <t>Jacqueline Wood</t>
  </si>
  <si>
    <t>0064L00000BnlzN</t>
  </si>
  <si>
    <t>Blue Cross and Blue Shield of Massachusetts, Inc.</t>
  </si>
  <si>
    <t>Care Model Design - Phase II Design and Planning #HVM</t>
  </si>
  <si>
    <t>0064L00000B1mmf</t>
  </si>
  <si>
    <t>GE FP&amp;A Transformation - Phase 0</t>
  </si>
  <si>
    <t>21/9/2021</t>
  </si>
  <si>
    <t>0064L00000CVOkx</t>
  </si>
  <si>
    <t>Hershey SAP TPM - FACTS Remediation  #RGM</t>
  </si>
  <si>
    <t>27/3/2022 8:17 pm</t>
  </si>
  <si>
    <t>0064L00000Apyk5</t>
  </si>
  <si>
    <t>*CI*UTSW School of Public Health Planning- Phase 2 Implementation</t>
  </si>
  <si>
    <t>David Church</t>
  </si>
  <si>
    <t>0064L00000Bfeew</t>
  </si>
  <si>
    <t>SSGA ESG support extension</t>
  </si>
  <si>
    <t>0064L00000DJWfZ</t>
  </si>
  <si>
    <t>F-35 Sustainment Operation Model Redesign</t>
  </si>
  <si>
    <t>0064L000001uy6o</t>
  </si>
  <si>
    <t>Visteon Corporation</t>
  </si>
  <si>
    <t>19/5/2023</t>
  </si>
  <si>
    <t>0064L00000DJWhL</t>
  </si>
  <si>
    <t>F-35 PBL Investment Strategy</t>
  </si>
  <si>
    <t>0064L00000BmYZu</t>
  </si>
  <si>
    <t>Moderna CMO Operating Model Design - Execution Phase</t>
  </si>
  <si>
    <t>0064L000002aweh</t>
  </si>
  <si>
    <t>USAA - Parallel Bank Feasibility Strategy</t>
  </si>
  <si>
    <t>0064L00000DLN6q</t>
  </si>
  <si>
    <t>Precision Medicine Program Redesign #XPCONC</t>
  </si>
  <si>
    <t>Ash Malik</t>
  </si>
  <si>
    <t>0064L00000BoOHs</t>
  </si>
  <si>
    <t>Pro Services Support</t>
  </si>
  <si>
    <t>0064L00000DLoZz</t>
  </si>
  <si>
    <t>The Brink's Company</t>
  </si>
  <si>
    <t>Brink's Leasor</t>
  </si>
  <si>
    <t>0064L00000CYjfi</t>
  </si>
  <si>
    <t>Procure to Pay #P2P #S2P #Coupa</t>
  </si>
  <si>
    <t>Meghan Murray</t>
  </si>
  <si>
    <t>Fraya Black</t>
  </si>
  <si>
    <t>0064L00000BmZGF</t>
  </si>
  <si>
    <t>BMS GPS Operating Model Assessment</t>
  </si>
  <si>
    <t>0064I00000zRgtJ</t>
  </si>
  <si>
    <t>GE Gas/Power LE Simplification</t>
  </si>
  <si>
    <t>Verne Perigord</t>
  </si>
  <si>
    <t>0064L00000CXhHa</t>
  </si>
  <si>
    <t>Project Gemini - Financial Transparency Implementation (EPM)</t>
  </si>
  <si>
    <t>0064L00000Bp0Qe</t>
  </si>
  <si>
    <t>COC "WAVE" Tool #HVM</t>
  </si>
  <si>
    <t>0064L00000BfDX7</t>
  </si>
  <si>
    <t>Workday FTP Platform Implementation</t>
  </si>
  <si>
    <t>0064L00000Bg5xf</t>
  </si>
  <si>
    <t>Ares Partners Holdco LLC</t>
  </si>
  <si>
    <t>Salesforce Loyalty Design &amp; Build</t>
  </si>
  <si>
    <t>0064L000007wFhP</t>
  </si>
  <si>
    <t>GPM: Strategic: Global Price Management Governance and Solutions</t>
  </si>
  <si>
    <t>Kate Neely</t>
  </si>
  <si>
    <t>0064L00000CXVmx</t>
  </si>
  <si>
    <t>CoP 2022/2023 Job Architecture Phase II</t>
  </si>
  <si>
    <t>0064L00000BmFrf</t>
  </si>
  <si>
    <t>Blue Triton Brands - TPM Phase 2 - Value Capture</t>
  </si>
  <si>
    <t>0064I00000wx6Is</t>
  </si>
  <si>
    <t>*SMART* License - SSM Health</t>
  </si>
  <si>
    <t>Kimberly Mirabella</t>
  </si>
  <si>
    <t>0064L00000D941T</t>
  </si>
  <si>
    <t>CNA Cost Savings Project #FFG</t>
  </si>
  <si>
    <t>Tamela Berry</t>
  </si>
  <si>
    <t>0064L00000CWB1N</t>
  </si>
  <si>
    <t>Ally Financial Inc.</t>
  </si>
  <si>
    <t>Retail Deposits Core Solution (#Finxact)</t>
  </si>
  <si>
    <t>Joel Jose</t>
  </si>
  <si>
    <t>0064L00000CXfZZ</t>
  </si>
  <si>
    <t>AT&amp;T BEAD Infrastructure Bill - Maximizing B2B</t>
  </si>
  <si>
    <t>0064L00000DJgl0</t>
  </si>
  <si>
    <t>City of Hope National Medical Center</t>
  </si>
  <si>
    <t>CoH EPBCS Reimplementation and Integration</t>
  </si>
  <si>
    <t>Matthew Ritter</t>
  </si>
  <si>
    <t>Li Gao</t>
  </si>
  <si>
    <t>0064I00000wx6LD</t>
  </si>
  <si>
    <t>Mercy Health (MO)</t>
  </si>
  <si>
    <t>*SMART* License - Mercy (MO)</t>
  </si>
  <si>
    <t>0064L00000DLo81</t>
  </si>
  <si>
    <t>TPRM Program Current and Future State - Change Management - Phase 2</t>
  </si>
  <si>
    <t>Tiffany Yates</t>
  </si>
  <si>
    <t>Juan Gorigoitia Castro</t>
  </si>
  <si>
    <t>0065800000gzS5A</t>
  </si>
  <si>
    <t>Nestlé S.A.</t>
  </si>
  <si>
    <t>Nestle Performance Analyzer #RGM</t>
  </si>
  <si>
    <t>16/8/2018</t>
  </si>
  <si>
    <t>Glenn Carlson</t>
  </si>
  <si>
    <t>0064L00000CYYCK</t>
  </si>
  <si>
    <t>FNMA_Enterprise Strategy in response to FHFA mandate</t>
  </si>
  <si>
    <t>Seth Dunbar</t>
  </si>
  <si>
    <t>0064L00000Bg62p</t>
  </si>
  <si>
    <t>Crown Family Trusts</t>
  </si>
  <si>
    <t>ASC Loyalty Program Implementation</t>
  </si>
  <si>
    <t>0064L00000BmYIP</t>
  </si>
  <si>
    <t>Myriad Genetics Inc.</t>
  </si>
  <si>
    <t>Myriad Genetics_UOM_Ph1_Vision &amp; Solution Design Combined-Phase Delivery</t>
  </si>
  <si>
    <t>Rob Maul</t>
  </si>
  <si>
    <t>0064L00000CWBC3</t>
  </si>
  <si>
    <t>TMT ESG Investments</t>
  </si>
  <si>
    <t>John Hoffman</t>
  </si>
  <si>
    <t>0064L00000Bm6i0</t>
  </si>
  <si>
    <t>KeyBank - Workday FTP Platform Implementation</t>
  </si>
  <si>
    <t>0064L00000CYXij</t>
  </si>
  <si>
    <t>FNMA_Enterprise Agile</t>
  </si>
  <si>
    <t>0064L00000BopRt</t>
  </si>
  <si>
    <t>Warehouse Transformation Support</t>
  </si>
  <si>
    <t>0064L000003z2nR</t>
  </si>
  <si>
    <t>#1 DXC IT Simplify - Legal Entity Cleanup | (0064L000003z2nRQAQ)</t>
  </si>
  <si>
    <t>DNU CS_Reg_Strategy_Investigations_Response</t>
  </si>
  <si>
    <t>Sean Frebes</t>
  </si>
  <si>
    <t>0064L00000DJWaF</t>
  </si>
  <si>
    <t>GSP Asset Visibility Phase 1</t>
  </si>
  <si>
    <t>0064L000009gJGx</t>
  </si>
  <si>
    <t>0064L00000Blupr</t>
  </si>
  <si>
    <t>PSEG LI Strategic Asset Management Plan Development</t>
  </si>
  <si>
    <t>Mark Hoffman</t>
  </si>
  <si>
    <t>Riley Adler</t>
  </si>
  <si>
    <t>0064L00000CXdoo</t>
  </si>
  <si>
    <t>AT&amp;T Biz Mid-Market Sales Velocity &amp; Close Rate Increase</t>
  </si>
  <si>
    <t>0064L00000BlutU</t>
  </si>
  <si>
    <t>P &amp; G - Customer Advantage &amp; RGM Transformation #RGM</t>
  </si>
  <si>
    <t>0064L00000Bluum</t>
  </si>
  <si>
    <t>P&amp;G - NA eCommerce Analytics &amp; Reporting</t>
  </si>
  <si>
    <t>0064L00000Bluvp</t>
  </si>
  <si>
    <t>P&amp;G - NA TPM Implementation #RGM</t>
  </si>
  <si>
    <t>0064L000009gKcL</t>
  </si>
  <si>
    <t>Inventory Strategy &amp; PFEP (Phase 1)</t>
  </si>
  <si>
    <t>Brad Goehle</t>
  </si>
  <si>
    <t>0064L00000DBMnu</t>
  </si>
  <si>
    <t>Evergy - Trading Data Platform</t>
  </si>
  <si>
    <t>0064L00000CVNPe</t>
  </si>
  <si>
    <t>Columbia Sportswear Company</t>
  </si>
  <si>
    <t>Columbia Loyalty Design &amp; Build</t>
  </si>
  <si>
    <t>0064L00000CYEzb</t>
  </si>
  <si>
    <t>Distribution Automation Program Advisory - Program Increment Extension</t>
  </si>
  <si>
    <t>Mark Van Dam</t>
  </si>
  <si>
    <t>0064L00000BeOfX</t>
  </si>
  <si>
    <t>Unum Enterprise Staffing Model / Workforce Planning Implementation Support</t>
  </si>
  <si>
    <t>Charles Vaughn</t>
  </si>
  <si>
    <t>0064L00000DJgMU</t>
  </si>
  <si>
    <t>National Bank Holdings Corp.</t>
  </si>
  <si>
    <t>NBH - Parallel Bank Design and Build</t>
  </si>
  <si>
    <t>Juan Rojas</t>
  </si>
  <si>
    <t>0064L000009fXqP</t>
  </si>
  <si>
    <t>The AES Corporation</t>
  </si>
  <si>
    <t>Implementation of Global Standards for Clean Energy</t>
  </si>
  <si>
    <t>0064L000009fXqj</t>
  </si>
  <si>
    <t>Implementation of Customer Profile Strategy</t>
  </si>
  <si>
    <t>0064L00000DLKX0</t>
  </si>
  <si>
    <t>Contract Pricing Assessment Phase 3 (ML, Portals)</t>
  </si>
  <si>
    <t>0064L00000DJVQi</t>
  </si>
  <si>
    <t>PCG Finance Optimization FY '23 - Phase 2</t>
  </si>
  <si>
    <t>Robert Bishop</t>
  </si>
  <si>
    <t>0064L000002c6pU</t>
  </si>
  <si>
    <t>Synovus - Bank Modernization #SCB #&lt;$50B (#FIS)</t>
  </si>
  <si>
    <t>27/5/2021</t>
  </si>
  <si>
    <t>0064L00000CWbgx</t>
  </si>
  <si>
    <t>Vendor Talent Acquisition (RFI)</t>
  </si>
  <si>
    <t>0064L00000AqZAu</t>
  </si>
  <si>
    <t>GE - ESG Alliance</t>
  </si>
  <si>
    <t>0064L00000CXx1O</t>
  </si>
  <si>
    <t>West Tennessee Healthcare, Inc.</t>
  </si>
  <si>
    <t>WTH Cerner Acute Transition Services</t>
  </si>
  <si>
    <t>0064L00000D8tM4</t>
  </si>
  <si>
    <t>Viatris - EPM WFP &amp; Reporting</t>
  </si>
  <si>
    <t>Jonathan Wildes</t>
  </si>
  <si>
    <t>0064L00000DFlRt</t>
  </si>
  <si>
    <t>Bluelinx Holdings Inc.</t>
  </si>
  <si>
    <t>Demand Planning as a Managed Service, S&amp;OP, and Digital Twin</t>
  </si>
  <si>
    <t>Demand Planning as a Managed Service</t>
  </si>
  <si>
    <t>Emily Smoot</t>
  </si>
  <si>
    <t>0064L00000Aqhdi</t>
  </si>
  <si>
    <t>Baker OFS Digital Engineering</t>
  </si>
  <si>
    <t>0064L00000Blv2b</t>
  </si>
  <si>
    <t>Nestlé Marketing &amp; Media Transformation</t>
  </si>
  <si>
    <t>0064L00000Ar9FT</t>
  </si>
  <si>
    <t>Lead to Cash</t>
  </si>
  <si>
    <t>13/10/2022</t>
  </si>
  <si>
    <t>Romit Dey</t>
  </si>
  <si>
    <t>Sierra Muniz</t>
  </si>
  <si>
    <t>0064L00000D8qtr</t>
  </si>
  <si>
    <t>QuidelOrtho Corporation</t>
  </si>
  <si>
    <t>AWS Data</t>
  </si>
  <si>
    <t>0064L00000D8qtc</t>
  </si>
  <si>
    <t>SAP Implementation</t>
  </si>
  <si>
    <t>0064L00000D91WJ</t>
  </si>
  <si>
    <t>AT&amp;T Pre Delinquency Strategies- #Collections_FY23</t>
  </si>
  <si>
    <t>0064L00000DJULN</t>
  </si>
  <si>
    <t>Inspira Health Network Inc.</t>
  </si>
  <si>
    <t>Inspira Health: Microsoft CRM Implementation #MSFTProvider</t>
  </si>
  <si>
    <t>0064L00000D91YA</t>
  </si>
  <si>
    <t>AT&amp;T Collections Persona's - #Collections_FY23</t>
  </si>
  <si>
    <t>0064L00000DJTnf</t>
  </si>
  <si>
    <t>Accurate FFG</t>
  </si>
  <si>
    <t>Eric Dowley</t>
  </si>
  <si>
    <t>0064L00000Ar8vx</t>
  </si>
  <si>
    <t>Abbott Laboratories</t>
  </si>
  <si>
    <t>Next Gen Manufacturing Strategy - Phase 2; #XCPGrowth</t>
  </si>
  <si>
    <t>Elena Pretto</t>
  </si>
  <si>
    <t>0064L00000DJTt9</t>
  </si>
  <si>
    <t>AT&amp;T Enterprise Customer Success Transformation</t>
  </si>
  <si>
    <t>Caleb Rhoads</t>
  </si>
  <si>
    <t>0064L00000DLK9h</t>
  </si>
  <si>
    <t>UNFI Network Strategy Phase 2</t>
  </si>
  <si>
    <t>Bryan Gross</t>
  </si>
  <si>
    <t>0064L00000BmxkM</t>
  </si>
  <si>
    <t>Amazon Care (AC) Government Market Entry -  Strategic Mobilization #HVM</t>
  </si>
  <si>
    <t>24/10/2022</t>
  </si>
  <si>
    <t>0064L00000D91ap</t>
  </si>
  <si>
    <t>Synchrony Financial</t>
  </si>
  <si>
    <t>SYF Collections Personas - #Collections_FY23</t>
  </si>
  <si>
    <t>0064L0000099dBJ</t>
  </si>
  <si>
    <t>Manulife Financial Corporation</t>
  </si>
  <si>
    <t>NextGen Cost and Profitability - Operationalize Phase</t>
  </si>
  <si>
    <t>0064L00000CXdkE</t>
  </si>
  <si>
    <t>SEC Enablement of Net Zero Coud</t>
  </si>
  <si>
    <t>0064L00000Bcj55</t>
  </si>
  <si>
    <t>5G Labs - 2023 Program Execution</t>
  </si>
  <si>
    <t>0064L00000Bn6RL</t>
  </si>
  <si>
    <t>Morocco IT SMO</t>
  </si>
  <si>
    <t>Ryan Uteg</t>
  </si>
  <si>
    <t>0064L00000DFhu8</t>
  </si>
  <si>
    <t>AAH IT Strategy</t>
  </si>
  <si>
    <t>Bill Craddock</t>
  </si>
  <si>
    <t>0064L00000Bl0S2</t>
  </si>
  <si>
    <t>Carefirst Enterprise Assessment (FEPOC) #DVC</t>
  </si>
  <si>
    <t>0064L000007weZq</t>
  </si>
  <si>
    <t>Planning Process Enhancements</t>
  </si>
  <si>
    <t>Bryon Kallert</t>
  </si>
  <si>
    <t>0064L0000099vQ0</t>
  </si>
  <si>
    <t>Citizens Financial Group, Inc.</t>
  </si>
  <si>
    <t>Citizens M&amp;A Strategic Support</t>
  </si>
  <si>
    <t>0064L00000DFjFW</t>
  </si>
  <si>
    <t>Titanium Tower Acq</t>
  </si>
  <si>
    <t>Paul James Hollinger</t>
  </si>
  <si>
    <t>Hailey Padilla</t>
  </si>
  <si>
    <t>0064I000014JPvQ</t>
  </si>
  <si>
    <t>Manufacturing product transfer (tech transfer) implementation</t>
  </si>
  <si>
    <t>25/3/2020</t>
  </si>
  <si>
    <t>Brett Hertzig</t>
  </si>
  <si>
    <t>0064L00000BfsSI</t>
  </si>
  <si>
    <t>*CI* KP BJT SOM Strategic Plan</t>
  </si>
  <si>
    <t>0064L000006VjzF</t>
  </si>
  <si>
    <t>Project Phoenix - Execution</t>
  </si>
  <si>
    <t>19/2/2021</t>
  </si>
  <si>
    <t>0064L0000040FOJ</t>
  </si>
  <si>
    <t>CVS: Medicaid NextGen: 2021 Change Management Planning &amp; Support #PayerCO&amp;ITrans</t>
  </si>
  <si>
    <t>0064L00000DFin8</t>
  </si>
  <si>
    <t>Facebook Northstar Narrative Planning 2023</t>
  </si>
  <si>
    <t>Rachel Roschelle</t>
  </si>
  <si>
    <t>0064L000001vvVE</t>
  </si>
  <si>
    <t>Risk Mgt Bookrunner Migration to CXL</t>
  </si>
  <si>
    <t>Tony Ligeralde</t>
  </si>
  <si>
    <t>0064L000001wFSK</t>
  </si>
  <si>
    <t>Enterprise Rx Strategy</t>
  </si>
  <si>
    <t>0064L00000Bn6kI</t>
  </si>
  <si>
    <t>F-35 Value Chain Strategy and Process Mapping - Phase 1</t>
  </si>
  <si>
    <t>0064L00000Bl1GX</t>
  </si>
  <si>
    <t>IC Accounting Support (2022)</t>
  </si>
  <si>
    <t>21/12/2021</t>
  </si>
  <si>
    <t>0064L00000BoINz</t>
  </si>
  <si>
    <t>Childrens Hospital Medical Center Of Akron</t>
  </si>
  <si>
    <t>Access Center Consulting Services - Phase 2 Implementation</t>
  </si>
  <si>
    <t>28/4/2022</t>
  </si>
  <si>
    <t>Jon Souder</t>
  </si>
  <si>
    <t>Erin Schneider</t>
  </si>
  <si>
    <t>0064L000009g4xX</t>
  </si>
  <si>
    <t>Walmart Clinic Strategy - *Strategic Reimbursement*</t>
  </si>
  <si>
    <t>0064L00000CYvMo</t>
  </si>
  <si>
    <t>Stand up Region's Swap Dealer</t>
  </si>
  <si>
    <t>Josh Horowitz</t>
  </si>
  <si>
    <t>Frank Sugrue</t>
  </si>
  <si>
    <t>0064L00000Bm1ia</t>
  </si>
  <si>
    <t>USAA P&amp;C AWS Migration Planning &amp; Design</t>
  </si>
  <si>
    <t>0064L000001vtID</t>
  </si>
  <si>
    <t>Grid Mod  OT PMO #PMaaS Phase 3</t>
  </si>
  <si>
    <t>0064L00000BeM9G</t>
  </si>
  <si>
    <t>Sandy Spring Bancorp, Inc</t>
  </si>
  <si>
    <t>Core Modernization (#Finxact)</t>
  </si>
  <si>
    <t>0064L00000BcVuG</t>
  </si>
  <si>
    <t>BBYH Customer Success #Hypergrowth build $1,000,000</t>
  </si>
  <si>
    <t>0064L00000BnWVv</t>
  </si>
  <si>
    <t>Weatherford Sustainable Supplier Management Automation #ESG</t>
  </si>
  <si>
    <t>Brian Henry</t>
  </si>
  <si>
    <t>John Serice</t>
  </si>
  <si>
    <t>0064L00000BmBqi</t>
  </si>
  <si>
    <t>Project F - Transformation</t>
  </si>
  <si>
    <t>Abhishek Shanker</t>
  </si>
  <si>
    <t>0064L00000DJRf0</t>
  </si>
  <si>
    <t>Consumer Predictive Engine Development #TMTPricing</t>
  </si>
  <si>
    <t>Sushmita Singal</t>
  </si>
  <si>
    <t>0064L00000CWotq</t>
  </si>
  <si>
    <t>EHI S2P - Phase 3B - Coupa CLMA Rollout #S&amp;P</t>
  </si>
  <si>
    <t>15/4/2022</t>
  </si>
  <si>
    <t>EHI S2P - Phase 3 Coupa Rollout #S&amp;P</t>
  </si>
  <si>
    <t>Bobby Daly</t>
  </si>
  <si>
    <t>0064L000003zR8g</t>
  </si>
  <si>
    <t>Clinical Data Repository</t>
  </si>
  <si>
    <t>18/9/2020</t>
  </si>
  <si>
    <t>Anupam Rath</t>
  </si>
  <si>
    <t>0064L00000BeMBz</t>
  </si>
  <si>
    <t>Core Modernization System Integration, BaaS CoE (#Technisys)</t>
  </si>
  <si>
    <t>0064L00000Bnhaq</t>
  </si>
  <si>
    <t>Phase 3 - Optum360 Acceleration Path Forward #PayerFFG_Admin</t>
  </si>
  <si>
    <t>0064L00000BokmI</t>
  </si>
  <si>
    <t>A&amp;AN** Shared Services - PAC and TC</t>
  </si>
  <si>
    <t>16/5/2022</t>
  </si>
  <si>
    <t>0064L000009Ahsv</t>
  </si>
  <si>
    <t>DENSO NA - Project Trident (ARCS, TM, NR)</t>
  </si>
  <si>
    <t>0064L00000CH067</t>
  </si>
  <si>
    <t>FP&amp;A Operating Model Execution - Phase 2</t>
  </si>
  <si>
    <t>0064L00000AsJBZ</t>
  </si>
  <si>
    <t>AmerisourceBergen Group GmbH</t>
  </si>
  <si>
    <t>MWI</t>
  </si>
  <si>
    <t>Joshua Wright</t>
  </si>
  <si>
    <t>0064L00000AsJBa</t>
  </si>
  <si>
    <t>MWI Phase 2</t>
  </si>
  <si>
    <t>0064L00000CY0eY</t>
  </si>
  <si>
    <t>Sterile Operations Transformation: FY23 4Q Support</t>
  </si>
  <si>
    <t>0064L00000AsJBe</t>
  </si>
  <si>
    <t>Digital Commerce BU Expansion Wolf</t>
  </si>
  <si>
    <t>0064L00000CXOfQ</t>
  </si>
  <si>
    <t>Veeva eQMS Program Expansion</t>
  </si>
  <si>
    <t>Veeva eQMS Program Assessment</t>
  </si>
  <si>
    <t>0064L00000DFW25</t>
  </si>
  <si>
    <t>Abhinav Kala</t>
  </si>
  <si>
    <t>0064L00000Bn4Pe</t>
  </si>
  <si>
    <t>Baker Hughes EEG DT Cost Reduction</t>
  </si>
  <si>
    <t>0064L000001uaFx</t>
  </si>
  <si>
    <t>Federated Hermes, Inc.</t>
  </si>
  <si>
    <t>Federated - ERP Oracle Platform #Burgh  #Oracle_AWM</t>
  </si>
  <si>
    <t>24/6/2020</t>
  </si>
  <si>
    <t>0064L000004wSfe</t>
  </si>
  <si>
    <t>WSFS - Delivery Transformation - RPA and Process Intelligence</t>
  </si>
  <si>
    <t>0064L00000CYC4D</t>
  </si>
  <si>
    <t>Gridiron Capital LLC</t>
  </si>
  <si>
    <t>Growth Strategy</t>
  </si>
  <si>
    <t>Louis Bouquet</t>
  </si>
  <si>
    <t>Ronnie Weiss</t>
  </si>
  <si>
    <t>0064L00000CWLoW</t>
  </si>
  <si>
    <t>Interior Define, Inc.</t>
  </si>
  <si>
    <t>Manufacturing Strategy - Phase 3 Program Expansion</t>
  </si>
  <si>
    <t>0064L000002LbsC</t>
  </si>
  <si>
    <t>#IOBP -- BIRA Support Operations - Wave 2 - Year 2</t>
  </si>
  <si>
    <t>20/8/2021</t>
  </si>
  <si>
    <t>0064L00000B26ko</t>
  </si>
  <si>
    <t>Future State Benefit Inquiry Execution</t>
  </si>
  <si>
    <t>0064L00000CH0JL</t>
  </si>
  <si>
    <t>MSFT DLS FY23 H1 HR Xandr</t>
  </si>
  <si>
    <t>0064L00000DFyBn</t>
  </si>
  <si>
    <t>CVS: Medicaid NextGen: Duals Expansion &amp; Playbook Support #PayerCO&amp;ITrans</t>
  </si>
  <si>
    <t>19/9/2022</t>
  </si>
  <si>
    <t>0064L00000BnyGS</t>
  </si>
  <si>
    <t>DEI Culture &amp; Assessment - Worldwide Consumer</t>
  </si>
  <si>
    <t>Terri McClements</t>
  </si>
  <si>
    <t>Christie Baudin</t>
  </si>
  <si>
    <t>0064L00000CYdas</t>
  </si>
  <si>
    <t>Viatris Comp Harmonization and Job Architecture Global Implementation</t>
  </si>
  <si>
    <t>Robert Purser</t>
  </si>
  <si>
    <t>David Duryea</t>
  </si>
  <si>
    <t>0064L000001w3Ja</t>
  </si>
  <si>
    <t>KeyBank Share of Wallet Opportunity</t>
  </si>
  <si>
    <t>0064L000002LbrA</t>
  </si>
  <si>
    <t>#IOBP -- BIRA Support Operations - Wave 2 - Year 3</t>
  </si>
  <si>
    <t>0064L00000CH0Tz</t>
  </si>
  <si>
    <t>Amazon Care - Implementation Managers</t>
  </si>
  <si>
    <t>0064L000009B8Lo</t>
  </si>
  <si>
    <t>Qurate Retail, Inc.</t>
  </si>
  <si>
    <t>Qurate - Customer Data Platform</t>
  </si>
  <si>
    <t>0064L00000CWnE8</t>
  </si>
  <si>
    <t>Golub Capital Partners LLC</t>
  </si>
  <si>
    <t>Golub MEC Acceleration: TOM Design, Policy, Governance, Automation, and PMO Support</t>
  </si>
  <si>
    <t>Sri Kumar</t>
  </si>
  <si>
    <t>0065800000jhBEV</t>
  </si>
  <si>
    <t>ncino delivery R2.0 Situs/FIS ACBS integrations #FOBComm #&lt;$50B</t>
  </si>
  <si>
    <t>0064L00000CVjeV</t>
  </si>
  <si>
    <t>WBA Chief Customer Officer Organization</t>
  </si>
  <si>
    <t>0064L00000CXNhW</t>
  </si>
  <si>
    <t>Procurement Leakage Reduction</t>
  </si>
  <si>
    <t>Mia CaraDonna</t>
  </si>
  <si>
    <t>0064L00000CVYfT</t>
  </si>
  <si>
    <t>Med Ed - *Strategic Reimbursement*</t>
  </si>
  <si>
    <t>17/3/2022</t>
  </si>
  <si>
    <t>0064L00000BoyxM</t>
  </si>
  <si>
    <t>RAPS: Google T&amp;S Cloud Research &amp; Insights Desk</t>
  </si>
  <si>
    <t>William Herren</t>
  </si>
  <si>
    <t>0064I000014MiTe</t>
  </si>
  <si>
    <t>MGM Resorts International</t>
  </si>
  <si>
    <t>MGM - FP&amp;A / Oracle EPBCS Implementation</t>
  </si>
  <si>
    <t>24/4/2020</t>
  </si>
  <si>
    <t>0064L00000CYssN</t>
  </si>
  <si>
    <t>Habu Clean Room Services</t>
  </si>
  <si>
    <t>0064L00000DLxiY</t>
  </si>
  <si>
    <t>Vira Insight, LLC</t>
  </si>
  <si>
    <t>VIRA Insight Growth Strategy</t>
  </si>
  <si>
    <t>Jose Reyes</t>
  </si>
  <si>
    <t>Jesse Fryburg</t>
  </si>
  <si>
    <t>0064L00000426PN</t>
  </si>
  <si>
    <t>Lumber Liquidators Holdings Inc.</t>
  </si>
  <si>
    <t>ERP Implementation - Delivery</t>
  </si>
  <si>
    <t>Jay Klein</t>
  </si>
  <si>
    <t>0064L000002La1k</t>
  </si>
  <si>
    <t>Demand Planning SAP enablement (IBP) #BigBets</t>
  </si>
  <si>
    <t>Distribution Materials Demand Planning Assess and Design</t>
  </si>
  <si>
    <t>Kathryn Hodges</t>
  </si>
  <si>
    <t>0064L00000DLFKO</t>
  </si>
  <si>
    <t>CVS HCB IT Strategy Support Phase 2</t>
  </si>
  <si>
    <t>Jordan Riegelhaupt</t>
  </si>
  <si>
    <t>0064L00000CWM4s</t>
  </si>
  <si>
    <t>KCP Business Transformation</t>
  </si>
  <si>
    <t>Carla DeSantis</t>
  </si>
  <si>
    <t>0064L00000BmAZ2</t>
  </si>
  <si>
    <t>GE Aviation Cost Out Program</t>
  </si>
  <si>
    <t>0064L00000CWnXG</t>
  </si>
  <si>
    <t>EPM Design and Implementation</t>
  </si>
  <si>
    <t>Apurva Chitnis</t>
  </si>
  <si>
    <t>0064L00000AsJ74</t>
  </si>
  <si>
    <t>WSFS - Delivery Transformation - NGSS Associate Servicing w Salesforce</t>
  </si>
  <si>
    <t>DNU: ADV_FS_FOT_ONEFS</t>
  </si>
  <si>
    <t>0064L000009AEYw</t>
  </si>
  <si>
    <t>Qurate Retail Group - Finance Transformation</t>
  </si>
  <si>
    <t>John Bennett</t>
  </si>
  <si>
    <t>0064L000002bOFB</t>
  </si>
  <si>
    <t>FedEx Corporation</t>
  </si>
  <si>
    <t>FedEx - Phase 2 Financial Close Implementation</t>
  </si>
  <si>
    <t>17/10/2022</t>
  </si>
  <si>
    <t>Brian Gibson</t>
  </si>
  <si>
    <t>Raymond Gambino</t>
  </si>
  <si>
    <t>0064L00000Belmy</t>
  </si>
  <si>
    <t>PEP RGM RevolutioM Ongoing Sustainment</t>
  </si>
  <si>
    <t>0064L00000Bo4fx</t>
  </si>
  <si>
    <t>ETRADE Banks Integration Addendum 2</t>
  </si>
  <si>
    <t>Jason Gaswirth</t>
  </si>
  <si>
    <t>0064L00000DG4fP</t>
  </si>
  <si>
    <t>GTC Design &amp; Implementation (Q4 2022)</t>
  </si>
  <si>
    <t>James Nelson</t>
  </si>
  <si>
    <t>0064L00000DLV9L</t>
  </si>
  <si>
    <t>NXP- Blue Yonder - $1M</t>
  </si>
  <si>
    <t>0064L00000Bogp3</t>
  </si>
  <si>
    <t>Bellin Health Systems Inc.</t>
  </si>
  <si>
    <t>Project Badger IMO</t>
  </si>
  <si>
    <t>Angus Buchanan</t>
  </si>
  <si>
    <t>Project Badger</t>
  </si>
  <si>
    <t>Brynn Sherman</t>
  </si>
  <si>
    <t>0064L00000BlpHM</t>
  </si>
  <si>
    <t>Coca-Cola ME&amp;E Phase 5 - MarTech Diagnostic</t>
  </si>
  <si>
    <t>31/1/2022</t>
  </si>
  <si>
    <t>0064L000009fT3d</t>
  </si>
  <si>
    <t>[Big Bet] Digital/Workforce Transformation</t>
  </si>
  <si>
    <t>Breck Marshall</t>
  </si>
  <si>
    <t>0064L00000Bogpm</t>
  </si>
  <si>
    <t>Uaw Retiree Medical Benefits Trust</t>
  </si>
  <si>
    <t>UAW Retiree Medical Benefits Trust Business Process Opportunity</t>
  </si>
  <si>
    <t>Harold Houser</t>
  </si>
  <si>
    <t>0064L00000BeZSb</t>
  </si>
  <si>
    <t>Duke Energy Corporation</t>
  </si>
  <si>
    <t>GIS &amp; Data Integrity Strategy</t>
  </si>
  <si>
    <t>19/1/2022</t>
  </si>
  <si>
    <t>Daniel Bowman</t>
  </si>
  <si>
    <t>GIS Implementation #bigbet</t>
  </si>
  <si>
    <t>0064L00000DLVBC</t>
  </si>
  <si>
    <t>NVIDIA- Blue Yonder - $1M</t>
  </si>
  <si>
    <t>0064L00000DLVC0</t>
  </si>
  <si>
    <t>UCT- Blue Yonder - $1M</t>
  </si>
  <si>
    <t>0064L00000DLVC1</t>
  </si>
  <si>
    <t>Apple Inc.</t>
  </si>
  <si>
    <t>Apple- Blue Yonder - $1M</t>
  </si>
  <si>
    <t>0064L00000BnTPV</t>
  </si>
  <si>
    <t>Aflac - NextGen Cost Analytics #NextGenCostingMSO</t>
  </si>
  <si>
    <t>Scott Wise</t>
  </si>
  <si>
    <t>0064L00000BnTQU</t>
  </si>
  <si>
    <t>Eaton - NextGen Cost Analytics #NextGenCostingMSO</t>
  </si>
  <si>
    <t>0064L00000BnTQT</t>
  </si>
  <si>
    <t>McDonald's Corporation</t>
  </si>
  <si>
    <t>Mcdonald's - NextGen Cost Analytics #NextGenCostingMSO</t>
  </si>
  <si>
    <t>0064L00000CVzk9</t>
  </si>
  <si>
    <t>Lifetime Healthcare INC.</t>
  </si>
  <si>
    <t>Excellus Knowledge Content and Training Assessment</t>
  </si>
  <si>
    <t>Matthew Rupas</t>
  </si>
  <si>
    <t>0064L00000DLVCF</t>
  </si>
  <si>
    <t>TI - Blue Yonder - $1M</t>
  </si>
  <si>
    <t>0064L00000DLVBg</t>
  </si>
  <si>
    <t>Ricoh Blue Yonder - $1M</t>
  </si>
  <si>
    <t>0064L00000BnTSo</t>
  </si>
  <si>
    <t>Ross Stores - NextGen Cost Analytics #NextGenCostingMSO</t>
  </si>
  <si>
    <t>0064L00000BnTTs</t>
  </si>
  <si>
    <t>Haliburton - NextGen Cost Analytics #NextGenCostingMSO</t>
  </si>
  <si>
    <t>0064L00000BnTV4</t>
  </si>
  <si>
    <t>Seagate - NextGen Cost Analytics #NextGenCostingMSO</t>
  </si>
  <si>
    <t>0064L00000BnTTr</t>
  </si>
  <si>
    <t>Dai-ichi Life Holdings, Inc.</t>
  </si>
  <si>
    <t>Dai-ichi Life - NextGen Cost Analytics #NextGenCostingMSO</t>
  </si>
  <si>
    <t>0064L00000BnTWC</t>
  </si>
  <si>
    <t>Swiss Re AG</t>
  </si>
  <si>
    <t>Swiss RE - NextGen Cost Analytics #NextGenCostingMSO</t>
  </si>
  <si>
    <t>0064L00000BnTVT</t>
  </si>
  <si>
    <t>NextEra - NextGen Cost Analytics #NextGenCostingMSO</t>
  </si>
  <si>
    <t>0064L00000BnTVx</t>
  </si>
  <si>
    <t>Voya - NextGen Cost Analytics #NextGenCostingMSO</t>
  </si>
  <si>
    <t>0064L000002LaOo</t>
  </si>
  <si>
    <t>Delta Air Lines, Inc</t>
  </si>
  <si>
    <t>Delta - Fuel Management System - Implementation</t>
  </si>
  <si>
    <t>0064L00000BoXBL</t>
  </si>
  <si>
    <t>R&amp;D Data Analytics FY23</t>
  </si>
  <si>
    <t>0064L00000BoXAh</t>
  </si>
  <si>
    <t>Takeda US FP&amp;A Transformation Phase 2 (Anaplan) FY23</t>
  </si>
  <si>
    <t>0064L00000DLVMF</t>
  </si>
  <si>
    <t>Supply Chain Improvements</t>
  </si>
  <si>
    <t>David Wright</t>
  </si>
  <si>
    <t>Scott Bailey</t>
  </si>
  <si>
    <t>0064L00000CV81J</t>
  </si>
  <si>
    <t>Aptiv PLC</t>
  </si>
  <si>
    <t>Inflation Support</t>
  </si>
  <si>
    <t>Reina Hinds</t>
  </si>
  <si>
    <t>0064L00000BoXBV</t>
  </si>
  <si>
    <t>R&amp;D Data Analytics FY24</t>
  </si>
  <si>
    <t>0064L00000BoXCO</t>
  </si>
  <si>
    <t>ESG / Pre-assurance (US &amp; Europe) FY23</t>
  </si>
  <si>
    <t>0064L00000BoXGQ</t>
  </si>
  <si>
    <t>Yum! Brands, Inc.</t>
  </si>
  <si>
    <t>RSCS / Yum! - Insights-Driven Profitability Program Phase 4 #Profit</t>
  </si>
  <si>
    <t>Briggs Briner</t>
  </si>
  <si>
    <t>0064L00000DJPNE</t>
  </si>
  <si>
    <t>Project Platinum - Pre-Close PMO Support</t>
  </si>
  <si>
    <t>Serge Deriane</t>
  </si>
  <si>
    <t>0064L00000CVZ9d</t>
  </si>
  <si>
    <t>GBS Cash Efficiency</t>
  </si>
  <si>
    <t>Robert Vettoretti</t>
  </si>
  <si>
    <t>0064L00000DM7T5</t>
  </si>
  <si>
    <t>SSB Digital Team Extension</t>
  </si>
  <si>
    <t>0064L00000ApquV</t>
  </si>
  <si>
    <t>Baker Hughes OFS Completions &amp; Well Intervention Product Cost #FFG</t>
  </si>
  <si>
    <t>21/8/2021</t>
  </si>
  <si>
    <t>0064L00000401JV</t>
  </si>
  <si>
    <t>Spectrum Brands Performance Analyzer #RGM</t>
  </si>
  <si>
    <t>0064L000009AfK8</t>
  </si>
  <si>
    <t>AdventHealth - Medical Group Optimization</t>
  </si>
  <si>
    <t>0064L00000DLuyw</t>
  </si>
  <si>
    <t>Meta:Change as a Service-Learning Management  #TMTMSO -</t>
  </si>
  <si>
    <t>Jean Lee</t>
  </si>
  <si>
    <t>Kathie Parsons</t>
  </si>
  <si>
    <t>0064L00000B367j</t>
  </si>
  <si>
    <t>Employer Digital Value Creation</t>
  </si>
  <si>
    <t>26/10/2021</t>
  </si>
  <si>
    <t>Ruchita Kewalramani</t>
  </si>
  <si>
    <t>0064L00000DLuyd</t>
  </si>
  <si>
    <t>Meta:Change as a Service - Change Management #TMTMSO</t>
  </si>
  <si>
    <t>0064L00000B365s</t>
  </si>
  <si>
    <t>Producer Downstream Implementation</t>
  </si>
  <si>
    <t>0064L000009g0jw</t>
  </si>
  <si>
    <t>Entitlements IED Support - EET Onboarding and Non-IED Roles</t>
  </si>
  <si>
    <t>0064L00000BmOnD</t>
  </si>
  <si>
    <t>Off shoring strategy</t>
  </si>
  <si>
    <t>0064L00000BoUyg</t>
  </si>
  <si>
    <t>DTV - Future State Reporting/Planning Systems (Phase 3)</t>
  </si>
  <si>
    <t>Chris Teaney</t>
  </si>
  <si>
    <t>0064L00000BoUyq</t>
  </si>
  <si>
    <t>DTV - Future State Reporting/Planning Systems (Phase 4)</t>
  </si>
  <si>
    <t>0064L00000Bo4ZL</t>
  </si>
  <si>
    <t>Commercial LAS DISCOVERY AFS Vision Jan-Apr 2023</t>
  </si>
  <si>
    <t>0064L00000BnRzR</t>
  </si>
  <si>
    <t>New York Community Bancorp</t>
  </si>
  <si>
    <t>Fiserv Integration Support</t>
  </si>
  <si>
    <t>James Holloway</t>
  </si>
  <si>
    <t>Pichon Duplan</t>
  </si>
  <si>
    <t>0064L00000BmOy6</t>
  </si>
  <si>
    <t>Back Office Transformation - SOW #4 Big Rocks and Interim</t>
  </si>
  <si>
    <t>0064L00000BdFCP</t>
  </si>
  <si>
    <t>Amgen Finance Accelerated Close Support</t>
  </si>
  <si>
    <t>0064I00000zTF1x</t>
  </si>
  <si>
    <t>HITACHI, LTD.</t>
  </si>
  <si>
    <t>Hitachi Incubator Program Design</t>
  </si>
  <si>
    <t>14/12/2019</t>
  </si>
  <si>
    <t>Scott Cuthbertson</t>
  </si>
  <si>
    <t>0064L000009ACJB</t>
  </si>
  <si>
    <t>UTRGV - *Rev Cycle* Transformation - Phase 2b</t>
  </si>
  <si>
    <t>Darshan Patel</t>
  </si>
  <si>
    <t>0064I00000qsuVM</t>
  </si>
  <si>
    <t>Barilla holding SPA</t>
  </si>
  <si>
    <t>Barilla - Performance Analyzer #RGM</t>
  </si>
  <si>
    <t>28/3/2019</t>
  </si>
  <si>
    <t>0064L00000CYqFD</t>
  </si>
  <si>
    <t>Vista Equity Partners Management, LLC</t>
  </si>
  <si>
    <t>Jamf - L2C Transformation - SFDC</t>
  </si>
  <si>
    <t>Bob Singer</t>
  </si>
  <si>
    <t>0064L00000BdUIu</t>
  </si>
  <si>
    <t>Small Biz to VCG</t>
  </si>
  <si>
    <t>15/11/2022</t>
  </si>
  <si>
    <t>0064L0000098lsC</t>
  </si>
  <si>
    <t>HCSC Medicare Analytics CoE #xPC:PayerAnalytics #PayerAnalytics</t>
  </si>
  <si>
    <t>0064L00000BowPi</t>
  </si>
  <si>
    <t>GEICO Finance Transformation #FFG 3.0</t>
  </si>
  <si>
    <t>0064L00000Bd405</t>
  </si>
  <si>
    <t>Noris Matherson</t>
  </si>
  <si>
    <t>0064L00000BowU4</t>
  </si>
  <si>
    <t>HP TMO 1H FY23 Support</t>
  </si>
  <si>
    <t>Katya Reuk</t>
  </si>
  <si>
    <t>0064L00000DFu3L</t>
  </si>
  <si>
    <t>University of Missouri HealthCare</t>
  </si>
  <si>
    <t>Univ of Miss HC SF Cerner Implementation</t>
  </si>
  <si>
    <t>Walter Groszewski</t>
  </si>
  <si>
    <t>0064L000002aJqk</t>
  </si>
  <si>
    <t>Hoag Hospital Foundation</t>
  </si>
  <si>
    <t>Virtual Health Program and technology development</t>
  </si>
  <si>
    <t>Madhvi Prasad</t>
  </si>
  <si>
    <t>0064L00000BoV4t</t>
  </si>
  <si>
    <t>Blue Cross And Blue Shield North Carolina</t>
  </si>
  <si>
    <t>Total Cost of Care Tool Development</t>
  </si>
  <si>
    <t>Sean McIntee</t>
  </si>
  <si>
    <t>0064L00000BdDUD</t>
  </si>
  <si>
    <t>Workforce Transformation</t>
  </si>
  <si>
    <t>Caroline Mooi</t>
  </si>
  <si>
    <t>0064L00000BoUWX</t>
  </si>
  <si>
    <t>OneStream - Consolidation implementation - Phase 1</t>
  </si>
  <si>
    <t>0064I00000r4Dck</t>
  </si>
  <si>
    <t>Western &amp; Southern Mutual Holdinds</t>
  </si>
  <si>
    <t>WS: Cloud ERP Systems Selection &amp; Implementation</t>
  </si>
  <si>
    <t>25/2/2019</t>
  </si>
  <si>
    <t>0064L00000DFu94</t>
  </si>
  <si>
    <t>athenahealth Topco Holdings LLC</t>
  </si>
  <si>
    <t>*Rev Cycle* Ops Phase 2</t>
  </si>
  <si>
    <t>Lauren Christian</t>
  </si>
  <si>
    <t>0064L00000B1shd</t>
  </si>
  <si>
    <t>Bankunited Financial Corp.</t>
  </si>
  <si>
    <t>Core Modernization</t>
  </si>
  <si>
    <t>0064L00000Bn0UC</t>
  </si>
  <si>
    <t>US to MX Manufacturing Relocation</t>
  </si>
  <si>
    <t>0064L00000D8ZVR</t>
  </si>
  <si>
    <t>WMT Cost Transformation #FFG3.0</t>
  </si>
  <si>
    <t>0064L000009AE22</t>
  </si>
  <si>
    <t>Phase 2 - Optum360 Acceleration Path Forward #PayerFFG_Admin</t>
  </si>
  <si>
    <t>0064L0000041Bhn</t>
  </si>
  <si>
    <t>GE Gas Power Project / Product Platforming</t>
  </si>
  <si>
    <t>30/10/2020</t>
  </si>
  <si>
    <t>29/11/2022</t>
  </si>
  <si>
    <t>0064L00000D8XYF</t>
  </si>
  <si>
    <t>PLC PAS Implementation Support</t>
  </si>
  <si>
    <t>0064L00000BoSex</t>
  </si>
  <si>
    <t>HIG GB PAS R1 Support</t>
  </si>
  <si>
    <t>HIG GB PAS Transformation: Mobilization (Apr-Jul 22)</t>
  </si>
  <si>
    <t>0064L00000DLQqo</t>
  </si>
  <si>
    <t>Smart Meter 2.0 PMO</t>
  </si>
  <si>
    <t>0064L00000BmMcX</t>
  </si>
  <si>
    <t>Coca-Cola ME&amp;E Phase 5 - Bottler DME Diagnostic</t>
  </si>
  <si>
    <t>0064L00000BmMcN</t>
  </si>
  <si>
    <t>Fiserv Inc.</t>
  </si>
  <si>
    <t>Fiserv NYCB Integration Support</t>
  </si>
  <si>
    <t>0064L00000DLS80</t>
  </si>
  <si>
    <t>Corp Risk &amp; Brokering Transformation</t>
  </si>
  <si>
    <t>Becky Beltran</t>
  </si>
  <si>
    <t>0064L000007H1F7</t>
  </si>
  <si>
    <t>ADI Customer 360</t>
  </si>
  <si>
    <t>30/3/2021</t>
  </si>
  <si>
    <t>Jimmy Boyle</t>
  </si>
  <si>
    <t>James Holbrook</t>
  </si>
  <si>
    <t>0064L00000BmMfR</t>
  </si>
  <si>
    <t>GE Separation - Corporate - Long-term Stabilization - 2023</t>
  </si>
  <si>
    <t>0064L00000DLuAw</t>
  </si>
  <si>
    <t>Payments Modernization #Volante</t>
  </si>
  <si>
    <t>0064L00000BoeSZ</t>
  </si>
  <si>
    <t>Zeomega Inc.</t>
  </si>
  <si>
    <t>Zeomega Product Strategy #HVM #Alliance:Zeomega</t>
  </si>
  <si>
    <t>0064L00000BnbT0</t>
  </si>
  <si>
    <t>Contact Center Transformation #CallCenter</t>
  </si>
  <si>
    <t>0064L00000CYq5m</t>
  </si>
  <si>
    <t>Fox Corp.</t>
  </si>
  <si>
    <t>General Deals Support - FY23</t>
  </si>
  <si>
    <t>Lori Bistis</t>
  </si>
  <si>
    <t>Andrew DiCristofaro</t>
  </si>
  <si>
    <t>0064L00000DFrwX</t>
  </si>
  <si>
    <t>PricewaterhouseCoopers IT Services Limited</t>
  </si>
  <si>
    <t>PwC ITSCo HR and Benefits Set-up FY23</t>
  </si>
  <si>
    <t>Lisa Herrnson</t>
  </si>
  <si>
    <t>Rikki Schwartz</t>
  </si>
  <si>
    <t>0064L00000D8k2X</t>
  </si>
  <si>
    <t>Jabil Inc.</t>
  </si>
  <si>
    <t>Jabil Holdings- Blue Yonder - $1M</t>
  </si>
  <si>
    <t>0064L00000D8k2w</t>
  </si>
  <si>
    <t>Mubadala Investment Company P.J.S.C.</t>
  </si>
  <si>
    <t>Global Foundries - Blue Yonder - $1M</t>
  </si>
  <si>
    <t>0064L000009AS3T</t>
  </si>
  <si>
    <t>Rural Health Equity *Strategic Reimbursement*</t>
  </si>
  <si>
    <t>0064L00000DFrhS</t>
  </si>
  <si>
    <t>Follow-on Fund &amp; Investor Lifecycle Workflow Project</t>
  </si>
  <si>
    <t>Blair Troiano</t>
  </si>
  <si>
    <t>0064L00000CXYRX</t>
  </si>
  <si>
    <t>Hologic, Inc.</t>
  </si>
  <si>
    <t>Hologic surgical M&amp;A</t>
  </si>
  <si>
    <t>0064L00000DLKYI</t>
  </si>
  <si>
    <t>Spectrum *FFG* Pref Card and Charge Capture</t>
  </si>
  <si>
    <t>0064L00000DFyz4</t>
  </si>
  <si>
    <t>Solutions Development Support</t>
  </si>
  <si>
    <t>Rand Bailin</t>
  </si>
  <si>
    <t>Robert Mason</t>
  </si>
  <si>
    <t>0064L000007x987</t>
  </si>
  <si>
    <t>HP Channel Execution Design</t>
  </si>
  <si>
    <t>0064L000006hbPb</t>
  </si>
  <si>
    <t>Seagate #ProEdge - Trial -  Support of Upskilling-Reskilling Initiative</t>
  </si>
  <si>
    <t>27/2/2021</t>
  </si>
  <si>
    <t>Jenny Kim</t>
  </si>
  <si>
    <t>0064L00000D8bUa</t>
  </si>
  <si>
    <t>Synovus Integrated Payments Implementation</t>
  </si>
  <si>
    <t>0064L0000041AqA</t>
  </si>
  <si>
    <t>SBSD 2021 Amend</t>
  </si>
  <si>
    <t>29/10/2020</t>
  </si>
  <si>
    <t>0064L00000BlzYY</t>
  </si>
  <si>
    <t>WFHL Investor Risk Management #ClearControl</t>
  </si>
  <si>
    <t>Meredith Strokes</t>
  </si>
  <si>
    <t>0064L00000CXWNy</t>
  </si>
  <si>
    <t>Citizens Climate Risk #cs_esg</t>
  </si>
  <si>
    <t>Joe Weise</t>
  </si>
  <si>
    <t>0064L000009BFS1</t>
  </si>
  <si>
    <t>Managed Services for Trading System</t>
  </si>
  <si>
    <t>0064L00000CWcVF</t>
  </si>
  <si>
    <t>Brendon Pezzack</t>
  </si>
  <si>
    <t>0064L00000CWcW2</t>
  </si>
  <si>
    <t>0064L00000CWcVs</t>
  </si>
  <si>
    <t>IHF HOLDINGS INC</t>
  </si>
  <si>
    <t>0064L000003ydjQ</t>
  </si>
  <si>
    <t>BKR_CPQ_Salesforce</t>
  </si>
  <si>
    <t>27/8/2020</t>
  </si>
  <si>
    <t>David Shida</t>
  </si>
  <si>
    <t>0064L00000CWc7u</t>
  </si>
  <si>
    <t>SHOCKWAVE MEDICAL, INC.</t>
  </si>
  <si>
    <t>0064L00000DFZpj</t>
  </si>
  <si>
    <t>Embecta - Marketo Integration</t>
  </si>
  <si>
    <t>Christopher Harmon</t>
  </si>
  <si>
    <t>0064L00000BoKSi</t>
  </si>
  <si>
    <t>Centene VBC Analytics Design and Implementation</t>
  </si>
  <si>
    <t>Christopher Atkinson</t>
  </si>
  <si>
    <t>0064L00000ArJPx</t>
  </si>
  <si>
    <t>Charter Communications, Inc.</t>
  </si>
  <si>
    <t>Internal Capital Labor Program Support</t>
  </si>
  <si>
    <t>Brian Kaplan</t>
  </si>
  <si>
    <t>Kyle Burns</t>
  </si>
  <si>
    <t>0064L00000BnhqZ</t>
  </si>
  <si>
    <t>Bio-Techne Corporation</t>
  </si>
  <si>
    <t>Ops Transformation</t>
  </si>
  <si>
    <t>Rafael Lander</t>
  </si>
  <si>
    <t>0064L000002bQcS</t>
  </si>
  <si>
    <t>Cabot Corporation</t>
  </si>
  <si>
    <t>Cabot_LeadToCash_Salesforce</t>
  </si>
  <si>
    <t>0064L00000Bn4Y7</t>
  </si>
  <si>
    <t>Supply Chain Improvement</t>
  </si>
  <si>
    <t>IP_Operational_transformation</t>
  </si>
  <si>
    <t>0064L00000BeLOi</t>
  </si>
  <si>
    <t>SO_Click to SFS Migration_Salesforce</t>
  </si>
  <si>
    <t>0064L00000CXOUF</t>
  </si>
  <si>
    <t>TTS-Enterprise Agility Ph 1</t>
  </si>
  <si>
    <t>Matthew Siegel</t>
  </si>
  <si>
    <t>0064L00000AqU4c</t>
  </si>
  <si>
    <t>Williams - Managed Services - Trading Systems</t>
  </si>
  <si>
    <t>0064L00000DM7up</t>
  </si>
  <si>
    <t>bp_P&amp;O_Salesforce Field Service</t>
  </si>
  <si>
    <t>0064L00000DMGQ3</t>
  </si>
  <si>
    <t>Schreiber Foods, Inc. Employee Stock Ownership</t>
  </si>
  <si>
    <t>23/7/2022</t>
  </si>
  <si>
    <t>0064L00000DMGQ4</t>
  </si>
  <si>
    <t>Alvotech Holdings S.A.</t>
  </si>
  <si>
    <t>0064L00000DMGPy</t>
  </si>
  <si>
    <t>Lancaster Colony Corporation</t>
  </si>
  <si>
    <t>0064L00000DMGQc</t>
  </si>
  <si>
    <t>Lantheus Holdings Inc.</t>
  </si>
  <si>
    <t>0064L00000DMGQ8</t>
  </si>
  <si>
    <t>Haleon Plc</t>
  </si>
  <si>
    <t>0064L00000DMGQ9</t>
  </si>
  <si>
    <t>Astec Industries INC.</t>
  </si>
  <si>
    <t>0064L00000DMGQA</t>
  </si>
  <si>
    <t>0064L00000DMGQB</t>
  </si>
  <si>
    <t>0064L00000DMGQI</t>
  </si>
  <si>
    <t>0064L00000DMGQS</t>
  </si>
  <si>
    <t>Indigo Agriculture Inc.</t>
  </si>
  <si>
    <t>0064L00000DMGQT</t>
  </si>
  <si>
    <t>0064L00000DMGRf</t>
  </si>
  <si>
    <t>Giorgio Foods INC.</t>
  </si>
  <si>
    <t>0064L00000DMGRk</t>
  </si>
  <si>
    <t>0064L00000BoU7w</t>
  </si>
  <si>
    <t>GE Separation - Corporate - GRC Phase 2</t>
  </si>
  <si>
    <t>GE Separation - Corporate - GRC</t>
  </si>
  <si>
    <t>0064L00000DLQav</t>
  </si>
  <si>
    <t>Marketo Implementation</t>
  </si>
  <si>
    <t>0064L00000Be57T</t>
  </si>
  <si>
    <t>Avangrid_LandMgt and SFS_Salesforce</t>
  </si>
  <si>
    <t>0064L00000BmN6T</t>
  </si>
  <si>
    <t>ATS-1 Compass Dashboard POC</t>
  </si>
  <si>
    <t>Joshua Hammel</t>
  </si>
  <si>
    <t>0064L000009Aqrh</t>
  </si>
  <si>
    <t>Spirit Aerosystems Holdings INC.</t>
  </si>
  <si>
    <t>Spirit Aero - Defense Planning - Phase 2</t>
  </si>
  <si>
    <t>22/11/2021</t>
  </si>
  <si>
    <t>0064L00000Bmo2m</t>
  </si>
  <si>
    <t>Quality Management</t>
  </si>
  <si>
    <t>0064L00000BoQId</t>
  </si>
  <si>
    <t>LIXIL Corporation</t>
  </si>
  <si>
    <t>Lixil Americas Benchmarking - Phase 2 #FFG</t>
  </si>
  <si>
    <t>0064L00000BmJwV</t>
  </si>
  <si>
    <t>Synchrony CDP MVP Scaling</t>
  </si>
  <si>
    <t>0064L00000CXiX0</t>
  </si>
  <si>
    <t>BD Commercial Contracting - Phase 1 Process Re-engineering *Pricing*</t>
  </si>
  <si>
    <t>Daniel Berger</t>
  </si>
  <si>
    <t>0064L00000ArMmG</t>
  </si>
  <si>
    <t>Intel Marketplace_Design Phase - Sprint 4</t>
  </si>
  <si>
    <t>0064L00000Bl2OC</t>
  </si>
  <si>
    <t>GE GP Aero E2E Supply Chain Strategy &amp; Planning, OTD</t>
  </si>
  <si>
    <t>27/9/2022</t>
  </si>
  <si>
    <t>0064L00000DEsfo</t>
  </si>
  <si>
    <t>WIM Infrastructure Assessment</t>
  </si>
  <si>
    <t>Gerard Duffy</t>
  </si>
  <si>
    <t>Paige Pennington</t>
  </si>
  <si>
    <t>0064L000009fLxm</t>
  </si>
  <si>
    <t>Herndon Intermediate Holding, LLC</t>
  </si>
  <si>
    <t>Integration Assessment / Dashboards / Management</t>
  </si>
  <si>
    <t>13/7/2021</t>
  </si>
  <si>
    <t>25/9/2022</t>
  </si>
  <si>
    <t>0064L00000DLQvP</t>
  </si>
  <si>
    <t>K2 Program Support H2'22 Amendment</t>
  </si>
  <si>
    <t>0065800000YciTE</t>
  </si>
  <si>
    <t>Cvr Energy INC.</t>
  </si>
  <si>
    <t>CVR Energy Right Angle - Petroman Replacement</t>
  </si>
  <si>
    <t>Michaela Greenan</t>
  </si>
  <si>
    <t>0064L00000DLQs6</t>
  </si>
  <si>
    <t>Nexus Capital Management LP</t>
  </si>
  <si>
    <t>Nexus Leveraged Procurement - Wave 1 #S&amp;P#POD</t>
  </si>
  <si>
    <t>Blake Shanahan</t>
  </si>
  <si>
    <t>0064L0000099y7a</t>
  </si>
  <si>
    <t>GPS xLOB Support &amp; NextGen Coordination  #PayerCO&amp;ITrans</t>
  </si>
  <si>
    <t>0064L00000CYWj7</t>
  </si>
  <si>
    <t>Tech Ops Supply Chain Assessment</t>
  </si>
  <si>
    <t>Jonathan Kletzel</t>
  </si>
  <si>
    <t>Ryan Finnamore</t>
  </si>
  <si>
    <t>0064L000002buXS</t>
  </si>
  <si>
    <t>Stryker Corporation</t>
  </si>
  <si>
    <t>PET 3</t>
  </si>
  <si>
    <t>21/5/2021</t>
  </si>
  <si>
    <t>21/5/2021 9:02 am</t>
  </si>
  <si>
    <t>0064L00000DJg4p</t>
  </si>
  <si>
    <t>Hellman &amp; Friedman LLC.</t>
  </si>
  <si>
    <t>Ultimate Kronos - Treasury Managed Services #TreasuryMSO</t>
  </si>
  <si>
    <t>Jessica Sager</t>
  </si>
  <si>
    <t>0064L00000CWQGd</t>
  </si>
  <si>
    <t>Viper Holdings, LLC (Series 1)</t>
  </si>
  <si>
    <t>Enabling 2.0 Strategy</t>
  </si>
  <si>
    <t>Brett Cayot</t>
  </si>
  <si>
    <t>0064L000006jdqQ</t>
  </si>
  <si>
    <t>EQT Corporation</t>
  </si>
  <si>
    <t>Endur Upgrade - V17 - VX</t>
  </si>
  <si>
    <t>0064L0000099vQA</t>
  </si>
  <si>
    <t>3D Rendering Assessment</t>
  </si>
  <si>
    <t>0064L00000DJdzW</t>
  </si>
  <si>
    <t>PACNW CommonSpirit Reimb: VMFH FFY24-26 WI/OM/Group Reclass *Strategic Reimbursement*</t>
  </si>
  <si>
    <t>0064L00000BlQUE</t>
  </si>
  <si>
    <t>Cards Benefits Strategy</t>
  </si>
  <si>
    <t>0064L00000DJRo7</t>
  </si>
  <si>
    <t>CDM&amp;CT EHR Optimization</t>
  </si>
  <si>
    <t>Kim Repnow</t>
  </si>
  <si>
    <t>0064L00000Bd6bt</t>
  </si>
  <si>
    <t>GWAM - Organization Structure / Operating Model</t>
  </si>
  <si>
    <t>Roland Kastoun</t>
  </si>
  <si>
    <t>0064L00000B264P</t>
  </si>
  <si>
    <t>ARK Investment Management LLC</t>
  </si>
  <si>
    <t>ERP Transformation - Enahancements</t>
  </si>
  <si>
    <t>Hemant Bhide</t>
  </si>
  <si>
    <t>Danerys Gutierrez</t>
  </si>
  <si>
    <t>0064L00000Bn2al</t>
  </si>
  <si>
    <t>Gilead: Transformation- Commercial: HIV Long-Acting Treatment Pipeline GVAS</t>
  </si>
  <si>
    <t>Peter Gilmore</t>
  </si>
  <si>
    <t>Brian Selvarajah</t>
  </si>
  <si>
    <t>0064L00000DLSzY</t>
  </si>
  <si>
    <t>Ginkgo Bioworks</t>
  </si>
  <si>
    <t>Project Diamond: Phase II Functional Integration</t>
  </si>
  <si>
    <t>Matt Garnet</t>
  </si>
  <si>
    <t>0064L000001vqA9</t>
  </si>
  <si>
    <t>Data Analytics in Logistics</t>
  </si>
  <si>
    <t>30/7/2020</t>
  </si>
  <si>
    <t>15/10/2022</t>
  </si>
  <si>
    <t>0064L000002Zhjz</t>
  </si>
  <si>
    <t>Brex, Inc.</t>
  </si>
  <si>
    <t>Design Brex Bank #FOB-Blueprint</t>
  </si>
  <si>
    <t>17/6/2021 4:53 pm</t>
  </si>
  <si>
    <t>0064L00000DLvDI</t>
  </si>
  <si>
    <t>Costco - Customer Journey Optimization</t>
  </si>
  <si>
    <t>0064L00000BdEEU</t>
  </si>
  <si>
    <t>Emblemhealth, Inc.</t>
  </si>
  <si>
    <t>EmblemHealth - Project Saltine</t>
  </si>
  <si>
    <t>0064L00000DMDYx</t>
  </si>
  <si>
    <t>Dla Piper Llp (Us)</t>
  </si>
  <si>
    <t>Recurring pension actuarial/admin services</t>
  </si>
  <si>
    <t>Philip Deitch</t>
  </si>
  <si>
    <t>0064L00000DMEJc</t>
  </si>
  <si>
    <t>Sutter Health - *SMART* IP and OP License Renewal - FY23</t>
  </si>
  <si>
    <t>0064L00000DLto7</t>
  </si>
  <si>
    <t>Cboe Global Markets, Inc.</t>
  </si>
  <si>
    <t>NextGen Costing Prototype Release 1</t>
  </si>
  <si>
    <t>0064L00000DLQYV</t>
  </si>
  <si>
    <t>Excellus - Project IPA - Sep through Dec 2022 Support #PayerCO&amp;ITrans</t>
  </si>
  <si>
    <t>0064L00000Be36S</t>
  </si>
  <si>
    <t>Wabash National Corporation</t>
  </si>
  <si>
    <t>Wabash National FP&amp;A Build</t>
  </si>
  <si>
    <t>Charles Baird</t>
  </si>
  <si>
    <t>0064L00000Bfeh6</t>
  </si>
  <si>
    <t>Potential work US Bank Climate</t>
  </si>
  <si>
    <t>0064L00000BopdG</t>
  </si>
  <si>
    <t>Alchemy Post-Close Support</t>
  </si>
  <si>
    <t>Andrew Wooten</t>
  </si>
  <si>
    <t>Hersh Gupta</t>
  </si>
  <si>
    <t>0064L00000CVipw</t>
  </si>
  <si>
    <t>Comerica Incorporated</t>
  </si>
  <si>
    <t>2022 Comerica Credit Model Development #credit</t>
  </si>
  <si>
    <t>Rahul Wadhawan</t>
  </si>
  <si>
    <t>CS_Risk_Regulatory_Transformation_FS</t>
  </si>
  <si>
    <t>Mike Castagnetta</t>
  </si>
  <si>
    <t>0064L00000BnPJ3</t>
  </si>
  <si>
    <t>MSFT HR FY23 TLI GLD H1 Support</t>
  </si>
  <si>
    <t>0064L00000Appel</t>
  </si>
  <si>
    <t>Seagate - SAP Phase 2 Comms Support</t>
  </si>
  <si>
    <t>27/5/2022 1:29 am</t>
  </si>
  <si>
    <t>0064L00000BkwFn</t>
  </si>
  <si>
    <t>PSEG_Gas MVP Support</t>
  </si>
  <si>
    <t>John Hutton</t>
  </si>
  <si>
    <t>Ed Basanese</t>
  </si>
  <si>
    <t>0064L000007wimC</t>
  </si>
  <si>
    <t>Inovio Pharmaceuticals Inc.</t>
  </si>
  <si>
    <t>VGX3100 Launch Strategy - Wave 3</t>
  </si>
  <si>
    <t>Amy Hunckler</t>
  </si>
  <si>
    <t>0064L00000Bloo0</t>
  </si>
  <si>
    <t>Merch and Supply Chain System Selection #CMRETAIL #RMO</t>
  </si>
  <si>
    <t>0064L00000BoyGF</t>
  </si>
  <si>
    <t>CPM Portfolio Analytics</t>
  </si>
  <si>
    <t>0064L00000CWjsi</t>
  </si>
  <si>
    <t>CVS Health - Aetna Medicaid Capability Review</t>
  </si>
  <si>
    <t>Nichole Maier</t>
  </si>
  <si>
    <t>0064L00000Bfsgo</t>
  </si>
  <si>
    <t>Project College - CTO  VMP &amp; Trx</t>
  </si>
  <si>
    <t>Jeffrey Frankovic</t>
  </si>
  <si>
    <t>0064L00000DFoXj</t>
  </si>
  <si>
    <t>MSFT TLI GTM Sponsorship Design and Build</t>
  </si>
  <si>
    <t>Nicole Pollack</t>
  </si>
  <si>
    <t>0064L00000DLKFQ</t>
  </si>
  <si>
    <t>Forbright Bank</t>
  </si>
  <si>
    <t>Forbright - Operational PMO - Instant Loan, Decisioning and Data</t>
  </si>
  <si>
    <t>Jeff Hersh</t>
  </si>
  <si>
    <t>0064I00000zUIo3</t>
  </si>
  <si>
    <t>City Of Memphis</t>
  </si>
  <si>
    <t>2019 - 2023 Annual H&amp;W Services</t>
  </si>
  <si>
    <t>Cindy Fraterrigo</t>
  </si>
  <si>
    <t>Kimberly Jepsen</t>
  </si>
  <si>
    <t>0064L00000Bp14e</t>
  </si>
  <si>
    <t>Clinical Development Culture Activation</t>
  </si>
  <si>
    <t>Robyn Tierney</t>
  </si>
  <si>
    <t>0064L00000DMDp5</t>
  </si>
  <si>
    <t>Blue Cross Blue Shield Rhode Island</t>
  </si>
  <si>
    <t>BCBSRI - Strategy Phase 2</t>
  </si>
  <si>
    <t>Deepak Tilani</t>
  </si>
  <si>
    <t>0064L00000BmKdO</t>
  </si>
  <si>
    <t>F-35 Training - Cost Strategy &amp; Analytics #DVC</t>
  </si>
  <si>
    <t>0064L00000BlHkw</t>
  </si>
  <si>
    <t>PricewaterhouseCoopers LLP</t>
  </si>
  <si>
    <t>PwC FY23 H&amp;W Consulting - General (1st Half)</t>
  </si>
  <si>
    <t>Richard McCabe</t>
  </si>
  <si>
    <t>Lenny Leung</t>
  </si>
  <si>
    <t>0064L00000Bdb0q</t>
  </si>
  <si>
    <t>United Airlines - Customer Journey Mgmt</t>
  </si>
  <si>
    <t>0064L000009Ar6I</t>
  </si>
  <si>
    <t>Aflac Group Strategy</t>
  </si>
  <si>
    <t>0064L00000BmHnQ</t>
  </si>
  <si>
    <t>Medicare FFY 24 &amp; 25 Wage Index and Occupational Mix Analysis *Strategic Reimbursement*</t>
  </si>
  <si>
    <t>Jennifer Blevins</t>
  </si>
  <si>
    <t>0064L00000DFkzF</t>
  </si>
  <si>
    <t>ISO 20022 Strategy #Volante</t>
  </si>
  <si>
    <t>0064L00000BmFx9</t>
  </si>
  <si>
    <t>Citizens - BaaS Framework Assessment and SME Support</t>
  </si>
  <si>
    <t>0064L00000BoJsP</t>
  </si>
  <si>
    <t>Onshore Wind Cost-Out and Operating Model #FFG</t>
  </si>
  <si>
    <t>Albert Kent</t>
  </si>
  <si>
    <t>Nikita Thawani</t>
  </si>
  <si>
    <t>0064L000006ALeb</t>
  </si>
  <si>
    <t>GE Gas Power Product Lifecycle Configuration Management Roadmap #GET+DD</t>
  </si>
  <si>
    <t>28/3/2023</t>
  </si>
  <si>
    <t>0064L000009AjcV</t>
  </si>
  <si>
    <t>Chronograph Implementation Support</t>
  </si>
  <si>
    <t>Caitlin Ryan</t>
  </si>
  <si>
    <t>0064L000002La61</t>
  </si>
  <si>
    <t>Rock Holdings Inc.</t>
  </si>
  <si>
    <t>Rocket Solar (Rocket Mortgage)</t>
  </si>
  <si>
    <t>Yoshi Nomura</t>
  </si>
  <si>
    <t>0064L000003ym5K</t>
  </si>
  <si>
    <t>EPM Roadmap Development</t>
  </si>
  <si>
    <t>Patrick McMullan</t>
  </si>
  <si>
    <t>0064L00000D8ZNI</t>
  </si>
  <si>
    <t>Project Antioch PX Extension</t>
  </si>
  <si>
    <t>Zach Haffor</t>
  </si>
  <si>
    <t>0064L00000DMEJa</t>
  </si>
  <si>
    <t>RWJ Barnabas Health, Inc.</t>
  </si>
  <si>
    <t>RWJBarnabas Health - *SMART* IP License Renewal - FY23</t>
  </si>
  <si>
    <t>0064L00000AqqeH</t>
  </si>
  <si>
    <t>KP MembershipConnect CDS CY2022 Q3 #PayerCO&amp;ITrans</t>
  </si>
  <si>
    <t>Philip Wolf</t>
  </si>
  <si>
    <t>0064L0000041mEf</t>
  </si>
  <si>
    <t>Aggregated Sourcing Phase 2</t>
  </si>
  <si>
    <t>0064L00000DFrbF</t>
  </si>
  <si>
    <t>Discover Optimal International Interchange Pricing Model</t>
  </si>
  <si>
    <t>Chelsea Hamilton</t>
  </si>
  <si>
    <t>Michelle Casey</t>
  </si>
  <si>
    <t>0064L000009AURS</t>
  </si>
  <si>
    <t>Ferring Holding S.A.</t>
  </si>
  <si>
    <t>Bodylogical (BL) - Ulcerative Colitis Modeling for R&amp;D</t>
  </si>
  <si>
    <t>0064L00000CW0Ri</t>
  </si>
  <si>
    <t>Media Investments &amp; Sales Leads: Media Mix Model Implementation</t>
  </si>
  <si>
    <t>Thomas Kavanaugh</t>
  </si>
  <si>
    <t>0064L000002LUQP</t>
  </si>
  <si>
    <t>Surprise Billing - execution support #PayerCO&amp;ITrans</t>
  </si>
  <si>
    <t>24/8/2022</t>
  </si>
  <si>
    <t>0064L000004vetW</t>
  </si>
  <si>
    <t>F.N.B. Corporation</t>
  </si>
  <si>
    <t>FNB Corp Bank Transformation Blueprint #&lt;$50B #FOB #FOB-Blueprint</t>
  </si>
  <si>
    <t>14/12/2020</t>
  </si>
  <si>
    <t>Steve Norman</t>
  </si>
  <si>
    <t>0064L000002bxhT</t>
  </si>
  <si>
    <t>NiSource Safety App</t>
  </si>
  <si>
    <t>David Krovitz</t>
  </si>
  <si>
    <t>0064L00000CXx2g</t>
  </si>
  <si>
    <t>BCBSM - Benefit Configuration Future State Planning #PayerCO&amp;ITrans</t>
  </si>
  <si>
    <t>0064L00000Bmj4s</t>
  </si>
  <si>
    <t>Medical Cost Reduction / Abacus #HVM #FFG</t>
  </si>
  <si>
    <t>0064L000009fDee</t>
  </si>
  <si>
    <t>MS - IT Asset Inventory Sec Reqs</t>
  </si>
  <si>
    <t>0064L00000BgeyO</t>
  </si>
  <si>
    <t>Inovio - Knowledge Center Support #QualityManagedServices</t>
  </si>
  <si>
    <t>0064L00000BoM0V</t>
  </si>
  <si>
    <t>Project Symphony - LD1 Extension - Data Horizontal</t>
  </si>
  <si>
    <t>0064L00000BdLS7</t>
  </si>
  <si>
    <t>Wm. Bolthouse Farms Inc.</t>
  </si>
  <si>
    <t>Sales Playbook and Customer Planning</t>
  </si>
  <si>
    <t>Sudhanshu Shekhar</t>
  </si>
  <si>
    <t>0064L00000D8r2F</t>
  </si>
  <si>
    <t>Emergent BioSolutions Inc.</t>
  </si>
  <si>
    <t>EBS SG&amp;A FFG</t>
  </si>
  <si>
    <t>0064L00000CXswt</t>
  </si>
  <si>
    <t>Distribution Strategy and Optimization</t>
  </si>
  <si>
    <t>0064L00000Bo94I</t>
  </si>
  <si>
    <t>CHS Empower - Staffing Support</t>
  </si>
  <si>
    <t>Sarah Daubenspeck</t>
  </si>
  <si>
    <t>0064L00000BnWUE</t>
  </si>
  <si>
    <t>Weatherford Sustainability Roadmap Implementation #ESG</t>
  </si>
  <si>
    <t>0064L000009AzdH</t>
  </si>
  <si>
    <t>Partner Data Exchange - Ecosystem Design and Support</t>
  </si>
  <si>
    <t>Michael McIntosh II</t>
  </si>
  <si>
    <t>0064L00000CXtAb</t>
  </si>
  <si>
    <t>Morgan Stanley Client Service &amp; Sales Enhancement</t>
  </si>
  <si>
    <t>Evan Siegal</t>
  </si>
  <si>
    <t>Matthew Killian</t>
  </si>
  <si>
    <t>0064L000001vQFt</t>
  </si>
  <si>
    <t>Fashion Nova Inc.</t>
  </si>
  <si>
    <t>Fashion Nova - Back Ofc: HRIS Transformation</t>
  </si>
  <si>
    <t>18/7/2020</t>
  </si>
  <si>
    <t>Colby Conner</t>
  </si>
  <si>
    <t>0064L00000DFyDU</t>
  </si>
  <si>
    <t>CVS: Medicaid NextGen: Duals Benefit Configuration - Redesign and Ongoing Support #PayerCO&amp;ITrans</t>
  </si>
  <si>
    <t>0064L00000B1T8D</t>
  </si>
  <si>
    <t>2022 KeyBank Dynamic Credit Surveillance Implementation Support #Credit</t>
  </si>
  <si>
    <t>ADV_FS_R&amp;R</t>
  </si>
  <si>
    <t>2021 KeyBank Dynamic Credit Surveillance Pilot #Comm50B+ #Credit</t>
  </si>
  <si>
    <t>0064L00000BoFse</t>
  </si>
  <si>
    <t>Everseen Limited</t>
  </si>
  <si>
    <t>POS Technology Deployment Acceleration</t>
  </si>
  <si>
    <t>0064L00000B1SIW</t>
  </si>
  <si>
    <t>Supply Chain Control Tower / NOC Step 2 (MVP) #MW</t>
  </si>
  <si>
    <t>Chet Sampat</t>
  </si>
  <si>
    <t>0064L000002La5X</t>
  </si>
  <si>
    <t>United Rentals Inc.</t>
  </si>
  <si>
    <t>URI Logistics Op Model Ph 1</t>
  </si>
  <si>
    <t>0064L000009fT3x</t>
  </si>
  <si>
    <t>Nielsen Holdings PLC</t>
  </si>
  <si>
    <t>IWMS Implementation</t>
  </si>
  <si>
    <t>0064I00000y7hYk</t>
  </si>
  <si>
    <t>L'OREAL</t>
  </si>
  <si>
    <t>L'Oreal USA - Performance Analyzer (SaaS)</t>
  </si>
  <si>
    <t>25/10/2019</t>
  </si>
  <si>
    <t>0064L00000Bo3s7</t>
  </si>
  <si>
    <t>Emera Inc.</t>
  </si>
  <si>
    <t>TECO - Flowcal measurement upgrade</t>
  </si>
  <si>
    <t>0064L00000BmOyQ</t>
  </si>
  <si>
    <t>Back Office Transformation - 2023 Software Selection</t>
  </si>
  <si>
    <t>0064L000004wpTS</t>
  </si>
  <si>
    <t>SRM Strategy/Go Forward Framework and Plan</t>
  </si>
  <si>
    <t>Joseph Needham</t>
  </si>
  <si>
    <t>0064L00000CWI9y</t>
  </si>
  <si>
    <t>AT&amp;T Public Sector P&amp;L &amp; Ops Portal Execution</t>
  </si>
  <si>
    <t>0064L00000DMDxi</t>
  </si>
  <si>
    <t>SK Inc.</t>
  </si>
  <si>
    <t>SK Pharmteco - Consolidation System (CCH) Implementation</t>
  </si>
  <si>
    <t>Jun Lee</t>
  </si>
  <si>
    <t>0064L00000CVWCP</t>
  </si>
  <si>
    <t>Clover Health Investments, Corp.</t>
  </si>
  <si>
    <t>Project Alpha: implementation and migration support #PayerCO&amp;ITrans</t>
  </si>
  <si>
    <t>0064L00000CWkRb</t>
  </si>
  <si>
    <t>Marriott Employee Engagement Platform Strategy and Implementation</t>
  </si>
  <si>
    <t>Max Glickman</t>
  </si>
  <si>
    <t>0064L000009AfRO</t>
  </si>
  <si>
    <t>iFIT #MI</t>
  </si>
  <si>
    <t>Alex Jenkins</t>
  </si>
  <si>
    <t>0064L00000BeEg6</t>
  </si>
  <si>
    <t>P66 CLM</t>
  </si>
  <si>
    <t>0064L00000Bey1R</t>
  </si>
  <si>
    <t>AIM platform design and planning #PayerCO&amp;ITrans #HVM</t>
  </si>
  <si>
    <t>0064L00000CVC2f</t>
  </si>
  <si>
    <t>RJF $100Bn Threshold - Risk &amp; Capital Gap Assessment</t>
  </si>
  <si>
    <t>0064L00000CXhVc</t>
  </si>
  <si>
    <t>McKesson - Responsible Sourcing Program Phase 2 2022 #S&amp;P #ESG</t>
  </si>
  <si>
    <t>Daniel Schultz</t>
  </si>
  <si>
    <t>0064L00000DLNQd</t>
  </si>
  <si>
    <t>Healthfirst Org Design</t>
  </si>
  <si>
    <t>Kristin Craig</t>
  </si>
  <si>
    <t>0064L00000DM034</t>
  </si>
  <si>
    <t>Rocket Mortgage PwC Bank Rationalization/BankLab Deck</t>
  </si>
  <si>
    <t>Davide di Gennaro</t>
  </si>
  <si>
    <t>0064L00000Bfwuf</t>
  </si>
  <si>
    <t>DENSO NA  - EPM 2.0: FCCS optimization</t>
  </si>
  <si>
    <t>0064L000006BSDi</t>
  </si>
  <si>
    <t>Regions Core Finance Opportunity #RocktheSEPipe</t>
  </si>
  <si>
    <t>Lindsay Peele Sisk</t>
  </si>
  <si>
    <t>0064L00000DLoKz</t>
  </si>
  <si>
    <t>MSWM Regulatory Response Support Extension 2H 2022</t>
  </si>
  <si>
    <t>Drew Harger</t>
  </si>
  <si>
    <t>0064L00000CWtz9</t>
  </si>
  <si>
    <t>Kelsey-Seybold Medical Group Pllc</t>
  </si>
  <si>
    <t>*CI* Kelsey Seybold Patient Experience Design</t>
  </si>
  <si>
    <t>Elisabeth Skiles</t>
  </si>
  <si>
    <t>0064L00000Bopge</t>
  </si>
  <si>
    <t>OptumRx - RFP for IRIS replatforming</t>
  </si>
  <si>
    <t>Molly Deibert</t>
  </si>
  <si>
    <t>0064L00000DLntF</t>
  </si>
  <si>
    <t>Project Sphinx and Janus - Post Close IT Support</t>
  </si>
  <si>
    <t>0064L00000DLoTn</t>
  </si>
  <si>
    <t>2023 AMZ Kuiper PS Integration Support  - KGS SME</t>
  </si>
  <si>
    <t>0064L00000DBQFS</t>
  </si>
  <si>
    <t>Ally Smart Auction - Q4 Development</t>
  </si>
  <si>
    <t>0064L00000CYINB</t>
  </si>
  <si>
    <t>KCP NA GTM Transformation</t>
  </si>
  <si>
    <t>0064L00000Bo14U</t>
  </si>
  <si>
    <t>GE Separation - Corporate - DT Retroactive CO 1</t>
  </si>
  <si>
    <t>Titikshu Atoliya</t>
  </si>
  <si>
    <t>0064L00000DMEMd</t>
  </si>
  <si>
    <t>University Of Nc Hospitals</t>
  </si>
  <si>
    <t>UNC Hospitals - *SMART* IP and OP License Renewal - FY23</t>
  </si>
  <si>
    <t>Edmund Kowalski</t>
  </si>
  <si>
    <t>0064L00000BoDF0</t>
  </si>
  <si>
    <t>Pre/Post Implementation Assessment - 2023</t>
  </si>
  <si>
    <t>Heidi Scheppmann</t>
  </si>
  <si>
    <t>Amy Burk</t>
  </si>
  <si>
    <t>0064L00000CXO3A</t>
  </si>
  <si>
    <t>Comprehensive Rx Assessment</t>
  </si>
  <si>
    <t>Connie Perry</t>
  </si>
  <si>
    <t>0064L00000DLnLD</t>
  </si>
  <si>
    <t>TA EV Charging Infrastructure</t>
  </si>
  <si>
    <t>Andrea Grogan</t>
  </si>
  <si>
    <t>0064L00000CVW7P</t>
  </si>
  <si>
    <t>Cox Enterprises, Inc.</t>
  </si>
  <si>
    <t>Cox Automotive Tech Disruptor Strategy Proposal</t>
  </si>
  <si>
    <t>Rebecca Hintz</t>
  </si>
  <si>
    <t>0064L00000DJXME</t>
  </si>
  <si>
    <t>Business Continuity Planning Support (Process Work, Training, Testing) - Ext 08</t>
  </si>
  <si>
    <t>0064L00000Bepcp</t>
  </si>
  <si>
    <t>CRS Connected Commerce - Strategy / PoC</t>
  </si>
  <si>
    <t>0064L00000ApghM</t>
  </si>
  <si>
    <t>Project Orbit Cost Takeout / Stranded Cost Remediation Support</t>
  </si>
  <si>
    <t>Kyle Long</t>
  </si>
  <si>
    <t>0064L00000DJglA</t>
  </si>
  <si>
    <t>CoH FCCS Implementation</t>
  </si>
  <si>
    <t>0064L00000AqHrG</t>
  </si>
  <si>
    <t>Baptist Memorial_Marketing Cloud Expansion</t>
  </si>
  <si>
    <t>Brian Bergen</t>
  </si>
  <si>
    <t>0064L00000ArmxZ</t>
  </si>
  <si>
    <t>Centene - Tango Implementation Oversight</t>
  </si>
  <si>
    <t>0064L00000BmjHc</t>
  </si>
  <si>
    <t>BMS China - R&amp;D Implementation Support #orgstrat</t>
  </si>
  <si>
    <t>Jeff Rieske</t>
  </si>
  <si>
    <t>0064L00000BlgIJ</t>
  </si>
  <si>
    <t>Payments Strategy Modernization #Digitalassets</t>
  </si>
  <si>
    <t>Scott Toppi</t>
  </si>
  <si>
    <t>0064L00000BnmSy</t>
  </si>
  <si>
    <t>Ops VIP Project Support</t>
  </si>
  <si>
    <t>0064L000002c6TJ</t>
  </si>
  <si>
    <t>TPM Design &amp; Implementation Phase 1 &amp; 2</t>
  </si>
  <si>
    <t>Jason Swist</t>
  </si>
  <si>
    <t>0064L00000CYYR5</t>
  </si>
  <si>
    <t>MSFT GTM Talent Management Principles</t>
  </si>
  <si>
    <t>Manager</t>
  </si>
  <si>
    <t>0064L000002bvx8</t>
  </si>
  <si>
    <t>Mercedes-Benz Group AG</t>
  </si>
  <si>
    <t>DTNA OpCom Strategy</t>
  </si>
  <si>
    <t>0064L000009AMUY</t>
  </si>
  <si>
    <t>Bayview Asset Management LLC.</t>
  </si>
  <si>
    <t>Bayview Funds - FFG</t>
  </si>
  <si>
    <t>0064L00000Bftfc</t>
  </si>
  <si>
    <t>Booking Holdings Inc.</t>
  </si>
  <si>
    <t>Intercompany Process Improvement</t>
  </si>
  <si>
    <t>0064L00000Bl39c</t>
  </si>
  <si>
    <t>Stryker - Accelerate Field Inventory / Business Integrator Support - $750K</t>
  </si>
  <si>
    <t>Jim Messner</t>
  </si>
  <si>
    <t>0064L00000BoMGY</t>
  </si>
  <si>
    <t>TCCC - FP&amp;A Transformation Phase 1B - Implementation - CO # 1 (Two Month Extension)</t>
  </si>
  <si>
    <t>TCCC - FP&amp;A Transformation Phase 1B - Implementation (LRP/LTGM/People/Topline)</t>
  </si>
  <si>
    <t>0064L00000BonjC</t>
  </si>
  <si>
    <t>Nuvasive Inc.</t>
  </si>
  <si>
    <t>NuVasive Growth Strategy</t>
  </si>
  <si>
    <t>0064L000002ZNbR</t>
  </si>
  <si>
    <t>Honda Motor Co., Ltd.</t>
  </si>
  <si>
    <t>Honda - Smart Factory Use Case Deployment &amp; Strategy</t>
  </si>
  <si>
    <t>Raymond Young</t>
  </si>
  <si>
    <t>0064L0000099F53</t>
  </si>
  <si>
    <t>Guggenheim Capital, LLC</t>
  </si>
  <si>
    <t>Deals Support</t>
  </si>
  <si>
    <t>Gary Shub</t>
  </si>
  <si>
    <t>0064L00000D8RHa</t>
  </si>
  <si>
    <t>Aegis Venture Partners, LLC</t>
  </si>
  <si>
    <t>Netsuite FP&amp;A Architecture</t>
  </si>
  <si>
    <t>Robert Knittle</t>
  </si>
  <si>
    <t>John Romeo</t>
  </si>
  <si>
    <t>0064L00000BnIs8</t>
  </si>
  <si>
    <t>Liberty Mutual  - Surety Mobilization</t>
  </si>
  <si>
    <t>Miguel Palomares</t>
  </si>
  <si>
    <t>0064L000001tNDS</t>
  </si>
  <si>
    <t>LM Space Supply Chain Assessment #AvWeek</t>
  </si>
  <si>
    <t>27/5/2020</t>
  </si>
  <si>
    <t>0064L00000CX0mg</t>
  </si>
  <si>
    <t>Pershing Wealth Soln - OpModel Review</t>
  </si>
  <si>
    <t>0064L00000BnYaP</t>
  </si>
  <si>
    <t>CDW - Treasury Managed Services #TreasuryMSO</t>
  </si>
  <si>
    <t>0064L00000BnYaO</t>
  </si>
  <si>
    <t>Signet Jewelers Limited</t>
  </si>
  <si>
    <t>Signet - Treasury Managed Services #TreasuryMSO</t>
  </si>
  <si>
    <t>0064L00000BnYad</t>
  </si>
  <si>
    <t>Papa John's International Inc.</t>
  </si>
  <si>
    <t>Papa John's - Treasury Managed Services #TreasuryMSO</t>
  </si>
  <si>
    <t>0064L00000BnYbX</t>
  </si>
  <si>
    <t>Warburg Pincus LLC</t>
  </si>
  <si>
    <t>Pregis - Treasury Managed Services #TreasuryMSO</t>
  </si>
  <si>
    <t>0064L00000BnYbW</t>
  </si>
  <si>
    <t>Workiva Inc.</t>
  </si>
  <si>
    <t>Workiva - Treasury Managed Services #TreasuryMSO</t>
  </si>
  <si>
    <t>0064L00000BnYe6</t>
  </si>
  <si>
    <t>Skechers - Treasury Managed Services #TreasuryMSO</t>
  </si>
  <si>
    <t>0064L00000BnYek</t>
  </si>
  <si>
    <t>Walgreens - Treasury Managed Services #TreasuryMSO</t>
  </si>
  <si>
    <t>0064L00000BnYfO</t>
  </si>
  <si>
    <t>Lamar - Treasury Managed Services #TreasuryMSO</t>
  </si>
  <si>
    <t>0064L0000099Akj</t>
  </si>
  <si>
    <t>HCE IT service/solution optimization #PayerCO&amp;ITrans</t>
  </si>
  <si>
    <t>0064L00000DJg4f</t>
  </si>
  <si>
    <t>Steward Health Care - Treasury Managed Services #TreasuryMSO</t>
  </si>
  <si>
    <t>0064L00000BnkJV</t>
  </si>
  <si>
    <t>Consociate,Inc.</t>
  </si>
  <si>
    <t>Consociate Health - Oracle OHI Implementation #OHI #CO&amp;IPayerTrans</t>
  </si>
  <si>
    <t>0064L00000DJg75</t>
  </si>
  <si>
    <t>Taylor Morrison Home Corporation</t>
  </si>
  <si>
    <t>Taylor Morrison Home Corp - Treasury Managed Services #TreasuryMSO</t>
  </si>
  <si>
    <t>0064L00000B1WJZ</t>
  </si>
  <si>
    <t>Lubes - Pricing Technology Roadmap #bigbet</t>
  </si>
  <si>
    <t>Patrick Kirk</t>
  </si>
  <si>
    <t>0064L00000CYTtT</t>
  </si>
  <si>
    <t>DSP Modernization</t>
  </si>
  <si>
    <t>Ahmed Nazari</t>
  </si>
  <si>
    <t>0064L000009f4q6</t>
  </si>
  <si>
    <t>Cathexis Holdings, LP</t>
  </si>
  <si>
    <t>Yondr Americas - Strategic Support</t>
  </si>
  <si>
    <t>14/8/2022</t>
  </si>
  <si>
    <t>Session Mwamufiya</t>
  </si>
  <si>
    <t>0064L00000D8rAY</t>
  </si>
  <si>
    <t>DaaS Enterprise Journey</t>
  </si>
  <si>
    <t>Kimberly Clifford</t>
  </si>
  <si>
    <t>Katie Eng</t>
  </si>
  <si>
    <t>0064L00000Bol97</t>
  </si>
  <si>
    <t>*Rev Cycle* Ops Opportunity Assessment</t>
  </si>
  <si>
    <t>Shaun Woody</t>
  </si>
  <si>
    <t>0064L000009BJoX</t>
  </si>
  <si>
    <t>Deere_Marketing Transformation_placeholder</t>
  </si>
  <si>
    <t>20/10/2022</t>
  </si>
  <si>
    <t>Sarah Cornish</t>
  </si>
  <si>
    <t>0064L000002bc9p</t>
  </si>
  <si>
    <t>GE Healthcare - Sales &amp; Operations Planning</t>
  </si>
  <si>
    <t>0064L000004wtgW</t>
  </si>
  <si>
    <t>#QMS ADM Managed Services Complaints &amp; Doc Management</t>
  </si>
  <si>
    <t>23/2/2023</t>
  </si>
  <si>
    <t>0064L00000CYU7B</t>
  </si>
  <si>
    <t>Vonage Holdings CORP.</t>
  </si>
  <si>
    <t>Vonage - Adobe CDP + CustomerLink</t>
  </si>
  <si>
    <t>0064L00000BeMAS</t>
  </si>
  <si>
    <t>Lendingclub Corporation</t>
  </si>
  <si>
    <t>Blueprinting, Capabilities Prioritization, Core Modernization</t>
  </si>
  <si>
    <t>31/5/2022 6:48 pm</t>
  </si>
  <si>
    <t>0064L000009fvLh</t>
  </si>
  <si>
    <t>Kyriba Support (July - Dec 2022)</t>
  </si>
  <si>
    <t>0064L00000DJdRG</t>
  </si>
  <si>
    <t>Horizon Healthcare Services Inc.</t>
  </si>
  <si>
    <t>Horizon Analytics as a Service 2023 EXTENSION  #PayerAnalytics</t>
  </si>
  <si>
    <t>Payer_Data_&amp;_Analytics</t>
  </si>
  <si>
    <t>Lisa Panchuk</t>
  </si>
  <si>
    <t>0064L000001vPmD</t>
  </si>
  <si>
    <t>GRM Distribution Company Carve Out: Field Op Model Strategy &amp; Execution</t>
  </si>
  <si>
    <t>0064L00000AsJBG</t>
  </si>
  <si>
    <t>GSK Pharma Digital Commerce</t>
  </si>
  <si>
    <t>18/7/2023</t>
  </si>
  <si>
    <t>0064L00000AsJCI</t>
  </si>
  <si>
    <t>GSK Pharma Digital Commerce Phase 2</t>
  </si>
  <si>
    <t>0064L00000BmAl3</t>
  </si>
  <si>
    <t>#QMS CTDO Fusion implementation support</t>
  </si>
  <si>
    <t>0064L00000BnxZ7</t>
  </si>
  <si>
    <t>Alight Solutions - Treasury Managed Services #TreasuryMSO</t>
  </si>
  <si>
    <t>0064L00000ArFmO</t>
  </si>
  <si>
    <t>R&amp;D Velocity and Predictability</t>
  </si>
  <si>
    <t>19/10/2021</t>
  </si>
  <si>
    <t>0064L00000DLFj9</t>
  </si>
  <si>
    <t>DENSO NA: CaRS Enhancements</t>
  </si>
  <si>
    <t>0064L00000ArFrd</t>
  </si>
  <si>
    <t>Collibra Inc.</t>
  </si>
  <si>
    <t>Agile Transformation</t>
  </si>
  <si>
    <t>0064I00000y8hgZ</t>
  </si>
  <si>
    <t>Finance Modernization - Phase 1 (2020) #Hawk</t>
  </si>
  <si>
    <t>0064L00000BnxiT</t>
  </si>
  <si>
    <t>0064L00000CVjjQ</t>
  </si>
  <si>
    <t>BeiGene, Ltd.</t>
  </si>
  <si>
    <t>Beigene Capital Process Development and Tool Selection</t>
  </si>
  <si>
    <t>Mirna Elia</t>
  </si>
  <si>
    <t>0064L000009epgT</t>
  </si>
  <si>
    <t>ADM eQMS Implementation</t>
  </si>
  <si>
    <t>23/6/2021</t>
  </si>
  <si>
    <t>0064I000015TDc0</t>
  </si>
  <si>
    <t>MS - ETFC CX</t>
  </si>
  <si>
    <t>Arjun Patel</t>
  </si>
  <si>
    <t>Chris Strong</t>
  </si>
  <si>
    <t>0064L00000DM8OO</t>
  </si>
  <si>
    <t>Cooper University Health Care</t>
  </si>
  <si>
    <t>Enterprise Strategic Plan</t>
  </si>
  <si>
    <t>Josette Beran</t>
  </si>
  <si>
    <t>John Capalbo</t>
  </si>
  <si>
    <t>0064L00000CXpEA</t>
  </si>
  <si>
    <t>#IOBP-Portfolio Ops R&amp;D Initiative: R&amp;D Functional Planning Optimization (SPOT)</t>
  </si>
  <si>
    <t>0064L00000CYPee</t>
  </si>
  <si>
    <t>GTCR Golder Rauner LLC</t>
  </si>
  <si>
    <t>Digital Quality Systems Implementation</t>
  </si>
  <si>
    <t>Digital Quality Systems Architecture and Selection</t>
  </si>
  <si>
    <t>0064L00000DMGb1</t>
  </si>
  <si>
    <t>NAGICO INSURANCE COMPANY LIMITED</t>
  </si>
  <si>
    <t>Operating Model Transformation #FFG3.0</t>
  </si>
  <si>
    <t>Hugh Bachmann</t>
  </si>
  <si>
    <t>Paul Sherratt</t>
  </si>
  <si>
    <t>0064L0000098oJl</t>
  </si>
  <si>
    <t>White &amp; Case LLP</t>
  </si>
  <si>
    <t>Health &amp; welfare recurring consulting</t>
  </si>
  <si>
    <t>0064L000004x2ey</t>
  </si>
  <si>
    <t>Lowe's Companies Inc</t>
  </si>
  <si>
    <t>Merchandise Hierarchy Phase 2</t>
  </si>
  <si>
    <t>16/1/2021</t>
  </si>
  <si>
    <t>0064L00000Bnw7t</t>
  </si>
  <si>
    <t>Brookfield - Treasury Managed Services #TreasuryMSO</t>
  </si>
  <si>
    <t>0064L00000Bn0gI</t>
  </si>
  <si>
    <t>Back Office Transformation - SOW  #2 Enterprise Data &amp; Reporting, CMDR Gap Analysis</t>
  </si>
  <si>
    <t>0064L000009B6CV</t>
  </si>
  <si>
    <t>William Grant &amp; Sons Group Limited</t>
  </si>
  <si>
    <t>WG&amp;S Digital Commerce</t>
  </si>
  <si>
    <t>0064L00000BfmgM</t>
  </si>
  <si>
    <t>Procurement as a service #S&amp;P#POD #TMTMSO</t>
  </si>
  <si>
    <t>0064L00000DLtwz</t>
  </si>
  <si>
    <t>Excellus Lifetime Benefit Solution Strategy</t>
  </si>
  <si>
    <t>0064L00000BowLR</t>
  </si>
  <si>
    <t>Partner Payments TOM- Technology Solution</t>
  </si>
  <si>
    <t>0064L00000DLSWM</t>
  </si>
  <si>
    <t>NIP FINCO LLC</t>
  </si>
  <si>
    <t>De Novo Bank Assessment &amp; Technology Roadmap</t>
  </si>
  <si>
    <t>Corey Cederquist</t>
  </si>
  <si>
    <t>0064L00000B36QW</t>
  </si>
  <si>
    <t>Centerpoint ESG</t>
  </si>
  <si>
    <t>0064L00000BdDSp</t>
  </si>
  <si>
    <t>Zappos Finance Transformation</t>
  </si>
  <si>
    <t>Heather Brewer</t>
  </si>
  <si>
    <t>0064L00000DG41F</t>
  </si>
  <si>
    <t>Mobilizing Office of the President</t>
  </si>
  <si>
    <t>0064L00000BdDUC</t>
  </si>
  <si>
    <t>Transformation - Sports Campaigns</t>
  </si>
  <si>
    <t>0064L00000Be5wC</t>
  </si>
  <si>
    <t>Sysco FP&amp;A review</t>
  </si>
  <si>
    <t>0064L00000DFbtE</t>
  </si>
  <si>
    <t>Panera - Journey Optimization</t>
  </si>
  <si>
    <t>0064L00000BnRVp</t>
  </si>
  <si>
    <t>JPS - Phase2 - Financial and Strategic Planning</t>
  </si>
  <si>
    <t>0064L000003ymG8</t>
  </si>
  <si>
    <t>Jones Lang Lasalle Incorporated</t>
  </si>
  <si>
    <t>Management Company Value Creation #Hawk</t>
  </si>
  <si>
    <t>Erich Butters</t>
  </si>
  <si>
    <t>0064L00000CVz2s</t>
  </si>
  <si>
    <t>GE Separation - Healthcare - IT Contract Separation Support #S&amp;P#POD</t>
  </si>
  <si>
    <t>Rebecca Mackin</t>
  </si>
  <si>
    <t>0064L0000070qSm</t>
  </si>
  <si>
    <t>Finance Close Optimization &amp; Transformation #FSProcessMining</t>
  </si>
  <si>
    <t>18/3/2021</t>
  </si>
  <si>
    <t>Jennifer Harms</t>
  </si>
  <si>
    <t>0064L00000BeHFw</t>
  </si>
  <si>
    <t>Northrop Grumman Corporation</t>
  </si>
  <si>
    <t>DTO Part II -  ~5 Additional Design Areas</t>
  </si>
  <si>
    <t>0064L000001uk6q</t>
  </si>
  <si>
    <t>GDMS Oracle EPM Implementation - Phase III</t>
  </si>
  <si>
    <t>29/6/2020</t>
  </si>
  <si>
    <t>CS_AL_EV_TRANSFORM_INDUSTRY_BOD_HVNZ6V9N3LJ_02FY22_AD_BO_WM PHOENIX OPEN</t>
  </si>
  <si>
    <t>0064L00000Bei8Q</t>
  </si>
  <si>
    <t>Loyalty financial management implementation</t>
  </si>
  <si>
    <t>0064L00000Bllnl</t>
  </si>
  <si>
    <t>Valero - SAP - Carbon Ledger Implementation</t>
  </si>
  <si>
    <t>0064L00000DM4Cu</t>
  </si>
  <si>
    <t>ProMedica *FFG* Corporate Org Evaluation</t>
  </si>
  <si>
    <t>0064L000009AtWN</t>
  </si>
  <si>
    <t>Wine.com - Finance Transformation Phase 1</t>
  </si>
  <si>
    <t>0064L00000D8Xke</t>
  </si>
  <si>
    <t>Sweetgreen Inc.</t>
  </si>
  <si>
    <t>Sweetgreen - #Coupa Phase 2 Implementation</t>
  </si>
  <si>
    <t>0064L000007FLRr</t>
  </si>
  <si>
    <t>Idea to Market - Phase 2</t>
  </si>
  <si>
    <t>0064L00000BnbXv</t>
  </si>
  <si>
    <t>Budgeting Forecasting - Phase I</t>
  </si>
  <si>
    <t>Douglas Mitchell</t>
  </si>
  <si>
    <t>0064L00000BezDn</t>
  </si>
  <si>
    <t>Akamai Technologies Inc.</t>
  </si>
  <si>
    <t>Product Management &amp; Software Development Refresh</t>
  </si>
  <si>
    <t>Ben Lahue</t>
  </si>
  <si>
    <t>0064L00000BnrY9</t>
  </si>
  <si>
    <t>Old Mutual Limited</t>
  </si>
  <si>
    <t>Old Mutual Job Architecture Design (US)</t>
  </si>
  <si>
    <t>Robert Tate</t>
  </si>
  <si>
    <t>0064L000004vZhB</t>
  </si>
  <si>
    <t>Healthfirst 2021 - Next best action / personalized member experience - #Payer Customer Advocacy</t>
  </si>
  <si>
    <t>Derek Gaasch</t>
  </si>
  <si>
    <t>0064L00000Bp2ed</t>
  </si>
  <si>
    <t>Spectrum Health</t>
  </si>
  <si>
    <t>Consumer Digital Integration - Strategic Advisory Support</t>
  </si>
  <si>
    <t>0064L00000BewS5</t>
  </si>
  <si>
    <t>Government of Manitoba</t>
  </si>
  <si>
    <t>Manitoba - Liquor Sales Privatization - 750,000</t>
  </si>
  <si>
    <t>Alex Brolick</t>
  </si>
  <si>
    <t>0064L00000CXjhB</t>
  </si>
  <si>
    <t>AT&amp;T - Employee Experience (internal Zoo)</t>
  </si>
  <si>
    <t>David Gunn</t>
  </si>
  <si>
    <t>Samuel Van Cleve</t>
  </si>
  <si>
    <t>0064L00000DJkzq</t>
  </si>
  <si>
    <t>AWARE INTEGRATED INC</t>
  </si>
  <si>
    <t>Economic Cost of Racial Inequities in Healthcare MA</t>
  </si>
  <si>
    <t>Allister Charles</t>
  </si>
  <si>
    <t>0064L00000CX7ge</t>
  </si>
  <si>
    <t>Copa Holdings S.a.</t>
  </si>
  <si>
    <t>Copa Loyalty Strategy &amp; Program Design</t>
  </si>
  <si>
    <t>23/4/2022</t>
  </si>
  <si>
    <t>Alexander Stillman</t>
  </si>
  <si>
    <t>0064L00000BoB6u</t>
  </si>
  <si>
    <t>India Manufacturing Center of Excellence Strategy</t>
  </si>
  <si>
    <t>0064L00000BoB8M</t>
  </si>
  <si>
    <t>Global Payments Peerless Org Transformation - Direct</t>
  </si>
  <si>
    <t>Jeffrey Hamilton</t>
  </si>
  <si>
    <t>0064L000009fmLw</t>
  </si>
  <si>
    <t>The Mosaic Company</t>
  </si>
  <si>
    <t>Mosaic Digital Upskilling: Ph 2 ProEdge</t>
  </si>
  <si>
    <t>Metals and Mining</t>
  </si>
  <si>
    <t>0064L00000Bg7dc</t>
  </si>
  <si>
    <t>Bridgewater Associates, Limited Partnership</t>
  </si>
  <si>
    <t>Workday Integrations Extension 2nd Half '22</t>
  </si>
  <si>
    <t>0064L00000Bm9VY</t>
  </si>
  <si>
    <t>First Horizon Corporation</t>
  </si>
  <si>
    <t>Consumer SME Digital transformation</t>
  </si>
  <si>
    <t>0064L00000CXWuv</t>
  </si>
  <si>
    <t>US Bank Core Transformation - Alignment Workshops</t>
  </si>
  <si>
    <t>0064L00000BlGWK</t>
  </si>
  <si>
    <t>Supply Chain / Customer Experience Improvement</t>
  </si>
  <si>
    <t>0064L00000D8xMy</t>
  </si>
  <si>
    <t>Supply Chain Visibility</t>
  </si>
  <si>
    <t>0064L000001ugwh</t>
  </si>
  <si>
    <t>American Axle &amp; Manufacturing Holdings Inc.</t>
  </si>
  <si>
    <t>Oracle Cloud - HFM to the Cloud</t>
  </si>
  <si>
    <t>26/6/2020</t>
  </si>
  <si>
    <t>0064L000007wHmj</t>
  </si>
  <si>
    <t>Gilead: Transformation - Commercial: Salesforce Transformation Strategy</t>
  </si>
  <si>
    <t>29/4/2021</t>
  </si>
  <si>
    <t>0064L00000CXgxp</t>
  </si>
  <si>
    <t>ICERTIS Implementation Phase 0</t>
  </si>
  <si>
    <t>0064L00000BlEz0</t>
  </si>
  <si>
    <t>OEE / Manufacturing Improvement</t>
  </si>
  <si>
    <t>0064L000006BSLM</t>
  </si>
  <si>
    <t>MSWM Workplace Salesforce Cases Implementation #WM</t>
  </si>
  <si>
    <t>Peter Heintz</t>
  </si>
  <si>
    <t>0064L00000DLMwH</t>
  </si>
  <si>
    <t>Amicus Therapeutics, Inc.</t>
  </si>
  <si>
    <t>FP&amp;A and EPM Transformation - Implementation</t>
  </si>
  <si>
    <t>0064L00000D8vjZ</t>
  </si>
  <si>
    <t>Third-Party Risk Management Capability</t>
  </si>
  <si>
    <t>0064L00000B1ZoG</t>
  </si>
  <si>
    <t>FIS - Procurement Contract Tool Integration to Oracle Cloud</t>
  </si>
  <si>
    <t>Sanjay Revagad</t>
  </si>
  <si>
    <t>0064L00000BnoZi</t>
  </si>
  <si>
    <t>Leveraged Procurement / Procurement On Demand #S&amp;P#POD</t>
  </si>
  <si>
    <t>0064L00000DJXBa</t>
  </si>
  <si>
    <t>FRB Doc prep system selection #Comm50B+</t>
  </si>
  <si>
    <t>0064L00000ApykP</t>
  </si>
  <si>
    <t>*CI* UTSW School of Public Health Planning- Phase 3 Support</t>
  </si>
  <si>
    <t>0064L00000BoOA3</t>
  </si>
  <si>
    <t>Ventra Health</t>
  </si>
  <si>
    <t>Strategic Pricing and Cost Reduction for Revenue Cycle *Rev Cycle*</t>
  </si>
  <si>
    <t>0064L00000CYIAD</t>
  </si>
  <si>
    <t>PLADS Growth / Operational Strategy</t>
  </si>
  <si>
    <t>Bonnie Majumdar</t>
  </si>
  <si>
    <t>0064L000009ezYu</t>
  </si>
  <si>
    <t>Kaiser Simplify Collaboration</t>
  </si>
  <si>
    <t>0064L00000Bp14y</t>
  </si>
  <si>
    <t>WellStar CRM Transformation: Provider Portal #MSFTProvider</t>
  </si>
  <si>
    <t>0064L000006BRxv</t>
  </si>
  <si>
    <t>Distribution Strategy Support</t>
  </si>
  <si>
    <t>0064L0000099GVC</t>
  </si>
  <si>
    <t>Commercialization Function Design</t>
  </si>
  <si>
    <t>0064L00000BnFqU</t>
  </si>
  <si>
    <t>MS CIS Risk - Exception Governance Framework Phase 2</t>
  </si>
  <si>
    <t>Caroline Jureller</t>
  </si>
  <si>
    <t>0064L000004xZ2r</t>
  </si>
  <si>
    <t>IOTG - PMCE - Foundational Capabilities - Phase 1</t>
  </si>
  <si>
    <t>26/1/2021</t>
  </si>
  <si>
    <t>0065800000Yb5j6</t>
  </si>
  <si>
    <t>LM Space UK Strategy Phase 2</t>
  </si>
  <si>
    <t>30/4/2018</t>
  </si>
  <si>
    <t>0064L000009B2Hg</t>
  </si>
  <si>
    <t>Google xWS FY22 Controls Assessment</t>
  </si>
  <si>
    <t>30/11/2021</t>
  </si>
  <si>
    <t>Joe Lo</t>
  </si>
  <si>
    <t>Julie Lee</t>
  </si>
  <si>
    <t>0064L00000DFyef</t>
  </si>
  <si>
    <t>UTRGV - *Rev Cycle* Transformation - Middle Rev Cycle</t>
  </si>
  <si>
    <t>Joye Wegryn</t>
  </si>
  <si>
    <t>0064L000009BA7K</t>
  </si>
  <si>
    <t>Extension - Banks ETRADE IT Governance Integration</t>
  </si>
  <si>
    <t>Banks ETRADE IT Governance Integration</t>
  </si>
  <si>
    <t>Shilpa Kankaria</t>
  </si>
  <si>
    <t>0064L00000ApgRx</t>
  </si>
  <si>
    <t>Baystate Health Salesforce / Cerner Implementation Phase</t>
  </si>
  <si>
    <t>0064L000002ben0</t>
  </si>
  <si>
    <t>University Of Southern California</t>
  </si>
  <si>
    <t>0064L00000D8XcB</t>
  </si>
  <si>
    <t>OLD DOMINION UNIVERSITY RESEARCH FOUNDATION</t>
  </si>
  <si>
    <t>July Bridge</t>
  </si>
  <si>
    <t>Benjamin Scott</t>
  </si>
  <si>
    <t>0064L00000BoeXP</t>
  </si>
  <si>
    <t>Intel - Strategic Workforce Planning - $675K</t>
  </si>
  <si>
    <t>Antonia Cusumano</t>
  </si>
  <si>
    <t>0064L00000DFiLi</t>
  </si>
  <si>
    <t>AMZN Finance: Consumer Accounting Surge Support</t>
  </si>
  <si>
    <t>0064L00000DG4v4</t>
  </si>
  <si>
    <t>HP CS SSC Simplify CME Acceleration Support - CO#1</t>
  </si>
  <si>
    <t>0064L00000DLNe6</t>
  </si>
  <si>
    <t>Citi Reg W GPO Support - Amendment 1</t>
  </si>
  <si>
    <t>Citi Reg W GPO Support #Core</t>
  </si>
  <si>
    <t>0064L00000Be0mz</t>
  </si>
  <si>
    <t>MSWM FSS IRA Rollover - Extension - Phase 2</t>
  </si>
  <si>
    <t>0064L00000BfedE</t>
  </si>
  <si>
    <t>Potential work after ASUS.ESG.CC-John Hancock Net Zero Transition</t>
  </si>
  <si>
    <t>0064L000009A0zZ</t>
  </si>
  <si>
    <t>AbbVie Early Development Sourcing Strategy #ClinicalSourcing #OrgStrat</t>
  </si>
  <si>
    <t>0064L00000BeFBn</t>
  </si>
  <si>
    <t>FRB - Middle / Back Office Transformation - Bridge Phase</t>
  </si>
  <si>
    <t>Mihir Deshpande</t>
  </si>
  <si>
    <t>0064L00000BfFsf</t>
  </si>
  <si>
    <t>James Hollis Jr</t>
  </si>
  <si>
    <t>0064L00000D8xkl</t>
  </si>
  <si>
    <t>Flywheel - Extension August September October</t>
  </si>
  <si>
    <t>Forrest Peralta</t>
  </si>
  <si>
    <t>0064L00000ApllM</t>
  </si>
  <si>
    <t>USAble Mutual Insurance Company</t>
  </si>
  <si>
    <t>Enterprise Cost of Care and Care Model #HVM</t>
  </si>
  <si>
    <t>18/8/2021</t>
  </si>
  <si>
    <t>0064L00000CGyZl</t>
  </si>
  <si>
    <t>Lucid Motors - Purchasing- Operating Model Design</t>
  </si>
  <si>
    <t>Dirk Meier</t>
  </si>
  <si>
    <t>0064L00000CYIK2</t>
  </si>
  <si>
    <t>Bank of Montreal</t>
  </si>
  <si>
    <t>BMO Digital Advice Assessment</t>
  </si>
  <si>
    <t>Sarah Rauchenberger</t>
  </si>
  <si>
    <t>0064L00000Boq3Y</t>
  </si>
  <si>
    <t>HCSC Personalization Product Factory 1</t>
  </si>
  <si>
    <t>0064L000006z0BY</t>
  </si>
  <si>
    <t>MS - Re Imagine Real Estate (Take 2!)</t>
  </si>
  <si>
    <t>13/3/2021</t>
  </si>
  <si>
    <t>27/10/2022</t>
  </si>
  <si>
    <t>0064L00000BeoaO</t>
  </si>
  <si>
    <t>MS IIS - PMO Quick Bid (2022) #WM</t>
  </si>
  <si>
    <t>24/1/2022</t>
  </si>
  <si>
    <t>Jordan Kunz</t>
  </si>
  <si>
    <t>0064L00000DJeGS</t>
  </si>
  <si>
    <t>UKG Billing &amp; Revenue Recognition- PEPM</t>
  </si>
  <si>
    <t>Teagan Barrett</t>
  </si>
  <si>
    <t>0064L00000D8oxN</t>
  </si>
  <si>
    <t>TIO Extension</t>
  </si>
  <si>
    <t>Shaun Nikore</t>
  </si>
  <si>
    <t>0064L00000CYThS</t>
  </si>
  <si>
    <t>RRT Expansion &amp; Enhancement</t>
  </si>
  <si>
    <t>Mallory Summers</t>
  </si>
  <si>
    <t>0064L00000CYC9g</t>
  </si>
  <si>
    <t>Commercial Analytics</t>
  </si>
  <si>
    <t>0064L00000Bogye</t>
  </si>
  <si>
    <t>Tractor Supply Company</t>
  </si>
  <si>
    <t>Global sourcing</t>
  </si>
  <si>
    <t>0064L00000DFuJx</t>
  </si>
  <si>
    <t>VMS Pricing Strategy &amp; Roadmap</t>
  </si>
  <si>
    <t>0064L00000DFuSu</t>
  </si>
  <si>
    <t>HNCA Medi-Cal Implementation Support #GCOE #Medicaid</t>
  </si>
  <si>
    <t>Amanda Diaz</t>
  </si>
  <si>
    <t>0064L00000DLuff</t>
  </si>
  <si>
    <t>Oaktree Capital Group Holdings Gp LLC</t>
  </si>
  <si>
    <t>Project Grand 2.0</t>
  </si>
  <si>
    <t>0064L000002YvUb</t>
  </si>
  <si>
    <t>Cost of Complexity - Simulation Modeling</t>
  </si>
  <si>
    <t>0064L00000ArD6Q</t>
  </si>
  <si>
    <t>DIRECTV Network Strategy</t>
  </si>
  <si>
    <t>16/10/2021</t>
  </si>
  <si>
    <t>Harish Nalinakshan</t>
  </si>
  <si>
    <t>Attir Khalid</t>
  </si>
  <si>
    <t>0064L00000DLQtY</t>
  </si>
  <si>
    <t>Samsung Electronics Co.,Ltd.</t>
  </si>
  <si>
    <t>Washing Machine Component Sourcing &amp; Cost Reduction</t>
  </si>
  <si>
    <t>0064L00000DFimt</t>
  </si>
  <si>
    <t>Meta Content Governance 2022 Support Amendment</t>
  </si>
  <si>
    <t>FB Content Governance 2022 Support</t>
  </si>
  <si>
    <t>0064L00000BmKLe</t>
  </si>
  <si>
    <t>Mayo Clinic Nursing Total Rewards Strategy</t>
  </si>
  <si>
    <t>Denise Ogden</t>
  </si>
  <si>
    <t>0064L00000DLNK4</t>
  </si>
  <si>
    <t>Healthfirst Board Engagement - Phase 2</t>
  </si>
  <si>
    <t>0064L00000BdRZ9</t>
  </si>
  <si>
    <t>Interos Inc.</t>
  </si>
  <si>
    <t>Interos Market Evaluation, Intake and Product Development Process</t>
  </si>
  <si>
    <t>Rajnish Chauhan</t>
  </si>
  <si>
    <t>0064L000009A3ee</t>
  </si>
  <si>
    <t>Federal Market Strategy</t>
  </si>
  <si>
    <t>13/8/2021</t>
  </si>
  <si>
    <t>Michael Holland</t>
  </si>
  <si>
    <t>0064L00000CH4se</t>
  </si>
  <si>
    <t>MSFT DLS FY23 MAVS HR ABK PMO Launch</t>
  </si>
  <si>
    <t>Sara Slayton</t>
  </si>
  <si>
    <t>0064L00000BlzXa</t>
  </si>
  <si>
    <t>R&amp;D Productivity and Innovation Enhancement</t>
  </si>
  <si>
    <t>0064L00000BnwJG</t>
  </si>
  <si>
    <t>Brooks Supply Chain Execution -- Discovery (Global Best Practices &amp; Software Vendor Selection)</t>
  </si>
  <si>
    <t>Retail_Overseas_Sourcing_Office</t>
  </si>
  <si>
    <t>0064L00000Boa56</t>
  </si>
  <si>
    <t>Chime Financial, Inc.</t>
  </si>
  <si>
    <t>Chime FinPlat Execution Support</t>
  </si>
  <si>
    <t>0064L00000D8tPw</t>
  </si>
  <si>
    <t>DEUTSCHE BANK AKTIENGESELLSCHAFT</t>
  </si>
  <si>
    <t>MCRP Support - FX Consent Order</t>
  </si>
  <si>
    <t>Roger Braybrooks</t>
  </si>
  <si>
    <t>UK Cons Sector - B&amp;CM</t>
  </si>
  <si>
    <t>Balaji Krishnamurthy</t>
  </si>
  <si>
    <t>0064L0000040jXH</t>
  </si>
  <si>
    <t>#QMS BMS Med Dev Phase 2 - 2022</t>
  </si>
  <si>
    <t>21/10/2020</t>
  </si>
  <si>
    <t>0064L00000CXQwB</t>
  </si>
  <si>
    <t>Headway Collaboration Technologies</t>
  </si>
  <si>
    <t>0064L00000BoPRU</t>
  </si>
  <si>
    <t>Dexcom COP - Sprint 2 PLS Hypergrowth #XPCGrowth</t>
  </si>
  <si>
    <t>0064L00000CWwzU</t>
  </si>
  <si>
    <t>MSFT CELA Competition and Market Regulation Group Support - FY23</t>
  </si>
  <si>
    <t>ADV_TMT_R&amp;R</t>
  </si>
  <si>
    <t>MSFT_CELA_Competition and Market Regulation Group Support - CO2</t>
  </si>
  <si>
    <t>0064L00000B2wCq</t>
  </si>
  <si>
    <t>UBS - Broadridge Tech Expertise</t>
  </si>
  <si>
    <t>Christopher Pullano</t>
  </si>
  <si>
    <t>0064L00000DJgVC</t>
  </si>
  <si>
    <t>HCSC CX Org Activation (Phases 1, 2 &amp; 3)</t>
  </si>
  <si>
    <t>0064L00000DLrZp</t>
  </si>
  <si>
    <t>Northwell Health</t>
  </si>
  <si>
    <t>Northwell Health - *SMART* IP License Renewal - FY23</t>
  </si>
  <si>
    <t>0064L00000Blm2d</t>
  </si>
  <si>
    <t>BRUNS-PAK WORLDWIDE Inc.</t>
  </si>
  <si>
    <t>Customer Experience, Technology &amp; Data Assessment (Advanced Auto)</t>
  </si>
  <si>
    <t>0064L00000BmKaK</t>
  </si>
  <si>
    <t>Inbound International Patient Care Program - Assessment and Business Plan</t>
  </si>
  <si>
    <t>0064L00000CWhUl</t>
  </si>
  <si>
    <t>Digital Strategy #MSFTProvider</t>
  </si>
  <si>
    <t>Shuting Shao</t>
  </si>
  <si>
    <t>0064L00000D8VRG</t>
  </si>
  <si>
    <t>Carta Inc</t>
  </si>
  <si>
    <t>Carta - M&amp;A Diligence and Integration</t>
  </si>
  <si>
    <t>Jeff Allen</t>
  </si>
  <si>
    <t>0064L000002b5je</t>
  </si>
  <si>
    <t>Chewy Digital Finance Transformation EPBCS</t>
  </si>
  <si>
    <t>Mayur Karmarkar</t>
  </si>
  <si>
    <t>0064L00000BgZFe</t>
  </si>
  <si>
    <t>Oracle EPM - Enterprise Data Management (EDMCS)</t>
  </si>
  <si>
    <t>0064L00000CY8Fi</t>
  </si>
  <si>
    <t>CVS: Medicaid PHM ext 1</t>
  </si>
  <si>
    <t>0064L00000CXVGz</t>
  </si>
  <si>
    <t>FSP - Phase 2 Additional (Go-Live in August) #TMTPricing</t>
  </si>
  <si>
    <t>Stephen Krasnow</t>
  </si>
  <si>
    <t>0064L00000D91oX</t>
  </si>
  <si>
    <t>AT&amp;T Business Legacy Product Migration</t>
  </si>
  <si>
    <t>Kristen Troncoso</t>
  </si>
  <si>
    <t>0064L00000CXSKp</t>
  </si>
  <si>
    <t>Lubrizol TPRM Program System Install_US284.6</t>
  </si>
  <si>
    <t>Joseph Walker</t>
  </si>
  <si>
    <t>0064L000001vg1E</t>
  </si>
  <si>
    <t>Falcon Acquisition Group, Inc.</t>
  </si>
  <si>
    <t>Fare Trace Production Version</t>
  </si>
  <si>
    <t>24/7/2020</t>
  </si>
  <si>
    <t>Hannah Syed</t>
  </si>
  <si>
    <t>0064L00000DJU0e</t>
  </si>
  <si>
    <t>AWOW Q3</t>
  </si>
  <si>
    <t>0064L00000CXSFh</t>
  </si>
  <si>
    <t>Tapesty_East_TPRM Technology Selection and Install_US284.6</t>
  </si>
  <si>
    <t>0064L00000BcWTI</t>
  </si>
  <si>
    <t>Hall Capital Partners LLC.</t>
  </si>
  <si>
    <t>Digital Transformation</t>
  </si>
  <si>
    <t>0064L00000DLzgP</t>
  </si>
  <si>
    <t>RJF Cash Solutions - Zelle Integration</t>
  </si>
  <si>
    <t>0064L00000D8oop</t>
  </si>
  <si>
    <t>Portfolio Management Phase I</t>
  </si>
  <si>
    <t>0064L00000CXtD7</t>
  </si>
  <si>
    <t>Marketplace Strategy</t>
  </si>
  <si>
    <t>0064L00000BnToQ</t>
  </si>
  <si>
    <t>Allstate B2B2C</t>
  </si>
  <si>
    <t>0064L000009BHba</t>
  </si>
  <si>
    <t>AB Volvo</t>
  </si>
  <si>
    <t>Volvo - Logistics Benchmarking Study NA &amp; EU</t>
  </si>
  <si>
    <t>0064L00000BeZTy</t>
  </si>
  <si>
    <t>FEPOC Solution Modernization &gt;&gt; FEPOC platform selection &amp; planning #PayerCO&amp;ITrans</t>
  </si>
  <si>
    <t>0064L000001w0o6</t>
  </si>
  <si>
    <t>USAA Customer Link #PRO</t>
  </si>
  <si>
    <t>0064L00000ArDTy</t>
  </si>
  <si>
    <t>Advance Auto Parts Inc.</t>
  </si>
  <si>
    <t>Customer Experience, Technology &amp; Data Assessment</t>
  </si>
  <si>
    <t>17/10/2021</t>
  </si>
  <si>
    <t>Anil Khurana</t>
  </si>
  <si>
    <t>0064L00000DM4hs</t>
  </si>
  <si>
    <t>CPB LIBOR Central Team Support</t>
  </si>
  <si>
    <t>0064L00000BeHEp</t>
  </si>
  <si>
    <t>Vertex Pharmaceuticals Inc.</t>
  </si>
  <si>
    <t>Project Polaris - EPM Long Range Planning Solution</t>
  </si>
  <si>
    <t>0064L00000D8Xae</t>
  </si>
  <si>
    <t>Inseego Corp.</t>
  </si>
  <si>
    <t>Project Five</t>
  </si>
  <si>
    <t>0064L00000DG1nz</t>
  </si>
  <si>
    <t>Permira Holdings Limited</t>
  </si>
  <si>
    <t>Value Capture Phase 2</t>
  </si>
  <si>
    <t>Elisa Borman</t>
  </si>
  <si>
    <t>0064L00000CX0t4</t>
  </si>
  <si>
    <t>WH - Phase 1 EHR Implementation Support *RC Tech* *Rev Cycle*</t>
  </si>
  <si>
    <t>Mark Fracas</t>
  </si>
  <si>
    <t>0064L00000DLrHa</t>
  </si>
  <si>
    <t>AMZN Finance: Global Stat Reporting PM Support (Sep - Nov 2022)</t>
  </si>
  <si>
    <t>0064L00000BoBCx</t>
  </si>
  <si>
    <t>Genpact Limited</t>
  </si>
  <si>
    <t>Industrial Manufacturing Growth Strategy</t>
  </si>
  <si>
    <t>0064L00000DJn5R</t>
  </si>
  <si>
    <t>Digital Modernization Roadmap</t>
  </si>
  <si>
    <t>0064L00000D8SZ5</t>
  </si>
  <si>
    <t>Digital Modernization Roadmap - Ext. 1</t>
  </si>
  <si>
    <t>0064L00000D8v13</t>
  </si>
  <si>
    <t>Ginkgo BioWorks Phase II - IT Integration #CiaB</t>
  </si>
  <si>
    <t>Todd Rumsey</t>
  </si>
  <si>
    <t>0064L00000BotY0</t>
  </si>
  <si>
    <t>Integrated Mortgage Servicing Analytics for Wells Fargo</t>
  </si>
  <si>
    <t>Martin Touhey</t>
  </si>
  <si>
    <t>Miriam Herman</t>
  </si>
  <si>
    <t>0064L00000BlHmT</t>
  </si>
  <si>
    <t>Treasury - Virtual Card Implementation</t>
  </si>
  <si>
    <t>Gerik Whittington</t>
  </si>
  <si>
    <t>0064L00000Bopnz</t>
  </si>
  <si>
    <t>Global Infrastructure Management Participation LLC</t>
  </si>
  <si>
    <t>Enlink DDSR</t>
  </si>
  <si>
    <t>Mark Poulson</t>
  </si>
  <si>
    <t>Matthew Barth</t>
  </si>
  <si>
    <t>0064L00000Bp2wO</t>
  </si>
  <si>
    <t>Source-to-Pay Process Improvements Summer 2022</t>
  </si>
  <si>
    <t>Katie Burns</t>
  </si>
  <si>
    <t>0064L00000CX1LW</t>
  </si>
  <si>
    <t>mRNA Competitive War Games Phase 1</t>
  </si>
  <si>
    <t>Omar Chane</t>
  </si>
  <si>
    <t>May Weiser</t>
  </si>
  <si>
    <t>0064L00000Bm1tX</t>
  </si>
  <si>
    <t>USAA P&amp;C Modernization FinPal Test Lead</t>
  </si>
  <si>
    <t>0064L00000DFuI6</t>
  </si>
  <si>
    <t>AMZN Finance: CRS PM Support</t>
  </si>
  <si>
    <t>0064I00000wx6N4</t>
  </si>
  <si>
    <t>*SMART* License - Houston Methodist</t>
  </si>
  <si>
    <t>0064L00000DJi9I</t>
  </si>
  <si>
    <t>Microsoft- ISD Contracting Modernization FY23 Support</t>
  </si>
  <si>
    <t>Jenny Doerr</t>
  </si>
  <si>
    <t>0064L00000D8ccV</t>
  </si>
  <si>
    <t>Cuna Mutual Group</t>
  </si>
  <si>
    <t>Project Titan IT Integration Support</t>
  </si>
  <si>
    <t>Andrew Knowlton</t>
  </si>
  <si>
    <t>Miles Yang</t>
  </si>
  <si>
    <t>0064L00000Bm6gJ</t>
  </si>
  <si>
    <t>P66 Right Angle Support Managed Services Extension</t>
  </si>
  <si>
    <t>0064L00000CXwnW</t>
  </si>
  <si>
    <t>Technology Analyst Program (TAP) Design</t>
  </si>
  <si>
    <t>Caroline Brainerd</t>
  </si>
  <si>
    <t>0064L000002ast1</t>
  </si>
  <si>
    <t>GERON Corp.</t>
  </si>
  <si>
    <t>Geron - Commercialization Support - MDS Drug Launch - $600K</t>
  </si>
  <si>
    <t>21/4/2021</t>
  </si>
  <si>
    <t>0064L00000DJW0C</t>
  </si>
  <si>
    <t>MITSUBISHI MATERIALS CORPORATION</t>
  </si>
  <si>
    <t>Sales and Finance Reporting Analytics Dashboard</t>
  </si>
  <si>
    <t>Garrett Miller</t>
  </si>
  <si>
    <t>0064L00000BeOxv</t>
  </si>
  <si>
    <t>Mexico Supplier Strategy Phase 1</t>
  </si>
  <si>
    <t>0064L000004xH8O</t>
  </si>
  <si>
    <t>General Atlantic LLC</t>
  </si>
  <si>
    <t>GA Expense Allocation</t>
  </si>
  <si>
    <t>Wen Lei Zheng</t>
  </si>
  <si>
    <t>0064L00000D8qyr</t>
  </si>
  <si>
    <t>HOPCo Group Holdings LP</t>
  </si>
  <si>
    <t>HOPCo FP&amp;A and Reporting Tools</t>
  </si>
  <si>
    <t>Kamron Zia</t>
  </si>
  <si>
    <t>0064L00000D8qzz</t>
  </si>
  <si>
    <t>HOPCo Cash &amp; Liquidity Management</t>
  </si>
  <si>
    <t>0064L00000DJTt4</t>
  </si>
  <si>
    <t>Fit for Growth Assessment</t>
  </si>
  <si>
    <t>0064L00000BmTnD</t>
  </si>
  <si>
    <t>Lilly TeVO Strategy Refresh Phase 2 #medable</t>
  </si>
  <si>
    <t>Gurpreet Singh</t>
  </si>
  <si>
    <t>Mehria Askaryar</t>
  </si>
  <si>
    <t>0064L0000098sWT</t>
  </si>
  <si>
    <t>Amica Mutual Insurance Company</t>
  </si>
  <si>
    <t>Amica Customer Data Platform - Customer Link License</t>
  </si>
  <si>
    <t>0064L000003zU5f</t>
  </si>
  <si>
    <t>CVS: Clinical/Quality UM &amp; CM Support Continuation - 2022 #PayerCO&amp;ITrans #HVM</t>
  </si>
  <si>
    <t>19/9/2020</t>
  </si>
  <si>
    <t>0064L00000D8ofO</t>
  </si>
  <si>
    <t>Transition Scenario Analysis</t>
  </si>
  <si>
    <t>Janet Lee</t>
  </si>
  <si>
    <t>0064L00000BgC5B</t>
  </si>
  <si>
    <t>Mousse Investments Limited</t>
  </si>
  <si>
    <t>Risk Analytics Vendor Selection and Implementation</t>
  </si>
  <si>
    <t>Kyle Calcagno</t>
  </si>
  <si>
    <t>Susan Frazier</t>
  </si>
  <si>
    <t>0064L00000DFyiw</t>
  </si>
  <si>
    <t>Operations Strategy and 3 year roadmap</t>
  </si>
  <si>
    <t>0064L000009AHiG</t>
  </si>
  <si>
    <t>TC Energy Corporation</t>
  </si>
  <si>
    <t>Commercial systems Managed Services</t>
  </si>
  <si>
    <t>0064L00000DJbg8</t>
  </si>
  <si>
    <t>CareSource Management Services LLC</t>
  </si>
  <si>
    <t>CareSource Phase 2 #DVC #FFG3.0</t>
  </si>
  <si>
    <t>Sri Murthy</t>
  </si>
  <si>
    <t>0064L00000BnyHL</t>
  </si>
  <si>
    <t>RSVP Ops Pod - Managed Service #TMTMSO</t>
  </si>
  <si>
    <t>0064L00000D8oe1</t>
  </si>
  <si>
    <t>Legend Biotec, Corp.</t>
  </si>
  <si>
    <t>LBT OneStream Consolidation Implementation</t>
  </si>
  <si>
    <t>0064L00000Bo72K</t>
  </si>
  <si>
    <t>DAIKIN INDUSTRIES, LTD.</t>
  </si>
  <si>
    <t>Distribution Network Optimization</t>
  </si>
  <si>
    <t>0064L00000DLxhV</t>
  </si>
  <si>
    <t>National Multiple Sclerosis Society</t>
  </si>
  <si>
    <t>NMSS - CMS Implementation</t>
  </si>
  <si>
    <t>0064L000009AUnn</t>
  </si>
  <si>
    <t>Amica Customer Data Platform - Services</t>
  </si>
  <si>
    <t>Laura Trocchia</t>
  </si>
  <si>
    <t>0064L00000CYbJn</t>
  </si>
  <si>
    <t>Project Barber Shop  - Phase 2 (Tactical Brands)</t>
  </si>
  <si>
    <t>Phoebe Todd</t>
  </si>
  <si>
    <t>0064I00000qsg4K</t>
  </si>
  <si>
    <t>Atrium Health</t>
  </si>
  <si>
    <t>*SMART* License - Atrium Health</t>
  </si>
  <si>
    <t>23/3/2019</t>
  </si>
  <si>
    <t>0064L000004wu44</t>
  </si>
  <si>
    <t>Consolidated FCE CMP Implementation Follow-On</t>
  </si>
  <si>
    <t>0064L00000DMFYG</t>
  </si>
  <si>
    <t>Product management Simplify 2022 implementation support #PayerCO&amp;ITrans</t>
  </si>
  <si>
    <t>0064L00000BmPWD</t>
  </si>
  <si>
    <t>INGR - Commodity Managed Services</t>
  </si>
  <si>
    <t>0064L00000CVj4m</t>
  </si>
  <si>
    <t>Claims technology platform modernization - proof of concept and planning #PayerCO&amp;ITrans</t>
  </si>
  <si>
    <t>0064L00000DLukB</t>
  </si>
  <si>
    <t>Avangrid Grid MasterPlan Support Ext 2 (#PMaaS)</t>
  </si>
  <si>
    <t>0064L00000DG4BG</t>
  </si>
  <si>
    <t>Deere - Lean Material Flow Automation Factory Consulting - Phase 1</t>
  </si>
  <si>
    <t>0064L00000BoeKF</t>
  </si>
  <si>
    <t>GE Aviation MSO Spares Forecasting</t>
  </si>
  <si>
    <t>0064L000009ASER</t>
  </si>
  <si>
    <t>Endur Managed Services</t>
  </si>
  <si>
    <t>0064L00000BfZhE</t>
  </si>
  <si>
    <t>Project Management Support</t>
  </si>
  <si>
    <t>0064L00000DFrQl</t>
  </si>
  <si>
    <t>nxtgenERP OCM Canada</t>
  </si>
  <si>
    <t>0064L00000DFrSm</t>
  </si>
  <si>
    <t>nxtgenERP OCM Alaska</t>
  </si>
  <si>
    <t>0064L000006ijSv</t>
  </si>
  <si>
    <t>Transocean Inventory Optimization</t>
  </si>
  <si>
    <t>Transocean Inventory - Phase 2+</t>
  </si>
  <si>
    <t>0064L00000DFPZq</t>
  </si>
  <si>
    <t>Southwest Airlines Co.</t>
  </si>
  <si>
    <t>CDP and Customer Engagement Technology Implementation</t>
  </si>
  <si>
    <t>Brittany Furrh</t>
  </si>
  <si>
    <t>0064L00000BoQbL</t>
  </si>
  <si>
    <t>VZ Innovation Center Support</t>
  </si>
  <si>
    <t>0064L00000BmKJO</t>
  </si>
  <si>
    <t>Archrock, Inc.</t>
  </si>
  <si>
    <t>0064L00000BoQTg</t>
  </si>
  <si>
    <t>Whole Earth Brands Inc.</t>
  </si>
  <si>
    <t>Treasury-as-a-Service - Delivery - #TreasuryMSO</t>
  </si>
  <si>
    <t>Bruno Lopes</t>
  </si>
  <si>
    <t>0064L00000Borux</t>
  </si>
  <si>
    <t>Sparrow Health System - PHP Holdings</t>
  </si>
  <si>
    <t>PHP Provider Implementation #CO&amp;IPayerTrans</t>
  </si>
  <si>
    <t>Chris Bonus</t>
  </si>
  <si>
    <t>0064L000009flIy</t>
  </si>
  <si>
    <t>1211 Voice Network Simplification</t>
  </si>
  <si>
    <t>Ryan Robertson</t>
  </si>
  <si>
    <t>0064L00000DLNQH</t>
  </si>
  <si>
    <t>Healthfirst RE Footprint + Workforce Transformation</t>
  </si>
  <si>
    <t>0064L00000Bm8eQ</t>
  </si>
  <si>
    <t>VNG Cost Reasonableness Study #FFG</t>
  </si>
  <si>
    <t>0064L00000Bfeay</t>
  </si>
  <si>
    <t>Potential work after ESG Disclosure Program 2022</t>
  </si>
  <si>
    <t>Dave Hoffman</t>
  </si>
  <si>
    <t>0064L000007xmOS</t>
  </si>
  <si>
    <t>Cargill - TPE Phase 1 - Minimum Global Standards #RGM</t>
  </si>
  <si>
    <t>17/6/2021</t>
  </si>
  <si>
    <t>0064L00000CYHXt</t>
  </si>
  <si>
    <t>Endur Platform Hosting</t>
  </si>
  <si>
    <t>20/9/2022</t>
  </si>
  <si>
    <t>0064L00000BcmeU</t>
  </si>
  <si>
    <t>ORACLE</t>
  </si>
  <si>
    <t>Oracle Health Insurance OHI - implementation support #PayerCO&amp;ITrans</t>
  </si>
  <si>
    <t>0064L000006Um3X</t>
  </si>
  <si>
    <t>Excellus Provider Digital Strategy and Design</t>
  </si>
  <si>
    <t>0064L000007x9PD</t>
  </si>
  <si>
    <t>ARCS Implementation - Phase 1</t>
  </si>
  <si>
    <t>0064L00000D8SoL</t>
  </si>
  <si>
    <t>Intel One Marketplace Strategy</t>
  </si>
  <si>
    <t>0064L00000Arvr6</t>
  </si>
  <si>
    <t>Atrium:  Customer Experience &amp; Digital Strategy - Phase 2</t>
  </si>
  <si>
    <t>Elissa Arkinstall</t>
  </si>
  <si>
    <t>Rajiv Dharan</t>
  </si>
  <si>
    <t>0064L00000D8R2p</t>
  </si>
  <si>
    <t>Cambia ASO Growth and Pricing</t>
  </si>
  <si>
    <t>0064L00000BogF5</t>
  </si>
  <si>
    <t>Cambia ASO Strategy</t>
  </si>
  <si>
    <t>0064L00000BnbXW</t>
  </si>
  <si>
    <t>Two Sigma Investments, LP</t>
  </si>
  <si>
    <t>Integrated Human Capital Blue Print</t>
  </si>
  <si>
    <t>Jenny Machida</t>
  </si>
  <si>
    <t>Leslie Kwang</t>
  </si>
  <si>
    <t>0064L00000CH32r</t>
  </si>
  <si>
    <t>DSNP Pharmacy Claims Testing</t>
  </si>
  <si>
    <t>0064L000006gtkN</t>
  </si>
  <si>
    <t>ncino TM/Cash Mgt Discovery #&lt;$50B</t>
  </si>
  <si>
    <t>0064L00000BgBWu</t>
  </si>
  <si>
    <t>ASUX PLM Assessment Phase 2</t>
  </si>
  <si>
    <t>Daniel Keyes</t>
  </si>
  <si>
    <t>0064L00000D8zLY</t>
  </si>
  <si>
    <t>*FFG* Assessment</t>
  </si>
  <si>
    <t>Lora Leigh Nunnelley</t>
  </si>
  <si>
    <t>0064L00000DMGNY</t>
  </si>
  <si>
    <t>Alpha FO/MO Cash Product Strategy and Design - Part 2</t>
  </si>
  <si>
    <t>Kalyan Subramanian</t>
  </si>
  <si>
    <t>0064L00000Bnznh</t>
  </si>
  <si>
    <t>Owens And Minor Inc.</t>
  </si>
  <si>
    <t>Byram Apria Technology Strategy</t>
  </si>
  <si>
    <t>Felix Goldmann</t>
  </si>
  <si>
    <t>0064L00000BecCb</t>
  </si>
  <si>
    <t>Comcast HR Op Model BXT 2 &amp; Change Management Support</t>
  </si>
  <si>
    <t>Megan Brody</t>
  </si>
  <si>
    <t>Comcast HR Op Model BXT 1</t>
  </si>
  <si>
    <t>0064L00000BlHih</t>
  </si>
  <si>
    <t>Intel IFS Pricing &amp; Sales Enablement #TMTPricing</t>
  </si>
  <si>
    <t>0064L00000CW0S7</t>
  </si>
  <si>
    <t>GRC Tech Strategy/Vision/Comm Plan and OpModel</t>
  </si>
  <si>
    <t>0064L00000D93mE</t>
  </si>
  <si>
    <t>Nationsbenefits, Llc</t>
  </si>
  <si>
    <t>Flexcard PMO support - Phase 1</t>
  </si>
  <si>
    <t>Jim Russell</t>
  </si>
  <si>
    <t>0064L00000CXgRe</t>
  </si>
  <si>
    <t>Premier Health - Strategic Opportunities</t>
  </si>
  <si>
    <t>0064L00000DLuka</t>
  </si>
  <si>
    <t>Avangrid Grid MasterPlan Support Ext 1 Part B (#PMaaS)</t>
  </si>
  <si>
    <t>0064L00000B2Mdz</t>
  </si>
  <si>
    <t>Horizon - Analytics Staff Aug and Transformation #PayerAnalytics</t>
  </si>
  <si>
    <t>24/7/2022</t>
  </si>
  <si>
    <t>Ara Dombourian</t>
  </si>
  <si>
    <t>0064I00000wx6Py</t>
  </si>
  <si>
    <t>Henry Ford Health System</t>
  </si>
  <si>
    <t>*SMART* License - Henry Ford</t>
  </si>
  <si>
    <t>0064L00000BoUgh</t>
  </si>
  <si>
    <t>Discord Inc.</t>
  </si>
  <si>
    <t>Discord Trust &amp; Safety Phase 2</t>
  </si>
  <si>
    <t>0064L000007x7Au</t>
  </si>
  <si>
    <t>Aries -  2021 Finance Proj Ops</t>
  </si>
  <si>
    <t>Ore Phillips</t>
  </si>
  <si>
    <t>0064L00000DLrYg</t>
  </si>
  <si>
    <t>Montefiore Medical Center</t>
  </si>
  <si>
    <t>Montefiore Health System - *SMART* IP and OP Renewal - FY23</t>
  </si>
  <si>
    <t>0064L00000CXRKD</t>
  </si>
  <si>
    <t>Inversiones Jrpr S.A.</t>
  </si>
  <si>
    <t>Grupo UNACEM - Proceso de Planeación Estratégica</t>
  </si>
  <si>
    <t>Jose Luis De Los Santos</t>
  </si>
  <si>
    <t>Angela Vasquez</t>
  </si>
  <si>
    <t>0064L000009BHYv</t>
  </si>
  <si>
    <t>Client Service / RIO Support Q4 2022</t>
  </si>
  <si>
    <t>Michael Van Demark</t>
  </si>
  <si>
    <t>Thomas Evans</t>
  </si>
  <si>
    <t>0064L000009BHES</t>
  </si>
  <si>
    <t>Client Service / RIO Support Q3 2022</t>
  </si>
  <si>
    <t>0064L000002cHGP</t>
  </si>
  <si>
    <t>CDP Strategy and Planning</t>
  </si>
  <si>
    <t>0064L00000994DI</t>
  </si>
  <si>
    <t>CDP Strategy and Implementation Planning</t>
  </si>
  <si>
    <t>17/7/2021</t>
  </si>
  <si>
    <t>0064L00000DJUK0</t>
  </si>
  <si>
    <t>SCL ITSM Assessment and Systems Consolidation- Strategy Phase</t>
  </si>
  <si>
    <t>0064L00000BfrvO</t>
  </si>
  <si>
    <t>Country Trust Bank - Transformation Roadmap</t>
  </si>
  <si>
    <t>0064L00000AqwxD</t>
  </si>
  <si>
    <t>Baycare Health System</t>
  </si>
  <si>
    <t>Baycare | WebMD Marketing Attribution</t>
  </si>
  <si>
    <t>0064L00000DLFG7</t>
  </si>
  <si>
    <t>NASCO BPaaS Model Phase 2 #Medicare #GCOE</t>
  </si>
  <si>
    <t>Ashwin Badrinarayan</t>
  </si>
  <si>
    <t>Gurman Lidder</t>
  </si>
  <si>
    <t>0064L00000DG4uy</t>
  </si>
  <si>
    <t>Retirement &amp; Exec Benefits - OpModel Review</t>
  </si>
  <si>
    <t>0064L00000DFuK2</t>
  </si>
  <si>
    <t>Perform Pilot 2.0 (Aug 2022)</t>
  </si>
  <si>
    <t>Haley McCraven</t>
  </si>
  <si>
    <t>0064L00000DFtks</t>
  </si>
  <si>
    <t>Hershey - SFDC CG Cloud REX for Mexico</t>
  </si>
  <si>
    <t>0064L00000D8ZT1</t>
  </si>
  <si>
    <t>Back Office Transformation - Hire to Retire Interim Solutions July 2022</t>
  </si>
  <si>
    <t>Cara Murphy</t>
  </si>
  <si>
    <t>0064L00000CV60i</t>
  </si>
  <si>
    <t>ARK - Investcloud Implementation Extension</t>
  </si>
  <si>
    <t>0064L00000Bo2Ki</t>
  </si>
  <si>
    <t>PRP Enablement Support - Phase 0</t>
  </si>
  <si>
    <t>0064L00000Blk0O</t>
  </si>
  <si>
    <t>Netapp Inc.</t>
  </si>
  <si>
    <t>Netapp - Sales Compensation</t>
  </si>
  <si>
    <t>Raghu Bhimaraju</t>
  </si>
  <si>
    <t>0064L00000CXHLt</t>
  </si>
  <si>
    <t>Eli Lilly Personalized Guidance &amp; Behavior Change</t>
  </si>
  <si>
    <t>Shannon Smith</t>
  </si>
  <si>
    <t>0064L000004xNLF</t>
  </si>
  <si>
    <t>Global Ben Admin Consulting</t>
  </si>
  <si>
    <t>22/1/2021</t>
  </si>
  <si>
    <t>Christine Randazzo</t>
  </si>
  <si>
    <t>0064L00000Bl6MP</t>
  </si>
  <si>
    <t>Grupo Cuprum, S.A.P.I. de C.V.</t>
  </si>
  <si>
    <t>Cuprum - FY22 - Inorganic growth strategy</t>
  </si>
  <si>
    <t>28/2/2022 10:29 pm</t>
  </si>
  <si>
    <t>Alfredo Guerra</t>
  </si>
  <si>
    <t>0064L00000BluXE</t>
  </si>
  <si>
    <t>Textron External Website Redesign</t>
  </si>
  <si>
    <t>0064L00000BlbNn</t>
  </si>
  <si>
    <t>Brinker International, Inc.</t>
  </si>
  <si>
    <t>Brinker - FP&amp;A Transformation Blueprint (Wave 1) - Oracle EPM</t>
  </si>
  <si>
    <t>0064L00000BeZhM</t>
  </si>
  <si>
    <t>CPG Value Chain and CTS Assessment</t>
  </si>
  <si>
    <t>0064L00000D93ux</t>
  </si>
  <si>
    <t>Clearing Risk Project Support</t>
  </si>
  <si>
    <t>0064L00000CY8J6</t>
  </si>
  <si>
    <t>Univar Solutions Inc.</t>
  </si>
  <si>
    <t>Chart of Accounts Redesign</t>
  </si>
  <si>
    <t>Bryce Dolan</t>
  </si>
  <si>
    <t>0064L00000BeRQQ</t>
  </si>
  <si>
    <t>IBP assessment</t>
  </si>
  <si>
    <t>0064L00000DLuY6</t>
  </si>
  <si>
    <t>Credit borrowing base support</t>
  </si>
  <si>
    <t>Allie Celli</t>
  </si>
  <si>
    <t>0064L00000Bgf1N</t>
  </si>
  <si>
    <t>CVS Health - Aetna FL Pre-RFP Planning #GCoE Medicaid</t>
  </si>
  <si>
    <t>0064L00000CXr6X</t>
  </si>
  <si>
    <t>YAZAKI CORPORATION</t>
  </si>
  <si>
    <t>Business Performance KPI</t>
  </si>
  <si>
    <t>0064L00000Blor9</t>
  </si>
  <si>
    <t>Barclays AAIT Assessment &amp; Roadmap</t>
  </si>
  <si>
    <t>0064L00000DLSfY</t>
  </si>
  <si>
    <t>Arcutis Inc.</t>
  </si>
  <si>
    <t>CDP Implementation - TD</t>
  </si>
  <si>
    <t>0064I00000r429B</t>
  </si>
  <si>
    <t>FDA - Resource Capacity Planning - Journey Phase 4 #IOBP</t>
  </si>
  <si>
    <t>19/2/2019</t>
  </si>
  <si>
    <t>Michael Mentesana</t>
  </si>
  <si>
    <t>0064L00000DMFtT</t>
  </si>
  <si>
    <t>American Tower Corporation</t>
  </si>
  <si>
    <t>ATC / CoreSite Data Center IT QA Engineering Support - Dec 2 2022</t>
  </si>
  <si>
    <t>Colin Schneeweiss</t>
  </si>
  <si>
    <t>0064L00000D8zbH</t>
  </si>
  <si>
    <t>Phase 2 - TM Onboarding Process Optimization</t>
  </si>
  <si>
    <t>0064L00000D8quz</t>
  </si>
  <si>
    <t>Project Mint Phase 2</t>
  </si>
  <si>
    <t>0064L0000099B2Y</t>
  </si>
  <si>
    <t>MS IIS - MFO Policies, Procedures, &amp; Automation Governance Documentation (2022) #WM</t>
  </si>
  <si>
    <t>Michael Horvath</t>
  </si>
  <si>
    <t>Shane Lockhart</t>
  </si>
  <si>
    <t>0064L00000CWpRA</t>
  </si>
  <si>
    <t>CY2021-23 &amp; FY2022-24 Forms 5500 and Project Management Services</t>
  </si>
  <si>
    <t>Mellony Jayroe</t>
  </si>
  <si>
    <t>0064L00000BoeQ8</t>
  </si>
  <si>
    <t>WIM CAO Cost Efficiency - Phase 2</t>
  </si>
  <si>
    <t>0064L00000BnoDC</t>
  </si>
  <si>
    <t>OptumRx PDE Engagement</t>
  </si>
  <si>
    <t>Eric Michael</t>
  </si>
  <si>
    <t>0064L00000B0mWa</t>
  </si>
  <si>
    <t>Enterprise Digital Transformation Support</t>
  </si>
  <si>
    <t>24/8/2021</t>
  </si>
  <si>
    <t>Gregory Rotz</t>
  </si>
  <si>
    <t>0064L00000AqaOO</t>
  </si>
  <si>
    <t>Novo Nordisk A/S</t>
  </si>
  <si>
    <t>Value Based Planning #XPCVBB</t>
  </si>
  <si>
    <t>0064L00000DM4Lc</t>
  </si>
  <si>
    <t>Thoma Bravo LLC</t>
  </si>
  <si>
    <t>Billing Systems Consolidation</t>
  </si>
  <si>
    <t>Alan Nguyen</t>
  </si>
  <si>
    <t>0064L00000DMDmk</t>
  </si>
  <si>
    <t>El Camino Hospital</t>
  </si>
  <si>
    <t>ECH Training CBT Creation</t>
  </si>
  <si>
    <t>Ryan Lucky</t>
  </si>
  <si>
    <t>Win Fisher</t>
  </si>
  <si>
    <t>0064L00000BgMIs</t>
  </si>
  <si>
    <t>Supply Chain Network Model Implementation</t>
  </si>
  <si>
    <t>0064L00000DLSQE</t>
  </si>
  <si>
    <t>Maintenance PMO</t>
  </si>
  <si>
    <t>Russell Rasmus</t>
  </si>
  <si>
    <t>0064L00000Apns0</t>
  </si>
  <si>
    <t>WIM WFA Cost Reduction Consulting</t>
  </si>
  <si>
    <t>0064L00000DLQQH</t>
  </si>
  <si>
    <t>Acquisition integration &amp; Center of Excellence development</t>
  </si>
  <si>
    <t>Anna Arredondo</t>
  </si>
  <si>
    <t>0064L00000DLQQg</t>
  </si>
  <si>
    <t>Workforce Transformation - Tax</t>
  </si>
  <si>
    <t>Megan Marlin</t>
  </si>
  <si>
    <t>0064L00000Aplps</t>
  </si>
  <si>
    <t>NISSAN MOTOR CO., LTD.</t>
  </si>
  <si>
    <t>NNA Supply Chain Cost &amp; Risk Mitigation #FFG</t>
  </si>
  <si>
    <t>Nancy Shade</t>
  </si>
  <si>
    <t>0064L00000Bf6iB</t>
  </si>
  <si>
    <t>Carbon Digital Solutions - Design</t>
  </si>
  <si>
    <t>0064L00000Bf6iV</t>
  </si>
  <si>
    <t>Shell ESG Consulting</t>
  </si>
  <si>
    <t>0064L00000DLQTG</t>
  </si>
  <si>
    <t>Pharmacy: 340B, call center, operations process improvement</t>
  </si>
  <si>
    <t>Fabian Caceres</t>
  </si>
  <si>
    <t>0064L000001u8VB</t>
  </si>
  <si>
    <t>*SMART* License - UnityPoint Health</t>
  </si>
  <si>
    <t>15/6/2020</t>
  </si>
  <si>
    <t>John Jones</t>
  </si>
  <si>
    <t>0064L00000DLQVM</t>
  </si>
  <si>
    <t>Supply Chain Optimization post-ERP</t>
  </si>
  <si>
    <t>Mark Griffin</t>
  </si>
  <si>
    <t>0064L00000DLQUi</t>
  </si>
  <si>
    <t>Strategic Reimbursement</t>
  </si>
  <si>
    <t>0064L000001u8XH</t>
  </si>
  <si>
    <t>*SMART* License - HSHS</t>
  </si>
  <si>
    <t>0064I000015TQMa</t>
  </si>
  <si>
    <t>Buckeye EPM selection</t>
  </si>
  <si>
    <t>14/5/2020</t>
  </si>
  <si>
    <t>0064L000001u8Wd</t>
  </si>
  <si>
    <t>Ballad Health</t>
  </si>
  <si>
    <t>*SMART* License - Ballad Health</t>
  </si>
  <si>
    <t>0064L00000B2cq1</t>
  </si>
  <si>
    <t>#QMS GMP Audit Transformation</t>
  </si>
  <si>
    <t>BMS GMP Audit Assessment</t>
  </si>
  <si>
    <t>0064L00000CVByY</t>
  </si>
  <si>
    <t>BXC TCL Detailed Design</t>
  </si>
  <si>
    <t>Nicole Baevsky</t>
  </si>
  <si>
    <t>0064L00000Aplwa</t>
  </si>
  <si>
    <t>#IOBP -- Pfizer PPM Simplification Enablement</t>
  </si>
  <si>
    <t>Shaun Varga</t>
  </si>
  <si>
    <t>0064L000009B3wu</t>
  </si>
  <si>
    <t>VW_Marketing Cloud_Salesforce</t>
  </si>
  <si>
    <t>0064L00000DJn9d</t>
  </si>
  <si>
    <t>Nokia Oyj</t>
  </si>
  <si>
    <t>CX B2B Return on Experience (ROX)</t>
  </si>
  <si>
    <t>Ron Haas</t>
  </si>
  <si>
    <t>0064L00000BnPNF</t>
  </si>
  <si>
    <t>AT&amp;T - 5G SA Core Digital Twin</t>
  </si>
  <si>
    <t>Darren Shea</t>
  </si>
  <si>
    <t>0064L00000BmoNH</t>
  </si>
  <si>
    <t>FedEx Time &amp; Attendance planning (ph1)</t>
  </si>
  <si>
    <t>0064L00000D8XEO</t>
  </si>
  <si>
    <t>Asian Development Bank</t>
  </si>
  <si>
    <t>IRIS Design</t>
  </si>
  <si>
    <t>Michael Savelloni</t>
  </si>
  <si>
    <t>Josh Howell</t>
  </si>
  <si>
    <t>0064L00000Bkygg</t>
  </si>
  <si>
    <t>Horizon - Care Model Planning #HVM</t>
  </si>
  <si>
    <t>0064L00000D8Wf9</t>
  </si>
  <si>
    <t>Project Nest - TSA Exit Planning #CiaB</t>
  </si>
  <si>
    <t>0064L00000ArtEc</t>
  </si>
  <si>
    <t>Cedars-Sinai Medical Center</t>
  </si>
  <si>
    <t>Digital Execution Phase 1</t>
  </si>
  <si>
    <t>0064L00000AqqCH</t>
  </si>
  <si>
    <t>RIG - Working Capital</t>
  </si>
  <si>
    <t>0064L000009ARzv</t>
  </si>
  <si>
    <t>Wage Index Review and Reclass *Strategic Reimbursement*</t>
  </si>
  <si>
    <t>0064L00000Bf6w4</t>
  </si>
  <si>
    <t>*A&amp;AN* IU Health: Patient Access Transformation - Design (Phase 2)</t>
  </si>
  <si>
    <t>0064L00000D8Wfi</t>
  </si>
  <si>
    <t>Lone Star Acquistions LLC.</t>
  </si>
  <si>
    <t>Project Marble - TSA Exit Planning #CiaB</t>
  </si>
  <si>
    <t>0064I00000vPfFJ</t>
  </si>
  <si>
    <t>URSMD Education Portfolio Assessment - 2019</t>
  </si>
  <si>
    <t>18/7/2019</t>
  </si>
  <si>
    <t>Sarah Fogel</t>
  </si>
  <si>
    <t>0064L00000DFrT6</t>
  </si>
  <si>
    <t>Anthem Procurement SI</t>
  </si>
  <si>
    <t>0064L00000CXZju</t>
  </si>
  <si>
    <t>Comerica Service Transformation #CustomerAttraction</t>
  </si>
  <si>
    <t>0064L00000CXZmA</t>
  </si>
  <si>
    <t>Contact Center as a Service Telephony Strategy #FFG3.0 #dvc #callcenter</t>
  </si>
  <si>
    <t>0064L00000CVCgp</t>
  </si>
  <si>
    <t>KCC Corporation</t>
  </si>
  <si>
    <t>Momentive - Smart Factory Strategy</t>
  </si>
  <si>
    <t>0064L00000D8Wm0</t>
  </si>
  <si>
    <t>ATT Knowledge Management phase 3</t>
  </si>
  <si>
    <t>Ronald Otocki</t>
  </si>
  <si>
    <t>0064L00000Bmnta</t>
  </si>
  <si>
    <t>Payments End-to-End Assessment- Phase 2</t>
  </si>
  <si>
    <t>0064L000003yYd8</t>
  </si>
  <si>
    <t>MS - ETFC Acct Conversion Support - Ops #WM</t>
  </si>
  <si>
    <t>0064L00000D8Y1Q</t>
  </si>
  <si>
    <t>Innovation Capability</t>
  </si>
  <si>
    <t>Christopher Manning</t>
  </si>
  <si>
    <t>0064L000007xO6q</t>
  </si>
  <si>
    <t>Dominion Energy, Inc.</t>
  </si>
  <si>
    <t>D - LDC Billing System - Ohio SBS Analysis</t>
  </si>
  <si>
    <t>0064L000007xO6g</t>
  </si>
  <si>
    <t>D - LDC Billing System - WV HIPS Analysis</t>
  </si>
  <si>
    <t>0064L00000BlK6q</t>
  </si>
  <si>
    <t>LM - OneLM Data RFI</t>
  </si>
  <si>
    <t>0064L00000D8zX0</t>
  </si>
  <si>
    <t>Center of Excellence #MSFTProvider</t>
  </si>
  <si>
    <t>0064L00000DJmgb</t>
  </si>
  <si>
    <t>Hurley Medical Center Inc.</t>
  </si>
  <si>
    <t>Hurley Reimbursement Strategies Analysis</t>
  </si>
  <si>
    <t>David Haimes</t>
  </si>
  <si>
    <t>0064L00000B32xx</t>
  </si>
  <si>
    <t>GE Healthcare PLM Assessment</t>
  </si>
  <si>
    <t>0064L00000DJnIu</t>
  </si>
  <si>
    <t>Cityblock Health Inc.</t>
  </si>
  <si>
    <t>CDM&amp;CT EHR Transformation Office Phase 1 #HVM</t>
  </si>
  <si>
    <t>Jackie Biglin</t>
  </si>
  <si>
    <t>0064L00000CWWsZ</t>
  </si>
  <si>
    <t>Claims AI Models Automation #xPC:CO&amp;I #AIML #Alliance:xAI</t>
  </si>
  <si>
    <t>0064L00000D8zYS</t>
  </si>
  <si>
    <t>Mayo Clinic Digital Transformation - #MSFTProvider</t>
  </si>
  <si>
    <t>0064L00000DG0zz</t>
  </si>
  <si>
    <t>Ryan Specialty Group LLC.</t>
  </si>
  <si>
    <t>RS Operating model - Phase 4</t>
  </si>
  <si>
    <t>0064L00000D8zZL</t>
  </si>
  <si>
    <t>Dayton Children's Hospital</t>
  </si>
  <si>
    <t>Marketing Oppty</t>
  </si>
  <si>
    <t>0064L00000CWzZW</t>
  </si>
  <si>
    <t>Marketing Effectivness</t>
  </si>
  <si>
    <t>0064L00000AqqSo</t>
  </si>
  <si>
    <t>Apple B2B ROX Account Growth</t>
  </si>
  <si>
    <t>0064L00000Bf5cg</t>
  </si>
  <si>
    <t>Best Buy Health - Tech Blueprinting Phase 2</t>
  </si>
  <si>
    <t>0064L00000BocDC</t>
  </si>
  <si>
    <t>Ascension Health Alliance</t>
  </si>
  <si>
    <t>Ascension Hospital at Home Implementation Phase 1</t>
  </si>
  <si>
    <t>0064L000003z8MM</t>
  </si>
  <si>
    <t>General Atlantic - Post FFG Initiatives (Investran and Ops) #Hawk #core</t>
  </si>
  <si>
    <t>0064L00000DLs0u</t>
  </si>
  <si>
    <t>SUMITOMO CHEMICAL COMPANY, LIMITED</t>
  </si>
  <si>
    <t>Latuda LOE Downstream Inventory Model</t>
  </si>
  <si>
    <t>0064L00000Be3G3</t>
  </si>
  <si>
    <t>Rite Aid HR Transformation - HR process and org</t>
  </si>
  <si>
    <t>0064L00000CVC5P</t>
  </si>
  <si>
    <t>TriState Holdings - Post-Close Integration Planning</t>
  </si>
  <si>
    <t>0064L00000BdQgd</t>
  </si>
  <si>
    <t>KKR Bank Rationalization</t>
  </si>
  <si>
    <t>Robert Ayre</t>
  </si>
  <si>
    <t>0064L0000098xiM</t>
  </si>
  <si>
    <t>GRM - Liberty SA IMO Op Model &amp; Execution</t>
  </si>
  <si>
    <t>0064L00000Bevp3</t>
  </si>
  <si>
    <t>BMS Patient Services Strategy</t>
  </si>
  <si>
    <t>0064L000001wLLe</t>
  </si>
  <si>
    <t>Pioneer Natural Resources Company</t>
  </si>
  <si>
    <t>Allegro upgrade</t>
  </si>
  <si>
    <t>14/8/2020</t>
  </si>
  <si>
    <t>0064L0000041a3p</t>
  </si>
  <si>
    <t>Jennifer Baysarowich</t>
  </si>
  <si>
    <t>0064L00000Bou1q</t>
  </si>
  <si>
    <t>Trustees of Dartmouth College</t>
  </si>
  <si>
    <t>*CI*Dartmouth IP Assessment</t>
  </si>
  <si>
    <t>0064L00000Boboh</t>
  </si>
  <si>
    <t>Lantheus Return to Office Change Management</t>
  </si>
  <si>
    <t>Luna Corbetta</t>
  </si>
  <si>
    <t>Catherine Kosse</t>
  </si>
  <si>
    <t>0064L00000Bf75Z</t>
  </si>
  <si>
    <t>BMS Omnichannel Capability #FFG</t>
  </si>
  <si>
    <t>0064L000001ugmD</t>
  </si>
  <si>
    <t>TMZ - Performance Analyzer SaaS #RGM</t>
  </si>
  <si>
    <t>0064L00000B1na6</t>
  </si>
  <si>
    <t>Storage BU R&amp;D Diagnostic</t>
  </si>
  <si>
    <t>Shankar Subramaniam</t>
  </si>
  <si>
    <t>0064L00000CYnO7</t>
  </si>
  <si>
    <t>Xignux, S.A. de C.V..</t>
  </si>
  <si>
    <t>Xignux, S.A. de C.V.. Coupa P2P</t>
  </si>
  <si>
    <t>0064L00000B0jzU</t>
  </si>
  <si>
    <t>BD GDP Ph 2 Bridge #QMS</t>
  </si>
  <si>
    <t>Salil Thakar</t>
  </si>
  <si>
    <t>0064L00000Bnps2</t>
  </si>
  <si>
    <t>Shell Chemicals - CB Phase 3 - Salesforce Pilot</t>
  </si>
  <si>
    <t>0064L000001uhAA</t>
  </si>
  <si>
    <t>Cooper-Standard Holdings Inc.</t>
  </si>
  <si>
    <t>20/5/2023</t>
  </si>
  <si>
    <t>0064L00000BeV9J</t>
  </si>
  <si>
    <t>WO1 2022 - HCSC PSS Strategic Sourcing Support - Master SOW</t>
  </si>
  <si>
    <t>17/1/2022</t>
  </si>
  <si>
    <t>Nilesh Somaiya</t>
  </si>
  <si>
    <t>0064L000001wLE9</t>
  </si>
  <si>
    <t>GSK Performance Analyzer #RGM</t>
  </si>
  <si>
    <t>0064L00000BlHkS</t>
  </si>
  <si>
    <t>Alpha Onboarding Transformation Assessment</t>
  </si>
  <si>
    <t>0064L00000D97iV</t>
  </si>
  <si>
    <t>Collegium Pharmaceutical Inc.</t>
  </si>
  <si>
    <t>M&amp;A Integration - Collegium</t>
  </si>
  <si>
    <t>Chris Cook</t>
  </si>
  <si>
    <t>0064I0000135A1Q</t>
  </si>
  <si>
    <t>Excellus CRM</t>
  </si>
  <si>
    <t>18/3/2020</t>
  </si>
  <si>
    <t>Holly Pohlmeyer</t>
  </si>
  <si>
    <t>0064L00000CXjs4</t>
  </si>
  <si>
    <t>bp- C&amp;P - Quantum Expansion - Data &amp; Analytics organization stand up</t>
  </si>
  <si>
    <t>0064L00000CXjs9</t>
  </si>
  <si>
    <t>bp- C&amp;P - Quantum Expansion - Ongoing Integration Support</t>
  </si>
  <si>
    <t>0064L00000CXjrB</t>
  </si>
  <si>
    <t>bp- C&amp;P - Quantum Expansion - Finance Integration</t>
  </si>
  <si>
    <t>0064L00000CXjsT</t>
  </si>
  <si>
    <t>bp- C&amp;P - MX Integration into the ROO</t>
  </si>
  <si>
    <t>0064L00000CXjra</t>
  </si>
  <si>
    <t>bp- C&amp;P - Quantum Expansion - marketing / merchandising / food integration</t>
  </si>
  <si>
    <t>0064L00000CW5NQ</t>
  </si>
  <si>
    <t>Labcorp - Diagnostic revenue cycle system replacement Discovery Phase 2 &amp; Pre-implementation Planning</t>
  </si>
  <si>
    <t>0064L00000CW4q0</t>
  </si>
  <si>
    <t>TPRM Managed Services #TMTMSO</t>
  </si>
  <si>
    <t>0064L00000CXYv6</t>
  </si>
  <si>
    <t>BBYH - Revenue Cycle Management Phase 1</t>
  </si>
  <si>
    <t>0064L00000CVw5i</t>
  </si>
  <si>
    <t>Aptiv - Wind River VCO (Phase II)</t>
  </si>
  <si>
    <t>Eric Maskwa</t>
  </si>
  <si>
    <t>0064L00000B2P1j</t>
  </si>
  <si>
    <t>Integrated Financial Planning</t>
  </si>
  <si>
    <t>0064L000004yrPc</t>
  </si>
  <si>
    <t>Willkie Farr &amp; Gallagher Llp</t>
  </si>
  <si>
    <t>Design and implementation of SuperRoth elective nonqualified plan</t>
  </si>
  <si>
    <t>0064L00000D97tT</t>
  </si>
  <si>
    <t>Honda Finance Corporation - OEM Insurance Strategy and Op Model</t>
  </si>
  <si>
    <t>Andrew Ross</t>
  </si>
  <si>
    <t>0064L00000CXZXb</t>
  </si>
  <si>
    <t>MS Finance ESG</t>
  </si>
  <si>
    <t>0064L000009Abal</t>
  </si>
  <si>
    <t>MSWM - Data Remediation Factory</t>
  </si>
  <si>
    <t>0064L00000BgZHo</t>
  </si>
  <si>
    <t>Honeywell Healthcare Growth Strategy</t>
  </si>
  <si>
    <t>0064L00000BgZHt</t>
  </si>
  <si>
    <t>MSFT HR - FY23 Strategic Program Support</t>
  </si>
  <si>
    <t>Bradley Johnson</t>
  </si>
  <si>
    <t>0064L00000BlXVJ</t>
  </si>
  <si>
    <t>HPE Contra ML POC - Aruba EMEA</t>
  </si>
  <si>
    <t>0064L00000DM0KQ</t>
  </si>
  <si>
    <t>Chemocentryx Inc.</t>
  </si>
  <si>
    <t>CCX Marketing Support Extension</t>
  </si>
  <si>
    <t>Caitlyn Penny</t>
  </si>
  <si>
    <t>Avery Caldwell</t>
  </si>
  <si>
    <t>0064L00000CXFtU</t>
  </si>
  <si>
    <t>HP Talent Acquisition Reinvention</t>
  </si>
  <si>
    <t>0064L000009foOJ</t>
  </si>
  <si>
    <t>Blue Cross Blue Shield La</t>
  </si>
  <si>
    <t>Clinical Data Exchange #PayerAnalytics</t>
  </si>
  <si>
    <t>0064L00000DMB0j</t>
  </si>
  <si>
    <t>Allscripts Healthcare Solutions INC.</t>
  </si>
  <si>
    <t>Quote to Revenue Transformation</t>
  </si>
  <si>
    <t>0064L00000D8UUY</t>
  </si>
  <si>
    <t>Roundtable Healthcare Management Inc.</t>
  </si>
  <si>
    <t>Renaissance CDMO fill finish growth assessment</t>
  </si>
  <si>
    <t>27/8/2022</t>
  </si>
  <si>
    <t>Nishant Bhasin</t>
  </si>
  <si>
    <t>0064L00000BmmAe</t>
  </si>
  <si>
    <t>Payments One API Optimization</t>
  </si>
  <si>
    <t>Douglas Dwyre</t>
  </si>
  <si>
    <t>0064L00000CVS8F</t>
  </si>
  <si>
    <t>American Airlines Group INC.</t>
  </si>
  <si>
    <t>AA - SAF Fuel Management Strategy #ESG</t>
  </si>
  <si>
    <t>Mark Beaver</t>
  </si>
  <si>
    <t>0064L00000DMASX</t>
  </si>
  <si>
    <t>GRS Data Strategy Phase 2</t>
  </si>
  <si>
    <t>0064L00000DJZNx</t>
  </si>
  <si>
    <t>Baptist Memorial Health Services *VBO*</t>
  </si>
  <si>
    <t>0064L00000DJYo4</t>
  </si>
  <si>
    <t>Equity Lifestyle Properties Inc.</t>
  </si>
  <si>
    <t>MRI Implementation - Phase 3</t>
  </si>
  <si>
    <t>0064L00000CVby5</t>
  </si>
  <si>
    <t>Statutory CoA + Ledgers - Gap Assessments</t>
  </si>
  <si>
    <t>0064L00000BmKCX</t>
  </si>
  <si>
    <t>DAIICHI SANKYO COMPANY, LIMITED</t>
  </si>
  <si>
    <t>#IOBP - DSI R&amp;D Accruals Implementation</t>
  </si>
  <si>
    <t>0064L000002ZAuD</t>
  </si>
  <si>
    <t>Excellus - Project Cortland - Duals 2022 Strategy #GCOE  #DSNP</t>
  </si>
  <si>
    <t>0064L00000BmKFb</t>
  </si>
  <si>
    <t>0064L00000D8xDr</t>
  </si>
  <si>
    <t>BNP PARIBAS SA</t>
  </si>
  <si>
    <t>BNPP Prime Brokerage Integration Review</t>
  </si>
  <si>
    <t>Joseph Downer</t>
  </si>
  <si>
    <t>0064L00000CGyWw</t>
  </si>
  <si>
    <t>Enterprise (EHI) Marketing Operating Model</t>
  </si>
  <si>
    <t>0064L00000BoQP5</t>
  </si>
  <si>
    <t>LPL FINANCIAL HOLDINGS Inc.</t>
  </si>
  <si>
    <t>LPL / Operations Operating Model Optimization / $500,000</t>
  </si>
  <si>
    <t>Geoff Dworkin</t>
  </si>
  <si>
    <t>0064L00000D8xGR</t>
  </si>
  <si>
    <t>MSFT ENGCLA FY23 Incident Management Governance Support</t>
  </si>
  <si>
    <t>0064L00000DLrAy</t>
  </si>
  <si>
    <t>Securian Holding Company</t>
  </si>
  <si>
    <t>VB Claims Reimagination and Roadmap</t>
  </si>
  <si>
    <t>0064L00000CXjKR</t>
  </si>
  <si>
    <t>AT&amp;T Biz Seller's Insight Portal for Fed, SLED, FirstNet</t>
  </si>
  <si>
    <t>0064L00000Bg7xD</t>
  </si>
  <si>
    <t>Digital Commerce</t>
  </si>
  <si>
    <t>0064L000009B1kh</t>
  </si>
  <si>
    <t>FPA and Close Support</t>
  </si>
  <si>
    <t>0064L00000Be33y</t>
  </si>
  <si>
    <t>Rite Aid- #ProjectNorthstar - FP&amp;A Short Term Process Improvement (Secondary)</t>
  </si>
  <si>
    <t>0064L00000Bg7z9</t>
  </si>
  <si>
    <t>Marketing Effectiveness</t>
  </si>
  <si>
    <t>0064L00000Bg7zd</t>
  </si>
  <si>
    <t>B2B Loyalty</t>
  </si>
  <si>
    <t>0064I000011pFhK</t>
  </si>
  <si>
    <t>Coca-Cola Leasing Software Implementation</t>
  </si>
  <si>
    <t>27/1/2020</t>
  </si>
  <si>
    <t>0064L00000Bmlr3</t>
  </si>
  <si>
    <t>FP&amp;A Transformation</t>
  </si>
  <si>
    <t>0064L00000997wO</t>
  </si>
  <si>
    <t>Multi-Line Digital Experience Strategy</t>
  </si>
  <si>
    <t>0064L00000BmlsG</t>
  </si>
  <si>
    <t>GBS/SSC Assessment</t>
  </si>
  <si>
    <t>0064L00000CYlt3</t>
  </si>
  <si>
    <t>WF CIB Front Line Procedures Factory</t>
  </si>
  <si>
    <t>0064L00000DLPEF</t>
  </si>
  <si>
    <t>S&amp;OE Assessment and Design</t>
  </si>
  <si>
    <t>Retail_Omnichannel_Enablement</t>
  </si>
  <si>
    <t>0064L000004yakO</t>
  </si>
  <si>
    <t>Cravath Swaine &amp; Moore Llp</t>
  </si>
  <si>
    <t>0064L000007wILe</t>
  </si>
  <si>
    <t>UTRGV FFG Phase II Implementation</t>
  </si>
  <si>
    <t>30/4/2021</t>
  </si>
  <si>
    <t>0064L000007wIMD</t>
  </si>
  <si>
    <t>University Of Miami</t>
  </si>
  <si>
    <t>UMiami MSOM FFG</t>
  </si>
  <si>
    <t>0064L00000Bkwqy</t>
  </si>
  <si>
    <t>Delta ERISA Expert Witness</t>
  </si>
  <si>
    <t>Jack Abraham</t>
  </si>
  <si>
    <t>Jared Bourgeois</t>
  </si>
  <si>
    <t>0064L00000BoPyd</t>
  </si>
  <si>
    <t>United Parcel Services Co.</t>
  </si>
  <si>
    <t>ERISA Expert Witness Support</t>
  </si>
  <si>
    <t>Brian Hurleigh</t>
  </si>
  <si>
    <t>0064L00000CXYSp</t>
  </si>
  <si>
    <t>Embecta Separation Strategy</t>
  </si>
  <si>
    <t>0064L0000041PAv</t>
  </si>
  <si>
    <t>ARCA - Mx2020 - RGM to MGM process evolution</t>
  </si>
  <si>
    <t>Jorge Senties</t>
  </si>
  <si>
    <t>0064L00000AplKQ</t>
  </si>
  <si>
    <t>Molina Driver Based Planning</t>
  </si>
  <si>
    <t>0064L00000D97SX</t>
  </si>
  <si>
    <t>Corza - Marketing Authorization Transfer and New Product Launch</t>
  </si>
  <si>
    <t>Bernard Student</t>
  </si>
  <si>
    <t>0064L00000CWCP6</t>
  </si>
  <si>
    <t>KeyBank cost modeling license - #NextGenCostingMSO</t>
  </si>
  <si>
    <t>0064L00000D8vSx</t>
  </si>
  <si>
    <t>Grange Insurance Company</t>
  </si>
  <si>
    <t>Grange Billing Experience</t>
  </si>
  <si>
    <t>Abhishek Gupta</t>
  </si>
  <si>
    <t>0064L00000CWCOc</t>
  </si>
  <si>
    <t>The Bank of Nova Scotia</t>
  </si>
  <si>
    <t>0064L00000D8vUo</t>
  </si>
  <si>
    <t>0064L00000CXFVD</t>
  </si>
  <si>
    <t>A&amp;H VB Mobilization and Roadmapping</t>
  </si>
  <si>
    <t>0064L000002a2gX</t>
  </si>
  <si>
    <t>Anthem MyNexus Integration</t>
  </si>
  <si>
    <t>29/3/2021</t>
  </si>
  <si>
    <t>0064L00000BfUhT</t>
  </si>
  <si>
    <t>B2B2C Loyalty</t>
  </si>
  <si>
    <t>0064L00000ArNSM</t>
  </si>
  <si>
    <t>SRM Assessment</t>
  </si>
  <si>
    <t>0064L00000BfUiR</t>
  </si>
  <si>
    <t>0064L00000BlEyC</t>
  </si>
  <si>
    <t>Operational Excellence</t>
  </si>
  <si>
    <t>0064L000006BSLN</t>
  </si>
  <si>
    <t>MSWM Graystone-Institutional Op Model Execution (TBD-TBD) #WM</t>
  </si>
  <si>
    <t>0064L00000DLNUG</t>
  </si>
  <si>
    <t>Sweetgreen - G&amp;A / Indirect Cost Reduction</t>
  </si>
  <si>
    <t>0064L00000Bp0iE</t>
  </si>
  <si>
    <t>Deutsche Telekom AG</t>
  </si>
  <si>
    <t>ROX in partnership with Qualtrics expansion</t>
  </si>
  <si>
    <t>0064L000002Zqtz</t>
  </si>
  <si>
    <t>Cadwalader Wickersham &amp; Taft</t>
  </si>
  <si>
    <t>23/3/2021</t>
  </si>
  <si>
    <t>0064L00000BlWcT</t>
  </si>
  <si>
    <t>0064L00000BorMl</t>
  </si>
  <si>
    <t>UBS Project Overdrive: Customer Link Analytics as a Service</t>
  </si>
  <si>
    <t>UBS Project Overdrive: Customer Link Segmentation Deepening</t>
  </si>
  <si>
    <t>0064L000007ubN3</t>
  </si>
  <si>
    <t>Acct Optimization Design &amp; Impl-Phase III</t>
  </si>
  <si>
    <t>0064L00000DLNYw</t>
  </si>
  <si>
    <t>Huntsman Corporation</t>
  </si>
  <si>
    <t>HUN Procurement Transformation Ph 1</t>
  </si>
  <si>
    <t>0064L00000BliKg</t>
  </si>
  <si>
    <t>Barclays CB&amp;P Resiliency Operating Model Implementation</t>
  </si>
  <si>
    <t>0064L00000CVsdl</t>
  </si>
  <si>
    <t>Biz Expansion - Phase II</t>
  </si>
  <si>
    <t>0064L00000B2MWP</t>
  </si>
  <si>
    <t>bp P&amp;O Maintenance and Reliability, Phase 1</t>
  </si>
  <si>
    <t>0064L00000DBQbn</t>
  </si>
  <si>
    <t>VCG Refurbished Device Strategy</t>
  </si>
  <si>
    <t>0064L00000BlGIX</t>
  </si>
  <si>
    <t>Value Capture Team - 2023</t>
  </si>
  <si>
    <t>Michele Nichols</t>
  </si>
  <si>
    <t>0064L000009gLRd</t>
  </si>
  <si>
    <t>CIB - Business Simplification (Alteryx)</t>
  </si>
  <si>
    <t>Bill Pereira</t>
  </si>
  <si>
    <t>0064L000007xYwY</t>
  </si>
  <si>
    <t>Reimagine Campaign - Asset Lifecycle Management (Implementation Phase 3)</t>
  </si>
  <si>
    <t>0064L00000DM0AG</t>
  </si>
  <si>
    <t>Albemarle Corporation</t>
  </si>
  <si>
    <t>Project Management as a Service (PMaaS)- Tetrabrom Debottleneck</t>
  </si>
  <si>
    <t>0064L00000DMAEB</t>
  </si>
  <si>
    <t>HCA Healthcare, Inc.</t>
  </si>
  <si>
    <t>HCA - Freeing Up Clinical Labor #FFG #DVC #ProviderGrowth</t>
  </si>
  <si>
    <t>0064L00000DMAGl</t>
  </si>
  <si>
    <t>HCA - The Uber Tool for Deals (building on Market Archetyping, Target Fit, Growth Finder)</t>
  </si>
  <si>
    <t>0064L00000DM0G9</t>
  </si>
  <si>
    <t>Yum! US Drive Thru AI PoC #callcenter #dvc</t>
  </si>
  <si>
    <t>0064L00000CGyCX</t>
  </si>
  <si>
    <t>STT BAU Strategy Playbook</t>
  </si>
  <si>
    <t>David York</t>
  </si>
  <si>
    <t>0064L000002a329</t>
  </si>
  <si>
    <t>CBRE Group Inc</t>
  </si>
  <si>
    <t>DCS Follow-On Remediation Support From Ops Risk Assessment</t>
  </si>
  <si>
    <t>CS_Cloud_TMT</t>
  </si>
  <si>
    <t>DCS Operational Risk Assessment - SCO</t>
  </si>
  <si>
    <t>Pierre Ferrandi</t>
  </si>
  <si>
    <t>0065800000YZfTN</t>
  </si>
  <si>
    <t>Organ Acquisition Reimbursement Assessment - *Strategic Reimbursement*</t>
  </si>
  <si>
    <t>29/3/2018</t>
  </si>
  <si>
    <t>0064L000002ZaCx</t>
  </si>
  <si>
    <t>Alcohol Global priorities assessment</t>
  </si>
  <si>
    <t>0064L00000BosB0</t>
  </si>
  <si>
    <t>Pharmacy Assessment</t>
  </si>
  <si>
    <t>0064L000001uxOm</t>
  </si>
  <si>
    <t>HighRoads - product &amp; benefit implementation support #PayerCO&amp;ITrans</t>
  </si>
  <si>
    <t>0064L00000BkuS1</t>
  </si>
  <si>
    <t>GE Aviation Inventory Transformation</t>
  </si>
  <si>
    <t>Meiqing Fan</t>
  </si>
  <si>
    <t>0064L00000Bfebr</t>
  </si>
  <si>
    <t>Potential work after ESG support #fsclimaterisk</t>
  </si>
  <si>
    <t>0064L00000BfefV</t>
  </si>
  <si>
    <t>AAA Northeast</t>
  </si>
  <si>
    <t>Potential work after ESG Strategy - continuation of board sessions</t>
  </si>
  <si>
    <t>0064L000002bjU2</t>
  </si>
  <si>
    <t>Retail Bank- Core Modernization (#Technisys)</t>
  </si>
  <si>
    <t>0064L000007wihv</t>
  </si>
  <si>
    <t>VGX3100 Launch Strategy - US Market Access Strategy</t>
  </si>
  <si>
    <t>0064L00000BfejH</t>
  </si>
  <si>
    <t>Sumitomo - Value Initiatives &amp; Strategic Study Planning #RWDEvGen</t>
  </si>
  <si>
    <t>0064L00000Bl59K</t>
  </si>
  <si>
    <t>Intel - IFS Operating Model</t>
  </si>
  <si>
    <t>0064L00000D8cx1</t>
  </si>
  <si>
    <t>TIGER - Commercial Infrastructure and Scale-up Capabilities Roadmap</t>
  </si>
  <si>
    <t>0064L00000CGwMI</t>
  </si>
  <si>
    <t>1305290 ONTARIO INC</t>
  </si>
  <si>
    <t>Electronics Control Tower</t>
  </si>
  <si>
    <t>0064L00000CGwQQ</t>
  </si>
  <si>
    <t>E2E July Support Planning - 2022</t>
  </si>
  <si>
    <t>0064L00000BnnFq</t>
  </si>
  <si>
    <t>Analog Devices, Inc.</t>
  </si>
  <si>
    <t>Marketing Transformation P1 #TMTPricing</t>
  </si>
  <si>
    <t>0064L00000CXWA3</t>
  </si>
  <si>
    <t>Anthem Driver Based Planning</t>
  </si>
  <si>
    <t>0064L00000BopkH</t>
  </si>
  <si>
    <t>Subservicing Operating Model</t>
  </si>
  <si>
    <t>Stephanie Williams</t>
  </si>
  <si>
    <t>0064L00000Bmjeb</t>
  </si>
  <si>
    <t>ORx - Network Strategy</t>
  </si>
  <si>
    <t>0064L00000BkuaP</t>
  </si>
  <si>
    <t>MDACC Innovation Market Research Services</t>
  </si>
  <si>
    <t>BXT Works: Products</t>
  </si>
  <si>
    <t>0064L00000DJXR4</t>
  </si>
  <si>
    <t>Rocket Mortgage IVR Transformation</t>
  </si>
  <si>
    <t>Erika Ward</t>
  </si>
  <si>
    <t>0064L00000DLoZB</t>
  </si>
  <si>
    <t>Phase 0 - Financial Reporting Design</t>
  </si>
  <si>
    <t>Paul Stelmack</t>
  </si>
  <si>
    <t>0064L00000DLN7o</t>
  </si>
  <si>
    <t>The Carlyle Group Inc.</t>
  </si>
  <si>
    <t>Phase 2: Commercial Market Product Design #XPCONC</t>
  </si>
  <si>
    <t>0064L00000DLnx8</t>
  </si>
  <si>
    <t>2023 AMZ Kuiper PS Integration Support -  Oracle SME</t>
  </si>
  <si>
    <t>0064L00000D8vAt</t>
  </si>
  <si>
    <t>SUMITOMO MITSUI FINANCIAL GROUP,INC.</t>
  </si>
  <si>
    <t>Credit Risk TOM Implementation (Change Order) #Credit</t>
  </si>
  <si>
    <t>Aamena Khan</t>
  </si>
  <si>
    <t>Zachary Horowitz</t>
  </si>
  <si>
    <t>0064L00000CGwSb</t>
  </si>
  <si>
    <t>WestRock Sourcing &amp; Procurement Transformation</t>
  </si>
  <si>
    <t>Martin Cantu Mena</t>
  </si>
  <si>
    <t>0064L00000DLN8h</t>
  </si>
  <si>
    <t>Digital Health Strategy</t>
  </si>
  <si>
    <t>0064L000002aCwj</t>
  </si>
  <si>
    <t>Catalina Finance Transformation Phase 1</t>
  </si>
  <si>
    <t>Sean Austermehle</t>
  </si>
  <si>
    <t>0064L000003zWza</t>
  </si>
  <si>
    <t>BCBSM Health Care Values Strategic Plan</t>
  </si>
  <si>
    <t>21/9/2020</t>
  </si>
  <si>
    <t>0064L00000DLMWT</t>
  </si>
  <si>
    <t>Haleon US - LE Name Change Advisory Support</t>
  </si>
  <si>
    <t>Stephen Mayor</t>
  </si>
  <si>
    <t>0064L00000BoNlD</t>
  </si>
  <si>
    <t>ncino Commercial LOS Discovery #&lt;$50B</t>
  </si>
  <si>
    <t>0064L00000D8ucc</t>
  </si>
  <si>
    <t>Mortgage Servicing Advances Analysis Support</t>
  </si>
  <si>
    <t>Anish Menon</t>
  </si>
  <si>
    <t>0064L00000BoNke</t>
  </si>
  <si>
    <t>A&amp;H Administration and Claims Assessment Extension - 90 Day Plan</t>
  </si>
  <si>
    <t>0064L00000CWTAJ</t>
  </si>
  <si>
    <t>WFRD Contract Management / CLM Implementation Support #S&amp;P#POD</t>
  </si>
  <si>
    <t>0064L000009BANw</t>
  </si>
  <si>
    <t>Pricing Models</t>
  </si>
  <si>
    <t>0064L000009BANx</t>
  </si>
  <si>
    <t>Enterprise Cost Take Out #FFG</t>
  </si>
  <si>
    <t>0064L00000BoprS</t>
  </si>
  <si>
    <t>Audit</t>
  </si>
  <si>
    <t>Edward Nguyen</t>
  </si>
  <si>
    <t>0064L00000CY8IX</t>
  </si>
  <si>
    <t>TMT Pricing Pod Collateral Development</t>
  </si>
  <si>
    <t>Michael Kellagher</t>
  </si>
  <si>
    <t>0064L00000CWTH0</t>
  </si>
  <si>
    <t>Recycling Automation</t>
  </si>
  <si>
    <t>Shirley Wilson</t>
  </si>
  <si>
    <t>0064L00000Bnmr5</t>
  </si>
  <si>
    <t>AT&amp;T Vehicle to Technician Ratio</t>
  </si>
  <si>
    <t>Geospatial</t>
  </si>
  <si>
    <t>0064L00000CY8L1</t>
  </si>
  <si>
    <t>Policy Redesign</t>
  </si>
  <si>
    <t>0064L00000BlEiT</t>
  </si>
  <si>
    <t>Platform Services NAOU Transportation Value Capture</t>
  </si>
  <si>
    <t>0064L00000ArNF8</t>
  </si>
  <si>
    <t>L3Harris FFG Corporate Functions</t>
  </si>
  <si>
    <t>Charlotte Biladeau</t>
  </si>
  <si>
    <t>0064L00000ArNEy</t>
  </si>
  <si>
    <t>AT&amp;T - HR Talent Strategy</t>
  </si>
  <si>
    <t>James Sullivan</t>
  </si>
  <si>
    <t>0064I0000132VJk</t>
  </si>
  <si>
    <t>King &amp; Spalding LLP</t>
  </si>
  <si>
    <t>COLI financing for NQ plans #Powerof5</t>
  </si>
  <si>
    <t>26/2/2020</t>
  </si>
  <si>
    <t>Matthew Kasper</t>
  </si>
  <si>
    <t>0064L00000D8SkI</t>
  </si>
  <si>
    <t>OneStream Implementation: Phase 2b - Planning Functional Design</t>
  </si>
  <si>
    <t>0064L000009AOG9</t>
  </si>
  <si>
    <t>D3 Analytics Outsourcing/Structuring</t>
  </si>
  <si>
    <t>0064L00000Bopyx</t>
  </si>
  <si>
    <t>BX Real Estate - Fund Admin Readiness and Conversion Support</t>
  </si>
  <si>
    <t>0064L00000DLNFE</t>
  </si>
  <si>
    <t>Rocket MIP Pursuit</t>
  </si>
  <si>
    <t>20/8/2022</t>
  </si>
  <si>
    <t>David Fontanez</t>
  </si>
  <si>
    <t>0064L000001uezZ</t>
  </si>
  <si>
    <t>Trinity Health - SCH/MDH Volume Decrease Adjustment (VDA) - *Strategic Reimbursement*</t>
  </si>
  <si>
    <t>25/6/2020</t>
  </si>
  <si>
    <t>0064L00000B2oqP</t>
  </si>
  <si>
    <t>Business Value Realization #FFG</t>
  </si>
  <si>
    <t>0064L00000ArMkF</t>
  </si>
  <si>
    <t>Intel Marketplace _ Design Phase - Sprint 1</t>
  </si>
  <si>
    <t>0064L00000CXfRB</t>
  </si>
  <si>
    <t>Ecosystem Strategy LatAM</t>
  </si>
  <si>
    <t>0064L00000BfeBA</t>
  </si>
  <si>
    <t>AON Global Limited - Digital Value Creation #DVC</t>
  </si>
  <si>
    <t>Madeleine Buck</t>
  </si>
  <si>
    <t>0064L00000D8QkR</t>
  </si>
  <si>
    <t>CSL Limited</t>
  </si>
  <si>
    <t>Medical Affairs Cross-functional Planning Alignment</t>
  </si>
  <si>
    <t>Rebecca Evans</t>
  </si>
  <si>
    <t>0064L000004vBox</t>
  </si>
  <si>
    <t>Avient Corporation</t>
  </si>
  <si>
    <t>Avient Finance Operating Model Phase 2</t>
  </si>
  <si>
    <t>Avient Finance Operating Model Assessment Phase 1</t>
  </si>
  <si>
    <t>Jeffrey Mealy</t>
  </si>
  <si>
    <t>0064L00000DFZtC</t>
  </si>
  <si>
    <t>CDP planning and integration</t>
  </si>
  <si>
    <t>0064L00000CWcNM</t>
  </si>
  <si>
    <t>Surgical business growth strategy</t>
  </si>
  <si>
    <t>0064L00000D8tPi</t>
  </si>
  <si>
    <t>Procurement On Demand / Managed Services #S&amp;P#POD</t>
  </si>
  <si>
    <t>0064L00000DJVbR</t>
  </si>
  <si>
    <t>Digital Value Creation #FFG3.0</t>
  </si>
  <si>
    <t>Alena Taylor</t>
  </si>
  <si>
    <t>Bryan Hill</t>
  </si>
  <si>
    <t>0064L00000AqjjT</t>
  </si>
  <si>
    <t>Danaher Corporation</t>
  </si>
  <si>
    <t>Danaher ESV PLS XPC</t>
  </si>
  <si>
    <t>0064L00000DJVcA</t>
  </si>
  <si>
    <t>Spans &amp; Layers Phase II</t>
  </si>
  <si>
    <t>0064L00000D8tRT</t>
  </si>
  <si>
    <t>The University of Texas MD Anderson Cancer Center *VBO* Credit Balance Resolution Services</t>
  </si>
  <si>
    <t>0064L00000Bn9W1</t>
  </si>
  <si>
    <t>Labcorp - ERP Transformation</t>
  </si>
  <si>
    <t>15/3/2022</t>
  </si>
  <si>
    <t>0064L00000CXCrU</t>
  </si>
  <si>
    <t>Talent Experience and Upskilling Journey - #ProEdgexWorkforce</t>
  </si>
  <si>
    <t>Erwin Cuison</t>
  </si>
  <si>
    <t>0064L00000DLKk4</t>
  </si>
  <si>
    <t>Shell - T&amp;S Digital Twin</t>
  </si>
  <si>
    <t>0064L00000Bg4eK</t>
  </si>
  <si>
    <t>Automatic Data Processing, Inc.</t>
  </si>
  <si>
    <t>ADP CoSo SmartConnect Migrations</t>
  </si>
  <si>
    <t>Ben Eisenberg</t>
  </si>
  <si>
    <t>0064L000002aAk1</t>
  </si>
  <si>
    <t>Ingersoll Rand Inc.</t>
  </si>
  <si>
    <t>IR - Logistics Strategy and Supply Chain Flexibility</t>
  </si>
  <si>
    <t>31/3/2021</t>
  </si>
  <si>
    <t>0064L000004xHyF</t>
  </si>
  <si>
    <t>IU Health_Salesforce Contact Center Discovery_SFDC</t>
  </si>
  <si>
    <t>21/1/2021</t>
  </si>
  <si>
    <t>0064L00000DJVi8</t>
  </si>
  <si>
    <t>SFDC R2R Process Improvement and Operating Model Strategy</t>
  </si>
  <si>
    <t>Amanda Chaum</t>
  </si>
  <si>
    <t>0064L00000CWB5H</t>
  </si>
  <si>
    <t>Call Center Transformation</t>
  </si>
  <si>
    <t>Katryna Ramirez</t>
  </si>
  <si>
    <t>0064L00000CYXYy</t>
  </si>
  <si>
    <t>AMZN Finance: Tririga PM Support</t>
  </si>
  <si>
    <t>0064L0000099vwG</t>
  </si>
  <si>
    <t>HUN - Darwin Expansions</t>
  </si>
  <si>
    <t>30/3/2022 4:50 pm</t>
  </si>
  <si>
    <t>0064L00000DJVlR</t>
  </si>
  <si>
    <t>IWTA Simplification PMO (CO IWTA #2)</t>
  </si>
  <si>
    <t>0064L00000DLo5Q</t>
  </si>
  <si>
    <t>The Jordan Company LP</t>
  </si>
  <si>
    <t>TJC Management Co. GL Implementation Support</t>
  </si>
  <si>
    <t>0064L00000BcmFt</t>
  </si>
  <si>
    <t>Med Ed Analysis - *Strategic Reimbursement*</t>
  </si>
  <si>
    <t>0064L00000BgVnh</t>
  </si>
  <si>
    <t>Project Lotus - Workday Job Architecture, Security, and Process Optimization</t>
  </si>
  <si>
    <t>0064L00000AqHsY</t>
  </si>
  <si>
    <t>Allakos Inc.</t>
  </si>
  <si>
    <t>Strategic commercialization plan</t>
  </si>
  <si>
    <t>0064L000002cHGj</t>
  </si>
  <si>
    <t>#IOBP -- PPM Analysis and Roadmap</t>
  </si>
  <si>
    <t>0064L000002aS5V</t>
  </si>
  <si>
    <t>ERP Market Considerations</t>
  </si>
  <si>
    <t>0064L00000CH5RA</t>
  </si>
  <si>
    <t>COGS and Freight Cost Takeout</t>
  </si>
  <si>
    <t>0064L00000BnmKa</t>
  </si>
  <si>
    <t>Payroll Work Style Project</t>
  </si>
  <si>
    <t>Brian Neff</t>
  </si>
  <si>
    <t>0064L00000BfvUJ</t>
  </si>
  <si>
    <t>Sumitomo Life Insurance Company</t>
  </si>
  <si>
    <t>US Group Strategy</t>
  </si>
  <si>
    <t>Marie Carr</t>
  </si>
  <si>
    <t>Tucker Kabat</t>
  </si>
  <si>
    <t>0064L00000CXwfN</t>
  </si>
  <si>
    <t>Daimler Truck Holding AG</t>
  </si>
  <si>
    <t>DT AG - Financial Svs Salesforce Data Driven Marketing</t>
  </si>
  <si>
    <t>0064L00000DFlkp</t>
  </si>
  <si>
    <t>Marriott International Climate Action Program Phase 0</t>
  </si>
  <si>
    <t>Ron Kinghorn</t>
  </si>
  <si>
    <t>0064L00000CWBCJ</t>
  </si>
  <si>
    <t>0064L00000CWBE7</t>
  </si>
  <si>
    <t>Customer Engagement Strategy</t>
  </si>
  <si>
    <t>0064L0000068uh9</t>
  </si>
  <si>
    <t>Chronograph Strategy/Impl.</t>
  </si>
  <si>
    <t>0064I00000vNdmn</t>
  </si>
  <si>
    <t>nCino Discovery #FOBComm #&lt;$50B #SCB</t>
  </si>
  <si>
    <t>0064L000009Ama3</t>
  </si>
  <si>
    <t>Cornerstone Building Brands, Inc.</t>
  </si>
  <si>
    <t>Production System Optimization PMO &amp; CM</t>
  </si>
  <si>
    <t>Jaime Weber</t>
  </si>
  <si>
    <t>0064L00000DJVyf</t>
  </si>
  <si>
    <t>News Corporation</t>
  </si>
  <si>
    <t>News Corp Bank Rationalization &amp; Payment Hub Implementation</t>
  </si>
  <si>
    <t>0064L000009f6GA</t>
  </si>
  <si>
    <t>Working Capital Transformation - O2C Phase 1</t>
  </si>
  <si>
    <t>Lindsey Adams</t>
  </si>
  <si>
    <t>0064L00000CWBFZ</t>
  </si>
  <si>
    <t>Joint GTM for Engagement</t>
  </si>
  <si>
    <t>0064L00000CWBGm</t>
  </si>
  <si>
    <t>0064L00000DLng1</t>
  </si>
  <si>
    <t>Cloud Vision / Roadmap</t>
  </si>
  <si>
    <t>0064L00000CX3jk</t>
  </si>
  <si>
    <t>Florida Atlantic University</t>
  </si>
  <si>
    <t>*CI* Medical School Expansion</t>
  </si>
  <si>
    <t>0064L00000CXDke</t>
  </si>
  <si>
    <t>AB SPS Finance Optimization</t>
  </si>
  <si>
    <t>Kevin Sullivan</t>
  </si>
  <si>
    <t>0064L00000D94Ld</t>
  </si>
  <si>
    <t>Metlife Investment Management Op Model/JobArchitecture</t>
  </si>
  <si>
    <t>0064L00000Bp09O</t>
  </si>
  <si>
    <t>Fortive Corporation</t>
  </si>
  <si>
    <t>ASP Digital Commerce Phase-1</t>
  </si>
  <si>
    <t>Yasheeka Garg</t>
  </si>
  <si>
    <t>0064L00000D93l1</t>
  </si>
  <si>
    <t>GE Wind - Path to Profitability Strategy</t>
  </si>
  <si>
    <t>0064L00000CY81i</t>
  </si>
  <si>
    <t>Supplier enablement - science-based targets</t>
  </si>
  <si>
    <t>0064L00000BoO9Z</t>
  </si>
  <si>
    <t>Alteryx CoE Build</t>
  </si>
  <si>
    <t>0064L00000B2Lk6</t>
  </si>
  <si>
    <t>Principal Financial Group, Inc</t>
  </si>
  <si>
    <t>Group Benefits Ecosystem Strategy #ITC2021</t>
  </si>
  <si>
    <t>0064L00000BnYru</t>
  </si>
  <si>
    <t>Shannon Health System</t>
  </si>
  <si>
    <t>Shannon: Pharmacy Optimization Analysis &amp; Implementation *FFG*</t>
  </si>
  <si>
    <t>0064L00000CWQLN</t>
  </si>
  <si>
    <t>Intel DCAI / CESG Cloud Growth Acceleration</t>
  </si>
  <si>
    <t>0064L00000BoM8o</t>
  </si>
  <si>
    <t>NTAS Onboarding Assessment</t>
  </si>
  <si>
    <t>0064L0000099hBF</t>
  </si>
  <si>
    <t>Marketing Sophistication</t>
  </si>
  <si>
    <t>0064L00000BeNzb</t>
  </si>
  <si>
    <t>ETFC Digital Direct Growth Strategy</t>
  </si>
  <si>
    <t>0064L00000BoM9w</t>
  </si>
  <si>
    <t>Wells Fargo - Digital Assets Implications Assessment (ESV)</t>
  </si>
  <si>
    <t>0064L0000099hAC</t>
  </si>
  <si>
    <t>Business Process Automation</t>
  </si>
  <si>
    <t>0064L00000DLJhY</t>
  </si>
  <si>
    <t>Rivian MES Operational Support</t>
  </si>
  <si>
    <t>GX_FY22_XLOS_Transformation_Digital Factory</t>
  </si>
  <si>
    <t>Eric Schackel</t>
  </si>
  <si>
    <t>0064L00000D8bRq</t>
  </si>
  <si>
    <t>Constellation - RGM Op Model</t>
  </si>
  <si>
    <t>0064L00000CYWZ2</t>
  </si>
  <si>
    <t>BIAH Core Flex Agreement</t>
  </si>
  <si>
    <t>Gianfranco Carrion</t>
  </si>
  <si>
    <t>0064L00000AqzoO</t>
  </si>
  <si>
    <t>BlackRock, Inc</t>
  </si>
  <si>
    <t>Blackrock Payment System Implementation</t>
  </si>
  <si>
    <t>0064L00000DLKM7</t>
  </si>
  <si>
    <t>Telefonaktiebolaget LM Ericsson</t>
  </si>
  <si>
    <t>Enterprise Wireless Solutions - operating model (Vonage/Cradlepoint)</t>
  </si>
  <si>
    <t>0064L0000099F7Y</t>
  </si>
  <si>
    <t>0064L000004wyq0</t>
  </si>
  <si>
    <t>GG Brands Company</t>
  </si>
  <si>
    <t>Gorilla Glue Performance Analyzer #RGM</t>
  </si>
  <si>
    <t>15/1/2021</t>
  </si>
  <si>
    <t>0064L00000DLKNK</t>
  </si>
  <si>
    <t>Enterprise Wide EBITDA Improvement</t>
  </si>
  <si>
    <t>0064I000011ot7u</t>
  </si>
  <si>
    <t>Frankenmuth Mutual Insurance Company</t>
  </si>
  <si>
    <t>Distribution Management - Inception</t>
  </si>
  <si>
    <t>24/1/2020</t>
  </si>
  <si>
    <t>0064L00000DLKMb</t>
  </si>
  <si>
    <t>Enterprise Wireless Solutions - Google Credit with Vonage - workload migration</t>
  </si>
  <si>
    <t>0064L00000D91tm</t>
  </si>
  <si>
    <t>FIS ORMB Implementation</t>
  </si>
  <si>
    <t>0064L00000BcZa3</t>
  </si>
  <si>
    <t>CLV Modelling</t>
  </si>
  <si>
    <t>25/11/2021</t>
  </si>
  <si>
    <t>0064L00000DJgKx</t>
  </si>
  <si>
    <t>NBH - Digital Transformation Strategy Blueprint</t>
  </si>
  <si>
    <t>0064L00000DFlCJ</t>
  </si>
  <si>
    <t>KDP - Digital route to market - eB2B #RGM -  MVP/POC</t>
  </si>
  <si>
    <t>0064L0000040jlU</t>
  </si>
  <si>
    <t>GBS Phase 1 - Strategy and Planning #FFG</t>
  </si>
  <si>
    <t>0064L00000Apwrb</t>
  </si>
  <si>
    <t>BMS Med Affairs Planning and Data Integration Phase 0</t>
  </si>
  <si>
    <t>25/8/2021</t>
  </si>
  <si>
    <t>0064L00000DJfnj</t>
  </si>
  <si>
    <t>Bridgewater - Vendor Agreement Revisions</t>
  </si>
  <si>
    <t>Jake Wiley</t>
  </si>
  <si>
    <t>0064L0000041LKr</t>
  </si>
  <si>
    <t>KP Interoperability CY 22 Run #PayerAnalytics</t>
  </si>
  <si>
    <t>0064L00000DFke8</t>
  </si>
  <si>
    <t>P66 Reliability Program - APM Extension</t>
  </si>
  <si>
    <t>Jason Carter</t>
  </si>
  <si>
    <t>0064L00000DJfnZ</t>
  </si>
  <si>
    <t>Bridgewater  - Employment Agreement Revisions</t>
  </si>
  <si>
    <t>0064L00000DJfo8</t>
  </si>
  <si>
    <t>Bridgewater - Regulatory Compliance Retainer</t>
  </si>
  <si>
    <t>0064L00000CW07i</t>
  </si>
  <si>
    <t>Harvard Maintenance, Inc.</t>
  </si>
  <si>
    <t>Harvard Services - Private - Managed Services</t>
  </si>
  <si>
    <t>0064L00000DJfpL</t>
  </si>
  <si>
    <t>Bridgewater - Insurance Products</t>
  </si>
  <si>
    <t>0064L000009BOl0</t>
  </si>
  <si>
    <t>HPE - GreenLake Deal Governance #TMTPricing</t>
  </si>
  <si>
    <t>0064L00000DJfox</t>
  </si>
  <si>
    <t>Bridgewater - Geopolitical Retainer</t>
  </si>
  <si>
    <t>0064L00000DJfow</t>
  </si>
  <si>
    <t>Bridgewater - Investor Servicing</t>
  </si>
  <si>
    <t>0064L00000DJVRb</t>
  </si>
  <si>
    <t>CPG Finance Optimization FY '23 - North America Phase 1</t>
  </si>
  <si>
    <t>0064L00000BlDBT</t>
  </si>
  <si>
    <t>Zhejiang Geely Holding Group Co., Ltd.</t>
  </si>
  <si>
    <t>Volvo Cars_CRM Expansion_Salesforce</t>
  </si>
  <si>
    <t>0064L00000DJgX3</t>
  </si>
  <si>
    <t>FDX Express US DEI project</t>
  </si>
  <si>
    <t>0064L000002ZNgv</t>
  </si>
  <si>
    <t>T.Marzetti - SAP TPM AMS #RGM</t>
  </si>
  <si>
    <t>0064L00000CH54z</t>
  </si>
  <si>
    <t>CNP financial data model review - Phase II</t>
  </si>
  <si>
    <t>John Morris</t>
  </si>
  <si>
    <t>0064L00000D8seb</t>
  </si>
  <si>
    <t>AT&amp;T - SPR Operating Model, Technology and Tools</t>
  </si>
  <si>
    <t>Matthew Duffey</t>
  </si>
  <si>
    <t>0064L00000DJfxA</t>
  </si>
  <si>
    <t>nxtgenERP Finance Support (L48)</t>
  </si>
  <si>
    <t>0064L000001w86l</t>
  </si>
  <si>
    <t>IU Health PRM &amp; Referral Management Strategy and Roadmap</t>
  </si>
  <si>
    <t>Ray Chung</t>
  </si>
  <si>
    <t>0064L000001w86g</t>
  </si>
  <si>
    <t>Saint Luke's Health System Inc.</t>
  </si>
  <si>
    <t>PRM &amp; Referral Management Strategy and Roadmap (Nebraska Market)</t>
  </si>
  <si>
    <t>0064L000002aBQS</t>
  </si>
  <si>
    <t>Net Zero Strategy #ESG</t>
  </si>
  <si>
    <t>0064L00000Bg4Zo</t>
  </si>
  <si>
    <t>Sarepta Therapeutics Inc</t>
  </si>
  <si>
    <t>Clinical Development Op Model Refresh</t>
  </si>
  <si>
    <t>Andy Greenberg</t>
  </si>
  <si>
    <t>0064L00000CVOG4</t>
  </si>
  <si>
    <t>GPC Unifier Phase 2</t>
  </si>
  <si>
    <t>GPC Unifier Extension</t>
  </si>
  <si>
    <t>0064L00000D8tLu</t>
  </si>
  <si>
    <t>*FFG* Shared Service Strategy</t>
  </si>
  <si>
    <t>David Evans</t>
  </si>
  <si>
    <t>0064L00000BmXPj</t>
  </si>
  <si>
    <t>Luye Investment Group Co., Ltd</t>
  </si>
  <si>
    <t>Return on Experience</t>
  </si>
  <si>
    <t>0064L00000CXg0J</t>
  </si>
  <si>
    <t>Call Center of the Future / Op Model Design  #dvc #callcenter</t>
  </si>
  <si>
    <t>Mindy Hsiang</t>
  </si>
  <si>
    <t>0064L00000BfeA2</t>
  </si>
  <si>
    <t>Allstate Corporation - Digital Value Creation #DVC</t>
  </si>
  <si>
    <t>Sonepal Kohli</t>
  </si>
  <si>
    <t>0064L00000Bm4LJ</t>
  </si>
  <si>
    <t>Cleveland Clinic Global Solutions, LLC</t>
  </si>
  <si>
    <t>Cleveland Clinic CX Qualtrics Implementation</t>
  </si>
  <si>
    <t>0064L000004xY6u</t>
  </si>
  <si>
    <t>Intel Enhance Gladius Transformation</t>
  </si>
  <si>
    <t>25/1/2021</t>
  </si>
  <si>
    <t>0064L000003zeDu</t>
  </si>
  <si>
    <t>Elanco Animal Health Incorporated</t>
  </si>
  <si>
    <t>Elanco Ops Transformation Roadmap</t>
  </si>
  <si>
    <t>23/9/2020</t>
  </si>
  <si>
    <t>0064L000006CQkc</t>
  </si>
  <si>
    <t>MSK - Help Desk</t>
  </si>
  <si>
    <t>0064L00000D8rMz</t>
  </si>
  <si>
    <t>Commercial Excellence</t>
  </si>
  <si>
    <t>0064L00000D8rMy</t>
  </si>
  <si>
    <t>Product Portfolio Optimization</t>
  </si>
  <si>
    <t>13/1/2023</t>
  </si>
  <si>
    <t>0064L00000Ar8fL</t>
  </si>
  <si>
    <t>SNC-Lavalin Group Inc.</t>
  </si>
  <si>
    <t>SNC Shared Services Wave 2 implementation #FFG</t>
  </si>
  <si>
    <t>Giancarlo Lazzaro</t>
  </si>
  <si>
    <t>0064L00000DBMJp</t>
  </si>
  <si>
    <t>HRIS Strategy &amp; Selection</t>
  </si>
  <si>
    <t>0064L00000D8b1T</t>
  </si>
  <si>
    <t>Hershey Digital Transformation (GBS &amp; Digital Factory) #FFG</t>
  </si>
  <si>
    <t>Daniel Jakus</t>
  </si>
  <si>
    <t>0064L000004vQr7</t>
  </si>
  <si>
    <t>Eaton Treasury and WCM</t>
  </si>
  <si>
    <t>0064L00000Blv8K</t>
  </si>
  <si>
    <t>PLM Assessment</t>
  </si>
  <si>
    <t>Vivek Shrivastava</t>
  </si>
  <si>
    <t>0064L000001vw07</t>
  </si>
  <si>
    <t>WF CB Data Strategy - Wallet Share Use Case Ph2 #comm50b+ #FoTFSDistribution</t>
  </si>
  <si>
    <t>Katie Tamarelli</t>
  </si>
  <si>
    <t>0064L00000CXdTV</t>
  </si>
  <si>
    <t>A O Smith Corporation</t>
  </si>
  <si>
    <t>Pricing Insights and Analytics</t>
  </si>
  <si>
    <t>Kris Munson</t>
  </si>
  <si>
    <t>0064L00000ApehX</t>
  </si>
  <si>
    <t>Wells Fargo Cost Transformation #FFG</t>
  </si>
  <si>
    <t>0064L00000D8b3z</t>
  </si>
  <si>
    <t>Cushman &amp; Wakefield - Global Sustainability Service Benchmarking &amp; Responsible Sourcing #ESG</t>
  </si>
  <si>
    <t>Cora Lee Mooney</t>
  </si>
  <si>
    <t>0064L00000CX0pp</t>
  </si>
  <si>
    <t>*CI* KP BJT SOM Title IV</t>
  </si>
  <si>
    <t>0064L000004vtJ5</t>
  </si>
  <si>
    <t>17/12/2020</t>
  </si>
  <si>
    <t>0064L00000B1X3N</t>
  </si>
  <si>
    <t>Strategic Sourcing / Cost Takeout - Wave 1</t>
  </si>
  <si>
    <t>0064L00000Ar9Sm</t>
  </si>
  <si>
    <t>MSFT HR - FY22 GTA Extension - Skill-Based Hiring Model</t>
  </si>
  <si>
    <t>Gabrielle Kuey</t>
  </si>
  <si>
    <t>0064L00000BcZFA</t>
  </si>
  <si>
    <t>NetJets Finance evolution roadmap and ERP #selection</t>
  </si>
  <si>
    <t>TTH_Digital_Transformation</t>
  </si>
  <si>
    <t>0064L00000BgerD</t>
  </si>
  <si>
    <t>Performance Management and Employee Experience</t>
  </si>
  <si>
    <t>0064L000002btvx</t>
  </si>
  <si>
    <t>Nuvance CDM Consolidation - Phase 2 *Rev Cycle*</t>
  </si>
  <si>
    <t>Kathryn Burg Plaza</t>
  </si>
  <si>
    <t>0064L00000BnkHj</t>
  </si>
  <si>
    <t>DSI - OCM support for Modern Work Tenant Consolidation and Security 8/30/21</t>
  </si>
  <si>
    <t>CS_Data_Risk_Privacy</t>
  </si>
  <si>
    <t>0064L000009g7Nn</t>
  </si>
  <si>
    <t>Customer Centricity and Transformation - Initial phase</t>
  </si>
  <si>
    <t>Venky Jayaraman</t>
  </si>
  <si>
    <t>0064L00000ArJXc</t>
  </si>
  <si>
    <t>McDermott International Inc.</t>
  </si>
  <si>
    <t>Product Line Transformation Phase 1</t>
  </si>
  <si>
    <t>Sukanya Doshi</t>
  </si>
  <si>
    <t>0064L00000BlSbR</t>
  </si>
  <si>
    <t>Vanderbilt University Medical Center</t>
  </si>
  <si>
    <t>Comprehensive Reimbursement Services *Strategic Reimbursement*</t>
  </si>
  <si>
    <t>0064I00000qskN6</t>
  </si>
  <si>
    <t>PepsiCo (NAB/PBNA) - Performance Analyzer #RGM</t>
  </si>
  <si>
    <t>25/3/2019</t>
  </si>
  <si>
    <t>20/8/2024</t>
  </si>
  <si>
    <t>0064L00000BnYiD</t>
  </si>
  <si>
    <t>AT&amp;T - Network Decommissioning Cost Allocation</t>
  </si>
  <si>
    <t>0064L00000ApwZX</t>
  </si>
  <si>
    <t>FDX Performance Marketing</t>
  </si>
  <si>
    <t>FDX: B2B Loyalty - contracting; insourcing/outsourcing</t>
  </si>
  <si>
    <t>0064L0000099dCz</t>
  </si>
  <si>
    <t>NextGen Cost and Profitability - Advisory Phase</t>
  </si>
  <si>
    <t>0064L000009gHFL</t>
  </si>
  <si>
    <t>MIllipore Strategy</t>
  </si>
  <si>
    <t>0064L000009AIWB</t>
  </si>
  <si>
    <t>Autodesk Inc.</t>
  </si>
  <si>
    <t>Partner Customer Success Solution #TMTPricing</t>
  </si>
  <si>
    <t>31/10/2021</t>
  </si>
  <si>
    <t>0064L0000099dC6</t>
  </si>
  <si>
    <t>0064L0000099dC7</t>
  </si>
  <si>
    <t>Annual Planning Process Redesign - Advisory Phase</t>
  </si>
  <si>
    <t>0064L00000D8bGT</t>
  </si>
  <si>
    <t>Operational Transformation #FFG3.0</t>
  </si>
  <si>
    <t>Aimee Topp</t>
  </si>
  <si>
    <t>0064L00000CXdm4</t>
  </si>
  <si>
    <t>ESG Program - Strategy + Net Zero Cloud</t>
  </si>
  <si>
    <t>0064L00000CH2z4</t>
  </si>
  <si>
    <t>SPB #Coupa S2P Implementation: Test &amp; Deploy</t>
  </si>
  <si>
    <t>0064L00000ApwcH</t>
  </si>
  <si>
    <t>FDX:  Sales &amp; Marketing Convergence / Alignment:</t>
  </si>
  <si>
    <t>FDX Loyalty Assessment &amp; IT Strategy - phase 1</t>
  </si>
  <si>
    <t>0064L00000BmVno</t>
  </si>
  <si>
    <t>SVB LAS Integration RFP</t>
  </si>
  <si>
    <t>0064L0000099dDi</t>
  </si>
  <si>
    <t>NextGen FP&amp;A - Advisory Phase</t>
  </si>
  <si>
    <t>0064L00000BmVnt</t>
  </si>
  <si>
    <t>Cardinal Health_Sales &amp; Service Cloud Implementation_SFDC</t>
  </si>
  <si>
    <t>Brandon Fisher</t>
  </si>
  <si>
    <t>0064L00000Bo9Oh</t>
  </si>
  <si>
    <t>Agiloft, Inc.</t>
  </si>
  <si>
    <t>Lead to Cash Operations - Agiloft</t>
  </si>
  <si>
    <t>Seth Claus</t>
  </si>
  <si>
    <t>0064L000004vC26</t>
  </si>
  <si>
    <t>MRO Optimization Phase 1 #MW</t>
  </si>
  <si>
    <t>0064L00000Bo9QO</t>
  </si>
  <si>
    <t>Supply Chain Digital Upskilling / Talent Development</t>
  </si>
  <si>
    <t>0064L00000BoK4G</t>
  </si>
  <si>
    <t>Pfizer Integrated Data Repository for Precision Medicine</t>
  </si>
  <si>
    <t>Lichen Shen</t>
  </si>
  <si>
    <t>0064L00000DFysX</t>
  </si>
  <si>
    <t>VW Scout Greenfield Factory #EVInvestments</t>
  </si>
  <si>
    <t>0064L00000BmTnI</t>
  </si>
  <si>
    <t>Analytics Function/Capability Strategy</t>
  </si>
  <si>
    <t>0064L00000CVmhm</t>
  </si>
  <si>
    <t>SAP Alliance -- ESG reporting technology transformation strategy</t>
  </si>
  <si>
    <t>Jim Davis</t>
  </si>
  <si>
    <t>0064L00000CXsnX</t>
  </si>
  <si>
    <t>UNFI - Private Label TCO Assessment</t>
  </si>
  <si>
    <t>0064L00000BoZvz</t>
  </si>
  <si>
    <t>Zeomega SDOH Solution Strategic Delivery Partner for JPS Health Network #HVM #Alliance:Zeomega</t>
  </si>
  <si>
    <t>0064L000009A9tG</t>
  </si>
  <si>
    <t>AT&amp;T Future of MVNO</t>
  </si>
  <si>
    <t>0064L00000D90MS</t>
  </si>
  <si>
    <t>R&amp;D Technology Strategy</t>
  </si>
  <si>
    <t>0064L00000CXd3b</t>
  </si>
  <si>
    <t>Digital Quality Implementation</t>
  </si>
  <si>
    <t>0064L00000BmTui</t>
  </si>
  <si>
    <t>Healthfirst - Project Twosday - 2-2-22 #PayerCO&amp;ITrans</t>
  </si>
  <si>
    <t>0064L00000Bnhyx</t>
  </si>
  <si>
    <t>VBC Analytics</t>
  </si>
  <si>
    <t>0064L000009BO0w</t>
  </si>
  <si>
    <t>Houston Methodist CRM - Scope Enhancement Change Order #MSFTProvider</t>
  </si>
  <si>
    <t>13/12/2021</t>
  </si>
  <si>
    <t>0064L00000CVmna</t>
  </si>
  <si>
    <t>AT&amp;T Biz Data Migration - Change Management</t>
  </si>
  <si>
    <t>23/8/2022</t>
  </si>
  <si>
    <t>AT&amp;T Biz Data Migration Execution and COE Standup - Phase 1</t>
  </si>
  <si>
    <t>Pranav Parekh</t>
  </si>
  <si>
    <t>0064L00000CX0Po</t>
  </si>
  <si>
    <t>Knowledge Center Managed Service</t>
  </si>
  <si>
    <t>0064L00000DJdeY</t>
  </si>
  <si>
    <t>Kustomer - B2B marketing growth</t>
  </si>
  <si>
    <t>Tom Birtwhistle</t>
  </si>
  <si>
    <t>0064L00000CXswA</t>
  </si>
  <si>
    <t>DTV Service / Contact Center CX Journey Mapping</t>
  </si>
  <si>
    <t>Marcus Welles</t>
  </si>
  <si>
    <t>0064L00000DJdgK</t>
  </si>
  <si>
    <t>Marketing Transformation and Growth Strategy</t>
  </si>
  <si>
    <t>Andrew Benett</t>
  </si>
  <si>
    <t>0064L00000BoldC</t>
  </si>
  <si>
    <t>Cox Media Finance Op Model and</t>
  </si>
  <si>
    <t>Bradford Donaldson</t>
  </si>
  <si>
    <t>Aditya Jain</t>
  </si>
  <si>
    <t>0064L00000BgCJX</t>
  </si>
  <si>
    <t>Provider Portal - Message Automation &amp; Scheduling</t>
  </si>
  <si>
    <t>Jamie Gunsior</t>
  </si>
  <si>
    <t>0064L000009AmHB</t>
  </si>
  <si>
    <t>#DVC #CS_EDT_Health_Services #DigitalEcosystem</t>
  </si>
  <si>
    <t>0064L00000B2JUG</t>
  </si>
  <si>
    <t>First National Nebraska INC.</t>
  </si>
  <si>
    <t>Core Modernization Strategy</t>
  </si>
  <si>
    <t>0064L00000BldAC</t>
  </si>
  <si>
    <t>DevSecOps Support</t>
  </si>
  <si>
    <t>Patrick Shankland</t>
  </si>
  <si>
    <t>0064L000003z30Q</t>
  </si>
  <si>
    <t>Growth Discussion</t>
  </si>
  <si>
    <t>0064L00000BgeRo</t>
  </si>
  <si>
    <t>Experience Design Resource Support</t>
  </si>
  <si>
    <t>0064L000004xHHu</t>
  </si>
  <si>
    <t>Consumer Trust MVP Build</t>
  </si>
  <si>
    <t>0064L00000B2m4E</t>
  </si>
  <si>
    <t>Wyndham Hotels &amp; Resorts Inc.</t>
  </si>
  <si>
    <t>WHR - AWS - People: Cloud Education and Culture</t>
  </si>
  <si>
    <t>0064L00000CH31U</t>
  </si>
  <si>
    <t>Astellas Gene Therapies (AGT) Portfolio Strategy Refresh</t>
  </si>
  <si>
    <t>Venus Modabber Sobhandost</t>
  </si>
  <si>
    <t>0064L00000BfA26</t>
  </si>
  <si>
    <t>Contact Center IVR Strategy</t>
  </si>
  <si>
    <t>0064L00000BldDV</t>
  </si>
  <si>
    <t>Nasdaq Inc.</t>
  </si>
  <si>
    <t>Billing system remediation</t>
  </si>
  <si>
    <t>David Woodward</t>
  </si>
  <si>
    <t>0064L00000DFigg</t>
  </si>
  <si>
    <t>Enterprise CLM</t>
  </si>
  <si>
    <t>0064L00000BfsSr</t>
  </si>
  <si>
    <t>HCA Revenue Cycle Transformation</t>
  </si>
  <si>
    <t>0064L00000Bn7Fk</t>
  </si>
  <si>
    <t>Littelfuse Inc.</t>
  </si>
  <si>
    <t>Littelfuse Values + Culture Strategy_$500K_P0/P1</t>
  </si>
  <si>
    <t>Christopher Hannegan</t>
  </si>
  <si>
    <t>0064L00000CH352</t>
  </si>
  <si>
    <t>Legal &amp; Compliance - Talent Acquisition Program Management Support</t>
  </si>
  <si>
    <t>0064L000004vB8X</t>
  </si>
  <si>
    <t>Federal Reserve Bank Of Boston</t>
  </si>
  <si>
    <t>Project ACESO Non-tech Expansion 2021</t>
  </si>
  <si>
    <t>Nina Owens</t>
  </si>
  <si>
    <t>Darshan patel</t>
  </si>
  <si>
    <t>0064L000009AJXK</t>
  </si>
  <si>
    <t>Omnichannel Strategy Development</t>
  </si>
  <si>
    <t>0064L00000Bczoo</t>
  </si>
  <si>
    <t>API / Workday Connection Strategy</t>
  </si>
  <si>
    <t>0064L00000BnZ2E</t>
  </si>
  <si>
    <t>Sales Automation</t>
  </si>
  <si>
    <t>0064L000002b1mq</t>
  </si>
  <si>
    <t>Paul Weiss Rifkind Wharton &amp; Garrison Llp.</t>
  </si>
  <si>
    <t>COLI financing for NQ plans</t>
  </si>
  <si>
    <t>23/4/2021</t>
  </si>
  <si>
    <t>0064L0000099R7b</t>
  </si>
  <si>
    <t>HCA - Fully delegated MA pilot #CHE3.0 #ProviderGrowth</t>
  </si>
  <si>
    <t>0064L00000Bm2IN</t>
  </si>
  <si>
    <t>Project Astra Phase #2 - Re-implementation</t>
  </si>
  <si>
    <t>Douglas Cogan</t>
  </si>
  <si>
    <t>0064L00000Bm1iZ</t>
  </si>
  <si>
    <t>USAA P&amp;C IT Delivery Operating Model</t>
  </si>
  <si>
    <t>0064L00000DFyRl</t>
  </si>
  <si>
    <t>Trade Lifecycle Operating Model</t>
  </si>
  <si>
    <t>0064L000007wQWu</t>
  </si>
  <si>
    <t>Reliability Improvement -- Materials Management</t>
  </si>
  <si>
    <t>Gaspare Aloi</t>
  </si>
  <si>
    <t>0064L000004wSQF</t>
  </si>
  <si>
    <t>Salesforce-Slack Integration Planning</t>
  </si>
  <si>
    <t>Dries Bredenkamp</t>
  </si>
  <si>
    <t>0064L00000BoZZF</t>
  </si>
  <si>
    <t>GREIF INC</t>
  </si>
  <si>
    <t>Marketing Strategy &amp; Roadmap</t>
  </si>
  <si>
    <t>Amy Zhao</t>
  </si>
  <si>
    <t>0064L00000BoZZa</t>
  </si>
  <si>
    <t>CX Design</t>
  </si>
  <si>
    <t>0064L00000CYU5P</t>
  </si>
  <si>
    <t>Change Management for Oracle Supply Chain</t>
  </si>
  <si>
    <t>Yasi Akbari</t>
  </si>
  <si>
    <t>0064L00000BoZZZ</t>
  </si>
  <si>
    <t>Org Design</t>
  </si>
  <si>
    <t>0064L0000099ao4</t>
  </si>
  <si>
    <t>#QMS Cardinal Health Supplier Quality System Design Phase</t>
  </si>
  <si>
    <t>Cardinal Health Supplier Quality System RFP</t>
  </si>
  <si>
    <t>0064L00000CXt5l</t>
  </si>
  <si>
    <t>IT FFG Testing Pilot</t>
  </si>
  <si>
    <t>0064L00000B1fUt</t>
  </si>
  <si>
    <t>GE Healthcare Logistics Cost Reduction</t>
  </si>
  <si>
    <t>0064L000001vPz2</t>
  </si>
  <si>
    <t>Sheetz Inc.</t>
  </si>
  <si>
    <t>Sheetz - ERP Future State #Burgh</t>
  </si>
  <si>
    <t>0064L000004xEFH</t>
  </si>
  <si>
    <t>HP: Supply Chain Process Optimization</t>
  </si>
  <si>
    <t>0064L000001vPyx</t>
  </si>
  <si>
    <t>Fare Trace Pilot</t>
  </si>
  <si>
    <t>0064L00000B0u0o</t>
  </si>
  <si>
    <t>Operating Model - Anchored Agility</t>
  </si>
  <si>
    <t>0064L000009f2KL</t>
  </si>
  <si>
    <t>CX Pilot</t>
  </si>
  <si>
    <t>0064L00000DJRfF</t>
  </si>
  <si>
    <t>IPE Integration with Seagate Model-N #TMTPricing</t>
  </si>
  <si>
    <t>0064L00000ArHNu</t>
  </si>
  <si>
    <t>Executive Financial Coaching</t>
  </si>
  <si>
    <t>Kristin Harel</t>
  </si>
  <si>
    <t>0064L00000ArjQw</t>
  </si>
  <si>
    <t>Capital One - Payment Modernization #FOB-Blueprint #&lt;50B</t>
  </si>
  <si>
    <t>Jennifer Jefferson</t>
  </si>
  <si>
    <t>0064L00000BeMCO</t>
  </si>
  <si>
    <t>Core Soln for New Bank Financial (#Technisys)</t>
  </si>
  <si>
    <t>0064L00000DJRfj</t>
  </si>
  <si>
    <t>Sifive Inc.</t>
  </si>
  <si>
    <t>GTM Enablement for IPO Readiness #TMTPricing</t>
  </si>
  <si>
    <t>0064L00000Bm2Yk</t>
  </si>
  <si>
    <t>PepsiCo DTC Strategy</t>
  </si>
  <si>
    <t>0064L000003zbKx</t>
  </si>
  <si>
    <t>Application Rationalization</t>
  </si>
  <si>
    <t>22/9/2020</t>
  </si>
  <si>
    <t>0064L00000Aqy95</t>
  </si>
  <si>
    <t>Finance System Strategy</t>
  </si>
  <si>
    <t>0064L00000BgAmS</t>
  </si>
  <si>
    <t>AWS - GoT Managed Service</t>
  </si>
  <si>
    <t>Jason Henritze-Hoye</t>
  </si>
  <si>
    <t>0064L00000BolHl</t>
  </si>
  <si>
    <t>Blue Cross &amp; Blue Shield Association</t>
  </si>
  <si>
    <t>BCBSA FEP Hub Expansion</t>
  </si>
  <si>
    <t>Shawn Logue</t>
  </si>
  <si>
    <t>0064I00000r3ylO</t>
  </si>
  <si>
    <t>AdventHealth Data Monetization</t>
  </si>
  <si>
    <t>0064L00000DJe1w</t>
  </si>
  <si>
    <t>Zafin Global Holdings Corp</t>
  </si>
  <si>
    <t>Zafin BAAS Strategy</t>
  </si>
  <si>
    <t>Esther Cardenas Jaldon</t>
  </si>
  <si>
    <t>0064L00000CXtDG</t>
  </si>
  <si>
    <t>Digital Commerce Strategy</t>
  </si>
  <si>
    <t>0064L00000BmTdr</t>
  </si>
  <si>
    <t>Kaiser Cognitive Scale P1 #xPC:PayerAnalytics #Alliance:CognitiveScale #PayerAnalytics</t>
  </si>
  <si>
    <t>0064L00000DFiJ8</t>
  </si>
  <si>
    <t>M&amp;A Integration Support - H1 2023</t>
  </si>
  <si>
    <t>M&amp;A Integration Support - IMO</t>
  </si>
  <si>
    <t>0064L00000CY3C3</t>
  </si>
  <si>
    <t>Clinical Quality Transformation</t>
  </si>
  <si>
    <t>Christina Morris</t>
  </si>
  <si>
    <t>0064L000009feED</t>
  </si>
  <si>
    <t>Olympus Corporation</t>
  </si>
  <si>
    <t>Olympus Salesforce CPQ *Pricing</t>
  </si>
  <si>
    <t>Joseph Yusiong</t>
  </si>
  <si>
    <t>0064L000002Lc00</t>
  </si>
  <si>
    <t>Berra Org and Operating Model - Culture activation</t>
  </si>
  <si>
    <t>Berra Org Top Team Effectiveness</t>
  </si>
  <si>
    <t>0064L00000CY3EO</t>
  </si>
  <si>
    <t>DCT Optimization</t>
  </si>
  <si>
    <t>0064L00000CXRGb</t>
  </si>
  <si>
    <t>Chipotle - Metaverse (Governance, NFT Platform, etc.)</t>
  </si>
  <si>
    <t>0064I00000y6rcY</t>
  </si>
  <si>
    <t>Catering Supply Chain Category Mgmt #Profit</t>
  </si>
  <si>
    <t>18/10/2019</t>
  </si>
  <si>
    <t>0064L00000Aq2Za</t>
  </si>
  <si>
    <t>Supply Chain Resiliency</t>
  </si>
  <si>
    <t>0064L00000BfMvB</t>
  </si>
  <si>
    <t>D365 for Call Center</t>
  </si>
  <si>
    <t>0064L00000DJbZR</t>
  </si>
  <si>
    <t>GBS Strategy</t>
  </si>
  <si>
    <t>0064L0000099RW8</t>
  </si>
  <si>
    <t>BBYH Project Core phase 2</t>
  </si>
  <si>
    <t>20/8/2021 10:59 pm</t>
  </si>
  <si>
    <t>0064L00000CYSNR</t>
  </si>
  <si>
    <t>Booking Treasury and Payments Strategy Phase 2</t>
  </si>
  <si>
    <t>0064L0000098NxZ</t>
  </si>
  <si>
    <t>SUN PHARMACEUTICAL INDUSTRIES LIMITED</t>
  </si>
  <si>
    <t>Oracle Sourced Suspect Oppty - EPM</t>
  </si>
  <si>
    <t>Bob Johnson</t>
  </si>
  <si>
    <t>0064L00000DFUq8</t>
  </si>
  <si>
    <t>Medicaid PHM Next Gen Support</t>
  </si>
  <si>
    <t>0064L00000BoXu1</t>
  </si>
  <si>
    <t>Back Office Transformation - 2023 Wave 1 Outsourcing Selection and Transition</t>
  </si>
  <si>
    <t>0064L00000BoXu6</t>
  </si>
  <si>
    <t>Back Office Transformation - 2023 Ongoing Big Rocks and Interim Solutions</t>
  </si>
  <si>
    <t>0064L00000CY0l5</t>
  </si>
  <si>
    <t>Pepsico ESG Technology Deployment - Microsoft Co-Sell - #ESGMSFT</t>
  </si>
  <si>
    <t>0064L00000Bo6qx</t>
  </si>
  <si>
    <t>EHI Finance Transformation - Phase 2</t>
  </si>
  <si>
    <t>0064L00000BoXvi</t>
  </si>
  <si>
    <t>Celanese - BlackLine Release 2</t>
  </si>
  <si>
    <t>0064L00000BoXvx</t>
  </si>
  <si>
    <t>Celanese - Journal Entry Remediation</t>
  </si>
  <si>
    <t>0064L00000BoXvy</t>
  </si>
  <si>
    <t>Celanese - Finance Integration</t>
  </si>
  <si>
    <t>0064L000009fg84</t>
  </si>
  <si>
    <t>Smith &amp; Nephew Plc</t>
  </si>
  <si>
    <t>S+N Global Pricing and CPQ support - $500k *Pricing*</t>
  </si>
  <si>
    <t>S+N CPQ-Deal Desk Support - Invest *Pricing*</t>
  </si>
  <si>
    <t>Albert Chan</t>
  </si>
  <si>
    <t>0064L00000BmBS7</t>
  </si>
  <si>
    <t>AWS - Grow Our Own Talent - Managed Services #TMTMSO</t>
  </si>
  <si>
    <t>0064L00000BoGxp</t>
  </si>
  <si>
    <t>P66 - Power and Gas Platform - AWS hosting</t>
  </si>
  <si>
    <t>0064L00000Bm25i</t>
  </si>
  <si>
    <t>Metlife Bank Rationalization</t>
  </si>
  <si>
    <t>0064L00000B0v3F</t>
  </si>
  <si>
    <t>BKR_Sustainability Cloud_Salesforce</t>
  </si>
  <si>
    <t>0064L0000099RFV</t>
  </si>
  <si>
    <t>ESV follow-on from fraud work</t>
  </si>
  <si>
    <t>0064L000009fUMc</t>
  </si>
  <si>
    <t>CX - Commercial Model Transformation</t>
  </si>
  <si>
    <t>Kristin Puig</t>
  </si>
  <si>
    <t>0064L00000428vf</t>
  </si>
  <si>
    <t>Microsoft Dynamics analysis</t>
  </si>
  <si>
    <t>Ian Bonnet</t>
  </si>
  <si>
    <t>0064L000004vac7</t>
  </si>
  <si>
    <t>US Banking &amp; Systems Implementation</t>
  </si>
  <si>
    <t>0064L00000CYeBS</t>
  </si>
  <si>
    <t>Viatris Project Platinum Divestiture Support</t>
  </si>
  <si>
    <t>Sarah Pullins</t>
  </si>
  <si>
    <t>0064L00000CWLwj</t>
  </si>
  <si>
    <t>S&amp;OP Rollout - Phase 4 Wave 1</t>
  </si>
  <si>
    <t>0064L00000BoZI4</t>
  </si>
  <si>
    <t>aQIVc Launch Strategy - Phase 2</t>
  </si>
  <si>
    <t>0064L00000DG7eK</t>
  </si>
  <si>
    <t>Canon Inc.</t>
  </si>
  <si>
    <t>Canon Medical Systems USA PMO Phase 9</t>
  </si>
  <si>
    <t>Kevin Lewis</t>
  </si>
  <si>
    <t>Kaihei Takagi</t>
  </si>
  <si>
    <t>0064L00000BcVi0</t>
  </si>
  <si>
    <t>Treasury Management System</t>
  </si>
  <si>
    <t>Christina Natale</t>
  </si>
  <si>
    <t>0064L00000CYBdL</t>
  </si>
  <si>
    <t>Celanese - Project Milan Finance IMO - Phase 2</t>
  </si>
  <si>
    <t>Barrett Shipman</t>
  </si>
  <si>
    <t>0064L00000Blacw</t>
  </si>
  <si>
    <t>NNA:  EV Manufacturing Investments</t>
  </si>
  <si>
    <t>0064L0000099RDP</t>
  </si>
  <si>
    <t>Memorial Hermann Health System</t>
  </si>
  <si>
    <t>Digital Value Creation</t>
  </si>
  <si>
    <t>0064L00000BgB5y</t>
  </si>
  <si>
    <t>Shell - Power Trading Training</t>
  </si>
  <si>
    <t>0064L00000Bfa5w</t>
  </si>
  <si>
    <t>TA Call Center Remediation</t>
  </si>
  <si>
    <t>0064L00000D8odh</t>
  </si>
  <si>
    <t>Climate Risk Roadmap 2.0</t>
  </si>
  <si>
    <t>0064L00000CYvLD</t>
  </si>
  <si>
    <t>ODU EVMS post integration support</t>
  </si>
  <si>
    <t>0064I00000zUfsV</t>
  </si>
  <si>
    <t>Project Mercury - Workforce Planning</t>
  </si>
  <si>
    <t>0064L00000BoHnD</t>
  </si>
  <si>
    <t>Lincoln National Corporation</t>
  </si>
  <si>
    <t>L&amp;R Divestiture Feasibility</t>
  </si>
  <si>
    <t>Matthew O'Mara</t>
  </si>
  <si>
    <t>Kayleigh Miller</t>
  </si>
  <si>
    <t>0064L00000B2yAr</t>
  </si>
  <si>
    <t>Enterprise Quality Implementation #QMS</t>
  </si>
  <si>
    <t>23/10/2021</t>
  </si>
  <si>
    <t>Enterprise Quality Assessment and Strategy #QMS</t>
  </si>
  <si>
    <t>0064L00000Bfp7X</t>
  </si>
  <si>
    <t>Vendor Rationalization #SKO</t>
  </si>
  <si>
    <t>0064L00000BnvnP</t>
  </si>
  <si>
    <t>Blue Cross Blue Shield of Texas</t>
  </si>
  <si>
    <t>HCSC Texas Cost of Care Planning #HVM</t>
  </si>
  <si>
    <t>14/11/2022</t>
  </si>
  <si>
    <t>0064L00000BoXNq</t>
  </si>
  <si>
    <t>Smart Portfolio Growth Strategy</t>
  </si>
  <si>
    <t>0064L000009AEea</t>
  </si>
  <si>
    <t>MSFT HR TLI FY22 Demand planning analysis</t>
  </si>
  <si>
    <t>0064L000009A5Dk</t>
  </si>
  <si>
    <t>Massachusetts Mutual Life Insurance Company</t>
  </si>
  <si>
    <t>Investment Data Management OpModel</t>
  </si>
  <si>
    <t>Kevin Moran</t>
  </si>
  <si>
    <t>0064L000009B8HX</t>
  </si>
  <si>
    <t>Netflix, Inc.</t>
  </si>
  <si>
    <t>NFLX - Metaverse Strategy</t>
  </si>
  <si>
    <t>0064L00000CY0Gq</t>
  </si>
  <si>
    <t>Claims Program Remediation</t>
  </si>
  <si>
    <t>0064L000007wOUn</t>
  </si>
  <si>
    <t>M. Arthur Gensler Jr. &amp; Associates, Inc</t>
  </si>
  <si>
    <t>Gensler -  Intelligent Places: Software Definition, Development and Piloting</t>
  </si>
  <si>
    <t>Lowell Gibbs</t>
  </si>
  <si>
    <t>0064L00000CVZDa</t>
  </si>
  <si>
    <t>EIS Group.</t>
  </si>
  <si>
    <t>EIS Subcontracting</t>
  </si>
  <si>
    <t>0064L00000AqdbB</t>
  </si>
  <si>
    <t>Legal Entity Management Platform Support</t>
  </si>
  <si>
    <t>0064L00000Bnvs0</t>
  </si>
  <si>
    <t>ABCBS Multi-State Employer Strategy #Strategy #Tax</t>
  </si>
  <si>
    <t>Edward Lewis</t>
  </si>
  <si>
    <t>0064L00000CWnIY</t>
  </si>
  <si>
    <t>Mirum Pharmaceuticals Inc.</t>
  </si>
  <si>
    <t>Mirum CGT Ops in the Box</t>
  </si>
  <si>
    <t>0064L00000B1T54</t>
  </si>
  <si>
    <t>Retirement Plan Recordkeeper / Investment Advisor Search</t>
  </si>
  <si>
    <t>0064L00000CXNhq</t>
  </si>
  <si>
    <t>Cambia Leadership support</t>
  </si>
  <si>
    <t>Dina Diab</t>
  </si>
  <si>
    <t>0064L00000CY0LC</t>
  </si>
  <si>
    <t>0064L00000DG71c</t>
  </si>
  <si>
    <t>CitDev -- Citizen Led Program Design (Q4 Support)</t>
  </si>
  <si>
    <t>0064L00000BnTsI</t>
  </si>
  <si>
    <t>Lithia Motors INC.</t>
  </si>
  <si>
    <t>Lithia_Salesforce expansion</t>
  </si>
  <si>
    <t>0064L00000BoXW9</t>
  </si>
  <si>
    <t>Adobe Inc.</t>
  </si>
  <si>
    <t>Adobe Customer Support Benchmarking RFP</t>
  </si>
  <si>
    <t>Kristen Elvert</t>
  </si>
  <si>
    <t>0064L00000CVjjG</t>
  </si>
  <si>
    <t>Advocate Aurora D365 for Care Mgmt target #MSFTProvider</t>
  </si>
  <si>
    <t>0064L00000Bo76b</t>
  </si>
  <si>
    <t>MSFT HR FY22 TLI TLX Demand Planning</t>
  </si>
  <si>
    <t>0064L00000CWmnU</t>
  </si>
  <si>
    <t>Healthscope - IT design and implementation</t>
  </si>
  <si>
    <t>Christina Rojas</t>
  </si>
  <si>
    <t>0064L000001vpz6</t>
  </si>
  <si>
    <t>Intermountain_Salesforce_Blueprinting</t>
  </si>
  <si>
    <t>29/7/2020</t>
  </si>
  <si>
    <t>0064L00000CYB4i</t>
  </si>
  <si>
    <t>Celanese - Project Milan Org Design and Talent Assessment</t>
  </si>
  <si>
    <t>0064L00000Aqdiq</t>
  </si>
  <si>
    <t>Sustainable Impact PMO #ESG #ESG-TMT-Wave1</t>
  </si>
  <si>
    <t>0064L00000CYB5M</t>
  </si>
  <si>
    <t>Celanese - Project Milan IT IMO - Phase 2</t>
  </si>
  <si>
    <t>0064L00000CYB4j</t>
  </si>
  <si>
    <t>Celanese - Project Milan HR IMO - Phase 2</t>
  </si>
  <si>
    <t>0064L00000DM7hW</t>
  </si>
  <si>
    <t>Disability Process Improvement (with Skan.AI)</t>
  </si>
  <si>
    <t>0064L00000DLVjd</t>
  </si>
  <si>
    <t>Xylem HighRadius Implementation Phase I</t>
  </si>
  <si>
    <t>0064L00000DLFIc</t>
  </si>
  <si>
    <t>GE Healthcare - Healthcare Financial Services PMO Support + Cost-Out Strategy</t>
  </si>
  <si>
    <t>0064L00000DM7k1</t>
  </si>
  <si>
    <t>PBNA Mfg Ops Excellence</t>
  </si>
  <si>
    <t>Sharon Kao</t>
  </si>
  <si>
    <t>0064L00000DM8PH</t>
  </si>
  <si>
    <t>The Leukemia And Lymphoma Society</t>
  </si>
  <si>
    <t>Trusted Research Environment for Data Collaborations - Phase 1</t>
  </si>
  <si>
    <t>Robert Fassett</t>
  </si>
  <si>
    <t>0064L00000BnEAH</t>
  </si>
  <si>
    <t>Rivian Automotive - Anaplan Headcount Planning</t>
  </si>
  <si>
    <t>Ruben Loza</t>
  </si>
  <si>
    <t>0064L00000DM8Sf</t>
  </si>
  <si>
    <t>Shell - Lubes Supply Chain Optimization</t>
  </si>
  <si>
    <t>0064L00000Belju</t>
  </si>
  <si>
    <t>PEP RGM RevolutioM New 2022 Deployments</t>
  </si>
  <si>
    <t>0064L00000B2fbz</t>
  </si>
  <si>
    <t>Polaris Controllership Org and Delivery Model</t>
  </si>
  <si>
    <t>0064L00000Blqae</t>
  </si>
  <si>
    <t>Occidental Petroleum Corporation</t>
  </si>
  <si>
    <t>Oxy - Low Carbon Ventures - OLCV Conceptual Model 2022 - Phase 2</t>
  </si>
  <si>
    <t>0064L00000Apc6F</t>
  </si>
  <si>
    <t>HPE - PRM/Partner Portal</t>
  </si>
  <si>
    <t>0064L00000BfMoB</t>
  </si>
  <si>
    <t>Provation SaaS GTM support</t>
  </si>
  <si>
    <t>0064L000003zpgD</t>
  </si>
  <si>
    <t>Cleveland Clinic Foundation</t>
  </si>
  <si>
    <t>Cleveland Clinic: Sourcing/IT Strategy</t>
  </si>
  <si>
    <t>29/9/2020</t>
  </si>
  <si>
    <t>HIA FFG-/Digital</t>
  </si>
  <si>
    <t>0064L000009frxp</t>
  </si>
  <si>
    <t>MetLife - LatAm Digital Transformation</t>
  </si>
  <si>
    <t>Elise Feyereisen</t>
  </si>
  <si>
    <t>0064L00000DM7vJ</t>
  </si>
  <si>
    <t>Oracle EBS - Impact Assessment</t>
  </si>
  <si>
    <t>0064L00000BojO0</t>
  </si>
  <si>
    <t>Center For Breakthrough Medicines Holdings, Llc</t>
  </si>
  <si>
    <t>Center for Breakthrough Medicine CGT Platform</t>
  </si>
  <si>
    <t>15/5/2022</t>
  </si>
  <si>
    <t>Andrew Sofield</t>
  </si>
  <si>
    <t>0064L00000BdGjy</t>
  </si>
  <si>
    <t>#IOBP - AMP 2022 Extension</t>
  </si>
  <si>
    <t>0064L00000Ar4xp</t>
  </si>
  <si>
    <t>Blues Collaboration</t>
  </si>
  <si>
    <t>0064L000004wtP6</t>
  </si>
  <si>
    <t>bp P&amp;O IAM Phase I</t>
  </si>
  <si>
    <t>0064L00000CXpDg</t>
  </si>
  <si>
    <t>#IOBP-Portfolio Ops R&amp;D Initiative: Business Executive Reporting</t>
  </si>
  <si>
    <t>0064L00000BoFIp</t>
  </si>
  <si>
    <t>CHS Empower - CHS Charge Capture/*Rev Cycle*</t>
  </si>
  <si>
    <t>0064L00000DFSeZ</t>
  </si>
  <si>
    <t>Pension compliance reviews and documentation</t>
  </si>
  <si>
    <t>0064L00000Bo4gv</t>
  </si>
  <si>
    <t>Pfizer DH Start Up</t>
  </si>
  <si>
    <t>Pia Bhatia</t>
  </si>
  <si>
    <t>0064L00000CXpDq</t>
  </si>
  <si>
    <t>#IOBP-Portfolio Ops R&amp;D Initiative: Project Management Excellence</t>
  </si>
  <si>
    <t>0064L00000DG4iO</t>
  </si>
  <si>
    <t>OGE Energy Corp</t>
  </si>
  <si>
    <t>OGE: Supply Chain Planning and Vendor Management Assessment</t>
  </si>
  <si>
    <t>0064L00000Bognb</t>
  </si>
  <si>
    <t>Altaris Capital Partners LLC.</t>
  </si>
  <si>
    <t>Kindeva Ops Assessment Ph 2</t>
  </si>
  <si>
    <t>0064L00000B2FXy</t>
  </si>
  <si>
    <t>Shelby County Health Care Corporation</t>
  </si>
  <si>
    <t>Regional One Health Foundation *VBO*</t>
  </si>
  <si>
    <t>0064L00000CXokj</t>
  </si>
  <si>
    <t>Global Customer Analytics Record</t>
  </si>
  <si>
    <t>0064L00000B2Vw2</t>
  </si>
  <si>
    <t>Managed PMO Services</t>
  </si>
  <si>
    <t>AD_CA_WOF_AA_MANAGED SERVICES_OTHER_09FY22_STRATEGIC PMO</t>
  </si>
  <si>
    <t>0064L00000CYPoY</t>
  </si>
  <si>
    <t>AT&amp;T_Emp Tax Consulting 2022-24_500K</t>
  </si>
  <si>
    <t>Jared Curless</t>
  </si>
  <si>
    <t>Alex Thomas</t>
  </si>
  <si>
    <t>0064L00000BcTUs</t>
  </si>
  <si>
    <t>Church Pension group</t>
  </si>
  <si>
    <t>CPG Board 2022-2024 DEI Support</t>
  </si>
  <si>
    <t>Joshua Cooper</t>
  </si>
  <si>
    <t>0064L00000CYPqK</t>
  </si>
  <si>
    <t>Connected Health Ecosystems (CHE 3.0) for AAH Atrium merger (ESV connected oppty)</t>
  </si>
  <si>
    <t>AAH-Atrium M&amp;A Strategy/Integration</t>
  </si>
  <si>
    <t>0064L00000DLVEG</t>
  </si>
  <si>
    <t>0064L000009BJFS</t>
  </si>
  <si>
    <t>ICU MEDICAL, INC.</t>
  </si>
  <si>
    <t>Operations Integration</t>
  </si>
  <si>
    <t>Linda Meloro</t>
  </si>
  <si>
    <t>0064L00000CXou0</t>
  </si>
  <si>
    <t>R&amp;D NewCO Product Development Operating Model</t>
  </si>
  <si>
    <t>Jennifer Montalbano</t>
  </si>
  <si>
    <t>0064L00000CVzpG</t>
  </si>
  <si>
    <t>Vertex Procurement on Demand #S&amp;P#POD</t>
  </si>
  <si>
    <t>John Fafian</t>
  </si>
  <si>
    <t>0064L00000Bndzc</t>
  </si>
  <si>
    <t>Microsoft CSET Forex and Currency - Phase 2 (FY23 Q1) Assessment, Design &amp; Recs</t>
  </si>
  <si>
    <t>0064L000002LaPI</t>
  </si>
  <si>
    <t>Shell - IT Operating Model</t>
  </si>
  <si>
    <t>0064L00000CVzpz</t>
  </si>
  <si>
    <t>CVS Procurement on Demand #S&amp;P#POD</t>
  </si>
  <si>
    <t>0064L00000BmR9f</t>
  </si>
  <si>
    <t>Trimble - Contract Lifecycle Management</t>
  </si>
  <si>
    <t>Scott Beegun</t>
  </si>
  <si>
    <t>0064L00000CVipr</t>
  </si>
  <si>
    <t>Mobile applications</t>
  </si>
  <si>
    <t>0064L00000CYR8a</t>
  </si>
  <si>
    <t>Pandemic Pricing options</t>
  </si>
  <si>
    <t>Valentin Lombaerde</t>
  </si>
  <si>
    <t>0064L00000BnBzW</t>
  </si>
  <si>
    <t>Spotify Technology S.A.</t>
  </si>
  <si>
    <t>Ad Sales Experience Phase 2</t>
  </si>
  <si>
    <t>0064L00000BoXAN</t>
  </si>
  <si>
    <t>Takeda Change Mgmt (WoF)</t>
  </si>
  <si>
    <t>0064L00000CY09H</t>
  </si>
  <si>
    <t>NOC Data &amp; Analytics Mobilization</t>
  </si>
  <si>
    <t>0064L00000CVjTh</t>
  </si>
  <si>
    <t>Salesforce Marketing Efficiency and Effectiveness</t>
  </si>
  <si>
    <t>0064L00000BoXE5</t>
  </si>
  <si>
    <t>Strategic resource allocation / VBP</t>
  </si>
  <si>
    <t>0064L000009A5Z7</t>
  </si>
  <si>
    <t>CSP Digital Plays, Omni Channel, and ABC Roadmap</t>
  </si>
  <si>
    <t>14/8/2021</t>
  </si>
  <si>
    <t>0064L00000BoiHD</t>
  </si>
  <si>
    <t>Becton Dickinson - Treasury Support</t>
  </si>
  <si>
    <t>0064L00000BdXGG</t>
  </si>
  <si>
    <t>Infra - Finance Modernization/Transformation</t>
  </si>
  <si>
    <t>0064L00000B2yGp</t>
  </si>
  <si>
    <t>Project Hundo So Cal</t>
  </si>
  <si>
    <t>0064I00000zRplu</t>
  </si>
  <si>
    <t>Colwen Management Inc.</t>
  </si>
  <si>
    <t>IGP - Colwen Hotels</t>
  </si>
  <si>
    <t>26/11/2019</t>
  </si>
  <si>
    <t>0064L00000As87h</t>
  </si>
  <si>
    <t>Finance Operating Model Design and Policy Development</t>
  </si>
  <si>
    <t>Michael Isler</t>
  </si>
  <si>
    <t>0064L00000BoXGG</t>
  </si>
  <si>
    <t>Lifepoint IT Assessment</t>
  </si>
  <si>
    <t>0064L00000BoFfZ</t>
  </si>
  <si>
    <t>ETX w/Qualtrics (Employee Tech Experience)</t>
  </si>
  <si>
    <t>0064L00000BoWhz</t>
  </si>
  <si>
    <t>HTM Harwick Phase2 (FFG)</t>
  </si>
  <si>
    <t>Michael Cohen</t>
  </si>
  <si>
    <t>0064L00000DLVXS</t>
  </si>
  <si>
    <t>Summit Partners L.P</t>
  </si>
  <si>
    <t>Adviser Investments - Growth Strategy Execution Support</t>
  </si>
  <si>
    <t>Edmond Cheuk</t>
  </si>
  <si>
    <t>0064L00000BlOBy</t>
  </si>
  <si>
    <t>Point32Health</t>
  </si>
  <si>
    <t>Enterprise Payer Insights Solution #PayerAnalytics</t>
  </si>
  <si>
    <t>0064L000009AX3x</t>
  </si>
  <si>
    <t>BSC Data Analytics Managed Services</t>
  </si>
  <si>
    <t>0064L00000CXOBR</t>
  </si>
  <si>
    <t>Top Accounts Strategy &amp; Design</t>
  </si>
  <si>
    <t>0064L000001u8s5</t>
  </si>
  <si>
    <t>*SMART* License - Providence St. Joseph</t>
  </si>
  <si>
    <t>16/6/2020</t>
  </si>
  <si>
    <t>0064L000006Cmdf</t>
  </si>
  <si>
    <t>GE Renewable ONW Product Cost Out</t>
  </si>
  <si>
    <t>0064L00000BntiR</t>
  </si>
  <si>
    <t>CoC BCBSMA Medical Economics Dashboarding and Operating Models #HVM</t>
  </si>
  <si>
    <t>0064L000007wnuB</t>
  </si>
  <si>
    <t>Account Reconcilidations Tool Update</t>
  </si>
  <si>
    <t>0064L00000B1t6O</t>
  </si>
  <si>
    <t>PowerPlatform for Patient Access</t>
  </si>
  <si>
    <t>AD_MI_EV_DIGITAL_TRANSCEND TECH_09FY22_DTA</t>
  </si>
  <si>
    <t>0064L00000Bd4Kq</t>
  </si>
  <si>
    <t>BCBS NC Self Service Assessment</t>
  </si>
  <si>
    <t>Gana Palghat</t>
  </si>
  <si>
    <t>0064L000002ZgYb</t>
  </si>
  <si>
    <t>BCBSM Legacy Migration to Cloud and Managed Services</t>
  </si>
  <si>
    <t>0064L000006hXD1</t>
  </si>
  <si>
    <t>Experian Plc</t>
  </si>
  <si>
    <t>Experian Healthcare Payments Strategy Exec</t>
  </si>
  <si>
    <t>26/2/2021</t>
  </si>
  <si>
    <t>0064L00000CYPNU</t>
  </si>
  <si>
    <t>Project Minecraft - Phase 2</t>
  </si>
  <si>
    <t>0064L00000D8ZiB</t>
  </si>
  <si>
    <t>FFG 3.0: Digital Value Creation</t>
  </si>
  <si>
    <t>0064L00000Bf9z2</t>
  </si>
  <si>
    <t>Atmos Energy Corporation</t>
  </si>
  <si>
    <t>Salesforce FS &amp; SAP FSM product SI</t>
  </si>
  <si>
    <t>Anish Shah</t>
  </si>
  <si>
    <t>0064L00000CYQ1W</t>
  </si>
  <si>
    <t>LifePoint CEO Agenda (various pursuits)</t>
  </si>
  <si>
    <t>0064L00000Bd3sf</t>
  </si>
  <si>
    <t>Enterprise Portfolio Optimization - Fit-for-Purpose #FFG3.0</t>
  </si>
  <si>
    <t>0064L00000CYQ2G</t>
  </si>
  <si>
    <t>OR utilization and block time - physician change mgmt - Texas market</t>
  </si>
  <si>
    <t>0064L00000BoF94</t>
  </si>
  <si>
    <t>Sales excellence enablement phase 3 (RL)</t>
  </si>
  <si>
    <t>Jose Espino</t>
  </si>
  <si>
    <t>0064L00000BoUwV</t>
  </si>
  <si>
    <t>FP&amp;A COE optimization and reporting services</t>
  </si>
  <si>
    <t>0064L00000ArwM9</t>
  </si>
  <si>
    <t>HMSA MSO Strategy #HVM</t>
  </si>
  <si>
    <t>0064L00000Bn26C</t>
  </si>
  <si>
    <t>CVS Integrated Value Strategy</t>
  </si>
  <si>
    <t>0064L00000BlLqk</t>
  </si>
  <si>
    <t>HENGRUI (USA) LTD</t>
  </si>
  <si>
    <t>Hengrui Intelligent Trial Design #ClinTrialDesign</t>
  </si>
  <si>
    <t>0064L00000BlLqj</t>
  </si>
  <si>
    <t>#IOBP -- Hengrui PPM Enablement</t>
  </si>
  <si>
    <t>0064L000009ABpk</t>
  </si>
  <si>
    <t>Nasdaq, Inc.</t>
  </si>
  <si>
    <t>Listing preparedness as a service</t>
  </si>
  <si>
    <t>Maricelle Denny</t>
  </si>
  <si>
    <t>0064L00000Bmqxh</t>
  </si>
  <si>
    <t>Strategic Sourcing opt</t>
  </si>
  <si>
    <t>0064L00000BeZAh</t>
  </si>
  <si>
    <t>Enterprise Oncology Growth Strategy #XPCONC</t>
  </si>
  <si>
    <t>0064L00000DLDHr</t>
  </si>
  <si>
    <t>WTW H&amp;B Transformation-Insights Driven Strategy</t>
  </si>
  <si>
    <t>Mohammad Misbah</t>
  </si>
  <si>
    <t>0064L00000DFSYM</t>
  </si>
  <si>
    <t>FP&amp;A Roadmap</t>
  </si>
  <si>
    <t>0064L00000B2SbF</t>
  </si>
  <si>
    <t>Mobilization work for Sharecare Plus + Anthem</t>
  </si>
  <si>
    <t>0064L00000BmOyB</t>
  </si>
  <si>
    <t>Back Office Transformation - 2023 Op Model</t>
  </si>
  <si>
    <t>0064L00000DM6O4</t>
  </si>
  <si>
    <t>Gilead: Transformation: Leap Frog</t>
  </si>
  <si>
    <t>0064L0000040rRH</t>
  </si>
  <si>
    <t>Claims and Absence Strategy</t>
  </si>
  <si>
    <t>23/10/2020</t>
  </si>
  <si>
    <t>0064L00000DM6Np</t>
  </si>
  <si>
    <t>Gilead: Transformation: Change Activation Phase 3</t>
  </si>
  <si>
    <t>0064L00000DMFnu</t>
  </si>
  <si>
    <t>Vonage Consumer Unit Disposition</t>
  </si>
  <si>
    <t>0064L00000DMFnv</t>
  </si>
  <si>
    <t>QMS - UiPath E2E Process &amp; Analytics Support</t>
  </si>
  <si>
    <t>0064L000001wOaX</t>
  </si>
  <si>
    <t>Data and Analytics Enablement of Value Based Care</t>
  </si>
  <si>
    <t>17/8/2020</t>
  </si>
  <si>
    <t>0064L000002Zwil</t>
  </si>
  <si>
    <t>AbbVie Study &amp; Vendor Oversight Strategy #ClinicalSourcing</t>
  </si>
  <si>
    <t>26/3/2021</t>
  </si>
  <si>
    <t>0064L00000BoFDa</t>
  </si>
  <si>
    <t>Apps High Performing Team</t>
  </si>
  <si>
    <t>Sean McDonald</t>
  </si>
  <si>
    <t>0064L00000DLeqg</t>
  </si>
  <si>
    <t>Supplier Quality Control Tower</t>
  </si>
  <si>
    <t>0064L000001u8a6</t>
  </si>
  <si>
    <t>University Hospitals Health Systems Inc.</t>
  </si>
  <si>
    <t>*SMART* License - UHHS</t>
  </si>
  <si>
    <t>0064L00000Bn2Ct</t>
  </si>
  <si>
    <t>KPGA Revenue/Membership Growth</t>
  </si>
  <si>
    <t>0064L00000Bn2DI</t>
  </si>
  <si>
    <t>KPGA Operating Income Improvement #HVM</t>
  </si>
  <si>
    <t>0064L00000B1szX</t>
  </si>
  <si>
    <t>CVS: D365/PowerPlatform target</t>
  </si>
  <si>
    <t>0064L00000B0pwM</t>
  </si>
  <si>
    <t>Digital Delivery Support</t>
  </si>
  <si>
    <t>0064L00000BmqGN</t>
  </si>
  <si>
    <t>MSWM - Retirements Long Term Strategy</t>
  </si>
  <si>
    <t>23/11/2022</t>
  </si>
  <si>
    <t>0064L00000B1sva</t>
  </si>
  <si>
    <t>Electric Distribution Modernization Program - Phase 1</t>
  </si>
  <si>
    <t>Brett Bisaga</t>
  </si>
  <si>
    <t>0064L0000099Mrk</t>
  </si>
  <si>
    <t>#DCT -- GSK DCT Strategy &amp; Assessment</t>
  </si>
  <si>
    <t>26/7/2021</t>
  </si>
  <si>
    <t>0064L0000099Mrm</t>
  </si>
  <si>
    <t>#ClinTrialDesign -- GSK Protocol Design Lab Strategy &amp; Assessment</t>
  </si>
  <si>
    <t>0064L00000Boemj</t>
  </si>
  <si>
    <t>MRL Unified Support Activation #metaverse</t>
  </si>
  <si>
    <t>Peter Apple</t>
  </si>
  <si>
    <t>0064L00000BmqJM</t>
  </si>
  <si>
    <t>AbbVie Aesthetics Commercial Operations</t>
  </si>
  <si>
    <t>25/8/2022</t>
  </si>
  <si>
    <t>0064L00000DFbkb</t>
  </si>
  <si>
    <t>AI Ops Phase 2</t>
  </si>
  <si>
    <t>0064L00000D8ZF9</t>
  </si>
  <si>
    <t>The Clorox Company</t>
  </si>
  <si>
    <t>Cost Transformation #FFG3.0</t>
  </si>
  <si>
    <t>0064L00000CWYdw</t>
  </si>
  <si>
    <t>Robertsons - Finance Process Standardization</t>
  </si>
  <si>
    <t>0064L00000BoV3b</t>
  </si>
  <si>
    <t>OptumRx/OptumHealth Formulary</t>
  </si>
  <si>
    <t>0064L00000CWkIN</t>
  </si>
  <si>
    <t>DTNA - Confidential (Battery Insights)</t>
  </si>
  <si>
    <t>0064L00000BoV3q</t>
  </si>
  <si>
    <t>OptumRx Risk Adjustment</t>
  </si>
  <si>
    <t>Angie Payne</t>
  </si>
  <si>
    <t>0064L000009B6ar</t>
  </si>
  <si>
    <t>Farmacia San Pablo</t>
  </si>
  <si>
    <t>CX Strategy Phase 2</t>
  </si>
  <si>
    <t>0064L00000DM4c4</t>
  </si>
  <si>
    <t>ABS DIGITAL SOLUTIONS LLC</t>
  </si>
  <si>
    <t>ABS Digital - Software Engineering</t>
  </si>
  <si>
    <t>0064L00000DFbrT</t>
  </si>
  <si>
    <t>Juniper - CDP implementation</t>
  </si>
  <si>
    <t>0064L00000DFbtx</t>
  </si>
  <si>
    <t>ERP Assessment</t>
  </si>
  <si>
    <t>0064L00000D8ZPx</t>
  </si>
  <si>
    <t>Lucid Motors - SCM - Supplier Relationship Management</t>
  </si>
  <si>
    <t>0064L00000CWHqv</t>
  </si>
  <si>
    <t>#IOBP-Portfolio Ops Resource Management: RM Pilot</t>
  </si>
  <si>
    <t>0064L00000Bowbo</t>
  </si>
  <si>
    <t>Brookfield Renewable US Utilities Operating Model</t>
  </si>
  <si>
    <t>Michael Hurley</t>
  </si>
  <si>
    <t>0064L000009AfRd</t>
  </si>
  <si>
    <t>Lowe's #MI - TV Analysis</t>
  </si>
  <si>
    <t>0064L00000D8Yst</t>
  </si>
  <si>
    <t>Transformation Value Case</t>
  </si>
  <si>
    <t>0064L00000BfJfy</t>
  </si>
  <si>
    <t>Innovation at Scale</t>
  </si>
  <si>
    <t>0064L00000DMG2p</t>
  </si>
  <si>
    <t>Bread Financial Holdings, Inc.</t>
  </si>
  <si>
    <t>Coupa - P2P</t>
  </si>
  <si>
    <t>0064L00000DFuCD</t>
  </si>
  <si>
    <t>IMO lead: Payroll Deduct solution for Farmers Workforce Solutions (FWS)</t>
  </si>
  <si>
    <t>0064L00000Bmqa9</t>
  </si>
  <si>
    <t>Boeing HighRadius Business Integrator</t>
  </si>
  <si>
    <t>Michael Whittington</t>
  </si>
  <si>
    <t>0064L000004z79d</t>
  </si>
  <si>
    <t>EPM Design for AS</t>
  </si>
  <si>
    <t>0064L00000CV4rA</t>
  </si>
  <si>
    <t>Kohls Salesforce Loyalty</t>
  </si>
  <si>
    <t>0064L00000D8ZZT</t>
  </si>
  <si>
    <t>Lucid - SCM - Supplier Launch and Intervention</t>
  </si>
  <si>
    <t>0064L0000097H4G</t>
  </si>
  <si>
    <t>MSFT Data/Care Mgmt strategy</t>
  </si>
  <si>
    <t>0064L00000BdVHg</t>
  </si>
  <si>
    <t>SCJ Performance Analyzer International TPM</t>
  </si>
  <si>
    <t>0064L00000BoSdB</t>
  </si>
  <si>
    <t>Bayer Aktiengesellschaft</t>
  </si>
  <si>
    <t>Finance Transformation</t>
  </si>
  <si>
    <t>0064L00000DLQpM</t>
  </si>
  <si>
    <t>Implementation Asset Management</t>
  </si>
  <si>
    <t>0064L00000BfHjK</t>
  </si>
  <si>
    <t>Horizon - Project Flying Clothesline - A&amp;G MS Phase Zero 2022</t>
  </si>
  <si>
    <t>0064L00000DFPbS</t>
  </si>
  <si>
    <t>Workday - Talent Acquisition Strategy and Onboarding</t>
  </si>
  <si>
    <t>Stacia Wood</t>
  </si>
  <si>
    <t>0064L00000D8Wyp</t>
  </si>
  <si>
    <t>Neogen Corp.</t>
  </si>
  <si>
    <t>LIMS Op Model Transformation</t>
  </si>
  <si>
    <t>0064L00000DLS5V</t>
  </si>
  <si>
    <t>BPM Salesforce Implementation</t>
  </si>
  <si>
    <t>0064L000003yYTI</t>
  </si>
  <si>
    <t>Citizens Financial: Accounting Opening Transformation</t>
  </si>
  <si>
    <t>James Marshall</t>
  </si>
  <si>
    <t>0064L000003yYSo</t>
  </si>
  <si>
    <t>Citizens Financial: Marketing Tech / Sales Stack</t>
  </si>
  <si>
    <t>0064L00000BoSlA</t>
  </si>
  <si>
    <t>GE Separation - Energy - DT - Microsoft (M365) Future Strategy</t>
  </si>
  <si>
    <t>0064L00000DMDZ7</t>
  </si>
  <si>
    <t>Scholastic Corporation</t>
  </si>
  <si>
    <t>Scholastic - Oracle Change Management</t>
  </si>
  <si>
    <t>0064L00000BoSkq</t>
  </si>
  <si>
    <t>Omnichannel Planning and Mobilization</t>
  </si>
  <si>
    <t>0064L00000BoSm8</t>
  </si>
  <si>
    <t>CX / Customer Strategy with Qualtrics Discover</t>
  </si>
  <si>
    <t>0064L00000BoSkv</t>
  </si>
  <si>
    <t>GE Separation - Energy - DT -  Network Advisory</t>
  </si>
  <si>
    <t>0064L00000DMCyk</t>
  </si>
  <si>
    <t>EHI - Customer Journey Analytics</t>
  </si>
  <si>
    <t>0064L00000D8XbD</t>
  </si>
  <si>
    <t>Moody's - #Coupa CRA Implementation</t>
  </si>
  <si>
    <t>0064L00000CXKFQ</t>
  </si>
  <si>
    <t>FIS Workday Position Management</t>
  </si>
  <si>
    <t>0064L00000DFc1X</t>
  </si>
  <si>
    <t>HPE GreenLake Managed Services Strategy</t>
  </si>
  <si>
    <t>Anna Daggs</t>
  </si>
  <si>
    <t>0064L000007VKH1</t>
  </si>
  <si>
    <t>Duty Drawback VW GoA</t>
  </si>
  <si>
    <t>0064L00000CVEE9</t>
  </si>
  <si>
    <t>Anthem - CareMore EMR Planning</t>
  </si>
  <si>
    <t>0064L00000CXmON</t>
  </si>
  <si>
    <t>WTW Anaplan COE - Managed Service</t>
  </si>
  <si>
    <t>0064I00001315ca</t>
  </si>
  <si>
    <t>Davis Polk &amp; Wardwell LLP</t>
  </si>
  <si>
    <t>14/2/2020</t>
  </si>
  <si>
    <t>0064L00000Bnt6v</t>
  </si>
  <si>
    <t>Cloud Strategy</t>
  </si>
  <si>
    <t>Ken Evola</t>
  </si>
  <si>
    <t>0064L00000Bct8W</t>
  </si>
  <si>
    <t>KKR Corp Procurement Managed Service #S&amp;P#POD</t>
  </si>
  <si>
    <t>0064L0000042TMl</t>
  </si>
  <si>
    <t>Blue Cross Of Idaho Health Services INC.</t>
  </si>
  <si>
    <t>Project Barbados (Phase Zero Core Admin Transformation at Blue Cross of Idaho)</t>
  </si>
  <si>
    <t>0064L00000BnbUr</t>
  </si>
  <si>
    <t>SaaS Product Commercialization - Phase 2b - Build and Deploy</t>
  </si>
  <si>
    <t>0064L00000DLSF1</t>
  </si>
  <si>
    <t>SIC CCaaS Mobilization #dvc #callcenter</t>
  </si>
  <si>
    <t>0064L00000DG1s6</t>
  </si>
  <si>
    <t>Operations Strategy Enablement</t>
  </si>
  <si>
    <t>Jahnavi Kundu</t>
  </si>
  <si>
    <t>0064L00000Bo2Ui</t>
  </si>
  <si>
    <t>Solar Mosaic Q2C Discovery &amp; Design</t>
  </si>
  <si>
    <t>0064L00000DFrwD</t>
  </si>
  <si>
    <t>Supply Chain Strategy Phase 0</t>
  </si>
  <si>
    <t>0064L000009AQmW</t>
  </si>
  <si>
    <t>Assess CORTX Software Development Practices</t>
  </si>
  <si>
    <t>0064L000009AQmM</t>
  </si>
  <si>
    <t>Assess PDP Process and PD Capabilities</t>
  </si>
  <si>
    <t>0064L00000DFrxG</t>
  </si>
  <si>
    <t>Verizon CDP POC support</t>
  </si>
  <si>
    <t>Ali Rizvi</t>
  </si>
  <si>
    <t>0064L00000DM3gZ</t>
  </si>
  <si>
    <t>PEP GP - Blueprint Bridge Phase</t>
  </si>
  <si>
    <t>Hunter Thomas</t>
  </si>
  <si>
    <t>0064L00000Bo2Xr</t>
  </si>
  <si>
    <t>MSK - IT Enterprise Wide - PMO Tools Eval</t>
  </si>
  <si>
    <t>0064L00000Bdewh</t>
  </si>
  <si>
    <t>Healthfirst Project Persistence 2</t>
  </si>
  <si>
    <t>0064L00000BopuM</t>
  </si>
  <si>
    <t>MS - ShareWorks Architecture Assessment</t>
  </si>
  <si>
    <t>Prayas Lohalekar</t>
  </si>
  <si>
    <t>0064L00000DFhiS</t>
  </si>
  <si>
    <t>Pandemic Commercial Model Phase IV</t>
  </si>
  <si>
    <t>Ilia Gorodnichev</t>
  </si>
  <si>
    <t>0064L00000D8R6h</t>
  </si>
  <si>
    <t>Quotient Sciences QC Lab Shared Services</t>
  </si>
  <si>
    <t>Karn Malik</t>
  </si>
  <si>
    <t>0064L000006UiOR</t>
  </si>
  <si>
    <t>2021 Employee Experience / Culture</t>
  </si>
  <si>
    <t>16/2/2021</t>
  </si>
  <si>
    <t>0064L00000Blwgr</t>
  </si>
  <si>
    <t>Whirlpool Corporation</t>
  </si>
  <si>
    <t>Plant &amp; Product Optimization - Phase 2</t>
  </si>
  <si>
    <t>0064L00000D8bS5</t>
  </si>
  <si>
    <t>Shake Shack Inc.</t>
  </si>
  <si>
    <t>Sales Lifecycle Process &amp; Tech Transformation: Phase 1</t>
  </si>
  <si>
    <t>Danielle Word</t>
  </si>
  <si>
    <t>0064L00000CYUjU</t>
  </si>
  <si>
    <t>Investment Management - TOM</t>
  </si>
  <si>
    <t>0064I00000wvyM4</t>
  </si>
  <si>
    <t>FNMA_FFG_Case for Change and Stand up TMO</t>
  </si>
  <si>
    <t>21/8/2019</t>
  </si>
  <si>
    <t>0064L000001u8ak</t>
  </si>
  <si>
    <t>*SMART* License - St. Luke's Health</t>
  </si>
  <si>
    <t>0064L00000BdEAS</t>
  </si>
  <si>
    <t>Cardinal Health Electromechanical Service Strategy</t>
  </si>
  <si>
    <t>Maryann Ramsey</t>
  </si>
  <si>
    <t>0064L00000CWDrJ</t>
  </si>
  <si>
    <t>Vz - Planning, Rptg &amp; Data Support</t>
  </si>
  <si>
    <t>0064L00000Bm8ye</t>
  </si>
  <si>
    <t>SIC EB Claims Op Model</t>
  </si>
  <si>
    <t>0064L00000BmJrZ</t>
  </si>
  <si>
    <t>KP -  Medi-Cal consumer Study</t>
  </si>
  <si>
    <t>Federico Loguzzo</t>
  </si>
  <si>
    <t>0064L000001u2aW</t>
  </si>
  <si>
    <t>IT Infrastructure Assessment #COVID-19</t>
  </si>
  <si>
    <t>Samuel Nassi</t>
  </si>
  <si>
    <t>0064L00000CWUFb</t>
  </si>
  <si>
    <t>HP CS SSC Simplify S4 PMO Support Deployment Derisk</t>
  </si>
  <si>
    <t>HP CS SSC Simplify Support</t>
  </si>
  <si>
    <t>0064L00000CYwvQ</t>
  </si>
  <si>
    <t>NT Productivity Assessment</t>
  </si>
  <si>
    <t>0064L00000B1QIu</t>
  </si>
  <si>
    <t>BL - RA for Elderly Phase 3 (US Portion)</t>
  </si>
  <si>
    <t>0064L00000DMCzY</t>
  </si>
  <si>
    <t>Brunswick Corporation</t>
  </si>
  <si>
    <t>SC &amp; Ops Recovery - Phase II</t>
  </si>
  <si>
    <t>Aaron Cooke</t>
  </si>
  <si>
    <t>0064L000002abEU</t>
  </si>
  <si>
    <t>Federated SSO program expansion</t>
  </si>
  <si>
    <t>13/4/2021</t>
  </si>
  <si>
    <t>DNU CS_Cyber_Operational_Resiliency</t>
  </si>
  <si>
    <t>Jeffrey Miller</t>
  </si>
  <si>
    <t>0064L00000CXdh5</t>
  </si>
  <si>
    <t>Major League Soccer L.l.c.</t>
  </si>
  <si>
    <t>MLS Tech strategy</t>
  </si>
  <si>
    <t>0064L00000DFiZB</t>
  </si>
  <si>
    <t>340B Set-up and Management Assessment</t>
  </si>
  <si>
    <t>Rashima Vatnani</t>
  </si>
  <si>
    <t>0064L00000CVfsl</t>
  </si>
  <si>
    <t>TMO Phase 2</t>
  </si>
  <si>
    <t>21/3/2022</t>
  </si>
  <si>
    <t>Scott Brodrick</t>
  </si>
  <si>
    <t>0064L00000D8XL5</t>
  </si>
  <si>
    <t>WGL-SEW CX Implementation - PMO (3 months)</t>
  </si>
  <si>
    <t>MANISH ANAND</t>
  </si>
  <si>
    <t>0064L00000B2Jhj</t>
  </si>
  <si>
    <t>Stripe, Inc.</t>
  </si>
  <si>
    <t>Anaplan Implementation Support</t>
  </si>
  <si>
    <t>0064L00000Boq2B</t>
  </si>
  <si>
    <t>Tatari, Inc.</t>
  </si>
  <si>
    <t>Tatari Integration Support</t>
  </si>
  <si>
    <t>Carmen Chan</t>
  </si>
  <si>
    <t>Nima Abar</t>
  </si>
  <si>
    <t>0064L00000BfSuy</t>
  </si>
  <si>
    <t>Regulatory Reporting - Program &amp; Directory</t>
  </si>
  <si>
    <t>Michael Hursta</t>
  </si>
  <si>
    <t>0064L00000D8ckU</t>
  </si>
  <si>
    <t>Alohacare</t>
  </si>
  <si>
    <t>PBM Pre-Implementation Assessment</t>
  </si>
  <si>
    <t>0064L00000BlD0L</t>
  </si>
  <si>
    <t>Coca-Cola ME&amp;E Phase 4 - LATAM Procurement Excellence</t>
  </si>
  <si>
    <t>Tiffany Jones</t>
  </si>
  <si>
    <t>0064L00000CWuaj</t>
  </si>
  <si>
    <t>Morgan Stanley - Restricted Securities Market Entry - Central Team Support</t>
  </si>
  <si>
    <t>17/9/2022</t>
  </si>
  <si>
    <t>Lakshmi Baddam</t>
  </si>
  <si>
    <t>0064L0000099ZFk</t>
  </si>
  <si>
    <t>SoCalGas - MSP Modernization</t>
  </si>
  <si>
    <t>0064L00000CYmeJ</t>
  </si>
  <si>
    <t>Payment MRA Review &amp; Remediation</t>
  </si>
  <si>
    <t>0064L00000BlHlL</t>
  </si>
  <si>
    <t>Treasury - Paymentus Migration</t>
  </si>
  <si>
    <t>0064L00000CGygX</t>
  </si>
  <si>
    <t>ACI Revenue Leakage</t>
  </si>
  <si>
    <t>Sanjib Banerjee</t>
  </si>
  <si>
    <t>Chrystal Puvabanditsin</t>
  </si>
  <si>
    <t>0064L00000BnyTl</t>
  </si>
  <si>
    <t>New Tiger, LLC</t>
  </si>
  <si>
    <t>Tiger - Finance Org Design</t>
  </si>
  <si>
    <t>Dan Trent</t>
  </si>
  <si>
    <t>Amber Arvia</t>
  </si>
  <si>
    <t>0064L000009fsUx</t>
  </si>
  <si>
    <t>Anthem CX/HCD CoE Foundation #FFG3.0 Phase 2</t>
  </si>
  <si>
    <t>Anthem CX/HCD CoE Foundation #FF Phase 1</t>
  </si>
  <si>
    <t>0064L00000B2udZ</t>
  </si>
  <si>
    <t>Portfolio Central Support Q4 2022</t>
  </si>
  <si>
    <t>Madison Alley</t>
  </si>
  <si>
    <t>0064L00000B2ud1</t>
  </si>
  <si>
    <t>Portfolio Central Support Q3 2022</t>
  </si>
  <si>
    <t>0064I00000wx6Gw</t>
  </si>
  <si>
    <t>Novant Health, Inc.</t>
  </si>
  <si>
    <t>*SMART* License - Novant Health</t>
  </si>
  <si>
    <t>0064L00000CVp3Q</t>
  </si>
  <si>
    <t>FSOP Market Research</t>
  </si>
  <si>
    <t>0064L00000BmoV6</t>
  </si>
  <si>
    <t>MSWM - FSS Rollover Build Out (July-Dec)</t>
  </si>
  <si>
    <t>0064L00000BoQN9</t>
  </si>
  <si>
    <t>Morgan Stanley / Global Settlements Platform 2H22 / $460,000</t>
  </si>
  <si>
    <t>0064L00000BoiYY</t>
  </si>
  <si>
    <t>TCCC ME&amp;E - Marketing Planning</t>
  </si>
  <si>
    <t>Nitesh Kumar</t>
  </si>
  <si>
    <t>0064L00000D96Lk</t>
  </si>
  <si>
    <t>Chevron Phillips Chemical Company</t>
  </si>
  <si>
    <t>CP Chem - Procurement Accelerator #S&amp;P</t>
  </si>
  <si>
    <t>Mat Joiner</t>
  </si>
  <si>
    <t>0064L00000D8vEW</t>
  </si>
  <si>
    <t>SVB - Portfolio Management Services (Finance Change Order #2)</t>
  </si>
  <si>
    <t>0064L00000D8QcD</t>
  </si>
  <si>
    <t>Novavax Inc.</t>
  </si>
  <si>
    <t>Finance support - Change Order #5</t>
  </si>
  <si>
    <t>Angelo Rutigliano</t>
  </si>
  <si>
    <t>0064L00000Bn9Bk</t>
  </si>
  <si>
    <t>Nicor Cost Reasonableness Assessment #FFG</t>
  </si>
  <si>
    <t>0064I00000y7ay8</t>
  </si>
  <si>
    <t>Renown Health</t>
  </si>
  <si>
    <t>ERP Planning and #Selection</t>
  </si>
  <si>
    <t>24/10/2019</t>
  </si>
  <si>
    <t>Andrew Kemmeling</t>
  </si>
  <si>
    <t>0064L000001vDKE</t>
  </si>
  <si>
    <t>Corp Dev / M&amp;A Group Standup #FSDeals</t>
  </si>
  <si>
    <t>13/7/2020</t>
  </si>
  <si>
    <t>0064L00000BnWrr</t>
  </si>
  <si>
    <t>Healthcare Integration GTM Strategy</t>
  </si>
  <si>
    <t>0064L00000BmTtu</t>
  </si>
  <si>
    <t>USE Integration into Workday</t>
  </si>
  <si>
    <t>0064L00000D8r9k</t>
  </si>
  <si>
    <t>Monetization of Digital Therapeutics</t>
  </si>
  <si>
    <t>0064L00000BldBo</t>
  </si>
  <si>
    <t>Boston Medical Center</t>
  </si>
  <si>
    <t>IT Strategy</t>
  </si>
  <si>
    <t>Mary Beth Mikols</t>
  </si>
  <si>
    <t>Abbas Mooraj</t>
  </si>
  <si>
    <t>0064L00000B2m3V</t>
  </si>
  <si>
    <t>WHR - AWS - People: Org. Design</t>
  </si>
  <si>
    <t>0064L00000CXQJh</t>
  </si>
  <si>
    <t>Blue Point Capital Partners</t>
  </si>
  <si>
    <t>Pricing, Segmentation and Next Generation Roles</t>
  </si>
  <si>
    <t>0064L00000CWpVj</t>
  </si>
  <si>
    <t>Insights to Action - Reporting Platform #TMTSales</t>
  </si>
  <si>
    <t>16/4/2022</t>
  </si>
  <si>
    <t>Robert Cui</t>
  </si>
  <si>
    <t>0064L000009AWti</t>
  </si>
  <si>
    <t>FB&amp;T nCino Discovery</t>
  </si>
  <si>
    <t>0064L00000Aq3wQ</t>
  </si>
  <si>
    <t>WGL - Transformation Office</t>
  </si>
  <si>
    <t>0064L000002Lbr9</t>
  </si>
  <si>
    <t>#IOBP -- BIRA Support Operations - FY23 - Wave 2-3 Expansion</t>
  </si>
  <si>
    <t>0064L00000CVYgv</t>
  </si>
  <si>
    <t>Takeda GTN Bluesheet Transition + Anaplan 2022</t>
  </si>
  <si>
    <t>Elissa Grover</t>
  </si>
  <si>
    <t>0064L00000BgPb5</t>
  </si>
  <si>
    <t>Pi Jersey Topco Limited</t>
  </si>
  <si>
    <t>Growth &amp; Innovation Strategy</t>
  </si>
  <si>
    <t>0064L00000CXa3m</t>
  </si>
  <si>
    <t>Syneos Health - Phase 1 Supplier Diversity Program Implementation #S&amp;P #ESG</t>
  </si>
  <si>
    <t>Kareem Mohamednur</t>
  </si>
  <si>
    <t>Kiran Annaiah</t>
  </si>
  <si>
    <t>0064L00000BnDYX</t>
  </si>
  <si>
    <t>Central Michigan University</t>
  </si>
  <si>
    <t>*CI* MedEd Affiliation Strategy and Design</t>
  </si>
  <si>
    <t>0064L000004xRy3</t>
  </si>
  <si>
    <t>DSI Culture / Change Management / D&amp;I</t>
  </si>
  <si>
    <t>23/1/2021</t>
  </si>
  <si>
    <t>Tiffany Gallagher</t>
  </si>
  <si>
    <t>0064L00000Apc6P</t>
  </si>
  <si>
    <t>Target Corporation</t>
  </si>
  <si>
    <t>Target Inventory Shrink Remediation</t>
  </si>
  <si>
    <t>0064L00000B11rV</t>
  </si>
  <si>
    <t>Allstate - Salesforce Contact Center #FSINS</t>
  </si>
  <si>
    <t>Seth Harris</t>
  </si>
  <si>
    <t>0064L00000Bn2Me</t>
  </si>
  <si>
    <t>Cayan Oracle Salesforce Integration</t>
  </si>
  <si>
    <t>0064L00000BoX7J</t>
  </si>
  <si>
    <t>USAA - Change Analytics CM &amp; Process Redesign</t>
  </si>
  <si>
    <t>0064L00000AqSOV</t>
  </si>
  <si>
    <t>Healthpartners</t>
  </si>
  <si>
    <t>HealthPartners Oracle Rev &amp; Billing Integration: Phase 2</t>
  </si>
  <si>
    <t>0064L00000DLy3v</t>
  </si>
  <si>
    <t>MetLife - MIM RE Operating Model + Skills and Career Path Activation</t>
  </si>
  <si>
    <t>Alejandra Matamala</t>
  </si>
  <si>
    <t>0064L00000AqdV3</t>
  </si>
  <si>
    <t>HP LFP Digital New Markets Entry Strategy #XPCGrowth</t>
  </si>
  <si>
    <t>0064L00000DM7TU</t>
  </si>
  <si>
    <t>Comcast Org Design - Compensation CoE</t>
  </si>
  <si>
    <t>0064L00000BmsgO</t>
  </si>
  <si>
    <t>Medicaid Call Center Consolidation Support #GCOE #Medicaid</t>
  </si>
  <si>
    <t>Kristin Denton</t>
  </si>
  <si>
    <t>0064L000009g0ka</t>
  </si>
  <si>
    <t>Executive Talent Management</t>
  </si>
  <si>
    <t>0064L000007XuPn</t>
  </si>
  <si>
    <t>Trimble PDT Strategy</t>
  </si>
  <si>
    <t>0064L00000BmaOw</t>
  </si>
  <si>
    <t>Sierra Space Corporation</t>
  </si>
  <si>
    <t>Sierra Space - Strategic Planning</t>
  </si>
  <si>
    <t>0064L00000BeZ9o</t>
  </si>
  <si>
    <t>Medicare Sales Strategy</t>
  </si>
  <si>
    <t>0064L000007XuTp</t>
  </si>
  <si>
    <t>Trimble Partnership &amp; JV Strategy</t>
  </si>
  <si>
    <t>0064L00000ArDFm</t>
  </si>
  <si>
    <t>Intel - RSA Program Assessment</t>
  </si>
  <si>
    <t>0064L000007XuLt</t>
  </si>
  <si>
    <t>Trimble PaaS Strategy</t>
  </si>
  <si>
    <t>0064L00000BeWlx</t>
  </si>
  <si>
    <t>Global Account Mgmt Practices and Org Design</t>
  </si>
  <si>
    <t>0064L00000B23EH</t>
  </si>
  <si>
    <t>Chewy Proprietary Brands - Capabilities &amp; Op Model</t>
  </si>
  <si>
    <t>Stuart McFarland</t>
  </si>
  <si>
    <t>0064L00000DLusj</t>
  </si>
  <si>
    <t>Arrow Electronics, Inc.</t>
  </si>
  <si>
    <t>#QMS #OWT Global Quality Org Design</t>
  </si>
  <si>
    <t>Vishaka Rajaram</t>
  </si>
  <si>
    <t>0064L00000CVEvc</t>
  </si>
  <si>
    <t>Real Estate Equity - Data Operations &amp; Valuations Process Support</t>
  </si>
  <si>
    <t>0064L00000DFPae</t>
  </si>
  <si>
    <t>Employee Upskilling and Learning</t>
  </si>
  <si>
    <t>0064L00000DMCyQ</t>
  </si>
  <si>
    <t>Centene Corporate Marketing Hiring Support</t>
  </si>
  <si>
    <t>Kristen Basa</t>
  </si>
  <si>
    <t>0064L00000BnbZd</t>
  </si>
  <si>
    <t>Lazard LTD.</t>
  </si>
  <si>
    <t>Lazard - HR vision and tech review</t>
  </si>
  <si>
    <t>Kathryn Charlton</t>
  </si>
  <si>
    <t>0064L00000DLQSS</t>
  </si>
  <si>
    <t>MWI - Profit Model Discovery and Enhancement</t>
  </si>
  <si>
    <t>0064L00000CVBww</t>
  </si>
  <si>
    <t>ASU Enterprise Partners</t>
  </si>
  <si>
    <t>*CI* ASUEP- Business Planning Support</t>
  </si>
  <si>
    <t>Jenna Drevins</t>
  </si>
  <si>
    <t>0064L00000BoSKO</t>
  </si>
  <si>
    <t>WellStar CRM Transformation: PRM #MSFTProvider</t>
  </si>
  <si>
    <t>0064L00000DFPUb</t>
  </si>
  <si>
    <t>PEP Supplier Diversity Growth Strategy #S&amp;P #ESG</t>
  </si>
  <si>
    <t>0064L00000CYmqy</t>
  </si>
  <si>
    <t>California Primary Care Association</t>
  </si>
  <si>
    <t>CHC Consumer Study</t>
  </si>
  <si>
    <t>Junaed Siddiqui</t>
  </si>
  <si>
    <t>0064L00000D97sV</t>
  </si>
  <si>
    <t>Citi Credit Risk Co-sourcing</t>
  </si>
  <si>
    <t>0064L00000BnMky</t>
  </si>
  <si>
    <t>LACEWORK Inc.</t>
  </si>
  <si>
    <t>Consumption OpModel Design</t>
  </si>
  <si>
    <t>0064L00000DJZYM</t>
  </si>
  <si>
    <t>GCP Customer Support Integration Jun - Dec 2021</t>
  </si>
  <si>
    <t>Verawaty Sudjono</t>
  </si>
  <si>
    <t>Dustin Hindman</t>
  </si>
  <si>
    <t>0064L00000D8Sxr</t>
  </si>
  <si>
    <t>A&amp;AN Access Planning</t>
  </si>
  <si>
    <t>0064L00000B0zar</t>
  </si>
  <si>
    <t>FP&amp;A management reporting and data strategy</t>
  </si>
  <si>
    <t>0064L00000B0zaI</t>
  </si>
  <si>
    <t>FP&amp;A automation and digital vision, use case and enablement</t>
  </si>
  <si>
    <t>0064L00000BeSP9</t>
  </si>
  <si>
    <t>Auto Lending - Serv Growth Strategy &amp; Value Proposition Design</t>
  </si>
  <si>
    <t>16/1/2022</t>
  </si>
  <si>
    <t>0064L00000D96B1</t>
  </si>
  <si>
    <t>Scaling Value Pricing</t>
  </si>
  <si>
    <t>Renu Shah</t>
  </si>
  <si>
    <t>0064L00000B0zZf</t>
  </si>
  <si>
    <t>FBP Planning Transformation</t>
  </si>
  <si>
    <t>0064L000006BSFe</t>
  </si>
  <si>
    <t>Call Center Optimization - Data/Process Strategy</t>
  </si>
  <si>
    <t>0064L00000BfFA8</t>
  </si>
  <si>
    <t>Aptiv ASUX - SW Tools Rationalization PMO Support</t>
  </si>
  <si>
    <t>0064L00000BgZFE</t>
  </si>
  <si>
    <t>Oracle EPM - Account Reconciliations (ARCS)</t>
  </si>
  <si>
    <t>0064L00000BfecC</t>
  </si>
  <si>
    <t>Potential work after MS ESG Internal Audit</t>
  </si>
  <si>
    <t>0064L00000BnlzS</t>
  </si>
  <si>
    <t>Google Services Benchmarking</t>
  </si>
  <si>
    <t>Michael Krell</t>
  </si>
  <si>
    <t>0064I00000zRhLX</t>
  </si>
  <si>
    <t>SIB Charter - Phase 2</t>
  </si>
  <si>
    <t>22/11/2022</t>
  </si>
  <si>
    <t>0064L00000Aqm8k</t>
  </si>
  <si>
    <t>HOLDING CEMENTERO DEL PERU SOCIEDAD ANONIMA</t>
  </si>
  <si>
    <t>YURA - FFG</t>
  </si>
  <si>
    <t>Oscar Santa Maria</t>
  </si>
  <si>
    <t>0064L000009AOHC</t>
  </si>
  <si>
    <t>Distribution/Agent Performance Management</t>
  </si>
  <si>
    <t>0064L00000Bf2up</t>
  </si>
  <si>
    <t>Fox News Midterm Election Readiness Support</t>
  </si>
  <si>
    <t>30/1/2022</t>
  </si>
  <si>
    <t>Peter Schwartz</t>
  </si>
  <si>
    <t>0064L00000D8ShT</t>
  </si>
  <si>
    <t>EpiCX US iOps Team Support Jul-Dec 2022</t>
  </si>
  <si>
    <t>Mindy Leung</t>
  </si>
  <si>
    <t>0064L00000Bn9T8</t>
  </si>
  <si>
    <t>FY23 SOX MYS Organizational Enablement Support - Q2</t>
  </si>
  <si>
    <t>Ashley Burgstahler</t>
  </si>
  <si>
    <t>0064I00000zRGBy</t>
  </si>
  <si>
    <t>AECOM</t>
  </si>
  <si>
    <t>IGP - Tishman Hotel Corp - Hilton Swan and Dolphin Orlando</t>
  </si>
  <si>
    <t>16/11/2019</t>
  </si>
  <si>
    <t>0064L00000DJj7c</t>
  </si>
  <si>
    <t>ESG - Circularity at Scale - Phase 1</t>
  </si>
  <si>
    <t>0064L00000CVwx4</t>
  </si>
  <si>
    <t>Sales Performance Management - CR#3 - Option</t>
  </si>
  <si>
    <t>0064L00000CGxm0</t>
  </si>
  <si>
    <t>Legal Entity REO / OREO Research</t>
  </si>
  <si>
    <t>Carolyn Lese</t>
  </si>
  <si>
    <t>0064L00000Be0mG</t>
  </si>
  <si>
    <t>MSWM FSS IRA Rollover - Extension - Phase 1</t>
  </si>
  <si>
    <t>0064L00000DBQEt</t>
  </si>
  <si>
    <t>Ally Smart Auction - 2.0</t>
  </si>
  <si>
    <t>0064L00000CVsZ9</t>
  </si>
  <si>
    <t>Anthem CX Strategy &amp; Vision Phase 1</t>
  </si>
  <si>
    <t>0064L00000Bfeaa</t>
  </si>
  <si>
    <t>Potential work after Wells Fargo - Sustainable Finance</t>
  </si>
  <si>
    <t>0064L00000CXTXe</t>
  </si>
  <si>
    <t>Evolution of the Adult Vaccine Landscape Phase II</t>
  </si>
  <si>
    <t>0064L00000DLKgv</t>
  </si>
  <si>
    <t>ADS - Energy Management Sourcing</t>
  </si>
  <si>
    <t>0064L00000CY75k</t>
  </si>
  <si>
    <t>Moderna Digital Commerce - MVP Restart Acceleration</t>
  </si>
  <si>
    <t>Deena Dalal</t>
  </si>
  <si>
    <t>0064L00000D8d3r</t>
  </si>
  <si>
    <t>The Trevor Project Inc.</t>
  </si>
  <si>
    <t>The Trevor Project_ Customer Data Platform #Implementation</t>
  </si>
  <si>
    <t>0064L00000DBNoM</t>
  </si>
  <si>
    <t>Reimagining Sourcing</t>
  </si>
  <si>
    <t>0064L000006BQFz</t>
  </si>
  <si>
    <t>E&amp;S Strategic Review</t>
  </si>
  <si>
    <t>0064L000001ucbz</t>
  </si>
  <si>
    <t>Takeda US FP&amp;A Transformation Phase 1 (Anaplan)</t>
  </si>
  <si>
    <t>David Olivieri</t>
  </si>
  <si>
    <t>0064L000001uccE</t>
  </si>
  <si>
    <t>Wireless Field Force Operating Model Transformation</t>
  </si>
  <si>
    <t>0064L00000D8Qzl</t>
  </si>
  <si>
    <t>Pfizer ESG Quality Bold Move - Mobilize &amp; Execute</t>
  </si>
  <si>
    <t>Sid Pant</t>
  </si>
  <si>
    <t>0064L000002c6WN</t>
  </si>
  <si>
    <t>Diversity &amp; Belonging Talent Strategy</t>
  </si>
  <si>
    <t>0064L00000Bg4tj</t>
  </si>
  <si>
    <t>PEP Cost of Climate Disruption</t>
  </si>
  <si>
    <t>Molly Shepard</t>
  </si>
  <si>
    <t>0064L00000CYYK9</t>
  </si>
  <si>
    <t>HR Business Excellence FY23 H1 Org Support</t>
  </si>
  <si>
    <t>CJ Bangah</t>
  </si>
  <si>
    <t>0065800000jfj2M</t>
  </si>
  <si>
    <t>*SMART* License - SCL Health</t>
  </si>
  <si>
    <t>25/9/2018</t>
  </si>
  <si>
    <t>0064L00000DLoCv</t>
  </si>
  <si>
    <t>StoneX Group Inc.</t>
  </si>
  <si>
    <t>StoneX - Cybersecurity Roadmap and Maturity Assessment - 375,000</t>
  </si>
  <si>
    <t>0064L00000D8cjH</t>
  </si>
  <si>
    <t>DNSP Assessment &amp; Rx Strategy</t>
  </si>
  <si>
    <t>0064L00000ArLhZ</t>
  </si>
  <si>
    <t>GE Treasury - Supply chain finance</t>
  </si>
  <si>
    <t>0064L000009AMVb</t>
  </si>
  <si>
    <t>ESG Phase II Automation (Baker Hughes)</t>
  </si>
  <si>
    <t>David Washo</t>
  </si>
  <si>
    <t>0064L00000Bmxve</t>
  </si>
  <si>
    <t>Intercompany Strategic Foundations</t>
  </si>
  <si>
    <t>0064L000007EwWs</t>
  </si>
  <si>
    <t>GE Gas Power Logistics</t>
  </si>
  <si>
    <t>0064L00000BoLbG</t>
  </si>
  <si>
    <t>Blackstone RE - BREP Data &amp; Analytics Operating Model</t>
  </si>
  <si>
    <t>Marcel Kanngiesser</t>
  </si>
  <si>
    <t>0064L000007wDnB</t>
  </si>
  <si>
    <t>Henry Schein Inc.</t>
  </si>
  <si>
    <t>Henry Schein Contract Management</t>
  </si>
  <si>
    <t>0064L000003yRoY</t>
  </si>
  <si>
    <t>SCL Health - Virtual Health Analytics &amp; Strategy</t>
  </si>
  <si>
    <t>22/8/2020</t>
  </si>
  <si>
    <t>0064L00000ArmgA</t>
  </si>
  <si>
    <t>0064L00000D8b2b</t>
  </si>
  <si>
    <t>*CI* SLU Student Health Center Future State Design</t>
  </si>
  <si>
    <t>Sanchita Arora</t>
  </si>
  <si>
    <t>0064L00000CX0nU</t>
  </si>
  <si>
    <t>Brand Strategy &amp; Change Management Support</t>
  </si>
  <si>
    <t>0064L00000D8b1n</t>
  </si>
  <si>
    <t>National Grid Workforce Transformation Investment</t>
  </si>
  <si>
    <t>Brian Offen</t>
  </si>
  <si>
    <t>0064I000011pRsU</t>
  </si>
  <si>
    <t>First Hawaiian, Inc</t>
  </si>
  <si>
    <t>First Hawaiian Bank - nCino Discovery #&lt;$50B #SCB</t>
  </si>
  <si>
    <t>29/1/2020</t>
  </si>
  <si>
    <t>0064L00000ApwYj</t>
  </si>
  <si>
    <t>0064L00000CWPfh</t>
  </si>
  <si>
    <t>Product Management Strategy and Design #PayerCO&amp;ITrans</t>
  </si>
  <si>
    <t>0064L00000CXRMD</t>
  </si>
  <si>
    <t>Industria De Hamburguesas S.A.</t>
  </si>
  <si>
    <t>McDonalds Mesoamérica - Operating Model Design</t>
  </si>
  <si>
    <t>0064L000009gJ8T</t>
  </si>
  <si>
    <t>Bank of Hawaii - LOS Discovery #&lt;$50B #SCB</t>
  </si>
  <si>
    <t>0064L0000040Ez9</t>
  </si>
  <si>
    <t>Dealer Services - LOS and servicing system selection strategy</t>
  </si>
  <si>
    <t>Steven Robertson</t>
  </si>
  <si>
    <t>Jonathan Liu</t>
  </si>
  <si>
    <t>0064L000007EbvD</t>
  </si>
  <si>
    <t>First Hawaiian Bank SB Strategy #&lt;$50B #SCB</t>
  </si>
  <si>
    <t>22/3/2021</t>
  </si>
  <si>
    <t>0064L000002bBqF</t>
  </si>
  <si>
    <t>Back office platform strategy &amp; roadmap #PayerCO&amp;ITrans</t>
  </si>
  <si>
    <t>21/9/2022</t>
  </si>
  <si>
    <t>0064L000001vdrv</t>
  </si>
  <si>
    <t>L3Harris - UAE Country Playbook #FFG</t>
  </si>
  <si>
    <t>23/7/2020</t>
  </si>
  <si>
    <t>0064L00000BnG1I</t>
  </si>
  <si>
    <t>ICON Business Unit COE Desktop Evaluations Extension #1</t>
  </si>
  <si>
    <t>19/3/2022</t>
  </si>
  <si>
    <t>ICON Business Unit COE Desktop Evaluations</t>
  </si>
  <si>
    <t>Nisha Asher</t>
  </si>
  <si>
    <t>0064L00000CX01q</t>
  </si>
  <si>
    <t>City Of Hope</t>
  </si>
  <si>
    <t>Pharma Partnership Model &amp; Growth plan #XPCONC</t>
  </si>
  <si>
    <t>0064L00000DLzo4</t>
  </si>
  <si>
    <t>Capital Allocation and Project Controls - Phase 1 Discovery</t>
  </si>
  <si>
    <t>0064L00000DJRmG</t>
  </si>
  <si>
    <t>MSIM - Private Credit Digital Experience - PIF</t>
  </si>
  <si>
    <t>0064L00000BolKF</t>
  </si>
  <si>
    <t>PepsiCo #NFT &amp; #Metaverse Op Model Strategy</t>
  </si>
  <si>
    <t>0064L00000BolLm</t>
  </si>
  <si>
    <t>Future of Finance: Operating Model Assessment &amp; Proposal</t>
  </si>
  <si>
    <t>Eric Abrial</t>
  </si>
  <si>
    <t>0064L00000BcWkU</t>
  </si>
  <si>
    <t>UCT: Service Supply Chain Assessment</t>
  </si>
  <si>
    <t>0064L00000CYBHH</t>
  </si>
  <si>
    <t>Resideo Technologies Inc.</t>
  </si>
  <si>
    <t>ADI Global - PIM</t>
  </si>
  <si>
    <t>Victoria Vossler</t>
  </si>
  <si>
    <t>0064L00000CY0ge</t>
  </si>
  <si>
    <t>Centene VBC Analytics / Enterprise Provider Platform</t>
  </si>
  <si>
    <t>Catherine Hood</t>
  </si>
  <si>
    <t>0064L000009AILc</t>
  </si>
  <si>
    <t>Cloudflare, Inc.</t>
  </si>
  <si>
    <t>Finance Service delivery model / Shared service center set-up</t>
  </si>
  <si>
    <t>30/10/2021</t>
  </si>
  <si>
    <t>Jerry Dow</t>
  </si>
  <si>
    <t>0064L00000Boiwu</t>
  </si>
  <si>
    <t>Cadence Bank Na</t>
  </si>
  <si>
    <t>Commercial Card Launch - GTM Strategy</t>
  </si>
  <si>
    <t>Grant Weaver</t>
  </si>
  <si>
    <t>0064L000006UDLZ</t>
  </si>
  <si>
    <t>Constellation Brands - Sales Technology Vision</t>
  </si>
  <si>
    <t>15/2/2021</t>
  </si>
  <si>
    <t>0064L00000DFWF9</t>
  </si>
  <si>
    <t>GPS - SNOW GRC (Policy mgmt)</t>
  </si>
  <si>
    <t>0064L00000DFVgT</t>
  </si>
  <si>
    <t>CVS Aetna OhioRISE Medicaid Implementation Extension #GCoE</t>
  </si>
  <si>
    <t>0064L00000DG7fc</t>
  </si>
  <si>
    <t>Penske Corporation</t>
  </si>
  <si>
    <t>Penske Trans Solutions - Decarb Strategy Roadmap #ESG</t>
  </si>
  <si>
    <t>Abigail Paris</t>
  </si>
  <si>
    <t>Julie Bogas</t>
  </si>
  <si>
    <t>0064L00000DFVhC</t>
  </si>
  <si>
    <t>UST Healthproof Inc.</t>
  </si>
  <si>
    <t>UST - Project Endeavour - Transition Planning #CO&amp;I</t>
  </si>
  <si>
    <t>0064L000009AZ5q</t>
  </si>
  <si>
    <t>Kaluz, S.A. de C.V.</t>
  </si>
  <si>
    <t>Phase 0 - S/4 Requirements/Design Functional Support</t>
  </si>
  <si>
    <t>0065800000h1KsW</t>
  </si>
  <si>
    <t>The J.M. Smucker Company</t>
  </si>
  <si>
    <t>JMS - SWAT Support for FY20 and FY21 Planning #RGM</t>
  </si>
  <si>
    <t>0064L00000Bfa5u</t>
  </si>
  <si>
    <t>Pershing Client Interview Preparation</t>
  </si>
  <si>
    <t>0064L00000BoHlv</t>
  </si>
  <si>
    <t>Aptitude Optimization</t>
  </si>
  <si>
    <t>0064L00000BcWNX</t>
  </si>
  <si>
    <t>BU Finance Process Redesign (Midland)</t>
  </si>
  <si>
    <t>0064L00000CYtNQ</t>
  </si>
  <si>
    <t>Apollo Year End Compensation Support</t>
  </si>
  <si>
    <t>Mike Cardillo</t>
  </si>
  <si>
    <t>0064L00000CYbqD</t>
  </si>
  <si>
    <t>MWI ABCForce Discovery</t>
  </si>
  <si>
    <t>Matthew Dunn</t>
  </si>
  <si>
    <t>0064L00000CVZJY</t>
  </si>
  <si>
    <t>Takeda GTN Bluesheet Transition + Anaplan 2022 Extension</t>
  </si>
  <si>
    <t>0064L00000BgPaX</t>
  </si>
  <si>
    <t>Texas Capital Bancshares, Inc.</t>
  </si>
  <si>
    <t>Merchant Services Strategy</t>
  </si>
  <si>
    <t>0064L00000DM7fu</t>
  </si>
  <si>
    <t>Product Strategy and Operating Model Alignment</t>
  </si>
  <si>
    <t>0064L000007G1bE</t>
  </si>
  <si>
    <t>BNYM - Treasury and/or Local PGH Market Strategy</t>
  </si>
  <si>
    <t>25/3/2021</t>
  </si>
  <si>
    <t>0064L00000CVjof</t>
  </si>
  <si>
    <t>NRM GBS- Playbook Training Support</t>
  </si>
  <si>
    <t>0064L00000DLVjY</t>
  </si>
  <si>
    <t>Ally Smart Auction - CMS Migration</t>
  </si>
  <si>
    <t>30/1/2023</t>
  </si>
  <si>
    <t>Srinivas Kusunam</t>
  </si>
  <si>
    <t>0064L00000B0qhD</t>
  </si>
  <si>
    <t>W. L. Gore &amp; Associates, Inc.</t>
  </si>
  <si>
    <t>Gore Marketing Analytics Capability Development</t>
  </si>
  <si>
    <t>Whitney Nystrom</t>
  </si>
  <si>
    <t>0064L00000B0sYZ</t>
  </si>
  <si>
    <t>University Of Missouri</t>
  </si>
  <si>
    <t>Tele-Emergency/Hospitalist Phase 4</t>
  </si>
  <si>
    <t>0064L00000BeYra</t>
  </si>
  <si>
    <t>Insulet Corporation</t>
  </si>
  <si>
    <t>Insulet Chargebacks and Rebates Vistex Blueprinting *Pricing*</t>
  </si>
  <si>
    <t>0064L00000Bmt2j</t>
  </si>
  <si>
    <t>Questar Pipelines</t>
  </si>
  <si>
    <t>Project Controls for Power Delivery Construction Portfolio</t>
  </si>
  <si>
    <t>0064I000015TDCq</t>
  </si>
  <si>
    <t>Sunoco RightAngle Managed Services</t>
  </si>
  <si>
    <t>0064L00000BoGDS</t>
  </si>
  <si>
    <t>Conagra - Media Intelligence Phase II</t>
  </si>
  <si>
    <t>Andres Leal</t>
  </si>
  <si>
    <t>0064L00000Beknl</t>
  </si>
  <si>
    <t>Intuit Inc.</t>
  </si>
  <si>
    <t>Oracle EPM Planning - Change Management Execution ph 2</t>
  </si>
  <si>
    <t>Oracle EPM Planning - Change Management Planning ph 1(Only)</t>
  </si>
  <si>
    <t>0064L00000Ar59H</t>
  </si>
  <si>
    <t>C&amp;W - D&amp;I Strategy</t>
  </si>
  <si>
    <t>Rachel Fellows</t>
  </si>
  <si>
    <t>0064L00000CXpe3</t>
  </si>
  <si>
    <t>Offer-to-Report Offering Presentment Simplification #TMTPricing</t>
  </si>
  <si>
    <t>0064L000007WOrZ</t>
  </si>
  <si>
    <t>Marketplace Proof of Concept #ESG #S&amp;P#POD</t>
  </si>
  <si>
    <t>David Lehnus</t>
  </si>
  <si>
    <t>0064L00000B365O</t>
  </si>
  <si>
    <t>Hess ESG Placeholder</t>
  </si>
  <si>
    <t>0064L00000DLSyz</t>
  </si>
  <si>
    <t>Melinta Therapeutics, LLC</t>
  </si>
  <si>
    <t>Project Las Vegas: Execution</t>
  </si>
  <si>
    <t>0064L00000Bo4Rv</t>
  </si>
  <si>
    <t>ProEdge for HPE (ELA)</t>
  </si>
  <si>
    <t>0064L00000CYb5q</t>
  </si>
  <si>
    <t>Capital Portfolio Optimization - Copperleaf - Phase 1</t>
  </si>
  <si>
    <t>0064L00000Bd3yE</t>
  </si>
  <si>
    <t>#IOBP -- AMP Medical Affairs Enablement</t>
  </si>
  <si>
    <t>0064L00000BeZF3</t>
  </si>
  <si>
    <t>Sustainable1 Policies, Procedures and Controls Phase 2 - Detailed Process Design &amp; IHS/TCS Controls</t>
  </si>
  <si>
    <t>Keith Jimenez</t>
  </si>
  <si>
    <t>0064L00000Bo4bl</t>
  </si>
  <si>
    <t>LAS Discovery #FOBComm #&lt;$50B #SCB</t>
  </si>
  <si>
    <t>0064L00000Bndh9</t>
  </si>
  <si>
    <t>Malory Pty. Ltd.</t>
  </si>
  <si>
    <t>ARC Implementation</t>
  </si>
  <si>
    <t>0064L00000B35v9</t>
  </si>
  <si>
    <t>Frontier Communications Corporation</t>
  </si>
  <si>
    <t>Customer Analytics</t>
  </si>
  <si>
    <t>0064L00000CYqMP</t>
  </si>
  <si>
    <t>ERP Selection</t>
  </si>
  <si>
    <t>0064L00000D8kFv</t>
  </si>
  <si>
    <t>Dexcom - Manufacturing downsizing</t>
  </si>
  <si>
    <t>0064L00000BdDUR</t>
  </si>
  <si>
    <t>Product Trust and Safety - eLabeling and Product Recall Awareness</t>
  </si>
  <si>
    <t>0064L00000DLTGo</t>
  </si>
  <si>
    <t>Partstrader LLC</t>
  </si>
  <si>
    <t>Partstrader - Product and Service Strategy - Phase 1</t>
  </si>
  <si>
    <t>Brett Davidson</t>
  </si>
  <si>
    <t>0064L00000D8ZT6</t>
  </si>
  <si>
    <t>Capri Holdings Limited</t>
  </si>
  <si>
    <t>Supply Chain Leadership Support</t>
  </si>
  <si>
    <t>0064L00000DFPaU</t>
  </si>
  <si>
    <t>Employee Value Proposition Redesign</t>
  </si>
  <si>
    <t>0064L00000DLS9D</t>
  </si>
  <si>
    <t>Baker &amp; Mackenzie</t>
  </si>
  <si>
    <t>Design/Implementation of NQ plan funding through life insurance</t>
  </si>
  <si>
    <t>0064L00000DJmtk</t>
  </si>
  <si>
    <t>Unifirst Corporation</t>
  </si>
  <si>
    <t>UniFirst Customer Experience Strategy</t>
  </si>
  <si>
    <t>Brendan Klein</t>
  </si>
  <si>
    <t>0064L00000CWjHG</t>
  </si>
  <si>
    <t>ADI Digital Commerce Strategy</t>
  </si>
  <si>
    <t>Megan Drucker</t>
  </si>
  <si>
    <t>0064L00000BoeTh</t>
  </si>
  <si>
    <t>AmeriHealth Caritas RFP Support 2023 #GCOE #Medicaid</t>
  </si>
  <si>
    <t>0064L00000Bd338</t>
  </si>
  <si>
    <t>Tailored Plan Implementation Support - North Carolina #PayerCO&amp;ITrans #Medicaid</t>
  </si>
  <si>
    <t>0064L00000DM4KU</t>
  </si>
  <si>
    <t>Enterprise Business Impact Analysis</t>
  </si>
  <si>
    <t>0064L00000DMDlc</t>
  </si>
  <si>
    <t>Cintas Corporation</t>
  </si>
  <si>
    <t>Global Overseas Sourcing Office</t>
  </si>
  <si>
    <t>0064L00000D8zzE</t>
  </si>
  <si>
    <t>Jade Dallon</t>
  </si>
  <si>
    <t>0064L00000BctEj</t>
  </si>
  <si>
    <t>BCBSM Group Pricing Transparency Strategy #PayerAnalytics #HVM</t>
  </si>
  <si>
    <t>James Lin</t>
  </si>
  <si>
    <t>0064L00000BctFm</t>
  </si>
  <si>
    <t>Anthem Price Trans Dashboard #xPC:PayerAnalytics #PayerAnalytics #Alliance:PwC</t>
  </si>
  <si>
    <t>0064L00000DFrHA</t>
  </si>
  <si>
    <t>Texas Children's Hospital</t>
  </si>
  <si>
    <t>Texas Children's Health Plan Member Experience Consulting</t>
  </si>
  <si>
    <t>Inshita Wij</t>
  </si>
  <si>
    <t>0064I00000zTGns</t>
  </si>
  <si>
    <t>First Busey Corporation</t>
  </si>
  <si>
    <t>Busey Bank nCino Remediation #&lt;$50B #SCB</t>
  </si>
  <si>
    <t>0064L00000ArtMH</t>
  </si>
  <si>
    <t>UST - Project Endeavour - Operating Model #CO&amp;I</t>
  </si>
  <si>
    <t>0064L00000B32vc</t>
  </si>
  <si>
    <t>TCCC - Supply Chain Resilience</t>
  </si>
  <si>
    <t>0064L00000CX7al</t>
  </si>
  <si>
    <t>Corbett Technology Solutions, Inc.</t>
  </si>
  <si>
    <t>Corbett Technology Solutions - Leasing / Managed Services</t>
  </si>
  <si>
    <t>James Welborn</t>
  </si>
  <si>
    <t>0064L00000BcpoI</t>
  </si>
  <si>
    <t>Key Bank #MI - Media Assessment + Compliance</t>
  </si>
  <si>
    <t>Ravi Patel</t>
  </si>
  <si>
    <t>0064L00000Bf797</t>
  </si>
  <si>
    <t>Finance Evolution Design and Roadmap</t>
  </si>
  <si>
    <t>0064L00000Bp2xq</t>
  </si>
  <si>
    <t>Working Capital - Supply Chain &amp; SIOP Assessment</t>
  </si>
  <si>
    <t>Todd Sousa</t>
  </si>
  <si>
    <t>0064L000001uh97</t>
  </si>
  <si>
    <t>0064L00000DMANI</t>
  </si>
  <si>
    <t>0064L000002LZtX</t>
  </si>
  <si>
    <t>ECG L&amp;D</t>
  </si>
  <si>
    <t>Ashish Jain</t>
  </si>
  <si>
    <t>0064L000006xclk</t>
  </si>
  <si>
    <t>Nielsen Media Qualtrics Phase 2</t>
  </si>
  <si>
    <t>0064L00000Bp2I3</t>
  </si>
  <si>
    <t>Amazon RME Onboarding Training Strategy Implementation</t>
  </si>
  <si>
    <t>Michael Schiro</t>
  </si>
  <si>
    <t>0064L00000BfX6u</t>
  </si>
  <si>
    <t>Media Intelligence</t>
  </si>
  <si>
    <t>Carlos Zegarra</t>
  </si>
  <si>
    <t>Eduardo Emilio Gomez</t>
  </si>
  <si>
    <t>0064L00000BgYyc</t>
  </si>
  <si>
    <t>WFRD - Supply Chain Blockchain</t>
  </si>
  <si>
    <t>0064L00000AqMA2</t>
  </si>
  <si>
    <t>Customer Digital Experience Strategy &amp; Platform</t>
  </si>
  <si>
    <t>0064L00000DLrBS</t>
  </si>
  <si>
    <t>MSFT FY23 GitHub HR - Leader Leveling</t>
  </si>
  <si>
    <t>Carrie Morgan</t>
  </si>
  <si>
    <t>0064L00000CWwnC</t>
  </si>
  <si>
    <t>Gilead: Transformation #IOBP - PPM Program Assessment</t>
  </si>
  <si>
    <t>0064L00000Bo06e</t>
  </si>
  <si>
    <t>Grupo UNACEM_Proceso de Planeación Estratégica</t>
  </si>
  <si>
    <t>0064L00000997jd</t>
  </si>
  <si>
    <t>Finance and EPM Operating Model and Cloud Execution Phase 1</t>
  </si>
  <si>
    <t>0064L00000D8xRe</t>
  </si>
  <si>
    <t>Consumer Products Testing Program and Vendor Setup</t>
  </si>
  <si>
    <t>0064L00000D8xRt</t>
  </si>
  <si>
    <t>Trust &amp; Safety</t>
  </si>
  <si>
    <t>0064L00000D8xRy</t>
  </si>
  <si>
    <t>Madison Dearborn Partners, LLC</t>
  </si>
  <si>
    <t>Value Expansion Strategy</t>
  </si>
  <si>
    <t>#InsightsFactory</t>
  </si>
  <si>
    <t>0064L00000DLOj2</t>
  </si>
  <si>
    <t>Bacardi Limited</t>
  </si>
  <si>
    <t>IMM Capability Development: Phase 1 - Diagnostic</t>
  </si>
  <si>
    <t>0064L00000CYL81</t>
  </si>
  <si>
    <t>Talent Management Onboarding</t>
  </si>
  <si>
    <t>Shekhar Purohit</t>
  </si>
  <si>
    <t>0064L00000CYL8V</t>
  </si>
  <si>
    <t>Claims Analytics</t>
  </si>
  <si>
    <t>0064L00000CYL7r</t>
  </si>
  <si>
    <t>Pension Program Strategy</t>
  </si>
  <si>
    <t>0064L00000CYL8L</t>
  </si>
  <si>
    <t>Comp Benefits Optimization</t>
  </si>
  <si>
    <t>Claudia Montgomery</t>
  </si>
  <si>
    <t>0064L00000Bky8P</t>
  </si>
  <si>
    <t>SFDC / MSFT Dynamics Assessment</t>
  </si>
  <si>
    <t>Tom Levin</t>
  </si>
  <si>
    <t>0064L00000D961f</t>
  </si>
  <si>
    <t>BHSH VBC/Population Health Opportunity *CDMCT*</t>
  </si>
  <si>
    <t>0064L00000CXhVS</t>
  </si>
  <si>
    <t>McKesson - Responsible Sourcing Program Phase I 2022 #S&amp;P #ESG</t>
  </si>
  <si>
    <t>0064L00000D963b</t>
  </si>
  <si>
    <t>S&amp;OP and Collaboration - Phase 5</t>
  </si>
  <si>
    <t>0064L00000D8SwF</t>
  </si>
  <si>
    <t>Baystate - HNE Integrated CRM Strategy</t>
  </si>
  <si>
    <t>0064L00000DBQVG</t>
  </si>
  <si>
    <t>5G Labs - Phase 4</t>
  </si>
  <si>
    <t>0064L00000BliFq</t>
  </si>
  <si>
    <t>Associated LOS System Selection #FOBComm #&lt;$50B #SCB</t>
  </si>
  <si>
    <t>0064L00000CXFm4</t>
  </si>
  <si>
    <t>2022-2023 ASC 715 GE Postretirement  Benefits - Separation Calculations</t>
  </si>
  <si>
    <t>0064L00000DLNeL</t>
  </si>
  <si>
    <t>Willscot Mobile Mini Holdings Corp.</t>
  </si>
  <si>
    <t>WSMM GTM Transformation Phase 1</t>
  </si>
  <si>
    <t>0064L00000CH7br</t>
  </si>
  <si>
    <t>Quorum Analytics, Inc.</t>
  </si>
  <si>
    <t>Quorum - Integration Support</t>
  </si>
  <si>
    <t>Jason Delaney</t>
  </si>
  <si>
    <t>John Hennessy</t>
  </si>
  <si>
    <t>0064L000001uxQT</t>
  </si>
  <si>
    <t>Product and benefit management: product &amp; implementation planning #PayerCO&amp;ITrans</t>
  </si>
  <si>
    <t>0064L00000D93to</t>
  </si>
  <si>
    <t>AthenaHealth FFG Assessment</t>
  </si>
  <si>
    <t>Shobhit Wadhwa</t>
  </si>
  <si>
    <t>0064L000009BAUx</t>
  </si>
  <si>
    <t>#SAP+CSP_I Revenue Forecasting POC</t>
  </si>
  <si>
    <t>0064L00000CYHdM</t>
  </si>
  <si>
    <t>ASD GTM Discovery &amp; Roadmapping</t>
  </si>
  <si>
    <t>0064L00000DJXSv</t>
  </si>
  <si>
    <t>Product MGMT. Transformation - Case for Change</t>
  </si>
  <si>
    <t>Julie Dickinson</t>
  </si>
  <si>
    <t>0064L00000Bnmlq</t>
  </si>
  <si>
    <t>Dynamic Service Strategy</t>
  </si>
  <si>
    <t>0064L00000Bopti</t>
  </si>
  <si>
    <t>Mental Health Parity Gap Assessment</t>
  </si>
  <si>
    <t>Peter Davidson</t>
  </si>
  <si>
    <t>Anthony Weatherspoon</t>
  </si>
  <si>
    <t>0064L00000CXWIy</t>
  </si>
  <si>
    <t>Kite: Transformation - IT: Global Launch IT Support Extension</t>
  </si>
  <si>
    <t>Tonia Wu</t>
  </si>
  <si>
    <t>0064L000006BRxu</t>
  </si>
  <si>
    <t>Data Literacy Program Roll Out</t>
  </si>
  <si>
    <t>0064L000009AOGA</t>
  </si>
  <si>
    <t>Omnichannel Experience Optimization</t>
  </si>
  <si>
    <t>0064L00000BoNz5</t>
  </si>
  <si>
    <t>Ardent Health Partners LLC</t>
  </si>
  <si>
    <t>UM and CM *Rev Cycle* Op Model Strategy</t>
  </si>
  <si>
    <t>Revenue Cycle *Rev Cycle* Operating Model Strategy</t>
  </si>
  <si>
    <t>0064L00000Bm956</t>
  </si>
  <si>
    <t>Towne Bank</t>
  </si>
  <si>
    <t>TowneBank ncino Discovery #&lt;$50B #SCB</t>
  </si>
  <si>
    <t>0064L00000CYvJk</t>
  </si>
  <si>
    <t>Phase 3 - Near-Shoring Manufacturing Strategy</t>
  </si>
  <si>
    <t>0064L00000BnC2L</t>
  </si>
  <si>
    <t>Galaxy Digital Holdings Ltd.</t>
  </si>
  <si>
    <t>Galaxy #digitalassets standup</t>
  </si>
  <si>
    <t>0064L00000Bl56p</t>
  </si>
  <si>
    <t>IT Business Planning Program Assessment</t>
  </si>
  <si>
    <t>Sarah Guruswamy</t>
  </si>
  <si>
    <t>0064L00000CH5Ks</t>
  </si>
  <si>
    <t>0064L00000BoKhm</t>
  </si>
  <si>
    <t>Twilio Inc.</t>
  </si>
  <si>
    <t>Twilio-Segment GTM Blueprint</t>
  </si>
  <si>
    <t>0064L00000CYEmC</t>
  </si>
  <si>
    <t>Vertex Supply Chain RFS</t>
  </si>
  <si>
    <t>26/7/2022</t>
  </si>
  <si>
    <t>0064L00000DFfkB</t>
  </si>
  <si>
    <t>Magna International Inc.</t>
  </si>
  <si>
    <t>Coupa Consolidation</t>
  </si>
  <si>
    <t>0064L00000DFfkC</t>
  </si>
  <si>
    <t>Indirect Spend Reduction</t>
  </si>
  <si>
    <t>0064L00000CH5BX</t>
  </si>
  <si>
    <t>U M W A Health Retirement Fund</t>
  </si>
  <si>
    <t>UMWA 2024 EGWP Analysis and Optional Market Check_v2</t>
  </si>
  <si>
    <t>Joseph Jackowiak</t>
  </si>
  <si>
    <t>0064L00000Bndbz</t>
  </si>
  <si>
    <t>Lamar Treasury Support</t>
  </si>
  <si>
    <t>0064L000009fM2X</t>
  </si>
  <si>
    <t>Comerica Customer Link_License_#PRO</t>
  </si>
  <si>
    <t>Comerica Customer Link_EvaluationLicense_#PRO</t>
  </si>
  <si>
    <t>0064L00000CYV8Z</t>
  </si>
  <si>
    <t>GE Energy - FieldCore Cost Reduction / Spend Assessment</t>
  </si>
  <si>
    <t>0064L00000BmjRc</t>
  </si>
  <si>
    <t>COO Risk Programs Policy Execution Support</t>
  </si>
  <si>
    <t>0064L00000Blfzb</t>
  </si>
  <si>
    <t>FedEx ARCS Statutory Reconciliation Assessment</t>
  </si>
  <si>
    <t>0064L00000DG1RK</t>
  </si>
  <si>
    <t>Clinical Transformation - Sprint 2</t>
  </si>
  <si>
    <t>0064L00000DLoR7</t>
  </si>
  <si>
    <t>Kimball International, Inc.</t>
  </si>
  <si>
    <t>Business Process Owner set up and governance</t>
  </si>
  <si>
    <t>0064L00000CYY1W</t>
  </si>
  <si>
    <t>Kao SAP TPM - AMS extension till 2023</t>
  </si>
  <si>
    <t>Nageswara Chilukuri</t>
  </si>
  <si>
    <t>0064L000001vU83</t>
  </si>
  <si>
    <t>Cullman Regional Medical Center</t>
  </si>
  <si>
    <t>Cullman Regional 340b *Strategic Reimbursement*</t>
  </si>
  <si>
    <t>20/7/2020</t>
  </si>
  <si>
    <t>31/7/2024</t>
  </si>
  <si>
    <t>0064L000006xBKC</t>
  </si>
  <si>
    <t>BCBSMA PY2020 Pharmacy Assessments (4 of 4)</t>
  </si>
  <si>
    <t>28/2/2024</t>
  </si>
  <si>
    <t>0064L000006xBKB</t>
  </si>
  <si>
    <t>BCBSMA PY2020 Pharmacy Assessments (3 of 4)</t>
  </si>
  <si>
    <t>0064L00000DLK22</t>
  </si>
  <si>
    <t>Ringcentral, Inc.</t>
  </si>
  <si>
    <t>RingCentral Growth Opportunities #FFG3.0</t>
  </si>
  <si>
    <t>Rawia Abdel Samad</t>
  </si>
  <si>
    <t>0064L00000CYXld</t>
  </si>
  <si>
    <t>Healthfirst - Paydoc Agile Planning Support #PayerCO&amp;ITrans</t>
  </si>
  <si>
    <t>0064L00000B170T</t>
  </si>
  <si>
    <t>Sail Internet, Inc.</t>
  </si>
  <si>
    <t>SAIL - Target Operating Model Framework</t>
  </si>
  <si>
    <t>18/10/2022</t>
  </si>
  <si>
    <t>0064L00000DFhg1</t>
  </si>
  <si>
    <t>CVS Novologix Commercial Migration Change Order 2</t>
  </si>
  <si>
    <t>CVS Novologix Commercial Migration</t>
  </si>
  <si>
    <t>0064L00000DM7ny</t>
  </si>
  <si>
    <t>DSI #ESG GHG Feasibility Assessment</t>
  </si>
  <si>
    <t>Chris Leavell</t>
  </si>
  <si>
    <t>0064L00000BfpJn</t>
  </si>
  <si>
    <t>UC Health.</t>
  </si>
  <si>
    <t>GPO RFP</t>
  </si>
  <si>
    <t>0064L00000BdXgd</t>
  </si>
  <si>
    <t>Catterton Management Company LLC</t>
  </si>
  <si>
    <t>Responsible Sourcing Standards</t>
  </si>
  <si>
    <t>0064L00000DMGMa</t>
  </si>
  <si>
    <t>Hilton Content and Offer Tagging Audit</t>
  </si>
  <si>
    <t>Cord Phillips</t>
  </si>
  <si>
    <t>0064I00000zQp0C</t>
  </si>
  <si>
    <t>HR Transformation/Strategy</t>
  </si>
  <si>
    <t>Mike Michael</t>
  </si>
  <si>
    <t>0064L00000CXKa2</t>
  </si>
  <si>
    <t>Vital Proteins - Warehouse Master Plan</t>
  </si>
  <si>
    <t>Erika Ryback</t>
  </si>
  <si>
    <t>0064L00000AqOUt</t>
  </si>
  <si>
    <t>Del Taco Restaurants Inc.</t>
  </si>
  <si>
    <t>Fresh Flex Store Cost Improvement Assessment</t>
  </si>
  <si>
    <t>0064L00000BoSmS</t>
  </si>
  <si>
    <t>Org Design and Workforce Architect Consulting Services (2022 - 2023)</t>
  </si>
  <si>
    <t>Robyn Lahlein</t>
  </si>
  <si>
    <t>0064L00000DMDky</t>
  </si>
  <si>
    <t>AMZN Finance: Transportation Finance Accounting Support</t>
  </si>
  <si>
    <t>0064L00000AqqPV</t>
  </si>
  <si>
    <t>BeiGene Finance Assessment</t>
  </si>
  <si>
    <t>0064L00000CGyeW</t>
  </si>
  <si>
    <t>Securian Group Way-to-Play</t>
  </si>
  <si>
    <t>Veronika Torarp</t>
  </si>
  <si>
    <t>Matthew Shuman</t>
  </si>
  <si>
    <t>0064L00000BfGBl</t>
  </si>
  <si>
    <t>Aspen Snowmass Loyalty Strategy</t>
  </si>
  <si>
    <t>0064L00000DMA9b</t>
  </si>
  <si>
    <t>OxyChem Pathway to Net Zero #ESG</t>
  </si>
  <si>
    <t>0064L00000DJZ2p</t>
  </si>
  <si>
    <t>Workday Process Reconciliation</t>
  </si>
  <si>
    <t>0064L00000BcpEK</t>
  </si>
  <si>
    <t>GE Sonazoid Ultrasound Contrast Media Opportunity Assessment - US Phase 1 #XPCONC</t>
  </si>
  <si>
    <t>Alan Keener</t>
  </si>
  <si>
    <t>0064L00000BmTrK</t>
  </si>
  <si>
    <t>International Paper Company</t>
  </si>
  <si>
    <t>IP Reimagine: Tax Career Pathing</t>
  </si>
  <si>
    <t>Edyta Reid</t>
  </si>
  <si>
    <t>0064L000009fDyj</t>
  </si>
  <si>
    <t>Coca-Cola ROX/VOC</t>
  </si>
  <si>
    <t>0064L00000Ar6jB</t>
  </si>
  <si>
    <t>Liveperson Inc.</t>
  </si>
  <si>
    <t>Pricing Assessment</t>
  </si>
  <si>
    <t>0064L00000DFVJt</t>
  </si>
  <si>
    <t>Comcast Corporate Compensation Year-End Executive Reporting</t>
  </si>
  <si>
    <t>Michelle DeCaro</t>
  </si>
  <si>
    <t>0064L00000DFchi</t>
  </si>
  <si>
    <t>Managed Accounts Analytics MVP &amp; Use Case Prioritization</t>
  </si>
  <si>
    <t>0064L00000BgOB6</t>
  </si>
  <si>
    <t>D'IETEREN GROUP SA</t>
  </si>
  <si>
    <t>Distribution Network Optimization Strategy Ph2 - Execution Support</t>
  </si>
  <si>
    <t>Distribution Network Optimization Strategy</t>
  </si>
  <si>
    <t>0064L00000BobtR</t>
  </si>
  <si>
    <t>SPG Fin Optimization - Costing and Margin Analysis Optimization Phase 2</t>
  </si>
  <si>
    <t>0064I00000u1UFT</t>
  </si>
  <si>
    <t>*SMART* License - Rush</t>
  </si>
  <si>
    <t>13/5/2019</t>
  </si>
  <si>
    <t>0064L00000CVB7F</t>
  </si>
  <si>
    <t>MS E*TRADE Integration UAT Support</t>
  </si>
  <si>
    <t>Nisha Kumar</t>
  </si>
  <si>
    <t>0064L00000DMARo</t>
  </si>
  <si>
    <t>Halozyme Therapeutics Inc.</t>
  </si>
  <si>
    <t>Atlas - IT IMO Extension</t>
  </si>
  <si>
    <t>Ty Pittman</t>
  </si>
  <si>
    <t>Kevin Geraghty</t>
  </si>
  <si>
    <t>0064L00000D8var</t>
  </si>
  <si>
    <t>Galaxy #digitalassets business continuity planning</t>
  </si>
  <si>
    <t>0064L00000Bnp0t</t>
  </si>
  <si>
    <t>TIGER - Enterprise Fluidity</t>
  </si>
  <si>
    <t>0064L00000BfecW</t>
  </si>
  <si>
    <t>Reinsurance Group of America, Incorporated</t>
  </si>
  <si>
    <t>Potential work after RGA: ESG Materiality Assessment</t>
  </si>
  <si>
    <t>0064L00000CH0su</t>
  </si>
  <si>
    <t>Ally FSF Integration Q1 Extension</t>
  </si>
  <si>
    <t>Margaret Kunkel</t>
  </si>
  <si>
    <t>0064L00000BgPZP</t>
  </si>
  <si>
    <t>Sales Audit Modernization</t>
  </si>
  <si>
    <t>22/3/2022 6:11 pm</t>
  </si>
  <si>
    <t>0064L0000099odL</t>
  </si>
  <si>
    <t>Michigan Education Assoc.</t>
  </si>
  <si>
    <t>MESSA Medical and Rx RFP</t>
  </si>
  <si>
    <t>0064L00000DLray</t>
  </si>
  <si>
    <t>Prisma Health</t>
  </si>
  <si>
    <t>Prisma Health *SMART* IP Renewal - FY23</t>
  </si>
  <si>
    <t>0064L00000D92Ic</t>
  </si>
  <si>
    <t>Addendum 3 to MS at Work Secondary Markets</t>
  </si>
  <si>
    <t>20/7/2022 6:47 am</t>
  </si>
  <si>
    <t>Darien Kauvar</t>
  </si>
  <si>
    <t>0064L00000DLrbG</t>
  </si>
  <si>
    <t>Presence Health - *SMART* IP License Renewal FY23</t>
  </si>
  <si>
    <t>0064L00000BoSXX</t>
  </si>
  <si>
    <t>Xpertal, S. de R.L. de C.V.</t>
  </si>
  <si>
    <t>Revision de Capacidades</t>
  </si>
  <si>
    <t>0064L00000DM4MH</t>
  </si>
  <si>
    <t>Kynetic LLC.</t>
  </si>
  <si>
    <t>Fanatics ERP Eval</t>
  </si>
  <si>
    <t>Thomas Hojnacki</t>
  </si>
  <si>
    <t>Jason Murray</t>
  </si>
  <si>
    <t>0064L00000BnqhA</t>
  </si>
  <si>
    <t>Providence Health Plan Growth Strategy Refinement</t>
  </si>
  <si>
    <t>0064I00000y7JAv</t>
  </si>
  <si>
    <t>Webster Financial Corporation</t>
  </si>
  <si>
    <t>nCino Discovery #&lt;$50B</t>
  </si>
  <si>
    <t>0064L00000CYp15</t>
  </si>
  <si>
    <t>Centerpoint Procurement Managed Service Support #S&amp;P#POD</t>
  </si>
  <si>
    <t>0064L00000DG27l</t>
  </si>
  <si>
    <t>Studio Alpha Pricing Model #TMTPricing</t>
  </si>
  <si>
    <t>0064L00000B1OWt</t>
  </si>
  <si>
    <t>WHR - AWS - People: Upskilling</t>
  </si>
  <si>
    <t>0064L00000D8Wux</t>
  </si>
  <si>
    <t>Bessel Capital Sarl</t>
  </si>
  <si>
    <t>Ion Group - Financial Systems Assessment</t>
  </si>
  <si>
    <t>0064L00000B2S6v</t>
  </si>
  <si>
    <t>AbbVie Investigator Satisfaction Survey #clinops</t>
  </si>
  <si>
    <t>0064L00000DMArw</t>
  </si>
  <si>
    <t>YIJIE Biotech Holding Ltd.</t>
  </si>
  <si>
    <t>Cell Therapy Capabiities Assessment #XPCONC</t>
  </si>
  <si>
    <t>0064L000003zkVA</t>
  </si>
  <si>
    <t>CDW Seller Pricing Playbook</t>
  </si>
  <si>
    <t>25/9/2020</t>
  </si>
  <si>
    <t>19/4/2022 9:51 pm</t>
  </si>
  <si>
    <t>Caitlyn Gaffney</t>
  </si>
  <si>
    <t>0064L00000BkyBn</t>
  </si>
  <si>
    <t>Synovus ncino FLOOD tool &lt;$50B</t>
  </si>
  <si>
    <t>0064L00000BewTD</t>
  </si>
  <si>
    <t>PTC (Pricing, Terms, &amp; Conditions)</t>
  </si>
  <si>
    <t>0064L00000BoB3v</t>
  </si>
  <si>
    <t>Cox Business Operating Model</t>
  </si>
  <si>
    <t>John Grendi</t>
  </si>
  <si>
    <t>0064L00000B1mzK</t>
  </si>
  <si>
    <t>Independent Bank Corporation</t>
  </si>
  <si>
    <t>Rockland Trust - Core Banking Platform Selection</t>
  </si>
  <si>
    <t>Kristin D'Ambrosio</t>
  </si>
  <si>
    <t>0064L00000Bf6Yz</t>
  </si>
  <si>
    <t>EVP/EX Measurement and Design</t>
  </si>
  <si>
    <t>Jeffrey Jolton</t>
  </si>
  <si>
    <t>0064L000007W9yv</t>
  </si>
  <si>
    <t>DEI Assessment</t>
  </si>
  <si>
    <t>0064L00000DLQGM</t>
  </si>
  <si>
    <t>Gilead VOP</t>
  </si>
  <si>
    <t>0064L000003ygTV</t>
  </si>
  <si>
    <t>Integris Health Inc.</t>
  </si>
  <si>
    <t>*SMART* License - Integris</t>
  </si>
  <si>
    <t>28/8/2020</t>
  </si>
  <si>
    <t>0064L00000DLQHU</t>
  </si>
  <si>
    <t>Gilead: R&amp;D - T&amp;I RFP</t>
  </si>
  <si>
    <t>Heidi Kavanaugh</t>
  </si>
  <si>
    <t>0064L00000DLQI3</t>
  </si>
  <si>
    <t>Gilead: R&amp;D - NextGen PoC RFP</t>
  </si>
  <si>
    <t>0064L00000B2A46</t>
  </si>
  <si>
    <t>IoT Roadmap</t>
  </si>
  <si>
    <t>0064L00000DMB63</t>
  </si>
  <si>
    <t>Close Optimization</t>
  </si>
  <si>
    <t>Zimmer Llapashtica</t>
  </si>
  <si>
    <t>Madeline Ford</t>
  </si>
  <si>
    <t>0064L00000DJYod</t>
  </si>
  <si>
    <t>TIGER - Portfolio Planning 2.0</t>
  </si>
  <si>
    <t>0064L000009AQTe</t>
  </si>
  <si>
    <t>Cone Health</t>
  </si>
  <si>
    <t>Cone Health - DFD Release 2.2 Implementation</t>
  </si>
  <si>
    <t>0064L00000Bkwi6</t>
  </si>
  <si>
    <t>Onboard Services</t>
  </si>
  <si>
    <t>Lara Carter</t>
  </si>
  <si>
    <t>0064L00000D8VER</t>
  </si>
  <si>
    <t>Microsoft Surface Marketing FY23 Q1 Calculator</t>
  </si>
  <si>
    <t>Kate Kennard</t>
  </si>
  <si>
    <t>0064L0000068zqB</t>
  </si>
  <si>
    <t>Horizon - Product Management - Future of Product #PayerCO&amp;ITrans</t>
  </si>
  <si>
    <t>0064L000009B1pE</t>
  </si>
  <si>
    <t>Enabling Outcome Based Contracting</t>
  </si>
  <si>
    <t>0064L00000D97OL</t>
  </si>
  <si>
    <t>FUNDACION MAPFRE FUNDACION CULTURAL PRIVADA</t>
  </si>
  <si>
    <t>MAPFRE Battlefield Affinity Extension</t>
  </si>
  <si>
    <t>0064L00000DLOgr</t>
  </si>
  <si>
    <t>RGM Promo Strategy Playbook Development</t>
  </si>
  <si>
    <t>0064L00000CGyh1</t>
  </si>
  <si>
    <t>Blue Owl Capital Inc.</t>
  </si>
  <si>
    <t>Blue Owl - iOS Application Build</t>
  </si>
  <si>
    <t>Alex Chung</t>
  </si>
  <si>
    <t>0064L00000CGyfU</t>
  </si>
  <si>
    <t>Lucid Motors - BlackLine Implementation</t>
  </si>
  <si>
    <t>Jon Jameson</t>
  </si>
  <si>
    <t>0064L00000D97U4</t>
  </si>
  <si>
    <t>MAPFRE Customer MDM Strategy</t>
  </si>
  <si>
    <t>0064L00000BnKyt</t>
  </si>
  <si>
    <t>#Coupa Supplier Enablement &amp; S2P Rapid Diagnostic</t>
  </si>
  <si>
    <t>0064L00000BgYLD</t>
  </si>
  <si>
    <t>Payments Hub Migration Plan &amp; Orchestration Layer Design</t>
  </si>
  <si>
    <t>0064L000009flAV</t>
  </si>
  <si>
    <t>Moderna Pricing &amp; Contracting Process Design</t>
  </si>
  <si>
    <t>0064L00000BorNK</t>
  </si>
  <si>
    <t>Cook Medical Pricing and Revenue Leakage Assessment *Pricing*</t>
  </si>
  <si>
    <t>0064L00000D96Ba</t>
  </si>
  <si>
    <t>AdMat Pricing Organizational Design</t>
  </si>
  <si>
    <t>0064L00000Bp0lh</t>
  </si>
  <si>
    <t>GP - HR Shared Service Activity Analysis + Benchmarking</t>
  </si>
  <si>
    <t>0064L000003yVAX</t>
  </si>
  <si>
    <t>Swap Dealer Phase 2</t>
  </si>
  <si>
    <t>0064L00000DJXKs</t>
  </si>
  <si>
    <t>Amrock IVR Implementation &amp; Contact Center Transformation</t>
  </si>
  <si>
    <t>0064L00000BmIAt</t>
  </si>
  <si>
    <t>Atlas Holdings, LLC</t>
  </si>
  <si>
    <t>Pricing Efficiency and Effectiveness</t>
  </si>
  <si>
    <t>0064L00000DLMUh</t>
  </si>
  <si>
    <t>Consumer Cellular - Media Intelligence</t>
  </si>
  <si>
    <t>0064L000006B2AE</t>
  </si>
  <si>
    <t>M&amp;A Playbook &amp; Capacity Expansion</t>
  </si>
  <si>
    <t>0064L00000BlEkZ</t>
  </si>
  <si>
    <t>PFG Source to Pay</t>
  </si>
  <si>
    <t>0064L00000BmIPe</t>
  </si>
  <si>
    <t>Silicon Valley Campus (SVC) Capital Project Process and Control Review</t>
  </si>
  <si>
    <t>0064L00000DLojB</t>
  </si>
  <si>
    <t>Market Sizing &amp; Product Design Requirements #XPCONC</t>
  </si>
  <si>
    <t>Alexa Grimes</t>
  </si>
  <si>
    <t>0064L00000Bm733</t>
  </si>
  <si>
    <t>Reimagine Campaign - Phase 1 (Assess)</t>
  </si>
  <si>
    <t>0064L00000D8d2K</t>
  </si>
  <si>
    <t>Cuprum Auto_Operational Excellence</t>
  </si>
  <si>
    <t>0064L000004vdbm</t>
  </si>
  <si>
    <t>Ohiohealth Corporation</t>
  </si>
  <si>
    <t>*SMART* License - OhioHealth</t>
  </si>
  <si>
    <t>0064L00000D93ac</t>
  </si>
  <si>
    <t>Clearwater Implementation (Consulting - AWM) - Pre Implementation</t>
  </si>
  <si>
    <t>Ayesha Umar</t>
  </si>
  <si>
    <t>0064L00000CWtgx</t>
  </si>
  <si>
    <t>Vendor Rationalization #S&amp;P#POD</t>
  </si>
  <si>
    <t>Michael LeVangie</t>
  </si>
  <si>
    <t>0064L00000D8cis</t>
  </si>
  <si>
    <t>Sam's Club Co Brand Card Program Optimization (follow on from SYF assessment)</t>
  </si>
  <si>
    <t>0064L00000CWtn9</t>
  </si>
  <si>
    <t>Molina Quality Management Office Mobilization #GCOE</t>
  </si>
  <si>
    <t>0064L00000B0zIY</t>
  </si>
  <si>
    <t>Metaverse strategy and roadmap</t>
  </si>
  <si>
    <t>0064L00000Bm4nw</t>
  </si>
  <si>
    <t>Access Center Consulting Services</t>
  </si>
  <si>
    <t>0064L000002ZNlW</t>
  </si>
  <si>
    <t>Capital Project Execution Playbook</t>
  </si>
  <si>
    <t>0064L00000Aq6kh</t>
  </si>
  <si>
    <t>W.W. Grainger, Inc.</t>
  </si>
  <si>
    <t>Grainger - Sourcing &amp; Supplier Management Optimization</t>
  </si>
  <si>
    <t>0064I00000y80nM</t>
  </si>
  <si>
    <t>Bimbo Bakeries RGM Diagnostic PA #RGM</t>
  </si>
  <si>
    <t>28/10/2019</t>
  </si>
  <si>
    <t>0064L00000CH559</t>
  </si>
  <si>
    <t>AGT Portfolio Strategy Development</t>
  </si>
  <si>
    <t>0064L00000CXx27</t>
  </si>
  <si>
    <t>U.S. Bank National Association</t>
  </si>
  <si>
    <t>U.S. BANK HOME EQUITY - CUSTOMER LINK</t>
  </si>
  <si>
    <t>Daniel Hoag</t>
  </si>
  <si>
    <t>0064L000002abEA</t>
  </si>
  <si>
    <t>Capital Allocation Structures</t>
  </si>
  <si>
    <t>0064L00000D9275</t>
  </si>
  <si>
    <t>Brazil Finance TOM Evaluation</t>
  </si>
  <si>
    <t>0064L00000AqFrj</t>
  </si>
  <si>
    <t>WIM Policy &amp; Procedure Remediation</t>
  </si>
  <si>
    <t>0064L00000DFyrK</t>
  </si>
  <si>
    <t>The Gap Inc</t>
  </si>
  <si>
    <t>Merchandise Product Hierarchy #CMRetail #RMO</t>
  </si>
  <si>
    <t>0064L00000DFiS5</t>
  </si>
  <si>
    <t>AT&amp;T Business Sales Offload Time &amp; Motion Study</t>
  </si>
  <si>
    <t>0064L000002aAIV</t>
  </si>
  <si>
    <t>Hyundai Motor Company</t>
  </si>
  <si>
    <t>Hyundai Heavy Equipment org. design</t>
  </si>
  <si>
    <t>0064L00000CXbxx</t>
  </si>
  <si>
    <t>Duracell - S2P Technology Selection, Design, Implementation #S&amp;P</t>
  </si>
  <si>
    <t>0064L000007xhNK</t>
  </si>
  <si>
    <t>Republic Job Architecture</t>
  </si>
  <si>
    <t>15/6/2021</t>
  </si>
  <si>
    <t>0064L00000D8qcg</t>
  </si>
  <si>
    <t>TE Connectivity Ltd.</t>
  </si>
  <si>
    <t>S/4 Finance Fit Gap Assessment</t>
  </si>
  <si>
    <t>Don Christian</t>
  </si>
  <si>
    <t>0064L000009feZa</t>
  </si>
  <si>
    <t>Omnichannel Pricing Strategy</t>
  </si>
  <si>
    <t>0064L00000Bm2Ih</t>
  </si>
  <si>
    <t>Dexcom - Smart Factory PoC - ~$350k</t>
  </si>
  <si>
    <t>0064L00000CYU2G</t>
  </si>
  <si>
    <t>#IOBP - AMP e7 Upgrade Support</t>
  </si>
  <si>
    <t>0064L00000DFWTa</t>
  </si>
  <si>
    <t>Payment Hub Vendor Selection #Volante</t>
  </si>
  <si>
    <t>Taya Buranakitpaiboon</t>
  </si>
  <si>
    <t>0064I00000y7SY9</t>
  </si>
  <si>
    <t>Behavioral Segmentation Analytics</t>
  </si>
  <si>
    <t>NP.MS.EV.FALL EXCHANGE_VHNHPHLMH6Q_10FY20</t>
  </si>
  <si>
    <t>0064L00000DFiA6</t>
  </si>
  <si>
    <t>MAPFRE Customer Analytics Loyalty Pilot</t>
  </si>
  <si>
    <t>0064L00000DFiDt</t>
  </si>
  <si>
    <t>mRNA Competitive War Games Phase 2</t>
  </si>
  <si>
    <t>0064L000003zbSb</t>
  </si>
  <si>
    <t>IBC Transparency in Coverage analysis #D&amp;A #HVM</t>
  </si>
  <si>
    <t>0064L00000BnFgK</t>
  </si>
  <si>
    <t>#MedAffairs #RWDEvGen - - RWE Governance &amp; Operations</t>
  </si>
  <si>
    <t>0064L00000DFW1W</t>
  </si>
  <si>
    <t>Charter Manufacturing Company Inc.</t>
  </si>
  <si>
    <t>Anuj Mody</t>
  </si>
  <si>
    <t>0064L00000ApcDV</t>
  </si>
  <si>
    <t>*RC Tech* *Rev Cycle*</t>
  </si>
  <si>
    <t>0064L0000099127</t>
  </si>
  <si>
    <t>American Public Education Inc.</t>
  </si>
  <si>
    <t>90/10 Response Strategy</t>
  </si>
  <si>
    <t>15/7/2021</t>
  </si>
  <si>
    <t>0064I0000134fzO</t>
  </si>
  <si>
    <t>*SMART* OP - RWJBarnabas Health</t>
  </si>
  <si>
    <t>15/3/2020</t>
  </si>
  <si>
    <t>0064L00000CY0tx</t>
  </si>
  <si>
    <t>Terumo Corporation</t>
  </si>
  <si>
    <t>#QMS PostMarket Quality Transformation Phase 1</t>
  </si>
  <si>
    <t>0064L00000ArFrO</t>
  </si>
  <si>
    <t>Product and Engineering Transformation Phase 2</t>
  </si>
  <si>
    <t>0064L000002LS97</t>
  </si>
  <si>
    <t>FCCS Phase 2 Support</t>
  </si>
  <si>
    <t>0064L00000BnyIx</t>
  </si>
  <si>
    <t>Rocket Companies #MI - TV Assessment</t>
  </si>
  <si>
    <t>0064L00000Ar6Z6</t>
  </si>
  <si>
    <t>C&amp;W - Brokerage Optimization - FA Pool Rollout Support</t>
  </si>
  <si>
    <t>0064L00000DFxlL</t>
  </si>
  <si>
    <t>TMS Process Design</t>
  </si>
  <si>
    <t>0064L00000Boj3g</t>
  </si>
  <si>
    <t>CHS PRS Cash Plan *Strategic Reimbursement*</t>
  </si>
  <si>
    <t>0064L00000CY0M0</t>
  </si>
  <si>
    <t>#QMS PostMarket Quality Quality Transformation - Phase 1</t>
  </si>
  <si>
    <t>0064L00000BoywO</t>
  </si>
  <si>
    <t>Allstate Procurement Category Sourcing | Phase 2</t>
  </si>
  <si>
    <t>0064L00000CWnTK</t>
  </si>
  <si>
    <t>CBRE IM - IA&amp;R Process Optimization</t>
  </si>
  <si>
    <t>0064L00000B23hY</t>
  </si>
  <si>
    <t>Comm Real Estate LAS RFP Support</t>
  </si>
  <si>
    <t>Terry Sparks</t>
  </si>
  <si>
    <t>0064L00000DJbLo</t>
  </si>
  <si>
    <t>MSFT ENGCLA FY23 Engineering Learning Extension of Instructional Design Support</t>
  </si>
  <si>
    <t>0064L00000BfolM</t>
  </si>
  <si>
    <t>Net Zero Roadmap</t>
  </si>
  <si>
    <t>Bassem Salama</t>
  </si>
  <si>
    <t>0064L00000DG4gS</t>
  </si>
  <si>
    <t>Commerce Bancshares Inc.</t>
  </si>
  <si>
    <t>Corporate Finance System Solution</t>
  </si>
  <si>
    <t>0064L00000DLxEs</t>
  </si>
  <si>
    <t>CFG Consumer Business Competitive Assessment</t>
  </si>
  <si>
    <t>0064L000007wqju</t>
  </si>
  <si>
    <t>Pricing and Monetization of Digital Therapeutics and Digital Companion Apps</t>
  </si>
  <si>
    <t>0064L00000D8mW0</t>
  </si>
  <si>
    <t>BMC Forecasting Assessment</t>
  </si>
  <si>
    <t>0064L00000B1dcC</t>
  </si>
  <si>
    <t>Fulton Financial Corporation</t>
  </si>
  <si>
    <t>Process Optimization - Operations</t>
  </si>
  <si>
    <t>0064L00000CY0AP</t>
  </si>
  <si>
    <t>ZimVie Inc.</t>
  </si>
  <si>
    <t>0064L00000CY0AO</t>
  </si>
  <si>
    <t>Cutera Inc.</t>
  </si>
  <si>
    <t>0064L00000CY0AT</t>
  </si>
  <si>
    <t>#QMS Fortive ASP PostMarket Quality Transformation - Phase 1</t>
  </si>
  <si>
    <t>0064L00000Boymn</t>
  </si>
  <si>
    <t>Project Magellan - Broadcast Stations</t>
  </si>
  <si>
    <t>0064L00000DM4w9</t>
  </si>
  <si>
    <t>0064L000001uZz5</t>
  </si>
  <si>
    <t>AA - Catering Supply Chain - Sourcing Cost Reduction #Profit</t>
  </si>
  <si>
    <t>Douglas Truchan</t>
  </si>
  <si>
    <t>0064L00000DMGAe</t>
  </si>
  <si>
    <t>FB: IBOS Network Design</t>
  </si>
  <si>
    <t>0064L00000Bd3rl</t>
  </si>
  <si>
    <t>Partnership Design</t>
  </si>
  <si>
    <t>0064L00000Bd3rj</t>
  </si>
  <si>
    <t>Defining the Customer Experience</t>
  </si>
  <si>
    <t>0064L00000Bd3sg</t>
  </si>
  <si>
    <t>Defining IT Strategy and Operating Model</t>
  </si>
  <si>
    <t>0064L00000Bd3su</t>
  </si>
  <si>
    <t>Envisioning the Data and Analytics Design</t>
  </si>
  <si>
    <t>0064L00000DMGPA</t>
  </si>
  <si>
    <t>#IOBP - Astellas OPR Extension</t>
  </si>
  <si>
    <t>0064L000007wo7P</t>
  </si>
  <si>
    <t>Vitro, S.A.B. de C.V.</t>
  </si>
  <si>
    <t>FY21 - Vitro - Strategic Market Assessment for business growth</t>
  </si>
  <si>
    <t>0064L00000BntFd</t>
  </si>
  <si>
    <t>S&amp;OP Third Party Assessment - Phase 1</t>
  </si>
  <si>
    <t>0064L00000BntFi</t>
  </si>
  <si>
    <t>Aesthetics Operations - Electromechanical Operating Model Design</t>
  </si>
  <si>
    <t>0064L00000CVgZz</t>
  </si>
  <si>
    <t>NATIONAL RURAL TELECOMMUNICATIONS Coop.</t>
  </si>
  <si>
    <t>NRTC Sales Operating Model Assessment</t>
  </si>
  <si>
    <t>Karthikeyan Chandran</t>
  </si>
  <si>
    <t>0064L00000BnbhH</t>
  </si>
  <si>
    <t>Intel - IFS CRM Implementation Support</t>
  </si>
  <si>
    <t>0064L00000CWkAy</t>
  </si>
  <si>
    <t>Vail Resorts Inc.</t>
  </si>
  <si>
    <t>Digital Strategy</t>
  </si>
  <si>
    <t>0064L00000DLTAq</t>
  </si>
  <si>
    <t>#IOBP - Resource Management Assessment</t>
  </si>
  <si>
    <t>0064L00000DLugT</t>
  </si>
  <si>
    <t>Project Grand 2.0 - ManCo Finance</t>
  </si>
  <si>
    <t>0064L00000BdCxN</t>
  </si>
  <si>
    <t>Roku Inc.</t>
  </si>
  <si>
    <t>Roku Close Acceleration Assessment</t>
  </si>
  <si>
    <t>Angela Moore</t>
  </si>
  <si>
    <t>0064L00000DLuq4</t>
  </si>
  <si>
    <t>0064L000009AfSb</t>
  </si>
  <si>
    <t>Association of National Advertisers Inc.</t>
  </si>
  <si>
    <t>ANA #MI - Phase 2</t>
  </si>
  <si>
    <t>26/12/2022</t>
  </si>
  <si>
    <t>0064L000007twVw</t>
  </si>
  <si>
    <t>CUNA Mutual Corporate Performance Office Support</t>
  </si>
  <si>
    <t>18/4/2021</t>
  </si>
  <si>
    <t>0064L00000DLusK</t>
  </si>
  <si>
    <t>0064L00000B2S7U</t>
  </si>
  <si>
    <t>AbbVie ClinOps Benchmarking #clinops</t>
  </si>
  <si>
    <t>0064L00000BoSeE</t>
  </si>
  <si>
    <t>James Hardie Industries Public Limited Company</t>
  </si>
  <si>
    <t>GPO Model Design</t>
  </si>
  <si>
    <t>Jonathan Bacon</t>
  </si>
  <si>
    <t>0064L00000DME7J</t>
  </si>
  <si>
    <t>UCT: Supply Chain Resilience Assessment</t>
  </si>
  <si>
    <t>0064L00000DME8W</t>
  </si>
  <si>
    <t>Springworks Therapeutics Inc.</t>
  </si>
  <si>
    <t>Springworks GTN and GP Launch Support *Pricing*</t>
  </si>
  <si>
    <t>Thomas Bogle</t>
  </si>
  <si>
    <t>0064L00000D8zlW</t>
  </si>
  <si>
    <t>Revenue Accounting - Shared Services Operating Model</t>
  </si>
  <si>
    <t>0064L00000DMECx</t>
  </si>
  <si>
    <t>ILC Carveout - Mkt / Commercial Diligence</t>
  </si>
  <si>
    <t>0064L00000BnbXg</t>
  </si>
  <si>
    <t>Finance Systems Roadmap</t>
  </si>
  <si>
    <t>0064L00000BkuZ2</t>
  </si>
  <si>
    <t>Asset Knowledge Management - Mapping Cycle Time</t>
  </si>
  <si>
    <t>0064L00000DLrUz</t>
  </si>
  <si>
    <t>Inova Health - *SMART* IP License Renewal - FY23</t>
  </si>
  <si>
    <t>0064L00000DFch9</t>
  </si>
  <si>
    <t>Inova Health - *SMART* IP License - FY23 Renewal</t>
  </si>
  <si>
    <t>0064L00000DJUNx</t>
  </si>
  <si>
    <t>HCSC Clinical Technology Transformation #HVM #GCOE</t>
  </si>
  <si>
    <t>Michelle Chen</t>
  </si>
  <si>
    <t>0064L00000BmsVp</t>
  </si>
  <si>
    <t>GCD NPI Baseline &amp; Assessment - PVT &amp; GA Ramp</t>
  </si>
  <si>
    <t>Alana Payne</t>
  </si>
  <si>
    <t>0064L00000Bl0yr</t>
  </si>
  <si>
    <t>MSFT HR FY22 TM Strategy and PM Support</t>
  </si>
  <si>
    <t>0064L0000099wGG</t>
  </si>
  <si>
    <t>Ochsner Health System</t>
  </si>
  <si>
    <t>Ochsner Health System - *SMART* License  IP Renewal - FY22</t>
  </si>
  <si>
    <t>0064L000009f3zV</t>
  </si>
  <si>
    <t>Walmart Co-Branded Credit Card - Vendor Data integrity &amp; controls</t>
  </si>
  <si>
    <t>Matt Seiler</t>
  </si>
  <si>
    <t>0064L00000CY3Dk</t>
  </si>
  <si>
    <t>COGS Process Improvement and System Migration Support</t>
  </si>
  <si>
    <t>0064L00000DMEJZ</t>
  </si>
  <si>
    <t>Ochsner Health System - *SMART* License  IP Renewal - FY23</t>
  </si>
  <si>
    <t>0064L00000DJn4n</t>
  </si>
  <si>
    <t>Sentara Healthcare</t>
  </si>
  <si>
    <t>Sentara - HR Process and WD Remediation for Contingent Labor &amp; Internal Transfers</t>
  </si>
  <si>
    <t>0064L00000CH7gw</t>
  </si>
  <si>
    <t>THL - Dayforce Implementation Phase 2</t>
  </si>
  <si>
    <t>Mary Jane Nicklies</t>
  </si>
  <si>
    <t>0064L00000DLr1X</t>
  </si>
  <si>
    <t>MP - UCB IncD PO&amp;BR Extension 1 (Aug-Sep)</t>
  </si>
  <si>
    <t>0064L00000BfefU</t>
  </si>
  <si>
    <t>Potential work after ESG Net Zero</t>
  </si>
  <si>
    <t>0064L00000Bgeq0</t>
  </si>
  <si>
    <t>Grupo Bal, S.A. de C.V.</t>
  </si>
  <si>
    <t>Gestión de demanda</t>
  </si>
  <si>
    <t>0064L00000BfTVk</t>
  </si>
  <si>
    <t>CEG Bridge Phase</t>
  </si>
  <si>
    <t>Patrick Maher</t>
  </si>
  <si>
    <t>0064L00000Bfe4J</t>
  </si>
  <si>
    <t>Introducing a Consumption Pricing Capability</t>
  </si>
  <si>
    <t>0064L00000D8rOa</t>
  </si>
  <si>
    <t>Flexcard TOM Roadmap and Planning - Phase 1</t>
  </si>
  <si>
    <t>0064L00000Aqypp</t>
  </si>
  <si>
    <t>SONENDO Inc.</t>
  </si>
  <si>
    <t>Rapid Product Development Tx</t>
  </si>
  <si>
    <t>0064L00000BmG0N</t>
  </si>
  <si>
    <t>#MedAffairs--Microbiome Digital Twin MSLs</t>
  </si>
  <si>
    <t>0064L00000DFhmR</t>
  </si>
  <si>
    <t>M&amp;A Integration Playbook</t>
  </si>
  <si>
    <t>Dylan Pereira</t>
  </si>
  <si>
    <t>0064L00000CYBRB</t>
  </si>
  <si>
    <t>Citrix CDP Assessment &amp; Design</t>
  </si>
  <si>
    <t>0064L00000BnDdI</t>
  </si>
  <si>
    <t>TAIWAN SEMICONDUCTOR MANUFACTURING COMPANY LTD.</t>
  </si>
  <si>
    <t>HR Dashboard Support</t>
  </si>
  <si>
    <t>0064I00000qsg5N</t>
  </si>
  <si>
    <t>*SMART* License - Scripps</t>
  </si>
  <si>
    <t>0064I00000qsg5D</t>
  </si>
  <si>
    <t>*SMART* License - Multicare Health</t>
  </si>
  <si>
    <t>0064L00000CYpUb</t>
  </si>
  <si>
    <t>BCBSM Behavioral Health Discovery #HVM</t>
  </si>
  <si>
    <t>0064L0000041Pg3</t>
  </si>
  <si>
    <t>Data &amp; Analytics Op Model Design</t>
  </si>
  <si>
    <t>0064L00000BovEI</t>
  </si>
  <si>
    <t>IT Roadmap Consolidation &amp; Portfolio Management Strategy</t>
  </si>
  <si>
    <t>0064L000002Zd7h</t>
  </si>
  <si>
    <t>SPM Implementation - SoldQuota/Einstein CR #RocktheSEPipe</t>
  </si>
  <si>
    <t>0064I000011o2W2</t>
  </si>
  <si>
    <t>Imperial Investments Group &amp; Evolution Hotels</t>
  </si>
  <si>
    <t>IGP - Hilton Anatole</t>
  </si>
  <si>
    <t>17/1/2020</t>
  </si>
  <si>
    <t>Connected Solutions</t>
  </si>
  <si>
    <t>Gwen Whitman</t>
  </si>
  <si>
    <t>0064L00000Bp15D</t>
  </si>
  <si>
    <t>Promo Melga Sl</t>
  </si>
  <si>
    <t>Grupo Sese - US Task Force Support - Phase 4</t>
  </si>
  <si>
    <t>0064L00000Bmny1</t>
  </si>
  <si>
    <t>CDW - Finance Transformation Office</t>
  </si>
  <si>
    <t>Pierre Monperrus</t>
  </si>
  <si>
    <t>Kara Blocklinger</t>
  </si>
  <si>
    <t>0064L00000CXRLo</t>
  </si>
  <si>
    <t>Grupo P.D.C., Sociedad Anonima</t>
  </si>
  <si>
    <t>PDC Consumo - Inorganic Growth Startegy</t>
  </si>
  <si>
    <t>0064L00000CXa3r</t>
  </si>
  <si>
    <t>Syneos Health - Phase 2 Supplier Diversity Program Implementation #S&amp;P #ESG</t>
  </si>
  <si>
    <t>0064L00000CXR5u</t>
  </si>
  <si>
    <t>*SMART* OP License - Nuvance Health</t>
  </si>
  <si>
    <t>0064L00000DJRtb</t>
  </si>
  <si>
    <t>Crestview Advisors, L.L.C.</t>
  </si>
  <si>
    <t>Emerald Talent Architecture</t>
  </si>
  <si>
    <t>0064L00000B1Dsp</t>
  </si>
  <si>
    <t>MSFT Data Center Capital Project Policy and Process Assessment</t>
  </si>
  <si>
    <t>0064L00000D93rx</t>
  </si>
  <si>
    <t>Project Atlas - Program Support</t>
  </si>
  <si>
    <t>James Osborne</t>
  </si>
  <si>
    <t>Emily Joseph</t>
  </si>
  <si>
    <t>0064L00000Bn6QN</t>
  </si>
  <si>
    <t>Baker Hughes #ProEdge - Production - #ProEdgexESG</t>
  </si>
  <si>
    <t>ProEdge - #ESG #ProEdgexESG (Investment)</t>
  </si>
  <si>
    <t>Rian Oosthuizen</t>
  </si>
  <si>
    <t>0064L00000D91pz</t>
  </si>
  <si>
    <t>Hendrick Health System</t>
  </si>
  <si>
    <t>Hendrick Wage Index-Occ Mix FFY 2024-2026</t>
  </si>
  <si>
    <t>Walter Benton</t>
  </si>
  <si>
    <t>0064L000009Ak87</t>
  </si>
  <si>
    <t>Customer Link OI/IO</t>
  </si>
  <si>
    <t>0064L000002b7jw</t>
  </si>
  <si>
    <t>Cardinal Health Plastics Category Strategy</t>
  </si>
  <si>
    <t>0064L000003z2k8</t>
  </si>
  <si>
    <t>Avangrid H&amp;W Expanded Scope</t>
  </si>
  <si>
    <t>Erica Suh</t>
  </si>
  <si>
    <t>0064L00000B26mp</t>
  </si>
  <si>
    <t>Grupo Lala, S.A.B. de C.V.</t>
  </si>
  <si>
    <t>Operacionalización ESG</t>
  </si>
  <si>
    <t>Eduardo Reyes</t>
  </si>
  <si>
    <t>0064L000009g32b</t>
  </si>
  <si>
    <t>MCL GTM Effectiveness</t>
  </si>
  <si>
    <t>0064L00000DJVb7</t>
  </si>
  <si>
    <t>SPB #Coupa S2P Implementation: Build Phase</t>
  </si>
  <si>
    <t>0064L00000CWbpP</t>
  </si>
  <si>
    <t>M2GEN - Business Model Commercialization w/ ORIEN Network #RWDEvGen</t>
  </si>
  <si>
    <t>0064L000001vfnb</t>
  </si>
  <si>
    <t>AA - Fare Trace Pilot</t>
  </si>
  <si>
    <t>0064L000007E2PV</t>
  </si>
  <si>
    <t>IDBNY TOM and Capabilities Assessment #&lt;$50B #SCB</t>
  </si>
  <si>
    <t>0064L00000BlwXp</t>
  </si>
  <si>
    <t>*CI* TGH Research IP Assessment</t>
  </si>
  <si>
    <t>0064L0000099Ttu</t>
  </si>
  <si>
    <t>Shell - Greenlots Operations Execution - Charging Stations</t>
  </si>
  <si>
    <t>0064L00000CW0U8</t>
  </si>
  <si>
    <t>DE&amp;I Program: Governance and mobilization assistance</t>
  </si>
  <si>
    <t>Min Matson</t>
  </si>
  <si>
    <t>0064L00000DLKrj</t>
  </si>
  <si>
    <t>Cargill P2P Integration and Optimization</t>
  </si>
  <si>
    <t>0064L00000993M6</t>
  </si>
  <si>
    <t>Blue Apron, LLC</t>
  </si>
  <si>
    <t>Blue Apron - Media Mix Analysis</t>
  </si>
  <si>
    <t>0064L00000CH5PT</t>
  </si>
  <si>
    <t>TPG Appian Support</t>
  </si>
  <si>
    <t>0064L00000CH5R1</t>
  </si>
  <si>
    <t>MSFT OAB FY23 MSA PIQ support #TMTSales</t>
  </si>
  <si>
    <t>0064L00000D8tdA</t>
  </si>
  <si>
    <t>Employee Engagement Survey</t>
  </si>
  <si>
    <t>0064L00000DJVro</t>
  </si>
  <si>
    <t>BCBSM Mainframe Architecture</t>
  </si>
  <si>
    <t>Andrew Castillo</t>
  </si>
  <si>
    <t>0064L000002asy1</t>
  </si>
  <si>
    <t>Temple University Health System</t>
  </si>
  <si>
    <t>Temple Health Digital Strategy and Roadmap</t>
  </si>
  <si>
    <t>0064L00000BfeX1</t>
  </si>
  <si>
    <t>Talent Strategy - Top Roles Planning</t>
  </si>
  <si>
    <t>0064L00000993Ni</t>
  </si>
  <si>
    <t>Blue Apron - Supply Path Optimization</t>
  </si>
  <si>
    <t>0064L00000D94ED</t>
  </si>
  <si>
    <t>Marsh &amp; McLennan Companies, Inc.</t>
  </si>
  <si>
    <t>PCS Strategy - Transformation Mobilization (Phase 1b)</t>
  </si>
  <si>
    <t>PCS Strategy - Transformation Business Case</t>
  </si>
  <si>
    <t>0064L00000CXfgp</t>
  </si>
  <si>
    <t>KCNA TPM Assessment - S4 program</t>
  </si>
  <si>
    <t>0064L00000DJVwU</t>
  </si>
  <si>
    <t>Oncology marketing and sales excellence [placeholder]</t>
  </si>
  <si>
    <t>0064L00000CXVIg</t>
  </si>
  <si>
    <t>JetBlue Finance Operating Model / Sourcing Assessment</t>
  </si>
  <si>
    <t>0064L00000CVPBu</t>
  </si>
  <si>
    <t>Project Alpha: implementation planning and mobilization #PayerCO&amp;ITrans</t>
  </si>
  <si>
    <t>0064L0000040WrX</t>
  </si>
  <si>
    <t>BSC - ProEdge</t>
  </si>
  <si>
    <t>15/10/2020</t>
  </si>
  <si>
    <t>Steve Bowman</t>
  </si>
  <si>
    <t>0064L00000DLoDP</t>
  </si>
  <si>
    <t>Shinagawa Refractories Co., Ltd.</t>
  </si>
  <si>
    <t>SB-IT Carveout</t>
  </si>
  <si>
    <t>0064L00000BfCZW</t>
  </si>
  <si>
    <t>NetJets Coupa SIM Implementation</t>
  </si>
  <si>
    <t>0064L000003zepo</t>
  </si>
  <si>
    <t>El Pollo Loco Holdings Inc</t>
  </si>
  <si>
    <t>Profitability Improvement #Profit</t>
  </si>
  <si>
    <t>0064L000009AMUd</t>
  </si>
  <si>
    <t>#MedAffairs #RWDEvGen -- Evidence Generation Governance and Framework (Amgen)</t>
  </si>
  <si>
    <t>0064L00000DLKDt</t>
  </si>
  <si>
    <t>RWE NBG Strategy for Lecanemab #RWDEvGen</t>
  </si>
  <si>
    <t>0064L00000706R8</t>
  </si>
  <si>
    <t>Microsoft Surface DaaS Phase 3 (Readiness)</t>
  </si>
  <si>
    <t>0064L00000Bl2P5</t>
  </si>
  <si>
    <t>GE GP Aero S&amp;OP</t>
  </si>
  <si>
    <t>0064L00000D8aq1</t>
  </si>
  <si>
    <t>Sales Compensation Assessment</t>
  </si>
  <si>
    <t>0064L00000D8aqG</t>
  </si>
  <si>
    <t>Elk Grove Data Center</t>
  </si>
  <si>
    <t>0064L000002ZNir</t>
  </si>
  <si>
    <t>TECHTRONIC INDUSTRIES COMPANY LIMITED</t>
  </si>
  <si>
    <t>Milwaukee Tool Performance Analyzer #RGM</t>
  </si>
  <si>
    <t>0064L000002ZNk4</t>
  </si>
  <si>
    <t>Halo Top International LLC</t>
  </si>
  <si>
    <t>Halo Top Performance Analyzer #RGM</t>
  </si>
  <si>
    <t>0064L00000DLKJw</t>
  </si>
  <si>
    <t>Samsung Elec Supply Base Review (Washing machines)</t>
  </si>
  <si>
    <t>0064L000002ZNjV</t>
  </si>
  <si>
    <t>King's Hawaiian Holding Company Inc.</t>
  </si>
  <si>
    <t>King's Hawaiian Performance Analyzer #RGM</t>
  </si>
  <si>
    <t>0064L00000BgVHg</t>
  </si>
  <si>
    <t>Gilead:IT  Gilead NextGen Clinical Platform PoC #R&amp;DAutomation</t>
  </si>
  <si>
    <t>0064L000002ZNlM</t>
  </si>
  <si>
    <t>Klein Tools, Inc.</t>
  </si>
  <si>
    <t>Klein Tools Performance Analyzer #RGM</t>
  </si>
  <si>
    <t>0064L00000BmFZD</t>
  </si>
  <si>
    <t>GE Gas Power CoQ</t>
  </si>
  <si>
    <t>24/9/2022</t>
  </si>
  <si>
    <t>0064L00000CW061</t>
  </si>
  <si>
    <t>MassMutual Lead Generation</t>
  </si>
  <si>
    <t>21/12/2022</t>
  </si>
  <si>
    <t>Tord Tungesvik</t>
  </si>
  <si>
    <t>0064L00000CW084</t>
  </si>
  <si>
    <t>Digital Optimization</t>
  </si>
  <si>
    <t>0064L0000099h2h</t>
  </si>
  <si>
    <t>AFLAC - Dental &amp; Vision - Distribution Sales Support</t>
  </si>
  <si>
    <t>0064L00000DLJsq</t>
  </si>
  <si>
    <t>Yahoo! Equity Plan Vendor Implementation</t>
  </si>
  <si>
    <t>Gina Klein</t>
  </si>
  <si>
    <t>0064L00000B1jve</t>
  </si>
  <si>
    <t>Fluor Corporation</t>
  </si>
  <si>
    <t>Fluor - Operations Policy &amp; Procedures Benchmarking and Compliance Review - Phase 1</t>
  </si>
  <si>
    <t>20/9/2021</t>
  </si>
  <si>
    <t>0064L00000B1kTg</t>
  </si>
  <si>
    <t>#ClinTrialDesign - CORTEX Analytics Implementation</t>
  </si>
  <si>
    <t>0064L00000DJVWH</t>
  </si>
  <si>
    <t>PROVIDENT FINANCIAL SERVICES Inc.</t>
  </si>
  <si>
    <t>ESG Program Support #fsESG #fsclimaterisk</t>
  </si>
  <si>
    <t>0064L00000CXDHK</t>
  </si>
  <si>
    <t>International Rescue Committee Inc.</t>
  </si>
  <si>
    <t>Planning, Budgeting &amp; Forecasting</t>
  </si>
  <si>
    <t>0064L000009ewje</t>
  </si>
  <si>
    <t>Live Oak Finxact Discovery #&lt;$50B</t>
  </si>
  <si>
    <t>28/6/2021</t>
  </si>
  <si>
    <t>0064L000009fYGX</t>
  </si>
  <si>
    <t>BX Real Estate Fund Administration Selection Support</t>
  </si>
  <si>
    <t>0064L00000D91JK</t>
  </si>
  <si>
    <t>National Instruments Corporation</t>
  </si>
  <si>
    <t>NI Treasury Assessment</t>
  </si>
  <si>
    <t>0064L00000CH2bv</t>
  </si>
  <si>
    <t>LPL / Clearing and Settlement Technology Ecosystem Review / $300,000</t>
  </si>
  <si>
    <t>0064L00000CWQ95</t>
  </si>
  <si>
    <t>Workers Comp Growth Strategy: Business Insurance</t>
  </si>
  <si>
    <t>0064L000003ze0v</t>
  </si>
  <si>
    <t>RightAngle Managed Services</t>
  </si>
  <si>
    <t>0064I000014Jbum</t>
  </si>
  <si>
    <t>Baker Oracle EPM - Close Assessment #MW</t>
  </si>
  <si>
    <t>26/3/2020</t>
  </si>
  <si>
    <t>0064L00000BnZJA</t>
  </si>
  <si>
    <t>Experity - Interoperability Strategy and Plan</t>
  </si>
  <si>
    <t>0064L00000BmFIz</t>
  </si>
  <si>
    <t>Enterprise Analytics Strategy</t>
  </si>
  <si>
    <t>0064L00000CXTIS</t>
  </si>
  <si>
    <t>Haier US Appliance Solutions Inc.</t>
  </si>
  <si>
    <t>GE Appliances / Connected Home Ecosystem / #XPCGrowth</t>
  </si>
  <si>
    <t>0064L00000CVpGj</t>
  </si>
  <si>
    <t>0064L00000BolVI</t>
  </si>
  <si>
    <t>Servicing Oversight Reporting</t>
  </si>
  <si>
    <t>0064I0000133DJ9</t>
  </si>
  <si>
    <t>Allina Health System</t>
  </si>
  <si>
    <t>*SMART* IP - Allina Health</t>
  </si>
  <si>
    <t>0064L00000CYx0u</t>
  </si>
  <si>
    <t>Chubb Limited</t>
  </si>
  <si>
    <t>Agent Comp Current State Assessment</t>
  </si>
  <si>
    <t>Jackie McCadden</t>
  </si>
  <si>
    <t>0064L000006Wp0P</t>
  </si>
  <si>
    <t>GRM--BL/Small Commercial UW &amp; Pricing Strategy</t>
  </si>
  <si>
    <t>22/2/2021</t>
  </si>
  <si>
    <t>0064L00000Bld4J</t>
  </si>
  <si>
    <t>General Mills, Inc.</t>
  </si>
  <si>
    <t>Operationalize Brand Marketing</t>
  </si>
  <si>
    <t>0064L00000CWP81</t>
  </si>
  <si>
    <t>WATTS WATER TECHNOLOGIES, INC.</t>
  </si>
  <si>
    <t>Watts-Territory Pricing Uplift</t>
  </si>
  <si>
    <t>0064L00000CH2Hg</t>
  </si>
  <si>
    <t>GE Aviation MSO SAP</t>
  </si>
  <si>
    <t>0064L00000BgBjK</t>
  </si>
  <si>
    <t>CoP 2022/2023 Job Architecture</t>
  </si>
  <si>
    <t>Robert McIntosh</t>
  </si>
  <si>
    <t>0064L000003z34w</t>
  </si>
  <si>
    <t>IBC Payer Growth/#DVC #FFG</t>
  </si>
  <si>
    <t>0064L00000B2m3z</t>
  </si>
  <si>
    <t>WHR - AWS - People: Career Architecture</t>
  </si>
  <si>
    <t>0064L00000BgTRy</t>
  </si>
  <si>
    <t>Morgan Stanley ISG #Digitalassets</t>
  </si>
  <si>
    <t>0064L00000Ar7AC</t>
  </si>
  <si>
    <t>SK Blue Holdings, LP</t>
  </si>
  <si>
    <t>Sales / Supply Chain Optimization</t>
  </si>
  <si>
    <t>Steven Tess</t>
  </si>
  <si>
    <t>Michael Levitan</t>
  </si>
  <si>
    <t>0064L00000DFz3G</t>
  </si>
  <si>
    <t>Enterprise Learning Org:  Red Team Training Development</t>
  </si>
  <si>
    <t>Danielle VanDyke</t>
  </si>
  <si>
    <t>0064L000007YIbK</t>
  </si>
  <si>
    <t>GE Corporate InterCo Remediation</t>
  </si>
  <si>
    <t>0064L000001vPwI</t>
  </si>
  <si>
    <t>Jeffrey Smith</t>
  </si>
  <si>
    <t>0064L00000BmD4l</t>
  </si>
  <si>
    <t>#QMS Health@ Organization Value Profile</t>
  </si>
  <si>
    <t>Margo Stokum</t>
  </si>
  <si>
    <t>0064L00000CWMrz</t>
  </si>
  <si>
    <t>C2R - Last Mile Process Enhancement - Phase II</t>
  </si>
  <si>
    <t>C2R - Last Mile Process Enhancement</t>
  </si>
  <si>
    <t>0064L000009AjAR</t>
  </si>
  <si>
    <t>Assess Finance Operating Model with Central Finance</t>
  </si>
  <si>
    <t>0064L000001vaq6</t>
  </si>
  <si>
    <t>22/7/2020</t>
  </si>
  <si>
    <t>0064L00000DFWdp</t>
  </si>
  <si>
    <t>MSFT MCB Learning FY23 H1</t>
  </si>
  <si>
    <t>29/6/2022 9:57 pm</t>
  </si>
  <si>
    <t>Emily Folsom</t>
  </si>
  <si>
    <t>0064L00000BoZiq</t>
  </si>
  <si>
    <t>M&amp;A Market Scan</t>
  </si>
  <si>
    <t>0064L00000D8oHC</t>
  </si>
  <si>
    <t>Moderna R&amp;D Finance and Accruals Optimization</t>
  </si>
  <si>
    <t>0064L00000BlqnT</t>
  </si>
  <si>
    <t>Digital Supply Chain</t>
  </si>
  <si>
    <t>0064L000009fDY2</t>
  </si>
  <si>
    <t>MSK - IT Asset Management (Ph2)</t>
  </si>
  <si>
    <t>0064L00000DJbd4</t>
  </si>
  <si>
    <t>VW - Supplier Task Force SKBA - Phase 1</t>
  </si>
  <si>
    <t>0064I00000zSqbB</t>
  </si>
  <si>
    <t>ManCo Value Creation #Hawk</t>
  </si>
  <si>
    <t>0064L00000ArFm4</t>
  </si>
  <si>
    <t>R&amp;D Portfolio Management</t>
  </si>
  <si>
    <t>0064L00000BoZDE</t>
  </si>
  <si>
    <t>Finance of America Companies Inc.</t>
  </si>
  <si>
    <t>Finance of America Growth Strategy</t>
  </si>
  <si>
    <t>0064L00000CV9UR</t>
  </si>
  <si>
    <t>AbbVie Intercompany Reconciliation</t>
  </si>
  <si>
    <t>Michael Tann</t>
  </si>
  <si>
    <t>0064L000004wRxm</t>
  </si>
  <si>
    <t>Physician Relationship Management (PRM) Pilot</t>
  </si>
  <si>
    <t>0064L00000CYRJV</t>
  </si>
  <si>
    <t>Valley Health</t>
  </si>
  <si>
    <t>Valley Health Growth Strategy &amp; Capabilities (CDS)</t>
  </si>
  <si>
    <t>0064L00000CWM4J</t>
  </si>
  <si>
    <t>CVR - Maximo Upgrade (Project Renew)</t>
  </si>
  <si>
    <t>Deven Oza</t>
  </si>
  <si>
    <t>0064L000006iKe5</t>
  </si>
  <si>
    <t>Strategic Option - Assistance/Go Forward Plan</t>
  </si>
  <si>
    <t>0064L00000CWnZ1</t>
  </si>
  <si>
    <t>CPQ GTM Business Strategy</t>
  </si>
  <si>
    <t>0064L000004voNi</t>
  </si>
  <si>
    <t>MS Productivity Hub</t>
  </si>
  <si>
    <t>15/12/2020</t>
  </si>
  <si>
    <t>0064L00000BlrF8</t>
  </si>
  <si>
    <t>MCL Go Forward Strategy</t>
  </si>
  <si>
    <t>0064L00000CXNKK</t>
  </si>
  <si>
    <t>Trimble, Inc. ESG Salesforce Net Zero Cloud Implementation</t>
  </si>
  <si>
    <t>0064L00000BlpNe</t>
  </si>
  <si>
    <t>Norfolk Southern Corporation</t>
  </si>
  <si>
    <t>Norfolk Southern - Capital Assessment &amp; Sourcing</t>
  </si>
  <si>
    <t>0064L00000BlpO3</t>
  </si>
  <si>
    <t>Norfolk Southern - Procurement Transformation</t>
  </si>
  <si>
    <t>0064L00000BlpMv</t>
  </si>
  <si>
    <t>Norfolk Southern - Return on Customer Experience</t>
  </si>
  <si>
    <t>0064L00000CVHJH</t>
  </si>
  <si>
    <t>Fairview Health Services</t>
  </si>
  <si>
    <t>Fairview Cloud Acceleration Center Startup</t>
  </si>
  <si>
    <t>0064L000001w0n8</t>
  </si>
  <si>
    <t>Kemper CustomerLink #PRO (P&amp;C)</t>
  </si>
  <si>
    <t>0064L00000CVioj</t>
  </si>
  <si>
    <t>AWS Roster Change Management Opportunity</t>
  </si>
  <si>
    <t>Kimberly Caldwell</t>
  </si>
  <si>
    <t>0064L00000BeZc7</t>
  </si>
  <si>
    <t>Project Rodeo - Migration 2.0</t>
  </si>
  <si>
    <t>0064L00000B12Fc</t>
  </si>
  <si>
    <t>FITB Healthcare TM Receivables Managed Service</t>
  </si>
  <si>
    <t>0064L00000BmshH</t>
  </si>
  <si>
    <t>Medicare Call Center Sourcing Support and Transition #GCOE #Medicare</t>
  </si>
  <si>
    <t>0064L000009B5ey</t>
  </si>
  <si>
    <t>LRM/MPOR Framework Gap Assessment Implementation</t>
  </si>
  <si>
    <t>0064L00000BoDet</t>
  </si>
  <si>
    <t>Commercial Digital Team PPM Support</t>
  </si>
  <si>
    <t>0064L00000DLf8z</t>
  </si>
  <si>
    <t>Metro Atlanta Chamber of Commerce</t>
  </si>
  <si>
    <t>Georgia Sports Betting Economic Impact Analysis</t>
  </si>
  <si>
    <t>0064L00000DLSwF</t>
  </si>
  <si>
    <t>DSPA cost benchmarking</t>
  </si>
  <si>
    <t>0064L00000BeGmQ</t>
  </si>
  <si>
    <t>Best Buy Health CRM Optimization - Assessment and Planning Phase</t>
  </si>
  <si>
    <t>0064L00000DLSwU</t>
  </si>
  <si>
    <t>Oracle implementation support</t>
  </si>
  <si>
    <t>0064L00000DMG9v</t>
  </si>
  <si>
    <t>Baptist Health South Florida</t>
  </si>
  <si>
    <t>Perioperative system assessment</t>
  </si>
  <si>
    <t>Patrick Voight</t>
  </si>
  <si>
    <t>Rouzbeh Ahmadian</t>
  </si>
  <si>
    <t>0064L00000B0q2y</t>
  </si>
  <si>
    <t>AT&amp;T Business Pricing Strategy</t>
  </si>
  <si>
    <t>0064L000009g0ml</t>
  </si>
  <si>
    <t>Safety App Triage Process Support</t>
  </si>
  <si>
    <t>0064I0000134BI5</t>
  </si>
  <si>
    <t>BMS Gross-to-Net Revenue Leakage Diagnostic *Pricing*</t>
  </si>
  <si>
    <t>0064L00000411SS</t>
  </si>
  <si>
    <t>Experience Architecture - Pilot #Hawk</t>
  </si>
  <si>
    <t>28/10/2020</t>
  </si>
  <si>
    <t>ADV_FS_Hawk</t>
  </si>
  <si>
    <t>0064L00000DG4QF</t>
  </si>
  <si>
    <t>Biopharma Partnerships: Contracting #XPCONC&amp; Deal Models</t>
  </si>
  <si>
    <t>0064L000009Auwl</t>
  </si>
  <si>
    <t>Houston Methodist CDP-CareSense Bariatric Clinical Pipeline Integration</t>
  </si>
  <si>
    <t>0064L00000BdDy7</t>
  </si>
  <si>
    <t>EHR pre-implementation planning</t>
  </si>
  <si>
    <t>0064L00000CW8pn</t>
  </si>
  <si>
    <t>NTAM Blueprint and Digital Transformation</t>
  </si>
  <si>
    <t>Peter Rauchfuss</t>
  </si>
  <si>
    <t>0064L00000BogbV</t>
  </si>
  <si>
    <t>MSFT TrIP Risk Refresh</t>
  </si>
  <si>
    <t>Trevor Johnson</t>
  </si>
  <si>
    <t>0064L00000CWZB3</t>
  </si>
  <si>
    <t>RWJ Hamiton Strategy - Follow-Up</t>
  </si>
  <si>
    <t>RWJ Hamiton Strategy</t>
  </si>
  <si>
    <t>0064L00000CWkGM</t>
  </si>
  <si>
    <t>Cox Edge - Growth Support</t>
  </si>
  <si>
    <t>0064L00000CWkHo</t>
  </si>
  <si>
    <t>End to End Experience Strategy</t>
  </si>
  <si>
    <t>0064L00000BeH7O</t>
  </si>
  <si>
    <t>Protective Inorganic Growth Strategy</t>
  </si>
  <si>
    <t>Henry Leipold</t>
  </si>
  <si>
    <t>0064L00000CYpq3</t>
  </si>
  <si>
    <t>Duracell S2P Tech Business Case &amp; Selection</t>
  </si>
  <si>
    <t>Mabroor Wassey</t>
  </si>
  <si>
    <t>0064L00000CVgkj</t>
  </si>
  <si>
    <t>#IOBP - Illumina R&amp;D Demand vs Spend Assessment</t>
  </si>
  <si>
    <t>0064L00000DFbub</t>
  </si>
  <si>
    <t>GSK - Modular Content Strategy/Design</t>
  </si>
  <si>
    <t>0064L00000Bnbwv</t>
  </si>
  <si>
    <t>S&amp;T Bancorp, Inc.</t>
  </si>
  <si>
    <t>S&amp;T Commercial TOM #&lt;$50B #SCB</t>
  </si>
  <si>
    <t>0064L00000CVEnx</t>
  </si>
  <si>
    <t>HP Insights POC</t>
  </si>
  <si>
    <t>0064L00000DLuqJ</t>
  </si>
  <si>
    <t>Data and Analytics Strategy Assessment #HVM</t>
  </si>
  <si>
    <t>0064L00000D8XZC</t>
  </si>
  <si>
    <t>Kickstart IMO_GTM integration_BPSI Extension</t>
  </si>
  <si>
    <t>Kickstart IMO_GTM integration support</t>
  </si>
  <si>
    <t>0064L00000CYNDg</t>
  </si>
  <si>
    <t>Cornerstone - IT Ops Support</t>
  </si>
  <si>
    <t>Kevin Batista</t>
  </si>
  <si>
    <t>0064L00000CYpIp</t>
  </si>
  <si>
    <t>IT Operations Transformation: Phase 2 Financial Management #S&amp;P#POD #FFG</t>
  </si>
  <si>
    <t>0064L00000CYpJn</t>
  </si>
  <si>
    <t>SPMC Backlog Discovery and Business Integration Support</t>
  </si>
  <si>
    <t>0064L00000BoSmw</t>
  </si>
  <si>
    <t>ETX</t>
  </si>
  <si>
    <t>0064L00000Bei5v</t>
  </si>
  <si>
    <t>Loyalty financial management requirements</t>
  </si>
  <si>
    <t>0064L000007FLNb</t>
  </si>
  <si>
    <t>Co-Opting Model Transformation - Phase 1</t>
  </si>
  <si>
    <t>27/4/2022 5:02 pm</t>
  </si>
  <si>
    <t>0064L00000DMEDv</t>
  </si>
  <si>
    <t>EDENRED</t>
  </si>
  <si>
    <t>Project Venice</t>
  </si>
  <si>
    <t>0064L00000Aqqdm</t>
  </si>
  <si>
    <t>Real Estate Construction Portfolio Advisory</t>
  </si>
  <si>
    <t>0064L00000BoeYI</t>
  </si>
  <si>
    <t>Booz Allen Hamilton Holding Corporation</t>
  </si>
  <si>
    <t>BAH Treasury Transformation</t>
  </si>
  <si>
    <t>Justin Parkerton</t>
  </si>
  <si>
    <t>0064L00000CXJoS</t>
  </si>
  <si>
    <t>The University Of Chicago</t>
  </si>
  <si>
    <t>Trusted Research Environment for Data Collaborations</t>
  </si>
  <si>
    <t>Erich Stroh</t>
  </si>
  <si>
    <t>0064L00000CXJpp</t>
  </si>
  <si>
    <t>Oxy Supplier Diversity Program Strategy #ESG #S&amp;P</t>
  </si>
  <si>
    <t>Todd Cimino</t>
  </si>
  <si>
    <t>0064L00000BlKSC</t>
  </si>
  <si>
    <t>NAOU Supply Chain Strategy - Phase 2 Digital Roadmap</t>
  </si>
  <si>
    <t>0064L00000CX9pW</t>
  </si>
  <si>
    <t>WhaleClear, Inc.</t>
  </si>
  <si>
    <t>PlayAnywhere Strategic Accelerators</t>
  </si>
  <si>
    <t>0064L00000CWjTp</t>
  </si>
  <si>
    <t>KELLER WILLIAMS</t>
  </si>
  <si>
    <t>KellerWilliams FP&amp;A support</t>
  </si>
  <si>
    <t>0064L00000D8ztu</t>
  </si>
  <si>
    <t>SIC EB Sales &amp; Distribution Strategy</t>
  </si>
  <si>
    <t>0064L00000CVF2O</t>
  </si>
  <si>
    <t>Enterprise Customer Experience</t>
  </si>
  <si>
    <t>Nicole Lapka</t>
  </si>
  <si>
    <t>0064L00000Botdy</t>
  </si>
  <si>
    <t>Intel - Global TA Process Redesign - $300K</t>
  </si>
  <si>
    <t>0064L000001t65M</t>
  </si>
  <si>
    <t>Employee Financial Wellness Program</t>
  </si>
  <si>
    <t>18/5/2020</t>
  </si>
  <si>
    <t>0064I0000131ya7</t>
  </si>
  <si>
    <t>Piedmont Healthcare Inc.</t>
  </si>
  <si>
    <t>*SMART* License - Piedmont Healthcare</t>
  </si>
  <si>
    <t>21/2/2020</t>
  </si>
  <si>
    <t>0064L00000BlkkH</t>
  </si>
  <si>
    <t>Moderna - Clinical Operations Support</t>
  </si>
  <si>
    <t>Kellie Casey</t>
  </si>
  <si>
    <t>0064L00000D8XJE</t>
  </si>
  <si>
    <t>Educational Testing Service, Inc.</t>
  </si>
  <si>
    <t>ETS - Procurement Global Op Model</t>
  </si>
  <si>
    <t>0064L00000CX8oj</t>
  </si>
  <si>
    <t>KPMC Accounting Assessment</t>
  </si>
  <si>
    <t>0064L00000BlkvA</t>
  </si>
  <si>
    <t>Visa_Global Talent Acquisition Strategy_$300K</t>
  </si>
  <si>
    <t>Kari Worthington</t>
  </si>
  <si>
    <t>0064L000003yXyF</t>
  </si>
  <si>
    <t>AdventHealth Physician Governance Structure &amp; Operating Model</t>
  </si>
  <si>
    <t>0064L000007Wowd</t>
  </si>
  <si>
    <t>Njoy LLC</t>
  </si>
  <si>
    <t>NJOY - Std Reporting Phase 3</t>
  </si>
  <si>
    <t>0064L00000Ard3F</t>
  </si>
  <si>
    <t>Phase 2 Inventory Improvement</t>
  </si>
  <si>
    <t>0064L000001vnDe</t>
  </si>
  <si>
    <t>*SMART* License - Adventist Health West</t>
  </si>
  <si>
    <t>0064L0000098jX8</t>
  </si>
  <si>
    <t>SAP S/4 Finance Assessment</t>
  </si>
  <si>
    <t>0064L00000DJmkJ</t>
  </si>
  <si>
    <t>Synovus Tech &amp; Ops Org design</t>
  </si>
  <si>
    <t>0064L000006ziYQ</t>
  </si>
  <si>
    <t>BX Procurement Phase 1 2022 Transformation #S&amp;P#POD</t>
  </si>
  <si>
    <t>0064L00000As0qO</t>
  </si>
  <si>
    <t>DirecTV #MI -  POC</t>
  </si>
  <si>
    <t>15/11/2021</t>
  </si>
  <si>
    <t>0064L000002ZtbD</t>
  </si>
  <si>
    <t>Berwind Corporation</t>
  </si>
  <si>
    <t>CRC Industries Performance Analyzer</t>
  </si>
  <si>
    <t>24/9/2023</t>
  </si>
  <si>
    <t>0064L000002ZtaZ</t>
  </si>
  <si>
    <t>Well Pet Performance Analyzer</t>
  </si>
  <si>
    <t>24/9/2024</t>
  </si>
  <si>
    <t>0064L00000DLrY2</t>
  </si>
  <si>
    <t>Louisiana Children's Medical Center</t>
  </si>
  <si>
    <t>LCMC Health - *SMART* IP License Renewal - FY23</t>
  </si>
  <si>
    <t>0064L00000CXYe6</t>
  </si>
  <si>
    <t>Assess and Optimize EPM Operating Model</t>
  </si>
  <si>
    <t>0064L00000AqobZ</t>
  </si>
  <si>
    <t>DTV - Cloud ERP Implementation Support</t>
  </si>
  <si>
    <t>0064L000009AqrN</t>
  </si>
  <si>
    <t>Spirit Aero - Defense Planning - Phase 1</t>
  </si>
  <si>
    <t>0064L000002LZFC</t>
  </si>
  <si>
    <t>Advisor Group Holdings, Inc.</t>
  </si>
  <si>
    <t>AG - Innovation Foundry Setup #Transformation #ESV #DDV #Digital</t>
  </si>
  <si>
    <t>0064L00000DFr70</t>
  </si>
  <si>
    <t>No Surprises Act &amp; Transparency PM Support phase 3 #GCOE #HVM #PayerAnalytics</t>
  </si>
  <si>
    <t>DJ Sharma</t>
  </si>
  <si>
    <t>0064L00000CX7o4</t>
  </si>
  <si>
    <t>International Org Design</t>
  </si>
  <si>
    <t>Justin Cowan</t>
  </si>
  <si>
    <t>0064L00000BkvvE</t>
  </si>
  <si>
    <t>FDX:  Customer Journey Activation</t>
  </si>
  <si>
    <t>0064L00000DM0LT</t>
  </si>
  <si>
    <t>Benefits management strategy and planning #PayerCO&amp;ITrans</t>
  </si>
  <si>
    <t>0064L00000BfEi9</t>
  </si>
  <si>
    <t>TE Connectivity-NPI Pricing</t>
  </si>
  <si>
    <t>0064L000009fLhe</t>
  </si>
  <si>
    <t>SBNY nCino Digital Asset Lending Discovery / Delivery    #&lt;$50B</t>
  </si>
  <si>
    <t>0064L00000Borgl</t>
  </si>
  <si>
    <t>Footprint International Holdco, Inc.</t>
  </si>
  <si>
    <t>Phase 0 - Product lifecycle management</t>
  </si>
  <si>
    <t>JJ Marais</t>
  </si>
  <si>
    <t>0064L00000Bnohh</t>
  </si>
  <si>
    <t>Payroll and HR Outsourcing Optimization Assessment</t>
  </si>
  <si>
    <t>0064L00000CYmGb</t>
  </si>
  <si>
    <t>IU Health Extended EPM HyperCare</t>
  </si>
  <si>
    <t>0064L0000040ntc</t>
  </si>
  <si>
    <t>Marketing Analytics - BU Resource Allocation/Marketing360</t>
  </si>
  <si>
    <t>0064L00000DFpLt</t>
  </si>
  <si>
    <t>Exelon Corporation</t>
  </si>
  <si>
    <t>Private LTE Network Assessment</t>
  </si>
  <si>
    <t>0064L00000Bnomh</t>
  </si>
  <si>
    <t>PACNW CommonSpirit Reimb: VMMC FFY25-26 WI/OM/Rural IME Change Order *Strategic Reimbursement*</t>
  </si>
  <si>
    <t>0064L000009fM8z</t>
  </si>
  <si>
    <t>Wells Fargo Consumer - Digital &amp; Banking Ecosystems</t>
  </si>
  <si>
    <t>0064L00000D8Udf</t>
  </si>
  <si>
    <t>Value Based Planning Discussion #FFG</t>
  </si>
  <si>
    <t>0064L00000Bmlrh</t>
  </si>
  <si>
    <t>Finance L&amp;D - Phase 2</t>
  </si>
  <si>
    <t>0064L00000Bmlrr</t>
  </si>
  <si>
    <t>Outsourcing contract review</t>
  </si>
  <si>
    <t>0064L00000BliqI</t>
  </si>
  <si>
    <t>P&amp;G Marketing Efficiency &amp; Effectiveness</t>
  </si>
  <si>
    <t>0064L00000Bg9AI</t>
  </si>
  <si>
    <t>AT&amp;T Business Cyber Strategy</t>
  </si>
  <si>
    <t>0064L00000BmKSp</t>
  </si>
  <si>
    <t>B2B Marketing and Commerce Enablement</t>
  </si>
  <si>
    <t>0064L000009B1gz</t>
  </si>
  <si>
    <t>Operational Compliance Review 2022 for Benefit Plans</t>
  </si>
  <si>
    <t>Benjamin Sellitto</t>
  </si>
  <si>
    <t>0064L00000DBPmG</t>
  </si>
  <si>
    <t>Compensation Process Review Part 3</t>
  </si>
  <si>
    <t>0064L00000BnKyy</t>
  </si>
  <si>
    <t>Camaraderie Foundation, Inc.</t>
  </si>
  <si>
    <t>*CI* Strategy and Business Planning</t>
  </si>
  <si>
    <t>0064L00000DBQNb</t>
  </si>
  <si>
    <t>Medicom Technologies, Inc.</t>
  </si>
  <si>
    <t>Medicom Biopharma Real World Data Go-to-Market #XPCONC</t>
  </si>
  <si>
    <t>Josh Wang</t>
  </si>
  <si>
    <t>0064L00000DJXiF</t>
  </si>
  <si>
    <t>EPM Ph1 - Liquidity and Investment Model POC</t>
  </si>
  <si>
    <t>0064L00000CGwmH</t>
  </si>
  <si>
    <t>KP Medi-Cal Innovaccer POC Support</t>
  </si>
  <si>
    <t>0064L00000BoQ1I</t>
  </si>
  <si>
    <t>Cardinal Health GBS upfront analysis/RFP Support</t>
  </si>
  <si>
    <t>0064I000014LKkm</t>
  </si>
  <si>
    <t>CM Ops - Rapid Supplier Cost Reduction - Delta #S&amp;P</t>
  </si>
  <si>
    <t>Marcos Zatkulak</t>
  </si>
  <si>
    <t>0064L00000BgYa8</t>
  </si>
  <si>
    <t>Audi North America (NAR 360)</t>
  </si>
  <si>
    <t>0064L00000DLNeu</t>
  </si>
  <si>
    <t>Autodesk Agency Op Model #TMTPricing</t>
  </si>
  <si>
    <t>0064L00000BmlWu</t>
  </si>
  <si>
    <t>Institutional Capital Network Inc.</t>
  </si>
  <si>
    <t>iCapital Process Review - Phase 2 - Initiative 1B</t>
  </si>
  <si>
    <t>0064L000009gLK8</t>
  </si>
  <si>
    <t>Jazz Pharmaceuticals Plc</t>
  </si>
  <si>
    <t>#IOBP ? Jazz Planning and Forecasting Assessment</t>
  </si>
  <si>
    <t>0064L000007VhQI</t>
  </si>
  <si>
    <t>Wells Fargo CSBB - 'Affluent Away' Proposition / Op Model</t>
  </si>
  <si>
    <t>0064L000009gLJt</t>
  </si>
  <si>
    <t>#IOBP ? Takeda Assessment</t>
  </si>
  <si>
    <t>0064L00000CH5by</t>
  </si>
  <si>
    <t>MSFT DLS FY23 Project Denali (ABK) - IMO Extension</t>
  </si>
  <si>
    <t>0064I00000zRVaG</t>
  </si>
  <si>
    <t>S&amp;T nCino Remediation Discovery #&lt;$50B #SCB</t>
  </si>
  <si>
    <t>20/11/2019</t>
  </si>
  <si>
    <t>0064L00000BecDP</t>
  </si>
  <si>
    <t>Comcast HR Op Model BXT 3</t>
  </si>
  <si>
    <t>0064L00000BfegD</t>
  </si>
  <si>
    <t>Potential work after Wells Fargo - CYB</t>
  </si>
  <si>
    <t>0064L00000BoOBV</t>
  </si>
  <si>
    <t>RFP - Lite Selection Support</t>
  </si>
  <si>
    <t>0064L00000DJXJK</t>
  </si>
  <si>
    <t>HIG GB CDX Strategy &amp; Op Model</t>
  </si>
  <si>
    <t>0064L00000D8cx0</t>
  </si>
  <si>
    <t>TIGER - Informatics Strategy &amp; Roadmap</t>
  </si>
  <si>
    <t>0064L00000DJiKk</t>
  </si>
  <si>
    <t>Epirus Inc.</t>
  </si>
  <si>
    <t>Epirus Growth and GTM Strategy</t>
  </si>
  <si>
    <t>0064L00000ApyuK</t>
  </si>
  <si>
    <t>FMV Modeling</t>
  </si>
  <si>
    <t>0064L000006B2Kw</t>
  </si>
  <si>
    <t>2021 Finance Transformation - Automation COE</t>
  </si>
  <si>
    <t>0064L00000Bfx4k</t>
  </si>
  <si>
    <t>HCSC IT Program Health Assessment</t>
  </si>
  <si>
    <t>0064L00000BmZKR</t>
  </si>
  <si>
    <t>NT Digital Asset Strategy</t>
  </si>
  <si>
    <t>0064L00000Bed7r</t>
  </si>
  <si>
    <t>The Ronin Project Inc</t>
  </si>
  <si>
    <t>Biopharma commercialization opportunities  #XPCONC</t>
  </si>
  <si>
    <t>0064L00000CXWK1</t>
  </si>
  <si>
    <t>Kite: Transformation: IT TechOps Support</t>
  </si>
  <si>
    <t>0064L00000D8Shx</t>
  </si>
  <si>
    <t>GE Aviation MSO Business Architecture</t>
  </si>
  <si>
    <t>0064L00000D8vNd</t>
  </si>
  <si>
    <t>BCBSMA Workforce Support #HVM</t>
  </si>
  <si>
    <t>0064L00000CWTKq</t>
  </si>
  <si>
    <t>Operations Compete Managed Service #TMTMSO</t>
  </si>
  <si>
    <t>0064L00000BcWFP</t>
  </si>
  <si>
    <t>Resideo Supply Chain Resilience Assessment</t>
  </si>
  <si>
    <t>0064L00000DFbnk</t>
  </si>
  <si>
    <t>Oxy Chem Inflation in Capital Projects</t>
  </si>
  <si>
    <t>0064L00000DMEFT</t>
  </si>
  <si>
    <t>Mount Sinai Health System - *SMART* IP License - FY23 Renewal</t>
  </si>
  <si>
    <t>0064L00000DLrYh</t>
  </si>
  <si>
    <t>0064L00000BotsP</t>
  </si>
  <si>
    <t>DNaS Reporting Support</t>
  </si>
  <si>
    <t>0064L00000DLrSK</t>
  </si>
  <si>
    <t>Lehigh Valley Health Network, Inc.</t>
  </si>
  <si>
    <t>LVHN - *SMART* IP License Renewal - FY23</t>
  </si>
  <si>
    <t>0064L00000BliUI</t>
  </si>
  <si>
    <t>Pillpack Supplier CLM assessment</t>
  </si>
  <si>
    <t>Pillpack Vendor contract digitization and database opportunity</t>
  </si>
  <si>
    <t>0064L00000BoOK8</t>
  </si>
  <si>
    <t>CVS Pharmacy Human Centered Design COE</t>
  </si>
  <si>
    <t>0064L00000D8aoo</t>
  </si>
  <si>
    <t>PSA Mobilization and Interim Strategy</t>
  </si>
  <si>
    <t>0064L00000Bepow</t>
  </si>
  <si>
    <t>Portfolio Management Design</t>
  </si>
  <si>
    <t>0064L00000ArAyA</t>
  </si>
  <si>
    <t>Danaher Life Sciences Shared Services</t>
  </si>
  <si>
    <t>0064L00000CVFDH</t>
  </si>
  <si>
    <t>AT&amp;T HALO CMS on Sanity Expansion</t>
  </si>
  <si>
    <t>0064L00000Bo4Dt</t>
  </si>
  <si>
    <t>Cloudflare - GL Close and Earnings Acceleration - $295K</t>
  </si>
  <si>
    <t>Eric Butts</t>
  </si>
  <si>
    <t>0064L000009AoBZ</t>
  </si>
  <si>
    <t>Cemex, S.A.B. de C.V.</t>
  </si>
  <si>
    <t>ESG Integrated Reporting</t>
  </si>
  <si>
    <t>0064L000002bfdr</t>
  </si>
  <si>
    <t>Eastern Bank Corporation</t>
  </si>
  <si>
    <t>Eastern Backbase Account Opening Support</t>
  </si>
  <si>
    <t>0064L00000BnDm7</t>
  </si>
  <si>
    <t>Houston Methodist CDP - Scheduled Appointments Enhancement</t>
  </si>
  <si>
    <t>0064L00000DG4mz</t>
  </si>
  <si>
    <t>Ugi Corporation</t>
  </si>
  <si>
    <t>Amerigas RightAngle WACOG inventory application</t>
  </si>
  <si>
    <t>0064L00000DLNLq</t>
  </si>
  <si>
    <t>Honeywell Workforce Planning Design</t>
  </si>
  <si>
    <t>Waqas Abbasi</t>
  </si>
  <si>
    <t>0064L00000CXH2r</t>
  </si>
  <si>
    <t>Univar Solutions Finance Deep Dive &amp; Future State Organizational Model</t>
  </si>
  <si>
    <t>0064L00000Bnp0F</t>
  </si>
  <si>
    <t>TIGER - Org Intersection R&amp;R Initiative 2.0</t>
  </si>
  <si>
    <t>0064I000014LzT3</t>
  </si>
  <si>
    <t>Colonial Life Compensation Strategy - Phase 2</t>
  </si>
  <si>
    <t>17/4/2020</t>
  </si>
  <si>
    <t>0064L00000DLK6T</t>
  </si>
  <si>
    <t>Nestle Media Agency Model Phase 1</t>
  </si>
  <si>
    <t>0064L00000BnWqe</t>
  </si>
  <si>
    <t>Meta - Pro Serve</t>
  </si>
  <si>
    <t>0064L00000CV8c5</t>
  </si>
  <si>
    <t>Ferro Kevin</t>
  </si>
  <si>
    <t>Operating Model and Future State Design Assessment</t>
  </si>
  <si>
    <t>0064L00000DFerl</t>
  </si>
  <si>
    <t>AUS Distribution Strategy</t>
  </si>
  <si>
    <t>0064L00000DM0NF</t>
  </si>
  <si>
    <t>AMZN Finance: Accounting Team Support - Ops Finance</t>
  </si>
  <si>
    <t>Taryn Heidinger</t>
  </si>
  <si>
    <t>0064L00000DJZ0K</t>
  </si>
  <si>
    <t>Triumph Group, Inc.</t>
  </si>
  <si>
    <t>Triumph EPM Transformation - Phase 2</t>
  </si>
  <si>
    <t>Triumph EPM Transformation - Phase 1</t>
  </si>
  <si>
    <t>Bill Yang</t>
  </si>
  <si>
    <t>0064L00000Bkui4</t>
  </si>
  <si>
    <t>MSFT ENGCLA FY22 Engineering Learning Extension of Instructional Design Support</t>
  </si>
  <si>
    <t>MSFT Engineering Learning FY22 Instructional Design Consulting Support</t>
  </si>
  <si>
    <t>0064L00000D8rEa</t>
  </si>
  <si>
    <t>Pratt Holdings, Inc.</t>
  </si>
  <si>
    <t>Pratt ASC 842 Lease System Implementation</t>
  </si>
  <si>
    <t>0064L00000DFyXt</t>
  </si>
  <si>
    <t>Rx Implementation and EGWP Services</t>
  </si>
  <si>
    <t>0064L00000DJXTK</t>
  </si>
  <si>
    <t>AT&amp;T EBIT Assessments 2021-2023</t>
  </si>
  <si>
    <t>0064L00000D8urN</t>
  </si>
  <si>
    <t>GNP - Rediseńo del Modelo de Servicio</t>
  </si>
  <si>
    <t>Gustavo Bohorquez</t>
  </si>
  <si>
    <t>0064L00000BnENR</t>
  </si>
  <si>
    <t>MSFT HR FY22 TLI GLD H2 Q4 Extension - Manager &amp; Leader</t>
  </si>
  <si>
    <t>MSFT TLI and GLD H2 Support</t>
  </si>
  <si>
    <t>0064L00000D8tav</t>
  </si>
  <si>
    <t>Project Copper Phase 2</t>
  </si>
  <si>
    <t>Matamba Austin</t>
  </si>
  <si>
    <t>0064L00000D8tbT</t>
  </si>
  <si>
    <t>Project Vida Phase 2</t>
  </si>
  <si>
    <t>0064L00000Bm6fl</t>
  </si>
  <si>
    <t>Meta (Facebook) MIP#MI - Media Effectiveness</t>
  </si>
  <si>
    <t>0064L00000D91Ty</t>
  </si>
  <si>
    <t>AT&amp;T Consumer Migrations Support</t>
  </si>
  <si>
    <t>Alex Reynolds</t>
  </si>
  <si>
    <t>0064L000006z0Cc</t>
  </si>
  <si>
    <t>Dollar General Merchandising System #RocktheSEPipe</t>
  </si>
  <si>
    <t>0064L00000BnFQ7</t>
  </si>
  <si>
    <t>ACI Issuer Offerings Market Assessment</t>
  </si>
  <si>
    <t>David Durovy</t>
  </si>
  <si>
    <t>0064L00000BnG1m</t>
  </si>
  <si>
    <t>eQMS Architect Support</t>
  </si>
  <si>
    <t>Bruce Keisler</t>
  </si>
  <si>
    <t>0064L00000BmU3B</t>
  </si>
  <si>
    <t>AH West Florida Division Physician Market Assessment</t>
  </si>
  <si>
    <t>Jeffrey Lockridge</t>
  </si>
  <si>
    <t>0064L00000BnFUx</t>
  </si>
  <si>
    <t>A&amp;AN Access Strategy</t>
  </si>
  <si>
    <t>0064L00000D8oTm</t>
  </si>
  <si>
    <t>Project Atlas - Workday Application Evolution Services</t>
  </si>
  <si>
    <t>13/7/2022 3:27 am</t>
  </si>
  <si>
    <t>Jim Dell</t>
  </si>
  <si>
    <t>Karinna Richards</t>
  </si>
  <si>
    <t>0064L00000CYQ9z</t>
  </si>
  <si>
    <t>Health &amp; Welfare Implementation Support</t>
  </si>
  <si>
    <t>In Sung Yuh</t>
  </si>
  <si>
    <t>0064L00000DLuYt</t>
  </si>
  <si>
    <t>Employee Value Proposition Optimization</t>
  </si>
  <si>
    <t>Alexander Jakobson</t>
  </si>
  <si>
    <t>0064L00000D8ZWZ</t>
  </si>
  <si>
    <t>ETS - STA Leadership Support</t>
  </si>
  <si>
    <t>Matthew Cohen</t>
  </si>
  <si>
    <t>0064L00000DFc8E</t>
  </si>
  <si>
    <t>ECP Management LP</t>
  </si>
  <si>
    <t>ESG Strategy</t>
  </si>
  <si>
    <t>Samuel Lederer</t>
  </si>
  <si>
    <t>0064L00000BocGQ</t>
  </si>
  <si>
    <t>USB Rapid Experimentation Testing Program</t>
  </si>
  <si>
    <t>Caitlin Winkworth</t>
  </si>
  <si>
    <t>0064L00000CXkDv</t>
  </si>
  <si>
    <t>TAVNEOS Agency of Record Contract Audit #MI</t>
  </si>
  <si>
    <t>0064L00000DJZJR</t>
  </si>
  <si>
    <t>NA Vaccines Process Improvement / Op Model Options</t>
  </si>
  <si>
    <t>16/6/2022 9:12 pm</t>
  </si>
  <si>
    <t>Matthew Langan</t>
  </si>
  <si>
    <t>0064L000009AQFh</t>
  </si>
  <si>
    <t>Commercialization Supply Chain Roadmap</t>
  </si>
  <si>
    <t>0064L00000BfecB</t>
  </si>
  <si>
    <t>Potential work after Supplier Code of Conduct Development #ESG</t>
  </si>
  <si>
    <t>0064L00000ArNEU</t>
  </si>
  <si>
    <t>Mosaic Employee Experience Strategy and Assessment</t>
  </si>
  <si>
    <t>0064L000004wpGJ</t>
  </si>
  <si>
    <t>Wawa INC.</t>
  </si>
  <si>
    <t>Real Estate Lifecycle Management - Phase 4 System Testing</t>
  </si>
  <si>
    <t>Sean Canahuate</t>
  </si>
  <si>
    <t>0064L00000CVbpD</t>
  </si>
  <si>
    <t>Fomento Económico Mexicano, S.A.B. de C.V (FEMSA)</t>
  </si>
  <si>
    <t>Consultoría para la adopción al cambio</t>
  </si>
  <si>
    <t>Francisco Briseńo</t>
  </si>
  <si>
    <t>Claudia Lorena Zarco</t>
  </si>
  <si>
    <t>0064L00000DMAjY</t>
  </si>
  <si>
    <t>Kirin Holdings Company, Limited</t>
  </si>
  <si>
    <t>Commercial Model Scenario Planning</t>
  </si>
  <si>
    <t>Christian Bowers</t>
  </si>
  <si>
    <t>Rohit Aggarwal</t>
  </si>
  <si>
    <t>0064L00000DJVYm</t>
  </si>
  <si>
    <t>*CI* ODU-EVMS Accreditation Support</t>
  </si>
  <si>
    <t>0064L00000DFVsF</t>
  </si>
  <si>
    <t>Eisai Aspire Core Q2'22 Change Order</t>
  </si>
  <si>
    <t>0064L00000BdISf</t>
  </si>
  <si>
    <t>C&amp;W - Upskilling Assessment and Execution - Expansion into other CW practices</t>
  </si>
  <si>
    <t>0064L00000D8ZM5</t>
  </si>
  <si>
    <t>Door Dash Stock Comp Admin &amp; Accounting with Pension</t>
  </si>
  <si>
    <t>Pam Weems</t>
  </si>
  <si>
    <t>0064L00000CX0yy</t>
  </si>
  <si>
    <t>Driving digital adoption CoSo Money Movement, Check Printing, and W2 Printing Businesses</t>
  </si>
  <si>
    <t>0064L00000Bo8jj</t>
  </si>
  <si>
    <t>GBS: Mosaic Capability Center Extension #2</t>
  </si>
  <si>
    <t>0064L00000DM4kr</t>
  </si>
  <si>
    <t>CCPM II</t>
  </si>
  <si>
    <t>Abhi Dubey</t>
  </si>
  <si>
    <t>Shravan Vijayaprasad</t>
  </si>
  <si>
    <t>0064L00000D8PV1</t>
  </si>
  <si>
    <t>Whirlpool Asia Blackline Implementation Phase 2</t>
  </si>
  <si>
    <t>Rahul Lunawat</t>
  </si>
  <si>
    <t>0064L00000BmD1E</t>
  </si>
  <si>
    <t>Hain Celestial Jersey Limited</t>
  </si>
  <si>
    <t>Hain Celestial THWR Pricing Integration</t>
  </si>
  <si>
    <t>Priyal Patel</t>
  </si>
  <si>
    <t>0064L00000CYvJQ</t>
  </si>
  <si>
    <t>Lilly Social Media Competitive Benchmarking Assessment</t>
  </si>
  <si>
    <t>0064L00000DMERU</t>
  </si>
  <si>
    <t>NetApp CPQ User Story Creation and Business Vallidation</t>
  </si>
  <si>
    <t>Raghuveer Reddy Thummala</t>
  </si>
  <si>
    <t>0064L0000041u0e</t>
  </si>
  <si>
    <t>Pension 404A Method Change</t>
  </si>
  <si>
    <t>17/11/2020</t>
  </si>
  <si>
    <t>Ephraim Sudwerts</t>
  </si>
  <si>
    <t>0064L00000CXgRy</t>
  </si>
  <si>
    <t>Comcast Retail Employee Experience BXT</t>
  </si>
  <si>
    <t>0064L00000DFlnK</t>
  </si>
  <si>
    <t>Canadian National Railway Company</t>
  </si>
  <si>
    <t>CN - Cons. - Fuels Portfolio &amp; System Modernization_PwC US</t>
  </si>
  <si>
    <t>Samantha DeSimone</t>
  </si>
  <si>
    <t>0064L00000Bf1n4</t>
  </si>
  <si>
    <t>Nestlé NA - Finance Acceleration Assessment</t>
  </si>
  <si>
    <t>0064L00000D8XbO</t>
  </si>
  <si>
    <t>USAA GTreasury Extension 1</t>
  </si>
  <si>
    <t>0064L00000DLrUZ</t>
  </si>
  <si>
    <t>Franciscan Alliance Inc.</t>
  </si>
  <si>
    <t>Franciscan - *SMART* IP &amp; OP Renewal - FY23</t>
  </si>
  <si>
    <t>0064L00000BfFyI</t>
  </si>
  <si>
    <t>Emerson - Olive Branch WMS and Warehousing PHII</t>
  </si>
  <si>
    <t>Mark Lewis</t>
  </si>
  <si>
    <t>0064L00000DLrEl</t>
  </si>
  <si>
    <t>Kite: Transformation - Re-defining KITE Medical Affairs Impact Measurement [US entry]</t>
  </si>
  <si>
    <t>Nick Sen</t>
  </si>
  <si>
    <t>0064L000007xYfg</t>
  </si>
  <si>
    <t>New England Joint Enterprise</t>
  </si>
  <si>
    <t>NEJE PY2021 Pharmacy Assessment (2 of 4)</t>
  </si>
  <si>
    <t>NEJE PY2020 Pharmacy Assessment (1 of 4)</t>
  </si>
  <si>
    <t>0064L000006jwds</t>
  </si>
  <si>
    <t>H&amp;R Block Inc.</t>
  </si>
  <si>
    <t>H&amp;R Block - Media Intelligence</t>
  </si>
  <si>
    <t>Alison Lisnow</t>
  </si>
  <si>
    <t>0064L00000D8d20</t>
  </si>
  <si>
    <t>AA - Payment Ops - MS for Chargebacks</t>
  </si>
  <si>
    <t>Tom Savage</t>
  </si>
  <si>
    <t>0064L00000BlfW5</t>
  </si>
  <si>
    <t>Github Global Expansion Strategy and Program Support</t>
  </si>
  <si>
    <t>0064L000007E2RA</t>
  </si>
  <si>
    <t>Clinical research planning</t>
  </si>
  <si>
    <t>0064L00000CXCsS</t>
  </si>
  <si>
    <t>Mayo MBD &amp; S-10 Analysis *Strategic Reimbursement*</t>
  </si>
  <si>
    <t>0064L00000CWQrm</t>
  </si>
  <si>
    <t>HRB - Aha! JBR - Implementation Support</t>
  </si>
  <si>
    <t>0064L00000CH5Fs</t>
  </si>
  <si>
    <t>MX FY23 - Oxxo - Commercial organization redisign with a Zero Based vision</t>
  </si>
  <si>
    <t>0064L00000DFZzo</t>
  </si>
  <si>
    <t>AMZN Finance: AP / AR System Architecture / Accounting Team Support (Secondary)</t>
  </si>
  <si>
    <t>0064L00000CW0Qz</t>
  </si>
  <si>
    <t>Oracle EPM - FCCS and Oracle Planning Alignment to SAP</t>
  </si>
  <si>
    <t>0064L00000DJVk4</t>
  </si>
  <si>
    <t>Metlife - Salesforce</t>
  </si>
  <si>
    <t>Angel Mendoza</t>
  </si>
  <si>
    <t>0064L0000099DRz</t>
  </si>
  <si>
    <t>The Travelers Companies Inc.</t>
  </si>
  <si>
    <t>Small Commercial Customer Segmentation and Growth Model</t>
  </si>
  <si>
    <t>0064L00000DJgkM</t>
  </si>
  <si>
    <t>Finance Assessment Accelerator and Baseline</t>
  </si>
  <si>
    <t>0064L00000CXCwm</t>
  </si>
  <si>
    <t>Panda Restaurant Group Inc.</t>
  </si>
  <si>
    <t>Rachael Allen</t>
  </si>
  <si>
    <t>0064L0000099DQx</t>
  </si>
  <si>
    <t>Enterprise Data Analytics, Governance and AI Optimization</t>
  </si>
  <si>
    <t>0064L000007UsuU</t>
  </si>
  <si>
    <t>UChicago Referral Leakage &amp; Patient Access</t>
  </si>
  <si>
    <t>0064L00000BmjBF</t>
  </si>
  <si>
    <t>Shorten Close Process</t>
  </si>
  <si>
    <t>Bridget Fleagle</t>
  </si>
  <si>
    <t>0064L00000CXCxu</t>
  </si>
  <si>
    <t>Planned Parenthood Federation Of America Inc.</t>
  </si>
  <si>
    <t>Workforce Planning Support</t>
  </si>
  <si>
    <t>0064L0000099Cy4</t>
  </si>
  <si>
    <t>Pigeon Corporation</t>
  </si>
  <si>
    <t>Lansinoh Supply Chain Review</t>
  </si>
  <si>
    <t>Michael Ly</t>
  </si>
  <si>
    <t>0064L00000AqYto</t>
  </si>
  <si>
    <t>CENTER FOR POLICING EQUITY</t>
  </si>
  <si>
    <t>CPE Org Design and Change Management</t>
  </si>
  <si>
    <t>Vicki Wang</t>
  </si>
  <si>
    <t>0064L00000B2JxX</t>
  </si>
  <si>
    <t>Gilead: Transformation: Public Affairs- ESG Strategy/transformation</t>
  </si>
  <si>
    <t>0064L000007w2tS</t>
  </si>
  <si>
    <t>Customer Acquisition</t>
  </si>
  <si>
    <t>26/4/2021</t>
  </si>
  <si>
    <t>Alan Furmanov</t>
  </si>
  <si>
    <t>0064L00000BesPR</t>
  </si>
  <si>
    <t>Nisource TA Optimization</t>
  </si>
  <si>
    <t>Alex Spira-Gutner</t>
  </si>
  <si>
    <t>0064L00000D8dAJ</t>
  </si>
  <si>
    <t>Aesthetics R&amp;D Operating Model Extension</t>
  </si>
  <si>
    <t>0064L000006jg1A</t>
  </si>
  <si>
    <t>Columbia Sportswear - Media Intelligence</t>
  </si>
  <si>
    <t>0064L00000D8dAx</t>
  </si>
  <si>
    <t>HITT Holding Corporation</t>
  </si>
  <si>
    <t>Integration Services</t>
  </si>
  <si>
    <t>Nathan Thielen</t>
  </si>
  <si>
    <t>0064L00000BopQ7</t>
  </si>
  <si>
    <t>BMO Employee and Client Integration Support</t>
  </si>
  <si>
    <t>Aimee Wight</t>
  </si>
  <si>
    <t>0064L0000099DR2</t>
  </si>
  <si>
    <t>PI Customer Segmentation</t>
  </si>
  <si>
    <t>0064L00000BlxIc</t>
  </si>
  <si>
    <t>OTAAG - Advanced Analytics Benchmark</t>
  </si>
  <si>
    <t>0064L000004wyJf</t>
  </si>
  <si>
    <t>Payment Risk</t>
  </si>
  <si>
    <t>0064L00000BebWL</t>
  </si>
  <si>
    <t>UM/PA Automation  Automation #xPC:PayerAnalytics #AIML #HVM #PayerAnalytics</t>
  </si>
  <si>
    <t>Florian Quarre</t>
  </si>
  <si>
    <t>0064L00000D8cgm</t>
  </si>
  <si>
    <t>External Supply Chain Op Model Assessment</t>
  </si>
  <si>
    <t>0064L00000Bec8o</t>
  </si>
  <si>
    <t>Atropos LLC</t>
  </si>
  <si>
    <t>Lab Growth Strategy 2022 #XPCONC</t>
  </si>
  <si>
    <t>0064L000001wGQt</t>
  </si>
  <si>
    <t>Ascension - Scheduling Analytics</t>
  </si>
  <si>
    <t>13/8/2020</t>
  </si>
  <si>
    <t>0064L00000D93hY</t>
  </si>
  <si>
    <t>Flexcard IT Support - Phase 1</t>
  </si>
  <si>
    <t>0064L000002c6T9</t>
  </si>
  <si>
    <t>TPM Strategy Phase Zero</t>
  </si>
  <si>
    <t>0064L00000BoO9P</t>
  </si>
  <si>
    <t>Cost to Collect for Revenue Cycle *Rev Cycle*</t>
  </si>
  <si>
    <t>0064L00000BmjUM</t>
  </si>
  <si>
    <t>Granjas Carroll de México, S. de R.L. de C.V.</t>
  </si>
  <si>
    <t>Granjas Carroll de México - FY22 - Diagnóstico, definición e implementación de modelo operativo</t>
  </si>
  <si>
    <t>0064L00000BnlwT</t>
  </si>
  <si>
    <t>Global Business Services Strategy and Evaluation: GL/ P2P/ Location</t>
  </si>
  <si>
    <t>Eugene Zakharov</t>
  </si>
  <si>
    <t>0064L000001vV5o</t>
  </si>
  <si>
    <t>*SMART* License - Sentara Healthcare</t>
  </si>
  <si>
    <t>21/7/2020</t>
  </si>
  <si>
    <t>0064L00000B0zHx</t>
  </si>
  <si>
    <t>Field Ops Enhancements</t>
  </si>
  <si>
    <t>0064L00000Bnjvd</t>
  </si>
  <si>
    <t>HIG - Next Generation Expense Management #NextGenCostingMSO</t>
  </si>
  <si>
    <t>Brendan Burke</t>
  </si>
  <si>
    <t>0064L00000Bmxwh</t>
  </si>
  <si>
    <t>Arcline Investment Management LP</t>
  </si>
  <si>
    <t>Portfolio Monitoring Op Model</t>
  </si>
  <si>
    <t>0064L00000Bg4BN</t>
  </si>
  <si>
    <t>Digital Therapeutic Assessment</t>
  </si>
  <si>
    <t>Ronan Wisdom</t>
  </si>
  <si>
    <t>0064L00000DJgDI</t>
  </si>
  <si>
    <t>British American Tobacco P.L.C.</t>
  </si>
  <si>
    <t>MSE - 2022</t>
  </si>
  <si>
    <t>Kolinjuwa Shriram</t>
  </si>
  <si>
    <t>0064L00000DJgDh</t>
  </si>
  <si>
    <t>Digital strategy and CX</t>
  </si>
  <si>
    <t>0064L000007xYgA</t>
  </si>
  <si>
    <t>BSSe Broadband Business Readiness</t>
  </si>
  <si>
    <t>Jared Fowler</t>
  </si>
  <si>
    <t>0064L000003zyMw</t>
  </si>
  <si>
    <t>VBG SKU Complexity Reduction</t>
  </si>
  <si>
    <t>0064L000007FFlG</t>
  </si>
  <si>
    <t>Nokia Marketing &amp; Sales Modernization</t>
  </si>
  <si>
    <t>0064L00000ArL1O</t>
  </si>
  <si>
    <t>TD - U.S. BNPL Strategy</t>
  </si>
  <si>
    <t>0064L00000DLKKu</t>
  </si>
  <si>
    <t>Procurement Organization Model #S&amp;P#POD</t>
  </si>
  <si>
    <t>0064L000004xIr6</t>
  </si>
  <si>
    <t>Post Event Analysis - TCCS Waterfall</t>
  </si>
  <si>
    <t>0064L00000Bkrxk</t>
  </si>
  <si>
    <t>Gobrands Inc.</t>
  </si>
  <si>
    <t>GoPuff Inventory Process &amp; Systems</t>
  </si>
  <si>
    <t>0064L00000DLKPz</t>
  </si>
  <si>
    <t>VTRS_Reg Ops Integration_II</t>
  </si>
  <si>
    <t>Rohit Kilaru</t>
  </si>
  <si>
    <t>0064L000004xIqr</t>
  </si>
  <si>
    <t>DFR and Trade</t>
  </si>
  <si>
    <t>0064L00000D91wg</t>
  </si>
  <si>
    <t>Steward *Rev Cycle* Denials Analysis 2017-2019</t>
  </si>
  <si>
    <t>0064L00000DLKTc</t>
  </si>
  <si>
    <t>Xylem - Pricing Process</t>
  </si>
  <si>
    <t>Ben Blaney</t>
  </si>
  <si>
    <t>0064L00000Bfe1e</t>
  </si>
  <si>
    <t>Ambulatory Current State Assessment</t>
  </si>
  <si>
    <t>0064L000006jwsI</t>
  </si>
  <si>
    <t>Rakuten Group, Inc.</t>
  </si>
  <si>
    <t>Rakuten - Media Intelligence</t>
  </si>
  <si>
    <t>0064L00000DFZhG</t>
  </si>
  <si>
    <t>Pizza Hut &amp; KFC_HCM Planning and Roadmap</t>
  </si>
  <si>
    <t>CS_AL_AA_TRANSFORM_OFFICE_CEO_02FY22_AD_SF_WEB FORM SALESFORCE ALLIANCE PAGE</t>
  </si>
  <si>
    <t>Marina Rothstein</t>
  </si>
  <si>
    <t>0064I000011rZEs</t>
  </si>
  <si>
    <t>L3Harris Working Capital &amp; Inventory Reduction</t>
  </si>
  <si>
    <t>0064L00000BoMLi</t>
  </si>
  <si>
    <t>Baker OFS Performance Management Project</t>
  </si>
  <si>
    <t>0064L00000CXDDP</t>
  </si>
  <si>
    <t>Meta: Legal Learning Training Development Vendor RFP</t>
  </si>
  <si>
    <t>0064L00000DJftx</t>
  </si>
  <si>
    <t>Finance Controls and SOX Operations</t>
  </si>
  <si>
    <t>Melanie Henderson</t>
  </si>
  <si>
    <t>0064L00000DJgWj</t>
  </si>
  <si>
    <t>FDX Express LATAM DEI</t>
  </si>
  <si>
    <t>0064L00000DJgXw</t>
  </si>
  <si>
    <t>FDX:  Time &amp; Attendance advisement</t>
  </si>
  <si>
    <t>0064L00000DJgYa</t>
  </si>
  <si>
    <t>FDX:  BOT HR Assessment</t>
  </si>
  <si>
    <t>0064L00000Bg59X</t>
  </si>
  <si>
    <t>Discord Treasury Setup</t>
  </si>
  <si>
    <t>Rick Chen</t>
  </si>
  <si>
    <t>0064L00000CYFjl</t>
  </si>
  <si>
    <t>SAF/Sustainable Fuel Mgmt POV (ESG)</t>
  </si>
  <si>
    <t>0064L00000ArLBs</t>
  </si>
  <si>
    <t>Illinois Tool Works Inc.</t>
  </si>
  <si>
    <t>ITW - Operations and Supply Chain Target</t>
  </si>
  <si>
    <t>0064L000007E2Ya</t>
  </si>
  <si>
    <t>Reimbursement - *Strategic Reimbursement*</t>
  </si>
  <si>
    <t>Joshua Cahn</t>
  </si>
  <si>
    <t>0064L000006jgOs</t>
  </si>
  <si>
    <t>Credit Karma - Media Intelligence</t>
  </si>
  <si>
    <t>0064L000006jgOJ</t>
  </si>
  <si>
    <t>Bristol-Myers Squibb Co. - Media Intelligence</t>
  </si>
  <si>
    <t>0064L00000BmFni</t>
  </si>
  <si>
    <t>CBRE - Data Management Program</t>
  </si>
  <si>
    <t>0064L000009AMAE</t>
  </si>
  <si>
    <t>CX - Aligning approach across all of CX for Consumer</t>
  </si>
  <si>
    <t>Fred Brown</t>
  </si>
  <si>
    <t>0064L00000BoLuc</t>
  </si>
  <si>
    <t>Marqeta Inc</t>
  </si>
  <si>
    <t>MQ Escheatment Assessment</t>
  </si>
  <si>
    <t>0064L00000Blv0Q</t>
  </si>
  <si>
    <t>SC Johnson &amp; Son, Inc</t>
  </si>
  <si>
    <t>Payroll Harmonization</t>
  </si>
  <si>
    <t>Ravi Ramachandran</t>
  </si>
  <si>
    <t>0064L00000418Fb</t>
  </si>
  <si>
    <t>Data &amp; Analytics (Insight &amp; Solutions)  Restructuring</t>
  </si>
  <si>
    <t>0064L00000Aqyei</t>
  </si>
  <si>
    <t>HR Workday Assessment</t>
  </si>
  <si>
    <t>30/11/2023</t>
  </si>
  <si>
    <t>0064L00000AqWdL</t>
  </si>
  <si>
    <t>CDW Personalization Implementation Support</t>
  </si>
  <si>
    <t>18/9/2021</t>
  </si>
  <si>
    <t>Ryan Cronin</t>
  </si>
  <si>
    <t>0064L00000Aqyhq</t>
  </si>
  <si>
    <t>SCJ - Revenue Growth Management</t>
  </si>
  <si>
    <t>0064L000009BMQi</t>
  </si>
  <si>
    <t>AT&amp;T Marketing Operations - Martech Investments</t>
  </si>
  <si>
    <t>Balaji Venkatachalam</t>
  </si>
  <si>
    <t>0064L00000Aqyit</t>
  </si>
  <si>
    <t>SCJ - Digital Commerce</t>
  </si>
  <si>
    <t>Kurt Staelens</t>
  </si>
  <si>
    <t>0064L00000D8b27</t>
  </si>
  <si>
    <t>Hershey Dynamic Planning Supply Chain Optimization</t>
  </si>
  <si>
    <t>0064L00000BnjZX</t>
  </si>
  <si>
    <t>Takeda GBS Process Assessment and Standardization</t>
  </si>
  <si>
    <t>0064L00000Ar9IX</t>
  </si>
  <si>
    <t>The Western Union Company</t>
  </si>
  <si>
    <t>Voyager II Phase 2 Design</t>
  </si>
  <si>
    <t>0064L00000BmxWt</t>
  </si>
  <si>
    <t>Boeing Supply Chain Visibility Pilot</t>
  </si>
  <si>
    <t>0064L00000D8b3U</t>
  </si>
  <si>
    <t>Hershey Future of Work</t>
  </si>
  <si>
    <t>0064L00000DJTf7</t>
  </si>
  <si>
    <t>DVC_Capacity Mgmt</t>
  </si>
  <si>
    <t>0064L00000DJTeJ</t>
  </si>
  <si>
    <t>DVC_Transformation #FFG3.0</t>
  </si>
  <si>
    <t>0064L00000BlBSc</t>
  </si>
  <si>
    <t>CCSWB Planning and Logistics Phase 2</t>
  </si>
  <si>
    <t>0064L00000Bks8J</t>
  </si>
  <si>
    <t>HPE - ProEdge for Technical Talent - $250K - Expansion</t>
  </si>
  <si>
    <t>0064L00000Bm4VY</t>
  </si>
  <si>
    <t>Customer Loyalty</t>
  </si>
  <si>
    <t>0064L00000D8b65</t>
  </si>
  <si>
    <t>Elanco Animal Health - ESG Consulting Support</t>
  </si>
  <si>
    <t>0064L00000D8b64</t>
  </si>
  <si>
    <t>Juniper Industrial Holdings Inc.</t>
  </si>
  <si>
    <t>Juniper - #ESG Support</t>
  </si>
  <si>
    <t>0064L00000D8b6O</t>
  </si>
  <si>
    <t>WestRock - Net Zero</t>
  </si>
  <si>
    <t>0064L000003yaX7</t>
  </si>
  <si>
    <t>MunichRe"  Oracle In-bound OFSAA Lead</t>
  </si>
  <si>
    <t>0064L00000ArJR0</t>
  </si>
  <si>
    <t>McLeod Regional Medical Center of The Pee Dee, Inc.</t>
  </si>
  <si>
    <t>McLeod Regional Medical Center of the Pee Dee *VBO* Cerner Transition</t>
  </si>
  <si>
    <t>0064L00000BnkBR</t>
  </si>
  <si>
    <t>TIGER - Finance Transfo. - Planning and Close Improvement</t>
  </si>
  <si>
    <t>0064L000009fUrh</t>
  </si>
  <si>
    <t>Johnson Financial Group Inc.</t>
  </si>
  <si>
    <t>Johnson Financial Group - Target Operating Model #&lt;$50B #SCB</t>
  </si>
  <si>
    <t>Matthew Baltrus</t>
  </si>
  <si>
    <t>0064L00000BfQjA</t>
  </si>
  <si>
    <t>Molina ERP Planning Support</t>
  </si>
  <si>
    <t>0064L00000DJTjn</t>
  </si>
  <si>
    <t>RWJ Hamilton #FFG3.0</t>
  </si>
  <si>
    <t>0064L00000BmWC5</t>
  </si>
  <si>
    <t>AWS Compliance Vendor Managed Services Setup and Design #TMTMSO</t>
  </si>
  <si>
    <t>0064L000003yPKg</t>
  </si>
  <si>
    <t>Digital Upskilling &amp; Transformation - Finance</t>
  </si>
  <si>
    <t>Suzanne Fisher Roske</t>
  </si>
  <si>
    <t>0064L00000BlvBs</t>
  </si>
  <si>
    <t>Nestlé NA - Marketer of the Future</t>
  </si>
  <si>
    <t>0064L000001vv9w</t>
  </si>
  <si>
    <t>HR/Payroll capabilities in Workday, Analytics and Shared Services and Data Analytics</t>
  </si>
  <si>
    <t>Srini Gabu</t>
  </si>
  <si>
    <t>0064L000001vdMT</t>
  </si>
  <si>
    <t>Real Estate Data Platform</t>
  </si>
  <si>
    <t>0064L00000Bnjn0</t>
  </si>
  <si>
    <t>Labcorp - CPQ Pricing</t>
  </si>
  <si>
    <t>0064L00000D8bFL</t>
  </si>
  <si>
    <t>Twilio Cost-Efficient Growth (FFG) Ph.</t>
  </si>
  <si>
    <t>0064L00000CWQCm</t>
  </si>
  <si>
    <t>SRC Inc</t>
  </si>
  <si>
    <t>Workforce Planning Design</t>
  </si>
  <si>
    <t>0064L00000D92DN</t>
  </si>
  <si>
    <t>Boar's Head Provisions CO. Inc. and Affiliated Companies</t>
  </si>
  <si>
    <t>Boar's Head - New Routes to Market</t>
  </si>
  <si>
    <t>Erica Suk</t>
  </si>
  <si>
    <t>0064L00000BonSB</t>
  </si>
  <si>
    <t>CSL Centers - Pilot Experience Planning</t>
  </si>
  <si>
    <t>0064L00000D8bFz</t>
  </si>
  <si>
    <t>Okta, Inc.</t>
  </si>
  <si>
    <t>Okta Cost Efficient Growth (FFG) Ph. 1</t>
  </si>
  <si>
    <t>0064L00000Blum2</t>
  </si>
  <si>
    <t>#PayerAnalytics-MSFT Alliance - Pop Health CC for Carefirst</t>
  </si>
  <si>
    <t>Bhautik Shah</t>
  </si>
  <si>
    <t>0064L00000Blun3</t>
  </si>
  <si>
    <t>#PayerAnalytics-MSFT Alliance-Pop Health CC for Molina</t>
  </si>
  <si>
    <t>0064L00000D8bK6</t>
  </si>
  <si>
    <t>Project Bear Hug - Phase 2</t>
  </si>
  <si>
    <t>Justin Lau</t>
  </si>
  <si>
    <t>0064L000009fgCa</t>
  </si>
  <si>
    <t>ESG Strategy &amp; Program</t>
  </si>
  <si>
    <t>Jennifer Johnson</t>
  </si>
  <si>
    <t>0064L00000BlunH</t>
  </si>
  <si>
    <t>CDE Kaiser Perm #xPC:PayerAnalytics #Alliance:MSFT #PayerAnalytics</t>
  </si>
  <si>
    <t>0064L00000CXTJp</t>
  </si>
  <si>
    <t>Charter / Growth New Business Models</t>
  </si>
  <si>
    <t>0064L00000BlunJ</t>
  </si>
  <si>
    <t>#PayerAnalytics-MSFT Alliance-Pop Health CC for Kaiser Permanente</t>
  </si>
  <si>
    <t>0064L00000BlunT</t>
  </si>
  <si>
    <t>CDE Molina  #xPC:PayerAnalytics #Alliance:MSFT #PayerAnalytics</t>
  </si>
  <si>
    <t>0064L00000CYULO</t>
  </si>
  <si>
    <t>Retirement Partners Strategic Implementation</t>
  </si>
  <si>
    <t>0064L00000CVnFo</t>
  </si>
  <si>
    <t>SFDC - TMS Design, Migration Strategy</t>
  </si>
  <si>
    <t>0065800000gzgGJ</t>
  </si>
  <si>
    <t>Intel - Asset Lifecycle Mgmt</t>
  </si>
  <si>
    <t>23/8/2018</t>
  </si>
  <si>
    <t>21/11/2022</t>
  </si>
  <si>
    <t>0064L00000AqhEs</t>
  </si>
  <si>
    <t>Canadian Imperial Bank of Commerce</t>
  </si>
  <si>
    <t>CIBC Swap Review Phase 3</t>
  </si>
  <si>
    <t>0064L00000DJdhw</t>
  </si>
  <si>
    <t>Intel Foundry Program Advisory &amp; Support</t>
  </si>
  <si>
    <t>0064L000009AmNd</t>
  </si>
  <si>
    <t>VBG Digital Strategy and Roadmap</t>
  </si>
  <si>
    <t>0064L00000Bolee</t>
  </si>
  <si>
    <t>Grupo Alen S.A. de C.V.</t>
  </si>
  <si>
    <t>Grupo Alen - FY23 - RFP Trade Promotion Management, Assessment, Future state and Change Strategy</t>
  </si>
  <si>
    <t>0064L000001vdxe</t>
  </si>
  <si>
    <t>Contract Technology</t>
  </si>
  <si>
    <t>0064L000002b1so</t>
  </si>
  <si>
    <t>U.S. Bank Core Transformation Workshops</t>
  </si>
  <si>
    <t>0064L00000Bg1l3</t>
  </si>
  <si>
    <t>Medicare CAHPS HealthFirst #xPC:PayerAnalytics #Alliance:C3AI #PayerAnalytics</t>
  </si>
  <si>
    <t>0064L00000Bg1l2</t>
  </si>
  <si>
    <t>Medicare CAHPS Horizon #xPC:PayerAnalytics #Alliance:C3AI #PayerAnalytics</t>
  </si>
  <si>
    <t>0064L00000Bg1ks</t>
  </si>
  <si>
    <t>Medicare CAHPS CareFirst #xPC:PayerAnalytics #Alliance:C3AI #PayerAnalytics</t>
  </si>
  <si>
    <t>0064L000003zTVn</t>
  </si>
  <si>
    <t>Microsoft Linkedin Growth Strategy</t>
  </si>
  <si>
    <t>0064L00000CH2NU</t>
  </si>
  <si>
    <t>*CI* GME Funds Flow Assessment</t>
  </si>
  <si>
    <t>0064L00000BepNp</t>
  </si>
  <si>
    <t>Deal Workflow Redesign</t>
  </si>
  <si>
    <t>0064L00000AqWW4</t>
  </si>
  <si>
    <t>CVS: L&amp;D V/R Deployment</t>
  </si>
  <si>
    <t>Christian Putnam</t>
  </si>
  <si>
    <t>0064L00000ArkZu</t>
  </si>
  <si>
    <t>Legal FFG</t>
  </si>
  <si>
    <t>0064L00000BcjLD</t>
  </si>
  <si>
    <t>SAP Process and controls and insights</t>
  </si>
  <si>
    <t>0064L00000DFii3</t>
  </si>
  <si>
    <t>Avnet, Inc.</t>
  </si>
  <si>
    <t>Avnet Revenue Management Leakage Assessment</t>
  </si>
  <si>
    <t>0064L00000BcjKn</t>
  </si>
  <si>
    <t>TCGM</t>
  </si>
  <si>
    <t>0064L00000DJdv5</t>
  </si>
  <si>
    <t>FY22 CR Report &amp; ESG Strategy</t>
  </si>
  <si>
    <t>19/10/2022</t>
  </si>
  <si>
    <t>Cindy Drucker</t>
  </si>
  <si>
    <t>Rohini Barreto</t>
  </si>
  <si>
    <t>0064L00000BfQT2</t>
  </si>
  <si>
    <t>Hyatt - Digital Marketing Strategy - Adobe</t>
  </si>
  <si>
    <t>0064L00000BmDf8</t>
  </si>
  <si>
    <t>Nestlé NA - Asset-Light Strategy</t>
  </si>
  <si>
    <t>13/2/2022</t>
  </si>
  <si>
    <t>0064L00000BmDey</t>
  </si>
  <si>
    <t>Nestlé NA - Marketing Agency Model</t>
  </si>
  <si>
    <t>0064L00000Bn6iC</t>
  </si>
  <si>
    <t>#QMS Quality Metrics</t>
  </si>
  <si>
    <t>Larissa Lynn</t>
  </si>
  <si>
    <t>0064L00000BoKMy</t>
  </si>
  <si>
    <t>Group Data Exchange</t>
  </si>
  <si>
    <t>0064L00000DJdzX</t>
  </si>
  <si>
    <t>PACNW CommonSpirit Reimb: Rural Health Clinic (RHC) Strategy *Strategic Reimbursement*</t>
  </si>
  <si>
    <t>0064L00000BfQY2</t>
  </si>
  <si>
    <t>Workday Inc</t>
  </si>
  <si>
    <t>Workday ESG Program TCFD Support #ESG-TMT-Wave2</t>
  </si>
  <si>
    <t>0064L00000BldMI</t>
  </si>
  <si>
    <t>Integrated ESG Due Diligence</t>
  </si>
  <si>
    <t>0064L00000CH2Xo</t>
  </si>
  <si>
    <t>AbbVie China Eyecare Commercialization</t>
  </si>
  <si>
    <t>Jacquie Newland</t>
  </si>
  <si>
    <t>0064L00000BfQZK</t>
  </si>
  <si>
    <t>Apple ESG Program Support #ESG-TMT-Wave2</t>
  </si>
  <si>
    <t>0064L00000DJRVy</t>
  </si>
  <si>
    <t>Separation Support</t>
  </si>
  <si>
    <t>Michael Fiore</t>
  </si>
  <si>
    <t>Projects Shuffle, Lasso and Galaxy IT Deals Support</t>
  </si>
  <si>
    <t>Multiple Client Engagement</t>
  </si>
  <si>
    <t>Robert Willison</t>
  </si>
  <si>
    <t>0064L00000Bni2V</t>
  </si>
  <si>
    <t>Samsara Inc.</t>
  </si>
  <si>
    <t>Samsara OTC</t>
  </si>
  <si>
    <t>0064L00000CWMe9</t>
  </si>
  <si>
    <t>Godaddy Inc.</t>
  </si>
  <si>
    <t>GoDaddy - Bridge Opportunity - SFDC</t>
  </si>
  <si>
    <t>0064L000007YJEP</t>
  </si>
  <si>
    <t>Finance Transformation Wave 2 - Chart of Accounts Design</t>
  </si>
  <si>
    <t>0064L00000BlbPZ</t>
  </si>
  <si>
    <t>CELA LENS - Monitoring, Reporting, Automation, &amp; Engineering Support</t>
  </si>
  <si>
    <t>Zakkary Smith</t>
  </si>
  <si>
    <t>0064L00000CYU4R</t>
  </si>
  <si>
    <t>Westfield Insurance Company Inc.</t>
  </si>
  <si>
    <t>Westfield M&amp;A Playbook Design</t>
  </si>
  <si>
    <t>Patricio de la Mora</t>
  </si>
  <si>
    <t>0064L00000CYU2u</t>
  </si>
  <si>
    <t>Boeing Finance L&amp;D</t>
  </si>
  <si>
    <t>0064L00000Bo98U</t>
  </si>
  <si>
    <t>Siemens Aktiengesellschaft</t>
  </si>
  <si>
    <t>SGT Costpoint Planning (Original)</t>
  </si>
  <si>
    <t>0064L000004wuJB</t>
  </si>
  <si>
    <t>FFG Assessment</t>
  </si>
  <si>
    <t>0064L00000BolAA</t>
  </si>
  <si>
    <t>FedEx - Financial Close Assessment</t>
  </si>
  <si>
    <t>0064L000007GUir</t>
  </si>
  <si>
    <t>Farmers New World Life - Post Audit - Conversion Tool Target #insconversiontool</t>
  </si>
  <si>
    <t>27/3/2021</t>
  </si>
  <si>
    <t>Britta Truskey</t>
  </si>
  <si>
    <t>0064L00000D8ou9</t>
  </si>
  <si>
    <t>Key Wealth Tech Strategy</t>
  </si>
  <si>
    <t>0064L00000B38qv</t>
  </si>
  <si>
    <t>Hitachi GSIB Refresh</t>
  </si>
  <si>
    <t>21/8/2022</t>
  </si>
  <si>
    <t>Ayesha Datta</t>
  </si>
  <si>
    <t>0064L00000CXQXn</t>
  </si>
  <si>
    <t>MAR: ESPP</t>
  </si>
  <si>
    <t>Craig O'Donnell</t>
  </si>
  <si>
    <t>Jessie Gertz</t>
  </si>
  <si>
    <t>0064L00000Bo9AV</t>
  </si>
  <si>
    <t>*CI* Health Equity Assessment</t>
  </si>
  <si>
    <t>0064L000003zsMg</t>
  </si>
  <si>
    <t>Work and Asset Management Assessment #bigbet</t>
  </si>
  <si>
    <t>30/9/2020</t>
  </si>
  <si>
    <t>Todd Milligan</t>
  </si>
  <si>
    <t>0064L00000ApdV2</t>
  </si>
  <si>
    <t>Microsoft HRDD Strategic Deal Design #PRA</t>
  </si>
  <si>
    <t>0064L000002Lc8Y</t>
  </si>
  <si>
    <t>#IOBP Vertex PPM Strategy &amp; Biz Case</t>
  </si>
  <si>
    <t>0064L00000CYTbP</t>
  </si>
  <si>
    <t>Meridian Bioscience, Inc.</t>
  </si>
  <si>
    <t>ERP-EPM Selection</t>
  </si>
  <si>
    <t>0064L00000DJe55</t>
  </si>
  <si>
    <t>Modern Marketing</t>
  </si>
  <si>
    <t>0064L00000DFyki</t>
  </si>
  <si>
    <t>Temasek Holdings (Private) Limited</t>
  </si>
  <si>
    <t>Temasek Targeting Intel</t>
  </si>
  <si>
    <t>Nadirah Ibrahim</t>
  </si>
  <si>
    <t>Liyao Wan</t>
  </si>
  <si>
    <t>0064L00000Bo9KB</t>
  </si>
  <si>
    <t>CHS Empower - CDM/ Charge Master / Item Master Integration</t>
  </si>
  <si>
    <t>0064L00000Bnhjt</t>
  </si>
  <si>
    <t>P&amp;G - EU MDR Compliance Phase 2</t>
  </si>
  <si>
    <t>Moustafa Ragab</t>
  </si>
  <si>
    <t>0064L0000040ePD</t>
  </si>
  <si>
    <t>Brighthouse Financial Inc.</t>
  </si>
  <si>
    <t>BHF - EDAF Platform Support</t>
  </si>
  <si>
    <t>20/10/2020</t>
  </si>
  <si>
    <t>0064L00000BlQdk</t>
  </si>
  <si>
    <t>GRS-Salesforce Adoption &amp; Enablement</t>
  </si>
  <si>
    <t>0064L00000CY3Ex</t>
  </si>
  <si>
    <t>GE Healthcare - Pega DPA design and implementation</t>
  </si>
  <si>
    <t>0064L00000BnWlo</t>
  </si>
  <si>
    <t>Inventory Reduction</t>
  </si>
  <si>
    <t>0064L00000BoK2K</t>
  </si>
  <si>
    <t>AT&amp;T - HR/Talent Role Discussion</t>
  </si>
  <si>
    <t>0064L000007GUWD</t>
  </si>
  <si>
    <t>Globe Life Inc.</t>
  </si>
  <si>
    <t>Globe Life - Conversion Tool Target #insconversiontool</t>
  </si>
  <si>
    <t>0064L00000BojRO</t>
  </si>
  <si>
    <t>*CDMCT* Qualtrics Experience</t>
  </si>
  <si>
    <t>0064L00000BoI23</t>
  </si>
  <si>
    <t>Commerce (FB Shops)</t>
  </si>
  <si>
    <t>0064L00000CYdM5</t>
  </si>
  <si>
    <t>M&amp;C Finance Transformation Agenda Support</t>
  </si>
  <si>
    <t>0064L00000CYdM6</t>
  </si>
  <si>
    <t>Anaplan Phase 1</t>
  </si>
  <si>
    <t>0064L00000DJbYs</t>
  </si>
  <si>
    <t>VARS approach and benchmarking</t>
  </si>
  <si>
    <t>0064L00000CYdMy</t>
  </si>
  <si>
    <t>M&amp;C FFG/CDS Phase 1</t>
  </si>
  <si>
    <t>0064L00000CYdND</t>
  </si>
  <si>
    <t>M&amp;C Performance Management / RPAT Phase 1</t>
  </si>
  <si>
    <t>0064L00000BcW2b</t>
  </si>
  <si>
    <t>Regions Wealth Management Automation Initiative RFP</t>
  </si>
  <si>
    <t>0064L00000B14WQ</t>
  </si>
  <si>
    <t>Abarta Inc.</t>
  </si>
  <si>
    <t>Strategic Adjacencies Assessment</t>
  </si>
  <si>
    <t>CS_Deal_Corporate_M&amp;A_CM</t>
  </si>
  <si>
    <t>0064L00000BoXtw</t>
  </si>
  <si>
    <t>Back Office Transformation - SOW #5 Scope Outsourcing Wave 1</t>
  </si>
  <si>
    <t>0064L000002aP96</t>
  </si>
  <si>
    <t>Kilpatrick Townsend &amp; Stockton LLP</t>
  </si>
  <si>
    <t>Design/implementation of a partner nonqualified plan usIng COLI</t>
  </si>
  <si>
    <t>0064L00000BoXvY</t>
  </si>
  <si>
    <t>Finance Transformation Phase 1</t>
  </si>
  <si>
    <t>0064L00000DLFdG</t>
  </si>
  <si>
    <t>GE Healthcare - High Radius Implementation Support</t>
  </si>
  <si>
    <t>0064I00000y8gwH</t>
  </si>
  <si>
    <t>RGA - FP&amp;A Phase 1 Implementation</t>
  </si>
  <si>
    <t>Leland Thomas</t>
  </si>
  <si>
    <t>0064L00000CYv5n</t>
  </si>
  <si>
    <t>Follett Corporation</t>
  </si>
  <si>
    <t>FHE - Post Day One - FT P2P</t>
  </si>
  <si>
    <t>Robert Grady</t>
  </si>
  <si>
    <t>0064L00000BlrRn</t>
  </si>
  <si>
    <t>Nestlé NA - ESG Strategy</t>
  </si>
  <si>
    <t>0064L00000BmAru</t>
  </si>
  <si>
    <t>#QMS CTDO Digital Quality strategy/roadmap</t>
  </si>
  <si>
    <t>0064L00000B26t2</t>
  </si>
  <si>
    <t>Aterian Investment Partners Ii, Lp</t>
  </si>
  <si>
    <t>Product Costing</t>
  </si>
  <si>
    <t>0064L00000ArFig</t>
  </si>
  <si>
    <t>Phase 3 Digital Insight for Aero</t>
  </si>
  <si>
    <t>Edward Poropat III</t>
  </si>
  <si>
    <t>0064L0000040wak</t>
  </si>
  <si>
    <t>Payroll Tool - Beacon</t>
  </si>
  <si>
    <t>27/10/2020</t>
  </si>
  <si>
    <t>0064L000006ju8c</t>
  </si>
  <si>
    <t>Microsoft Surface Marketing Multinational Deals Phase 2</t>
  </si>
  <si>
    <t>0064L00000BnxaK</t>
  </si>
  <si>
    <t>China Audit Project</t>
  </si>
  <si>
    <t>Lori Driscoll</t>
  </si>
  <si>
    <t>Kerry Smyth</t>
  </si>
  <si>
    <t>0064L000002ZZzF</t>
  </si>
  <si>
    <t>Keurig Dr Pepper - Media Intelligence</t>
  </si>
  <si>
    <t>0064L00000BoIBU</t>
  </si>
  <si>
    <t>Gilead: Transformation- Commercial: Gross-to-Net Support</t>
  </si>
  <si>
    <t>0064L00000DJRLK</t>
  </si>
  <si>
    <t>Nutanix Inc.</t>
  </si>
  <si>
    <t>Nutanix - CRM Data Hygiene &amp; Governance</t>
  </si>
  <si>
    <t>17/8/2022</t>
  </si>
  <si>
    <t>0064L00000CYCAP</t>
  </si>
  <si>
    <t>P1: CLM tool - procure to pay</t>
  </si>
  <si>
    <t>0064L00000DFVe8</t>
  </si>
  <si>
    <t>Spectrum Ready Program Standup</t>
  </si>
  <si>
    <t>0064L00000CH0Nw</t>
  </si>
  <si>
    <t>Nielsen Culture Change</t>
  </si>
  <si>
    <t>Kayvan Shahabi</t>
  </si>
  <si>
    <t>0064L0000041hqP</t>
  </si>
  <si>
    <t>VBG Marketing Technology Optimization</t>
  </si>
  <si>
    <t>0065800000Ycwyn</t>
  </si>
  <si>
    <t>UTRGV Accreditation Roadmap for Optometry, Podiatry and Pharmacy Schools</t>
  </si>
  <si>
    <t>Rhett Lankford</t>
  </si>
  <si>
    <t>0064L00000BlbDn</t>
  </si>
  <si>
    <t>Centene Claims QA Automation #PayerCO&amp;ITrans #xPC:CO&amp;I #Alliance:xAI</t>
  </si>
  <si>
    <t>Matthew Hill</t>
  </si>
  <si>
    <t>0064L000001vQnC</t>
  </si>
  <si>
    <t>CMO Advisory - Media Intelligence</t>
  </si>
  <si>
    <t>0064L0000040vqc</t>
  </si>
  <si>
    <t>Supply Chain Control Tower #SupplyChain</t>
  </si>
  <si>
    <t>26/10/2020</t>
  </si>
  <si>
    <t>0064L000006VhpC</t>
  </si>
  <si>
    <t>Finance Modernization - Reinsurance Phase 2  (2021) #Hawk</t>
  </si>
  <si>
    <t>18/2/2021</t>
  </si>
  <si>
    <t>0064L000003zbie</t>
  </si>
  <si>
    <t>*CDMCT* Care Model Evolution - Quadruple Aim</t>
  </si>
  <si>
    <t>0064L00000DJbvI</t>
  </si>
  <si>
    <t>Coca-Cola Label Review &amp; Approval Optimization</t>
  </si>
  <si>
    <t>0064L000001vQo0</t>
  </si>
  <si>
    <t>TBC Holdings LLC</t>
  </si>
  <si>
    <t>0064L00000DLVZO</t>
  </si>
  <si>
    <t>Kentucky Commonwealth Of</t>
  </si>
  <si>
    <t>Epic Rev Cycle Optimization *Rev Cycle Tech*</t>
  </si>
  <si>
    <t>0064L00000BnTiT</t>
  </si>
  <si>
    <t>United States Postal Service</t>
  </si>
  <si>
    <t>Medical and Prescription Claims Coding Audit *Rev Cycle*</t>
  </si>
  <si>
    <t>0064L00000DJb81</t>
  </si>
  <si>
    <t>GE Separation - Corporate - Payroll Delivery Model Optimization Services</t>
  </si>
  <si>
    <t>0064L00000DLVYa</t>
  </si>
  <si>
    <t>Epic Rev Cycle Implementation Support Phase 0 *Rev Cycle Tech*</t>
  </si>
  <si>
    <t>0064L00000BoypI</t>
  </si>
  <si>
    <t>FINRA 4210 Assessment</t>
  </si>
  <si>
    <t>0064I00000zT23X</t>
  </si>
  <si>
    <t>WM - Payroll Outsourcing Evaluation</t>
  </si>
  <si>
    <t>0064L000009AhQI</t>
  </si>
  <si>
    <t>Pfizer Claims Validation and Market Access Analytics</t>
  </si>
  <si>
    <t>0064L00000Bd5mM</t>
  </si>
  <si>
    <t>UST Data Center ESG Strategy</t>
  </si>
  <si>
    <t>0064L000001wRbx</t>
  </si>
  <si>
    <t>S4 Finance Functional Support</t>
  </si>
  <si>
    <t>19/8/2020</t>
  </si>
  <si>
    <t>Clark Schmidt</t>
  </si>
  <si>
    <t>0064L00000D8mgK</t>
  </si>
  <si>
    <t>Finance Transformation Chart of Accounts Dimension Design</t>
  </si>
  <si>
    <t>0064L00000Aqub5</t>
  </si>
  <si>
    <t>Expedia Group, Inc.</t>
  </si>
  <si>
    <t>Finance Transformation - Outsourcing Selection</t>
  </si>
  <si>
    <t>0064L00000BoFq4</t>
  </si>
  <si>
    <t>Gilead: Transformation: Alliance and Collaboration Agreement Support</t>
  </si>
  <si>
    <t>0064L000009fcSG</t>
  </si>
  <si>
    <t>Digital Lab Services #BigBet</t>
  </si>
  <si>
    <t>0064L00000Bekvu</t>
  </si>
  <si>
    <t>Mosaic D&amp;I Data Analytics Tool</t>
  </si>
  <si>
    <t>0064L00000CXNhv</t>
  </si>
  <si>
    <t>Risk Adjustment (HCC) Coding Program Implementation *Rev Cycle*</t>
  </si>
  <si>
    <t>0064L000009AhLc</t>
  </si>
  <si>
    <t>S/4 Migration Phase 0</t>
  </si>
  <si>
    <t>Jim Gundy</t>
  </si>
  <si>
    <t>0064L00000CVHdb</t>
  </si>
  <si>
    <t>Best Buy Health - Cloud and Data Strategy</t>
  </si>
  <si>
    <t>0064L000003ynNy</t>
  </si>
  <si>
    <t>Geisinger Health</t>
  </si>
  <si>
    <t>Geisinger Telehealth Risk and Strategy #COVID</t>
  </si>
  <si>
    <t>Cory McClellan</t>
  </si>
  <si>
    <t>0064L000002La9o</t>
  </si>
  <si>
    <t>IT Operating Model - execution support #PayerCO&amp;ITrans</t>
  </si>
  <si>
    <t>0064L00000CVjkJ</t>
  </si>
  <si>
    <t>PowerPlatform CoE #MSFTProvider</t>
  </si>
  <si>
    <t>0064L00000BgPaM</t>
  </si>
  <si>
    <t>Visible - Payment Method Strategies</t>
  </si>
  <si>
    <t>0064L00000DFfUm</t>
  </si>
  <si>
    <t>AA - Loyalty Point Valuation</t>
  </si>
  <si>
    <t>0064L00000BoH8J</t>
  </si>
  <si>
    <t>Enterprise Experience &amp; Journey Mapping</t>
  </si>
  <si>
    <t>0064L000009AxiX</t>
  </si>
  <si>
    <t>GEICO Digital Finance &amp; Small Automation</t>
  </si>
  <si>
    <t>26/11/2021</t>
  </si>
  <si>
    <t>0064L00000DM7fp</t>
  </si>
  <si>
    <t>Dexko Merger Integration</t>
  </si>
  <si>
    <t>0064L00000D8mpM</t>
  </si>
  <si>
    <t>A&amp;AN - UTRGV TCMHCC Operations</t>
  </si>
  <si>
    <t>0064L00000Blr6f</t>
  </si>
  <si>
    <t>#PayerAnalytics-MSFT Alliance-Pop Health #Alliance:MSFT CC for Anthem</t>
  </si>
  <si>
    <t>0064L00000Blr6k</t>
  </si>
  <si>
    <t>CDE Centene #xPC:PayerAnalytics #Alliance:MSFT #PayerAnalytics</t>
  </si>
  <si>
    <t>0064L00000Blr6h</t>
  </si>
  <si>
    <t>#PayerAnalytics-MSFT Alliance-Pop Health CC for Centene #Alliance:MSFT</t>
  </si>
  <si>
    <t>0064L0000069reb</t>
  </si>
  <si>
    <t>Job Catalog Simplification Support</t>
  </si>
  <si>
    <t>0064L00000Blr7T</t>
  </si>
  <si>
    <t>CDE OptumTech #xPC:PayerAnalytics #Alliance:MSFT #PayerAnalytics</t>
  </si>
  <si>
    <t>0064L00000BoWzy</t>
  </si>
  <si>
    <t>Kemper Environmental Strategy &amp; Climate Support</t>
  </si>
  <si>
    <t>Graham Hall</t>
  </si>
  <si>
    <t>0064L00000DM7hR</t>
  </si>
  <si>
    <t>Finance ProEdge Automation #ProEdgexAutomation</t>
  </si>
  <si>
    <t>0064L00000DM7jc</t>
  </si>
  <si>
    <t>Hunter Douglas N.V.</t>
  </si>
  <si>
    <t>Online/DTC Channel Strategy</t>
  </si>
  <si>
    <t>0064L00000Blr7s</t>
  </si>
  <si>
    <t>#PayerAnalytics-MSFT Alliance-Pop Health CC for UHG/Optum</t>
  </si>
  <si>
    <t>0064L00000DM7io</t>
  </si>
  <si>
    <t>American International Group Inc.</t>
  </si>
  <si>
    <t>NewCo Product Model</t>
  </si>
  <si>
    <t>0064L00000BlqYu</t>
  </si>
  <si>
    <t>Lera Battle Caresource</t>
  </si>
  <si>
    <t>#PayerAnalytics-MSFT Alliance-Pop Health CC for CareSource</t>
  </si>
  <si>
    <t>0064L0000099Nef</t>
  </si>
  <si>
    <t>Return to Work PM Support #Medicaid #Medicare #GCOE</t>
  </si>
  <si>
    <t>0064L00000B0qcw</t>
  </si>
  <si>
    <t>IAC/InterActiveCorp</t>
  </si>
  <si>
    <t>Turo Treasury Standup</t>
  </si>
  <si>
    <t>0064L00000DLxqS</t>
  </si>
  <si>
    <t>Overall KP SOM Strategy</t>
  </si>
  <si>
    <t>0064L00000DLxuj</t>
  </si>
  <si>
    <t>RKT PROCUREMENT Optimization #S&amp;P#POD</t>
  </si>
  <si>
    <t>0064L00000DJbMw</t>
  </si>
  <si>
    <t>BIOCON LIMITED</t>
  </si>
  <si>
    <t>US HR Standup and Workforce Transition Support Phase 1</t>
  </si>
  <si>
    <t>Steve Schultz</t>
  </si>
  <si>
    <t>0064L00000BlqaN</t>
  </si>
  <si>
    <t>CDE CareSource #xPC:PayerAnalytics #Alliance:MSFT #PayerAnalytics</t>
  </si>
  <si>
    <t>0064L00000BlqaL</t>
  </si>
  <si>
    <t>#PayerAnalytics-MSFT Alliance-Pop Health CC for Excellus</t>
  </si>
  <si>
    <t>0064L00000DM7th</t>
  </si>
  <si>
    <t>Nuvance Pharmacy Charge Capture *revenue cycle*</t>
  </si>
  <si>
    <t>0064L00000BfMoA</t>
  </si>
  <si>
    <t>GovCon Systems Design</t>
  </si>
  <si>
    <t>0064L00000CYtgc</t>
  </si>
  <si>
    <t>SocialEyes Corporation</t>
  </si>
  <si>
    <t>Social Eyes Growth Strategy</t>
  </si>
  <si>
    <t>0064L00000CYthk</t>
  </si>
  <si>
    <t>Eastern Salesforce Support</t>
  </si>
  <si>
    <t>0064L00000CYtha</t>
  </si>
  <si>
    <t>Eastern Digital Banking Servicing Support</t>
  </si>
  <si>
    <t>0064L00000CYti9</t>
  </si>
  <si>
    <t>Embecta M&amp;A Strategy</t>
  </si>
  <si>
    <t>0064I00000vN9CG</t>
  </si>
  <si>
    <t>*SMART* License - Loma Linda</t>
  </si>
  <si>
    <t>26/6/2019</t>
  </si>
  <si>
    <t>28/6/2024</t>
  </si>
  <si>
    <t>0064L00000Be7jq</t>
  </si>
  <si>
    <t>China Resources Verlinvest Health Investment Limited</t>
  </si>
  <si>
    <t>Oatly Blackline Implementation</t>
  </si>
  <si>
    <t>0064L00000BogmO</t>
  </si>
  <si>
    <t>McDonald's DEI Support</t>
  </si>
  <si>
    <t>0064L00000DMGXn</t>
  </si>
  <si>
    <t>New Product Sales Training</t>
  </si>
  <si>
    <t>0064L00000CXpEP</t>
  </si>
  <si>
    <t>#IOBP-Portfolio Ops R&amp;D Initiative: Strategic Initiatives Framework</t>
  </si>
  <si>
    <t>0064L000009B8hp</t>
  </si>
  <si>
    <t>Digital Strategy including Digital Data Marketplace</t>
  </si>
  <si>
    <t>0064L00000BohQi</t>
  </si>
  <si>
    <t>Materials Management - Asset Management Integration</t>
  </si>
  <si>
    <t>Kurosh Kafie</t>
  </si>
  <si>
    <t>0064L00000CWmJW</t>
  </si>
  <si>
    <t>IDH Test Automation Approach</t>
  </si>
  <si>
    <t>0064L00000Arwi0</t>
  </si>
  <si>
    <t>Materials Demand Planning Assess and Design</t>
  </si>
  <si>
    <t>13/11/2021</t>
  </si>
  <si>
    <t>0064L00000CVHFK</t>
  </si>
  <si>
    <t>Cash &amp; Working Capital</t>
  </si>
  <si>
    <t>0064L00000B0sQp</t>
  </si>
  <si>
    <t>Wells Fargo Enterprise Complaint Management Office Optimization</t>
  </si>
  <si>
    <t>Kevin Phelan</t>
  </si>
  <si>
    <t>0064L000002bqzQ</t>
  </si>
  <si>
    <t>Asset Mgmt Enterprise Value Framework and Implementation</t>
  </si>
  <si>
    <t>19/5/2021</t>
  </si>
  <si>
    <t>EE&amp;C 3P - Portfolio Management and Prioritization</t>
  </si>
  <si>
    <t>0064L00000BlpOr</t>
  </si>
  <si>
    <t>Norfolk Southern - ESG Strategy</t>
  </si>
  <si>
    <t>0064L00000CVYGd</t>
  </si>
  <si>
    <t>Panera Loyalty</t>
  </si>
  <si>
    <t>Anjali Fehon</t>
  </si>
  <si>
    <t>0064L00000CXO0V</t>
  </si>
  <si>
    <t>CCA Risk Adjustment &amp; Encounters Assessment #HVM</t>
  </si>
  <si>
    <t>0064L0000040BYY</t>
  </si>
  <si>
    <t>Battery E2E</t>
  </si>
  <si>
    <t>0064I000011pp3R</t>
  </si>
  <si>
    <t>Microsoft FFG: Total Customer / Partner / Deal Economics &amp; ROI - Phase 2</t>
  </si>
  <si>
    <t>31/1/2020</t>
  </si>
  <si>
    <t>0064L00000CWn60</t>
  </si>
  <si>
    <t>United Airlines- Self ID Campaign</t>
  </si>
  <si>
    <t>Satannia Williams</t>
  </si>
  <si>
    <t>0064L00000CXpWE</t>
  </si>
  <si>
    <t>Wabash_SUTA Amended Return Assistance_$250K</t>
  </si>
  <si>
    <t>0064L00000Beke5</t>
  </si>
  <si>
    <t>Finance OpModel &amp; Workforce Roadmap</t>
  </si>
  <si>
    <t>Finance Vision and Workforce Strategy (phase 1)</t>
  </si>
  <si>
    <t>0064L00000DMHQs</t>
  </si>
  <si>
    <t>Underwriting Desktop Discovery</t>
  </si>
  <si>
    <t>0064L00000BoXDq</t>
  </si>
  <si>
    <t>Dengue launch</t>
  </si>
  <si>
    <t>0064L00000B1TE1</t>
  </si>
  <si>
    <t>Rite Aid- Digital Commerce RX Evolution (Secondary)</t>
  </si>
  <si>
    <t>0064L00000CVjXW</t>
  </si>
  <si>
    <t>BCBS MA_Salesforce CPQ Implementation_SFDC</t>
  </si>
  <si>
    <t>0064L00000As7Uz</t>
  </si>
  <si>
    <t>FIS FT Transfer Agent Lift Out Support</t>
  </si>
  <si>
    <t>0064L00000DM7TF</t>
  </si>
  <si>
    <t>Group Billing Redesign</t>
  </si>
  <si>
    <t>0064L00000BoXIR</t>
  </si>
  <si>
    <t>SIC CRM Desktop Mobilization</t>
  </si>
  <si>
    <t>Akhil Tayal</t>
  </si>
  <si>
    <t>0064L00000BmseX</t>
  </si>
  <si>
    <t>PAS Transformation Business Case &amp; Strategic Planning Roadmap</t>
  </si>
  <si>
    <t>PAS Transformation: Phase 1 - Capability Maturity &amp; Market Evaluation</t>
  </si>
  <si>
    <t>0064L00000DLW78</t>
  </si>
  <si>
    <t>Payments Modernization Support #Volante</t>
  </si>
  <si>
    <t>0064L00000Bmsgi</t>
  </si>
  <si>
    <t>Medicare Call Center COE #GCOE #Medicare</t>
  </si>
  <si>
    <t>0064L00000BmOc1</t>
  </si>
  <si>
    <t>Digital Assets strategy and approach</t>
  </si>
  <si>
    <t>0064L00000CVExE</t>
  </si>
  <si>
    <t>Shell Power People Training Approach</t>
  </si>
  <si>
    <t>0064L00000ArD9F</t>
  </si>
  <si>
    <t>*Strategic Reimbursement* - PRS</t>
  </si>
  <si>
    <t>0064L00000DLStu</t>
  </si>
  <si>
    <t>DSPA COGS modeling - Follow up retainer</t>
  </si>
  <si>
    <t>0064L00000BmOcK</t>
  </si>
  <si>
    <t>Metaverse strategy and approach</t>
  </si>
  <si>
    <t>Roberto Hernandez</t>
  </si>
  <si>
    <t>0064L00000Bn0bm</t>
  </si>
  <si>
    <t>AT&amp;T - BSSe customer billing migration</t>
  </si>
  <si>
    <t>0064L000003zLs4</t>
  </si>
  <si>
    <t>GE Power CSA Simplification (Project Eagle)</t>
  </si>
  <si>
    <t>0064L00000DLSw5</t>
  </si>
  <si>
    <t>GLO operating model follow up</t>
  </si>
  <si>
    <t>0064L000003zLru</t>
  </si>
  <si>
    <t>GE Aviation CSA Simplification (Project Eagle)</t>
  </si>
  <si>
    <t>0064L00000DLuz6</t>
  </si>
  <si>
    <t>Meta: Finance &amp; Accounting Managed Service -Treasury #TMTMSO</t>
  </si>
  <si>
    <t>0064L000009AfMJ</t>
  </si>
  <si>
    <t>Morgan Stanley - Marketing Cloud Implementation (Investment Services) - 2022 #FSSalesforce</t>
  </si>
  <si>
    <t>Steve Schneider</t>
  </si>
  <si>
    <t>0064L00000B0pSM</t>
  </si>
  <si>
    <t>Risk Operating Model Framework</t>
  </si>
  <si>
    <t>0064L00000DFchn</t>
  </si>
  <si>
    <t>Pagny</t>
  </si>
  <si>
    <t>VBO Support Back-end Revenue Cycle *Rev Cycle*</t>
  </si>
  <si>
    <t>0064L00000DFuJy</t>
  </si>
  <si>
    <t>Pentagon Federal Credit Union</t>
  </si>
  <si>
    <t>Consumer Lending Portfolio Profitability and Best Execution Support</t>
  </si>
  <si>
    <t>Travis Zhan</t>
  </si>
  <si>
    <t>0064L00000B1sTq</t>
  </si>
  <si>
    <t>DTV eCommerce Journey &amp; Acquisition</t>
  </si>
  <si>
    <t>0064L00000BmaJD</t>
  </si>
  <si>
    <t>CEX.IO Corp.</t>
  </si>
  <si>
    <t>CEX.io - Finance Capabilities Definition, Software Selection and Roadmap</t>
  </si>
  <si>
    <t>0064L00000Be80c</t>
  </si>
  <si>
    <t>US ESG Strategy</t>
  </si>
  <si>
    <t>Chloe Lamy</t>
  </si>
  <si>
    <t>0064L00000BndMu</t>
  </si>
  <si>
    <t>Project Accelerator - Net Revenue Optimization #FFG3.0</t>
  </si>
  <si>
    <t>Megan Spindell</t>
  </si>
  <si>
    <t>0064L00000Bo4Oh</t>
  </si>
  <si>
    <t>NuVasive Deals Integration</t>
  </si>
  <si>
    <t>Sky Milch</t>
  </si>
  <si>
    <t>0064L00000B1QMR</t>
  </si>
  <si>
    <t>KOTOBUKI REALTY CO.,LTD.</t>
  </si>
  <si>
    <t>BL - Modeling innovation (US Portion)</t>
  </si>
  <si>
    <t>0064L00000B1QMW</t>
  </si>
  <si>
    <t>Mizkan Holdings Co., Ltd.</t>
  </si>
  <si>
    <t>BL - Digital Twins (US Portion)</t>
  </si>
  <si>
    <t>0064L00000BmOme</t>
  </si>
  <si>
    <t>Financial Flexibility</t>
  </si>
  <si>
    <t>0064L000004xbeJ</t>
  </si>
  <si>
    <t>Access and Physician Enterprise</t>
  </si>
  <si>
    <t>0064L00000BmOmt</t>
  </si>
  <si>
    <t>GE Gas Power Construction Effectiveness - Cost Out</t>
  </si>
  <si>
    <t>0064L00000Bd3rk</t>
  </si>
  <si>
    <t>Customer Experience Pilot</t>
  </si>
  <si>
    <t>0064L00000Bnttt</t>
  </si>
  <si>
    <t>Medicare Advantage Marketing Materials Operating Model #GCOE</t>
  </si>
  <si>
    <t>0064L00000DFv6G</t>
  </si>
  <si>
    <t>Zoetis Phase 3.3: Retail Support Extension</t>
  </si>
  <si>
    <t>0064L00000D8klr</t>
  </si>
  <si>
    <t>Grupo Sese - US Task Force Support - Phase 5</t>
  </si>
  <si>
    <t>0064L00000Bd3sv</t>
  </si>
  <si>
    <t>Establishing Product Ideation Strategy</t>
  </si>
  <si>
    <t>0064L000009A31h</t>
  </si>
  <si>
    <t>Procurement Transformation Roadmapping</t>
  </si>
  <si>
    <t>Alan Pincus</t>
  </si>
  <si>
    <t>0064L000004vL1f</t>
  </si>
  <si>
    <t>Walgreens - Media Intelligence</t>
  </si>
  <si>
    <t>0064L000004vL1L</t>
  </si>
  <si>
    <t>Restaurant Brands International Inc.</t>
  </si>
  <si>
    <t>RBI - Media Intelligence Pilot</t>
  </si>
  <si>
    <t>0064L00000ArClS</t>
  </si>
  <si>
    <t>CVS: Retail Omnichannel &amp; Digital Commerce</t>
  </si>
  <si>
    <t>0064I000013546r</t>
  </si>
  <si>
    <t>bp T&amp;S NA Gas and Trading Salesforce Community</t>
  </si>
  <si>
    <t>0064L0000041tqs</t>
  </si>
  <si>
    <t>TowneBank System Selection #&lt;$50B #SCB</t>
  </si>
  <si>
    <t>16/11/2020</t>
  </si>
  <si>
    <t>0064L000006xVMN</t>
  </si>
  <si>
    <t>GRM US--OneClick Application for BI &amp; Personal Specialty</t>
  </si>
  <si>
    <t>0064L00000DMGRz</t>
  </si>
  <si>
    <t>Healthfirst Paper Jam 2.0</t>
  </si>
  <si>
    <t>0064L000007WNwP</t>
  </si>
  <si>
    <t>Microsoft Content Moderation Discuss - Regulatory and Policy Strategy</t>
  </si>
  <si>
    <t>Richard Vose</t>
  </si>
  <si>
    <t>0064L00000DMGST</t>
  </si>
  <si>
    <t>Healthfirst NLP</t>
  </si>
  <si>
    <t>0064I000014Lbxn</t>
  </si>
  <si>
    <t>Wealth Sanderson Management Llc</t>
  </si>
  <si>
    <t>Sanderson Financial Wellness Strategy &amp; Licensing</t>
  </si>
  <si>
    <t>14/4/2020</t>
  </si>
  <si>
    <t>0064L000004wO2Y</t>
  </si>
  <si>
    <t>The Depository Trust &amp; Clearing Corporation</t>
  </si>
  <si>
    <t>DTCC Business Architecture Process Taxonomy #PRCExcellence</t>
  </si>
  <si>
    <t>DNU_CS_Enterprise_Risk_Transformation</t>
  </si>
  <si>
    <t>0064L00000BeIJQ</t>
  </si>
  <si>
    <t>Mohawk Valley Health System</t>
  </si>
  <si>
    <t>Mohawk Valley Health System *VBO* Hospital Billing A/R Support</t>
  </si>
  <si>
    <t>0064L000006AEGY</t>
  </si>
  <si>
    <t>Gas Investment Planning - Copperleaf Implementation</t>
  </si>
  <si>
    <t>0064L00000BnvIR</t>
  </si>
  <si>
    <t>Capability Driven Strategy</t>
  </si>
  <si>
    <t>0064I00000y6UHo</t>
  </si>
  <si>
    <t>CHI Franciscan - Rural Strategy - *Strategic Reimbursement*</t>
  </si>
  <si>
    <t>16/10/2019</t>
  </si>
  <si>
    <t>Brian Romine</t>
  </si>
  <si>
    <t>0064L00000Bel0V</t>
  </si>
  <si>
    <t>Vornado Realty Trust</t>
  </si>
  <si>
    <t>Vornado Employee Engagement Survey with Inclusion Lens</t>
  </si>
  <si>
    <t>0064L000009AEFg</t>
  </si>
  <si>
    <t>BSC - Impact of OTC model on Credit/Collections Operations</t>
  </si>
  <si>
    <t>0064L00000BctJU</t>
  </si>
  <si>
    <t>Liberty Media Corporation</t>
  </si>
  <si>
    <t>P2P Assessment</t>
  </si>
  <si>
    <t>0064L00000ApnuV</t>
  </si>
  <si>
    <t>ERP Consolidation Assessment</t>
  </si>
  <si>
    <t>0064I000011nVWl</t>
  </si>
  <si>
    <t>High-Rise Hotels</t>
  </si>
  <si>
    <t>IGP - High-Rise Hotels</t>
  </si>
  <si>
    <t>13/1/2020</t>
  </si>
  <si>
    <t>0064L000009AEDe</t>
  </si>
  <si>
    <t>BSC Capital Equipment / Service Enablement Transformation</t>
  </si>
  <si>
    <t>0064L000009AEDU</t>
  </si>
  <si>
    <t>BSC Clinical Trial Management Streamlining</t>
  </si>
  <si>
    <t>0064L0000041eeY</t>
  </si>
  <si>
    <t>Kettering Adventist Healthcare</t>
  </si>
  <si>
    <t>*SMART* License - Kettering Health Network</t>
  </si>
  <si>
    <t>0064L00000BmqJ7</t>
  </si>
  <si>
    <t>ABC Sellable Returns Project Execution</t>
  </si>
  <si>
    <t>0064L00000DMDzj</t>
  </si>
  <si>
    <t>Elevance Health Equity with Google #AnthemC&amp;D</t>
  </si>
  <si>
    <t>0064L00000D8ZCP</t>
  </si>
  <si>
    <t>Y?ld?r?m Group Of Companies</t>
  </si>
  <si>
    <t>US Port Operations Market Entry Strategy &amp; Operating Model</t>
  </si>
  <si>
    <t>Abhisek Mohanty</t>
  </si>
  <si>
    <t>0064L00000BnRL1</t>
  </si>
  <si>
    <t>Qualtrics EX *CDMCT*</t>
  </si>
  <si>
    <t>0064L00000Bovpy</t>
  </si>
  <si>
    <t>MSFT TrIP Risk Refresh FY23 Phase 2</t>
  </si>
  <si>
    <t>0064I00000q1AkZ</t>
  </si>
  <si>
    <t>Global Pay Equity</t>
  </si>
  <si>
    <t>24/4/2019</t>
  </si>
  <si>
    <t>0064L00000BoUQA</t>
  </si>
  <si>
    <t>BCS Outcome based models</t>
  </si>
  <si>
    <t>0064L00000BoUQ0</t>
  </si>
  <si>
    <t>BCS Pricing</t>
  </si>
  <si>
    <t>0064L000003zMm8</t>
  </si>
  <si>
    <t>George B. Kaiser</t>
  </si>
  <si>
    <t>nCino TM Readiness - Discovery #&lt;$50B</t>
  </si>
  <si>
    <t>0064L00000D8ZEf</t>
  </si>
  <si>
    <t>Org Blueprint</t>
  </si>
  <si>
    <t>0064L000007Xw9W</t>
  </si>
  <si>
    <t>Global ISG Trading Controls Assessment - Phase 2</t>
  </si>
  <si>
    <t>14/4/2021</t>
  </si>
  <si>
    <t>0064L00000DG3Pa</t>
  </si>
  <si>
    <t>Workday Compensation Strategic Support</t>
  </si>
  <si>
    <t>0064L000009AEAu</t>
  </si>
  <si>
    <t>BSC AI in Quality (Bottoms Up)</t>
  </si>
  <si>
    <t>0064L000004voBD</t>
  </si>
  <si>
    <t>Virtual Health and New Care Model, including Digitally Enabled Care</t>
  </si>
  <si>
    <t>0064L00000BoDTv</t>
  </si>
  <si>
    <t>GA Phase 0 Finance Transformation</t>
  </si>
  <si>
    <t>Sona Tawney</t>
  </si>
  <si>
    <t>0064L00000DG3Qx</t>
  </si>
  <si>
    <t>Apollo Culture Change Management</t>
  </si>
  <si>
    <t>0064L000009AE7I</t>
  </si>
  <si>
    <t>BSC AI in Commercial / Commercial Model Maturity</t>
  </si>
  <si>
    <t>0064L00000DLujI</t>
  </si>
  <si>
    <t>Carquest / AAP Retail Franchise Discovery</t>
  </si>
  <si>
    <t>Bradley Ralick</t>
  </si>
  <si>
    <t>0064L00000Bn0T4</t>
  </si>
  <si>
    <t>Medicare Marketing Materials Assessment and Redesign #GCOE #Medicare</t>
  </si>
  <si>
    <t>0064L00000DLSh0</t>
  </si>
  <si>
    <t>WH Group Limited</t>
  </si>
  <si>
    <t>Smithfield Supply Chain Digitization</t>
  </si>
  <si>
    <t>Jay Wilkes</t>
  </si>
  <si>
    <t>0064L00000CYpx4</t>
  </si>
  <si>
    <t>Wabash_1-1-2023 Employee Moves_$250K</t>
  </si>
  <si>
    <t>0064L00000AqQLA</t>
  </si>
  <si>
    <t>Phight, LLC</t>
  </si>
  <si>
    <t>Laika Portfolio Assessment</t>
  </si>
  <si>
    <t>0064L00000DMG0Z</t>
  </si>
  <si>
    <t>CVS Health: Medicare HRP Stabilization Mobilization (Phase 2) - #PayerCO&amp;ITrans</t>
  </si>
  <si>
    <t>Chris Smith</t>
  </si>
  <si>
    <t>0064L00000CVWT1</t>
  </si>
  <si>
    <t>Ocean Spray Cranberries Inc.</t>
  </si>
  <si>
    <t>GBS Location Assessment &amp; Business Case</t>
  </si>
  <si>
    <t>0064L00000DM4ms</t>
  </si>
  <si>
    <t>Financial Planning Strategy #FFG</t>
  </si>
  <si>
    <t>0064L00000Arf4t</t>
  </si>
  <si>
    <t>Autonation INC.</t>
  </si>
  <si>
    <t>Front Office - Salesforce</t>
  </si>
  <si>
    <t>0064L00000BogF0</t>
  </si>
  <si>
    <t>Camibia - Cost of Care and Delivery Model of Care #HVM</t>
  </si>
  <si>
    <t>0064L000009B6TH</t>
  </si>
  <si>
    <t>GRM Global Growth Model</t>
  </si>
  <si>
    <t>0064L00000Bntdv</t>
  </si>
  <si>
    <t>HIA FFG - CO&amp;I - Government Program Claim Modernization</t>
  </si>
  <si>
    <t>Vaughn Kauffman</t>
  </si>
  <si>
    <t>CS_AL_CJ_TRANSFORM_OFFICE_CMO_02FY22_AD_MI_MICROSOFT DYNAMICS HIA NURTURE</t>
  </si>
  <si>
    <t>Joshua Lawrence</t>
  </si>
  <si>
    <t>0064L00000BdUev</t>
  </si>
  <si>
    <t>The Robert Wood Johnson Foundation</t>
  </si>
  <si>
    <t>PAA Organization Design</t>
  </si>
  <si>
    <t>0064L00000ArU8K</t>
  </si>
  <si>
    <t>Farmers &amp; FWS Distribution &amp; Op model support</t>
  </si>
  <si>
    <t>0064L00000BmOaE</t>
  </si>
  <si>
    <t>Project River</t>
  </si>
  <si>
    <t>0064L00000BmOaF</t>
  </si>
  <si>
    <t>Project Frontier</t>
  </si>
  <si>
    <t>0064L00000BoSe9</t>
  </si>
  <si>
    <t>Bayer R&amp;D Finance</t>
  </si>
  <si>
    <t>0064L00000D8XYE</t>
  </si>
  <si>
    <t>PLC PAS Transformation Architecture &amp; Mobilization</t>
  </si>
  <si>
    <t>0064L00000BoeHQ</t>
  </si>
  <si>
    <t>ADM: ESG System Implementation - Sphera Core to Cloud Migration</t>
  </si>
  <si>
    <t>Sue Wright</t>
  </si>
  <si>
    <t>0064L00000DFPbI</t>
  </si>
  <si>
    <t>0064L000001twsC</t>
  </si>
  <si>
    <t>DOW_Commercial Excellence_Salesforce #HP</t>
  </si>
  <si>
    <t>0064L00000DMDV5</t>
  </si>
  <si>
    <t>Stroock &amp; Stroock &amp; Lavan LLP</t>
  </si>
  <si>
    <t>Feasibility of NQ plan funding through life insurance</t>
  </si>
  <si>
    <t>0064L00000As3Xj</t>
  </si>
  <si>
    <t>DTNA - Risk Management Transformation</t>
  </si>
  <si>
    <t>0064L00000B1qQB</t>
  </si>
  <si>
    <t>Chipotle - Loyalty Transformation</t>
  </si>
  <si>
    <t>0064L00000BoeMG</t>
  </si>
  <si>
    <t>P&amp;G: ESG System Implementation - Sphera Core to Cloud Migration</t>
  </si>
  <si>
    <t>0064L00000BeElz</t>
  </si>
  <si>
    <t>MS Contact Center Value Realization</t>
  </si>
  <si>
    <t>Elizabeth Carlson</t>
  </si>
  <si>
    <t>0064L00000BodmN</t>
  </si>
  <si>
    <t>Schreiber Foods OCM Transformation Support</t>
  </si>
  <si>
    <t>0064L00000BoSkw</t>
  </si>
  <si>
    <t>GE Separation - Energy - DT -  EUCC Strategy</t>
  </si>
  <si>
    <t>0064L00000BoePt</t>
  </si>
  <si>
    <t>CSBB Small Business Growth Platform</t>
  </si>
  <si>
    <t>0064L00000BoSod</t>
  </si>
  <si>
    <t>Power Platform Opportunity - Finance</t>
  </si>
  <si>
    <t>0064L00000BoSon</t>
  </si>
  <si>
    <t>AT&amp;T ESG Controllership &amp; Reporting Impact</t>
  </si>
  <si>
    <t>0064L00000Bo2Mo</t>
  </si>
  <si>
    <t>SMBC Nikko - 2LoD Market Risk TOM</t>
  </si>
  <si>
    <t>0064L00000BlKJ0</t>
  </si>
  <si>
    <t>SFDC - Treasury Management System Selection</t>
  </si>
  <si>
    <t>0065800000Uxqy0</t>
  </si>
  <si>
    <t>LMSSC Localization - KSA</t>
  </si>
  <si>
    <t>27/1/2018</t>
  </si>
  <si>
    <t>0064L00000BodtO</t>
  </si>
  <si>
    <t>SmartNews, Inc.</t>
  </si>
  <si>
    <t>SmartNews - future of work</t>
  </si>
  <si>
    <t>0064L000006ygrf</t>
  </si>
  <si>
    <t>UTSW Patient Access Assessment</t>
  </si>
  <si>
    <t>13/5/2021 7:59 pm</t>
  </si>
  <si>
    <t>0064L00000B33E5</t>
  </si>
  <si>
    <t>BCBSM Digital Strategy - Digital Front Door</t>
  </si>
  <si>
    <t>0064L00000DLSDA</t>
  </si>
  <si>
    <t>Tech Strategy &amp; Op Model Review #CS_EDT_BCM_AWM #DVC</t>
  </si>
  <si>
    <t>0064L00000BoSve</t>
  </si>
  <si>
    <t>Mohegan Sun Casino</t>
  </si>
  <si>
    <t>GBS Design and Strategy</t>
  </si>
  <si>
    <t>0064L00000DFc6S</t>
  </si>
  <si>
    <t>UPS - AEM</t>
  </si>
  <si>
    <t>0064L00000As3hK</t>
  </si>
  <si>
    <t>DTNA Bus Strategy</t>
  </si>
  <si>
    <t>0064L00000Ar0hE</t>
  </si>
  <si>
    <t>Netflix Production Capabilities Scaling Strategy #FFG 3.0</t>
  </si>
  <si>
    <t>0064L00000DMDnn</t>
  </si>
  <si>
    <t>Coupa P2P</t>
  </si>
  <si>
    <t>0064L00000CVF4A</t>
  </si>
  <si>
    <t>DCT Strategy Phase #Medable #DCT</t>
  </si>
  <si>
    <t>0064L00000CVwwQ</t>
  </si>
  <si>
    <t>Omni Channel DVC Digital Transformation</t>
  </si>
  <si>
    <t>0064L00000CXKXr</t>
  </si>
  <si>
    <t>HR Shared Services Assessment</t>
  </si>
  <si>
    <t>0064L00000CVF4M</t>
  </si>
  <si>
    <t>Gilead: Transformation R&amp;D: DCT Strategy Phase #Medable #DCT</t>
  </si>
  <si>
    <t>0064L00000Be5dF</t>
  </si>
  <si>
    <t>Schreiber - Front &amp; Back Office Implementation</t>
  </si>
  <si>
    <t>0064L00000CVF4K</t>
  </si>
  <si>
    <t>0064L00000CVF4L</t>
  </si>
  <si>
    <t>0064L00000CVF68</t>
  </si>
  <si>
    <t>0064L00000CVF66</t>
  </si>
  <si>
    <t>0064L00000BeiIz</t>
  </si>
  <si>
    <t>Magna Powertrain Control Tower and Pitstop</t>
  </si>
  <si>
    <t>0064L000007ux2V</t>
  </si>
  <si>
    <t>BMS - Working Capital - DPO</t>
  </si>
  <si>
    <t>0064L00000AsBse</t>
  </si>
  <si>
    <t>Citizens - How to drive the national bank</t>
  </si>
  <si>
    <t>0064L00000DFrCA</t>
  </si>
  <si>
    <t>BX PWS Learning Enablement</t>
  </si>
  <si>
    <t>Carrie Duarte</t>
  </si>
  <si>
    <t>0064L00000CXYyZ</t>
  </si>
  <si>
    <t>Bed Bath &amp; Beyond Inc.</t>
  </si>
  <si>
    <t>Bed Bath / Growth Strategy</t>
  </si>
  <si>
    <t>0064L00000CXZZX</t>
  </si>
  <si>
    <t>MS Finance Controls</t>
  </si>
  <si>
    <t>0064L00000Bf6fn</t>
  </si>
  <si>
    <t>Carbon Ledger Strategy</t>
  </si>
  <si>
    <t>16/11/2022</t>
  </si>
  <si>
    <t>0064L00000Bf6hD</t>
  </si>
  <si>
    <t>Enterprise Products Company</t>
  </si>
  <si>
    <t>0064L00000B1Oq5</t>
  </si>
  <si>
    <t>Science Applications International Corporation</t>
  </si>
  <si>
    <t>SAIC Oracle Planning Support Phase 2</t>
  </si>
  <si>
    <t>Jessica Benson</t>
  </si>
  <si>
    <t>0064L000007xNse</t>
  </si>
  <si>
    <t>0064L00000Bf6iu</t>
  </si>
  <si>
    <t>0064L00000DJmOr</t>
  </si>
  <si>
    <t>Financial and Strategic Assessment of For-Profit Businesses</t>
  </si>
  <si>
    <t>David Liang</t>
  </si>
  <si>
    <t>0064L00000CWVzx</t>
  </si>
  <si>
    <t>OneStream - EPM Assessment</t>
  </si>
  <si>
    <t>0064L00000Bf6js</t>
  </si>
  <si>
    <t>0064L00000Bf6kR</t>
  </si>
  <si>
    <t>BP ESG Consulting</t>
  </si>
  <si>
    <t>0064L00000CXZa5</t>
  </si>
  <si>
    <t>MS Finance Regulatory EUC Simplification</t>
  </si>
  <si>
    <t>0064L00000Bf6kb</t>
  </si>
  <si>
    <t>ESG Consulting</t>
  </si>
  <si>
    <t>0064L00000CXZb3</t>
  </si>
  <si>
    <t>Compensation consulting services</t>
  </si>
  <si>
    <t>Dominic Cowler</t>
  </si>
  <si>
    <t>0064L00000B0nlg</t>
  </si>
  <si>
    <t>MS IIS - RIA Integration (2022) #WM</t>
  </si>
  <si>
    <t>0064L00000Be3il</t>
  </si>
  <si>
    <t>Expanded HR Benchmarking Services</t>
  </si>
  <si>
    <t>0064L000009ARzl</t>
  </si>
  <si>
    <t>Outsourced Reimbursement Functions *Strategic Reimbursement*</t>
  </si>
  <si>
    <t>0064L0000042DUF</t>
  </si>
  <si>
    <t>#QMS QMS Transformation</t>
  </si>
  <si>
    <t>24/11/2020</t>
  </si>
  <si>
    <t>0064L0000042DW6</t>
  </si>
  <si>
    <t>#QMS ISO Batch Release - Roche</t>
  </si>
  <si>
    <t>0064L0000042DUy</t>
  </si>
  <si>
    <t>#QMS ISO Batch Release - BMS</t>
  </si>
  <si>
    <t>0064L000009B3vw</t>
  </si>
  <si>
    <t>Nissan_Auto Cloud pilot_Salesforce</t>
  </si>
  <si>
    <t>0064L00000BoBRE</t>
  </si>
  <si>
    <t>Baker OFS Inflation Analytics</t>
  </si>
  <si>
    <t>0064L000004v8mF</t>
  </si>
  <si>
    <t>#QMS Bayer CSV Compliance Organizational Strategy</t>
  </si>
  <si>
    <t>0064L00000BmoPr</t>
  </si>
  <si>
    <t>Procurement Op Model Assessment</t>
  </si>
  <si>
    <t>0064L00000B2cg1</t>
  </si>
  <si>
    <t>Victoria's Secret &amp; Co</t>
  </si>
  <si>
    <t>VS&amp;Co Strategy and Digital Contact Solutions #FFG</t>
  </si>
  <si>
    <t>Brandy Smith</t>
  </si>
  <si>
    <t>0064L000001uHbr</t>
  </si>
  <si>
    <t>Gulfstream Supplier Performance Assessment</t>
  </si>
  <si>
    <t>0064L00000B2cah</t>
  </si>
  <si>
    <t>ADC - Managed Care Business Case $250K #XPCDigital</t>
  </si>
  <si>
    <t>Andrew Miller</t>
  </si>
  <si>
    <t>0064L00000DFPWD</t>
  </si>
  <si>
    <t>New Balance Inc.</t>
  </si>
  <si>
    <t>Project Fresh Phase 2 PMO Support</t>
  </si>
  <si>
    <t>0064L00000BnPXU</t>
  </si>
  <si>
    <t>Endress+Hauser AG</t>
  </si>
  <si>
    <t>E+H US HR Shared Services Retainer</t>
  </si>
  <si>
    <t>Jonathan Roberts</t>
  </si>
  <si>
    <t>0064L00000D8zQs</t>
  </si>
  <si>
    <t>WGL- Website Decommissioning + Basis Support</t>
  </si>
  <si>
    <t>0064L00000CVx1U</t>
  </si>
  <si>
    <t>o9 SC Control Tower: Phase 1</t>
  </si>
  <si>
    <t>Adam Goldberg</t>
  </si>
  <si>
    <t>0064L000003yXv1</t>
  </si>
  <si>
    <t>RGA - Financial Planning &amp; Data Strategy</t>
  </si>
  <si>
    <t>0064L00000CWWsF</t>
  </si>
  <si>
    <t>Marketing Capabilities Assessment</t>
  </si>
  <si>
    <t>0064L00000Blm9Z</t>
  </si>
  <si>
    <t>Morgan Stanley / Data CoE Celonis Support / $250,000 #FSProcessIntelligence</t>
  </si>
  <si>
    <t>0064L00000CVg3A</t>
  </si>
  <si>
    <t>2023 AOP Support</t>
  </si>
  <si>
    <t>Derek Skoog</t>
  </si>
  <si>
    <t>Usamah Rashid</t>
  </si>
  <si>
    <t>0064L000007wJu2</t>
  </si>
  <si>
    <t>Cleary Gottlieb Steen &amp; Hamilton LLP</t>
  </si>
  <si>
    <t>Design/implementation of a partner nonqualified plan using POLI</t>
  </si>
  <si>
    <t>Yosef Ziegler</t>
  </si>
  <si>
    <t>0064L00000BoeEb</t>
  </si>
  <si>
    <t>Abbott: ESG System Implementation - Sphera Carbon Accounting (EA)</t>
  </si>
  <si>
    <t>0064L00000BoScS</t>
  </si>
  <si>
    <t>Bayer Policy Review</t>
  </si>
  <si>
    <t>0064L00000D8XWn</t>
  </si>
  <si>
    <t>Tennant Company</t>
  </si>
  <si>
    <t>Finance Transformation SAP Support</t>
  </si>
  <si>
    <t>0064L00000DJnMI</t>
  </si>
  <si>
    <t>Process Automations</t>
  </si>
  <si>
    <t>0064L00000CX7W5</t>
  </si>
  <si>
    <t>HCA Standard Program Pricing Framework Implementation Support</t>
  </si>
  <si>
    <t>0064L00000DLPPS</t>
  </si>
  <si>
    <t>Southern Supply Chain EF Follow On</t>
  </si>
  <si>
    <t>0064L00000D8Uwh</t>
  </si>
  <si>
    <t>SVB Private - Monetizing Private Markets</t>
  </si>
  <si>
    <t>Heather Brink</t>
  </si>
  <si>
    <t>0064L00000B1MKN</t>
  </si>
  <si>
    <t>WHR - SF - Franchisee Loyalty Strategy</t>
  </si>
  <si>
    <t>0064L00000D8UyJ</t>
  </si>
  <si>
    <t>Boston Private - Capitalize on new trend for holding Restricted Shares in street name</t>
  </si>
  <si>
    <t>0064L00000As0uQ</t>
  </si>
  <si>
    <t>DTNA/DTFS CX Strategy</t>
  </si>
  <si>
    <t>0064L00000BfXNR</t>
  </si>
  <si>
    <t>Astra 2.0 (LE Forecasting) - Design Phase</t>
  </si>
  <si>
    <t>0064L00000Bf5io</t>
  </si>
  <si>
    <t>CDE HealthFirst #xPC:PayerAnalytics #Alliance:MSFT #PayerAnalytics</t>
  </si>
  <si>
    <t>Praveen Akella</t>
  </si>
  <si>
    <t>0064L00000AraYU</t>
  </si>
  <si>
    <t>Rivian HR Transformation</t>
  </si>
  <si>
    <t>0064L00000Bg8nY</t>
  </si>
  <si>
    <t>Trading Controls Assessment Phase 2</t>
  </si>
  <si>
    <t>Trading Controls Assessment</t>
  </si>
  <si>
    <t>0064L000002ZS38</t>
  </si>
  <si>
    <t>#QMS Quality &amp; Digital Transformation - Merck</t>
  </si>
  <si>
    <t>15/3/2021</t>
  </si>
  <si>
    <t>0064L00000CXYbS</t>
  </si>
  <si>
    <t>Iridium Communications Inc.</t>
  </si>
  <si>
    <t>Iridium Satellite / IoT Growth / #XPCGrowth</t>
  </si>
  <si>
    <t>0064L000002ZS4f</t>
  </si>
  <si>
    <t>#QMS Quality &amp; Digital Transformation - Merck KGaA</t>
  </si>
  <si>
    <t>0064L000009BAyY</t>
  </si>
  <si>
    <t>Synovus Cost Assessment</t>
  </si>
  <si>
    <t>0064L000002ZS41</t>
  </si>
  <si>
    <t>AstraZeneca Plc</t>
  </si>
  <si>
    <t>#QMS Quality &amp; Digital Transformation - Astra Zeneca</t>
  </si>
  <si>
    <t>0064L00000DJksu</t>
  </si>
  <si>
    <t>Marketing procurement</t>
  </si>
  <si>
    <t>0064L000009Aqu7</t>
  </si>
  <si>
    <t>Fairlife Packaging Strategy - Phase 2</t>
  </si>
  <si>
    <t>0064L00000Bou25</t>
  </si>
  <si>
    <t>VS&amp;Co - Technology Landscape Assessment</t>
  </si>
  <si>
    <t>Eric Shea</t>
  </si>
  <si>
    <t>0064L0000040o0s</t>
  </si>
  <si>
    <t>Marketing - Dynamic OBPPC</t>
  </si>
  <si>
    <t>0064L00000CXjgN</t>
  </si>
  <si>
    <t>AT&amp;T - HR Leadership Development</t>
  </si>
  <si>
    <t>0064L00000DFqLk</t>
  </si>
  <si>
    <t>StoneX - Cybersecurity Roadmap Assessment - 250,000</t>
  </si>
  <si>
    <t>0064L00000BlYh1</t>
  </si>
  <si>
    <t>AP Outsourcing Advisory</t>
  </si>
  <si>
    <t>0064L00000Bo0LP</t>
  </si>
  <si>
    <t>DVC</t>
  </si>
  <si>
    <t>0064L00000CXjhC</t>
  </si>
  <si>
    <t>AT&amp;T - Employee Rewards</t>
  </si>
  <si>
    <t>Brandon Yerre</t>
  </si>
  <si>
    <t>0064L000001uVku</t>
  </si>
  <si>
    <t>CMO Advisory</t>
  </si>
  <si>
    <t>Soumyajyoti Datta</t>
  </si>
  <si>
    <t>0064L00000BfXVV</t>
  </si>
  <si>
    <t>0064L00000CX7cc</t>
  </si>
  <si>
    <t>Serco Group Plc</t>
  </si>
  <si>
    <t>HCM Vendor Search and Selection</t>
  </si>
  <si>
    <t>0064L00000CYmkv</t>
  </si>
  <si>
    <t>ATC Close &amp; Consolidation - Intercompany Workstream</t>
  </si>
  <si>
    <t>0064L00000CYnOM</t>
  </si>
  <si>
    <t>Wex Inc.</t>
  </si>
  <si>
    <t>WEX - Coupa EMEA (Ent Install Campaign)</t>
  </si>
  <si>
    <t>0064L00000Bg8z0</t>
  </si>
  <si>
    <t>Plant finance operational improvement</t>
  </si>
  <si>
    <t>0064L00000DG10i</t>
  </si>
  <si>
    <t>CareFirst *VBO*</t>
  </si>
  <si>
    <t>0064L00000Bf5xZ</t>
  </si>
  <si>
    <t>Trimble - Legal Entity/Distribution Channel Optimization</t>
  </si>
  <si>
    <t>0064L00000CX7kH</t>
  </si>
  <si>
    <t>MSFT HR FY23 TR/HRBI - PM &amp; CM Support</t>
  </si>
  <si>
    <t>0064L00000Bo153</t>
  </si>
  <si>
    <t>Finance Transformation - Phase 2</t>
  </si>
  <si>
    <t>0064L000001vHap</t>
  </si>
  <si>
    <t>NGC Data &amp; Reporting Persona Design - Defense</t>
  </si>
  <si>
    <t>15/7/2020</t>
  </si>
  <si>
    <t>0064L00000BobxY</t>
  </si>
  <si>
    <t>Supplier Code of Conduct Phase 2 #S&amp;P #ESG</t>
  </si>
  <si>
    <t>0064L00000DLrjZ</t>
  </si>
  <si>
    <t>TA Associates LP</t>
  </si>
  <si>
    <t>Nexus Brands</t>
  </si>
  <si>
    <t>0064L00000B0kTF</t>
  </si>
  <si>
    <t>Northwest Bancshares</t>
  </si>
  <si>
    <t>Multi-channel sales &amp; effectiveness strategy</t>
  </si>
  <si>
    <t>0064L00000CWG1s</t>
  </si>
  <si>
    <t>VBR optimization #hvm</t>
  </si>
  <si>
    <t>Tori Fancher</t>
  </si>
  <si>
    <t>Senthilkumar Jayachandran</t>
  </si>
  <si>
    <t>0064L00000CWFQQ</t>
  </si>
  <si>
    <t>EHI #Coupa Phase 4</t>
  </si>
  <si>
    <t>0064L00000CYLWw</t>
  </si>
  <si>
    <t>Intuit MarTech Capability Assessment</t>
  </si>
  <si>
    <t>0064L00000Bf6dp</t>
  </si>
  <si>
    <t>0064L00000ArNmW</t>
  </si>
  <si>
    <t>Digital Channel Strategy</t>
  </si>
  <si>
    <t>0064L00000Arr2U</t>
  </si>
  <si>
    <t>DTNA Supply Chain Strategy - Operations</t>
  </si>
  <si>
    <t>0064L00000AqLLJ</t>
  </si>
  <si>
    <t>IP - Reimagine Enterprise</t>
  </si>
  <si>
    <t>Catherine Cothern</t>
  </si>
  <si>
    <t>0064L00000CW41k</t>
  </si>
  <si>
    <t>AST2 Project IMS extension</t>
  </si>
  <si>
    <t>0064L00000CWx8B</t>
  </si>
  <si>
    <t>Web3 entertainment strategy</t>
  </si>
  <si>
    <t>0064L00000AqLMM</t>
  </si>
  <si>
    <t>IP - Reimagine Finance</t>
  </si>
  <si>
    <t>0064L000002azU4</t>
  </si>
  <si>
    <t>#QMS Quality &amp; Digital Transformation - Daiichi Sankyo</t>
  </si>
  <si>
    <t>0064L00000BfEeq</t>
  </si>
  <si>
    <t>Evercore Inc</t>
  </si>
  <si>
    <t>Procurement Op Model and Spend Assessment #S2P</t>
  </si>
  <si>
    <t>0064L00000Bf5H5</t>
  </si>
  <si>
    <t>Prisma Health Transfer DRG *Strategic Reimbursement*</t>
  </si>
  <si>
    <t>0064L000002azWi</t>
  </si>
  <si>
    <t>#QMS Quality &amp; Digital Transformation - AbbVie</t>
  </si>
  <si>
    <t>0064L000002azXC</t>
  </si>
  <si>
    <t>#QMS Quality &amp; Digital Transformation - Astellas</t>
  </si>
  <si>
    <t>0064L000002azXD</t>
  </si>
  <si>
    <t>#QMS Quality &amp; Digital Transformation - Bayer</t>
  </si>
  <si>
    <t>0064L00000AqLQ9</t>
  </si>
  <si>
    <t>Access Analytics Product</t>
  </si>
  <si>
    <t>0064L00000D95uy</t>
  </si>
  <si>
    <t>Converge Technology Solutions Corp</t>
  </si>
  <si>
    <t>Retail Technology Assessment for CarQuest / Adv. Auto</t>
  </si>
  <si>
    <t>0064L000002azYP</t>
  </si>
  <si>
    <t>#QMS Quality &amp; Digital Transformation - Novo Nordisk</t>
  </si>
  <si>
    <t>0064L00000Bnocc</t>
  </si>
  <si>
    <t>SLIPSTREAM GROUP Inc.</t>
  </si>
  <si>
    <t>Slipstream Delaware client onboarding</t>
  </si>
  <si>
    <t>0064L000002azYf</t>
  </si>
  <si>
    <t>#QMS Quality &amp; Digital Transformation - Roche</t>
  </si>
  <si>
    <t>0064L000002azXS</t>
  </si>
  <si>
    <t>#QMS Quality &amp; Digital Transformation - GSK</t>
  </si>
  <si>
    <t>0064L00000D95xx</t>
  </si>
  <si>
    <t>LEONARDO SPA</t>
  </si>
  <si>
    <t>DRS - 2021 and 2022 Research Credit Support</t>
  </si>
  <si>
    <t>Chris Matthews</t>
  </si>
  <si>
    <t>0064L00000BfhMp</t>
  </si>
  <si>
    <t>FIS Government Capture Support #Alliance #SKO</t>
  </si>
  <si>
    <t>FIS Government Market Analysis #Alliance #SKO</t>
  </si>
  <si>
    <t>0064L000002azXR</t>
  </si>
  <si>
    <t>#QMS Quality &amp; Digital Transformation - BMS</t>
  </si>
  <si>
    <t>0064L000002azXl</t>
  </si>
  <si>
    <t>#QMS Quality &amp; Digital Transformation - Eli Lilly</t>
  </si>
  <si>
    <t>0064L00000BmmBh</t>
  </si>
  <si>
    <t>Payments &amp; Cash In / Cash Out Market Assessment</t>
  </si>
  <si>
    <t>0064L000003zJSE</t>
  </si>
  <si>
    <t>Allstate - Media Intelligence Platform</t>
  </si>
  <si>
    <t>15/9/2020</t>
  </si>
  <si>
    <t>0064L000002azYK</t>
  </si>
  <si>
    <t>MYLAN N.V.</t>
  </si>
  <si>
    <t>#QMS Quality &amp; Digital Transformation - Mylan</t>
  </si>
  <si>
    <t>0064L00000CVS8G</t>
  </si>
  <si>
    <t>AA - Benefits Management</t>
  </si>
  <si>
    <t>0064L00000DJYnQ</t>
  </si>
  <si>
    <t>Johnson Development Associates, Inc.</t>
  </si>
  <si>
    <t>Data Platform Implementation - Phase 2</t>
  </si>
  <si>
    <t>0064L0000042T3F</t>
  </si>
  <si>
    <t>SMB Quality Transformation #QMS</t>
  </si>
  <si>
    <t>30/11/2020</t>
  </si>
  <si>
    <t>0064L000002aiJH</t>
  </si>
  <si>
    <t>Supplier Pit Stop</t>
  </si>
  <si>
    <t>0064L00000Bg90D</t>
  </si>
  <si>
    <t>Mfg. Plant Optimization</t>
  </si>
  <si>
    <t>0064L00000CVRZO</t>
  </si>
  <si>
    <t>IDP Contract Management</t>
  </si>
  <si>
    <t>0064L00000DM0V4</t>
  </si>
  <si>
    <t>AMZN Finance: Tririga Roadmap Assessment</t>
  </si>
  <si>
    <t>0064L00000BfFQp</t>
  </si>
  <si>
    <t>Shell NA terminal modernization</t>
  </si>
  <si>
    <t>0064L00000BmKEt</t>
  </si>
  <si>
    <t>Morgan Stanley / Map Program Support / $250,000</t>
  </si>
  <si>
    <t>0064L000009foCN</t>
  </si>
  <si>
    <t>Horizon- AI-Enabled Claims Adjustment Optimization  Automation #xPC:PayerAnalytics #AIML #Alliance:xAI #PayerAnalytics</t>
  </si>
  <si>
    <t>0064L00000B2sGG</t>
  </si>
  <si>
    <t>Southwest - Salesforce Trading Cloud Pilot for Fuel Management</t>
  </si>
  <si>
    <t>0064L000002ZSL1</t>
  </si>
  <si>
    <t>Teva Pharmaceutical Industries Ltd</t>
  </si>
  <si>
    <t>#QMS Quality &amp; Digital Transformation - Teva</t>
  </si>
  <si>
    <t>0064L00000Boc2x</t>
  </si>
  <si>
    <t>*CDMCT* Performance Improvement</t>
  </si>
  <si>
    <t>0064L00000CXHHr</t>
  </si>
  <si>
    <t>Blue Cross Blue Shield Tennessee</t>
  </si>
  <si>
    <t>BCBS RFI: EIT Demand and Capacity Best Practices</t>
  </si>
  <si>
    <t>0064L00000Bot7Y</t>
  </si>
  <si>
    <t>NTAS Productivity Assessment</t>
  </si>
  <si>
    <t>0064L00000D8xJk</t>
  </si>
  <si>
    <t>Polaris_Marketing Cloud_Salesforce</t>
  </si>
  <si>
    <t>0064L00000Be35o</t>
  </si>
  <si>
    <t>Predictive Turnover Analytics Pilot Phase 1 (China Market)</t>
  </si>
  <si>
    <t>0064L00000BnNRU</t>
  </si>
  <si>
    <t>Revenue Cycle *Rev Cycle* Operating Model Strategy - Phase 2</t>
  </si>
  <si>
    <t>0064L00000D8VJW</t>
  </si>
  <si>
    <t>Upgrades to Salesforce CRM to prepare for AV, EV, and connected car subscriptions</t>
  </si>
  <si>
    <t>Matt Cragin</t>
  </si>
  <si>
    <t>0064L00000CVSGr</t>
  </si>
  <si>
    <t>FFY 2024-2026 USC Keck RRC Reclass - *Reimbursement*</t>
  </si>
  <si>
    <t>0064L00000Bo05g</t>
  </si>
  <si>
    <t>Grupo UNACEM_Growth Strategy for UNACEM Chile</t>
  </si>
  <si>
    <t>0064L00000BoQXJ</t>
  </si>
  <si>
    <t>UCM Medicare Advantage Strategy Services</t>
  </si>
  <si>
    <t>Igor Belokrinitsky</t>
  </si>
  <si>
    <t>0064L00000Borxw</t>
  </si>
  <si>
    <t>IMMUNITYBIO Inc.</t>
  </si>
  <si>
    <t>Immunity Bio - Org Design &amp; SWFP - $250K</t>
  </si>
  <si>
    <t>0064L00000Bp2Wy</t>
  </si>
  <si>
    <t>Sierra Space Workforce Planning$2500</t>
  </si>
  <si>
    <t>Carolyn Steger</t>
  </si>
  <si>
    <t>0064L00000BlztH</t>
  </si>
  <si>
    <t>ADM - Sustainable Procurement</t>
  </si>
  <si>
    <t>0064L00000BnMxx</t>
  </si>
  <si>
    <t>Partner Programs and Operations</t>
  </si>
  <si>
    <t>0064L00000DMAjE</t>
  </si>
  <si>
    <t>Savage Companies</t>
  </si>
  <si>
    <t>0064L00000B1MPc</t>
  </si>
  <si>
    <t>Seaboard Corporation</t>
  </si>
  <si>
    <t>US Cash &amp; Banking Transformation Phase I</t>
  </si>
  <si>
    <t>0064L00000BfXGB</t>
  </si>
  <si>
    <t>0064L00000CVPmB</t>
  </si>
  <si>
    <t>BD Pricing POC</t>
  </si>
  <si>
    <t>0064L00000DLMjD</t>
  </si>
  <si>
    <t>Lennox International INC.</t>
  </si>
  <si>
    <t>Material Mgmt &amp; Planning Improvement</t>
  </si>
  <si>
    <t>0064L00000DLokO</t>
  </si>
  <si>
    <t>Commercial Capability Assessment #XPCONC</t>
  </si>
  <si>
    <t>0064L00000CVPmk</t>
  </si>
  <si>
    <t>Cardinal Health Automation AI Solutions</t>
  </si>
  <si>
    <t>0064L000001wInL</t>
  </si>
  <si>
    <t>NM ERP Cloud Evaluation</t>
  </si>
  <si>
    <t>0064L00000BeRbE</t>
  </si>
  <si>
    <t>Legacy Aetna Distribution Management Majesco Staff Aug</t>
  </si>
  <si>
    <t>0064L00000D8vZA</t>
  </si>
  <si>
    <t>CX Opportunities</t>
  </si>
  <si>
    <t>0064L00000CGwmb</t>
  </si>
  <si>
    <t>CareSource IT Consulting/Contractor Labor</t>
  </si>
  <si>
    <t>Sidharth Arora</t>
  </si>
  <si>
    <t>0064L00000Bp1G6</t>
  </si>
  <si>
    <t>Liberty Bank</t>
  </si>
  <si>
    <t>Liberty Bank - Change Management, Culture and Employee Onboarding Strategy #&lt;$50B #SCB</t>
  </si>
  <si>
    <t>0064L000003ziI5</t>
  </si>
  <si>
    <t>National Railway Labor Conference</t>
  </si>
  <si>
    <t>NRLC 2020 Ben Admin RFI</t>
  </si>
  <si>
    <t>0064L00000Bfh3J</t>
  </si>
  <si>
    <t>UM/PA Automation Automation #xPC:PayerAnalytics #AIML #Alliance:OliveAI #HVM #PayerAnalytics</t>
  </si>
  <si>
    <t>0065800000h0RtK</t>
  </si>
  <si>
    <t>Vidant Health</t>
  </si>
  <si>
    <t>*SMART* License - Vidant Health</t>
  </si>
  <si>
    <t>0064L00000Be0l3</t>
  </si>
  <si>
    <t>Quipt Home Medical Corp</t>
  </si>
  <si>
    <t>Tech-Enabled Growth Transformation</t>
  </si>
  <si>
    <t>0064L00000BmlI8</t>
  </si>
  <si>
    <t>S+N Rebate Optimization</t>
  </si>
  <si>
    <t>0064L000006BT0H</t>
  </si>
  <si>
    <t>Hospital at Home Strategy #H@H</t>
  </si>
  <si>
    <t>0064L00000BliFh</t>
  </si>
  <si>
    <t>UM/PA Automation #BCBSAR  Automation #xPC:PayerAnalytics #AIML #Alliance:OliveAI #HVM #PayerAnalytics</t>
  </si>
  <si>
    <t>0064L00000Be0mp</t>
  </si>
  <si>
    <t>Reliable Medical Supply Inc</t>
  </si>
  <si>
    <t>0064L00000DJZ7u</t>
  </si>
  <si>
    <t>GE Gas Power - Fieldcore Productivity Improvement Ph 1</t>
  </si>
  <si>
    <t>0064L00000DJZ8T</t>
  </si>
  <si>
    <t>Intel Talent Acquisition</t>
  </si>
  <si>
    <t>Shane Strumwasser</t>
  </si>
  <si>
    <t>0064L00000BmZo2</t>
  </si>
  <si>
    <t>Workday HR</t>
  </si>
  <si>
    <t>0064L00000BlGKY</t>
  </si>
  <si>
    <t>MSWM - Alternative Reconciliations Support QB #DVC</t>
  </si>
  <si>
    <t>0064L00000CVskT</t>
  </si>
  <si>
    <t>Charles Schwab Supplier Diversity Assessment</t>
  </si>
  <si>
    <t>0064L00000BlWnq</t>
  </si>
  <si>
    <t>NetJets Anaplan Implementation Phase 3 -  Qtrly Release #2</t>
  </si>
  <si>
    <t>0064I00000zSizy</t>
  </si>
  <si>
    <t>Digital Upskilling/Automation/ProEdge - Expansion</t>
  </si>
  <si>
    <t>0064L00000Be0zF</t>
  </si>
  <si>
    <t>Supercare Inc</t>
  </si>
  <si>
    <t>0064L00000D8V1D</t>
  </si>
  <si>
    <t>SVB Private - Value and Impact of Building an Equity Compensation Planning Capability</t>
  </si>
  <si>
    <t>0064L00000Be0zo</t>
  </si>
  <si>
    <t>Linde Public Limited Company</t>
  </si>
  <si>
    <t>0064L00000BgZEu</t>
  </si>
  <si>
    <t>EV Transition Strategy</t>
  </si>
  <si>
    <t>0064L00000BnN9b</t>
  </si>
  <si>
    <t>Claims Optimization #PayerCO&amp;ITrans</t>
  </si>
  <si>
    <t>Abijit Raghunath</t>
  </si>
  <si>
    <t>0064L00000BfecV</t>
  </si>
  <si>
    <t>KeyCorp ESG Strategy #RockthePipeMW extension</t>
  </si>
  <si>
    <t>0064L00000CGwFC</t>
  </si>
  <si>
    <t>Houston Methodist CRM - Application Support</t>
  </si>
  <si>
    <t>Provider_Customer_DRM</t>
  </si>
  <si>
    <t>0064L00000CYHWD</t>
  </si>
  <si>
    <t>FIS A2A Payments</t>
  </si>
  <si>
    <t>0064L00000BebhJ</t>
  </si>
  <si>
    <t>UM/PA Automation  Automation #xPC:PayerAnalytics #AIML #Alliance:OliveAI #HVM #PayerAnalytics</t>
  </si>
  <si>
    <t>0064L00000BebhE</t>
  </si>
  <si>
    <t>0064L00000AqK0j</t>
  </si>
  <si>
    <t>Talent Acquisition Op Model Assessment</t>
  </si>
  <si>
    <t>0064L00000Bebgu</t>
  </si>
  <si>
    <t>UM/PA Automation Automation #xPC:PayerAnalytics #AIML #Alliance:OliveAI #PayerAnalytics</t>
  </si>
  <si>
    <t>0064L00000D8cxU</t>
  </si>
  <si>
    <t>gTech User Journey Mapping + Role Profiles</t>
  </si>
  <si>
    <t>0064L00000DLN2j</t>
  </si>
  <si>
    <t>Integration Program Management</t>
  </si>
  <si>
    <t>0064L000007E4mo</t>
  </si>
  <si>
    <t>Distribution/Go to Market &amp; Partnership Strategy Refresh</t>
  </si>
  <si>
    <t>0064L00000BoOJZ</t>
  </si>
  <si>
    <t>Project Clarity Near-Term Implementation Support</t>
  </si>
  <si>
    <t>0064L00000DLMW9</t>
  </si>
  <si>
    <t>Coupa - Unified CLM</t>
  </si>
  <si>
    <t>0064L00000BoNhu</t>
  </si>
  <si>
    <t>#ClinTrialDesign -- AI Enabled Clinical Design Optimization</t>
  </si>
  <si>
    <t>Lorie Wijntjes</t>
  </si>
  <si>
    <t>Claire Litherland</t>
  </si>
  <si>
    <t>0064L00000BoNkA</t>
  </si>
  <si>
    <t>0064L00000Bp0LK</t>
  </si>
  <si>
    <t>Patrick Industries Inc.</t>
  </si>
  <si>
    <t>Aftermarket Ecommerce Strategy &amp; Prototype</t>
  </si>
  <si>
    <t>0064L00000DLoYw</t>
  </si>
  <si>
    <t>Credit BI Dashboards</t>
  </si>
  <si>
    <t>Zeeshan Rizvi</t>
  </si>
  <si>
    <t>0064L00000DJXSq</t>
  </si>
  <si>
    <t>Workday Sales Compensation Process Redesign</t>
  </si>
  <si>
    <t>Workday Sales Compensation Support</t>
  </si>
  <si>
    <t>0064L00000BoNjl</t>
  </si>
  <si>
    <t>0064L00000DLN9a</t>
  </si>
  <si>
    <t>Fulfillment Chargeback Phase II</t>
  </si>
  <si>
    <t>Thomas Kristensen</t>
  </si>
  <si>
    <t>0064L00000BoNni</t>
  </si>
  <si>
    <t>Gilead: Transformation- R&amp;D: #ClinTrialDesign -- AI Enabled Clinical Design Optimization</t>
  </si>
  <si>
    <t>0064L00000BfCu5</t>
  </si>
  <si>
    <t>Veritiv - ERG Launch and Support</t>
  </si>
  <si>
    <t>0064L00000Bg5xg</t>
  </si>
  <si>
    <t>iFIT Brand Experience Measurement</t>
  </si>
  <si>
    <t>0064L00000Be0Sa</t>
  </si>
  <si>
    <t>AdaptHealth Corp.</t>
  </si>
  <si>
    <t>0064L000002avst</t>
  </si>
  <si>
    <t>Lifepoint CRM Strategy</t>
  </si>
  <si>
    <t>0064L00000CWTI3</t>
  </si>
  <si>
    <t>Onboarding and Turnover Product</t>
  </si>
  <si>
    <t>Maria Alberico</t>
  </si>
  <si>
    <t>0064L00000DLMap</t>
  </si>
  <si>
    <t>Ironwood Pharmaceuticals Inc.</t>
  </si>
  <si>
    <t>Coupa P2I</t>
  </si>
  <si>
    <t>0064L00000CWTIl</t>
  </si>
  <si>
    <t>Digital Upskilling</t>
  </si>
  <si>
    <t>0064L00000DLMbE</t>
  </si>
  <si>
    <t>Cambridge Financial Group Inc.</t>
  </si>
  <si>
    <t>0064L000007v3KX</t>
  </si>
  <si>
    <t>Access Analytics for BMHCC</t>
  </si>
  <si>
    <t>0064L00000BoNwG</t>
  </si>
  <si>
    <t>Johnson Controls International Public Limited Company</t>
  </si>
  <si>
    <t>JCI - ESG Tech-Enabled Reporting Transformation</t>
  </si>
  <si>
    <t>0064L00000CXWQN</t>
  </si>
  <si>
    <t>Northwest Natural Holding Company</t>
  </si>
  <si>
    <t>Renewable: Target Operating Model assess and consult</t>
  </si>
  <si>
    <t>0064L00000ArNJF</t>
  </si>
  <si>
    <t>Workflow Tool Selection</t>
  </si>
  <si>
    <t>0064L00000CVPlI</t>
  </si>
  <si>
    <t>McKesson PSaS Sales/Ops AI</t>
  </si>
  <si>
    <t>0064L00000B2pPy</t>
  </si>
  <si>
    <t>Cintas 2022 ESG Data and Technology Roadmap #ESG</t>
  </si>
  <si>
    <t>Cintas - #ESG GHG emissions reduction roadmap</t>
  </si>
  <si>
    <t>Ryan Mullen</t>
  </si>
  <si>
    <t>0064L00000DJVsD</t>
  </si>
  <si>
    <t>MS CIS Business Admin Support</t>
  </si>
  <si>
    <t>0064L00000BoNSB</t>
  </si>
  <si>
    <t>Pfizer Cost to Serve - Hospitals BU</t>
  </si>
  <si>
    <t>0064L00000DLnCp</t>
  </si>
  <si>
    <t>Gilead - R&amp;D:  SSU Acceleration Evaluation</t>
  </si>
  <si>
    <t>Eduardas Valaitis</t>
  </si>
  <si>
    <t>0064L00000DLVIr</t>
  </si>
  <si>
    <t>MS Vendor Management Re-engineering Future Vision</t>
  </si>
  <si>
    <t>Mrinalini Sud</t>
  </si>
  <si>
    <t>Colleen Tierney</t>
  </si>
  <si>
    <t>0064L00000DJTiL</t>
  </si>
  <si>
    <t>Morgan Stanley - Finance Academy (Phase 2)</t>
  </si>
  <si>
    <t>0064L00000Bfee2</t>
  </si>
  <si>
    <t>Mutual of Omaha Insurance Company</t>
  </si>
  <si>
    <t>Potential work after ESG Materiality Assessment Support</t>
  </si>
  <si>
    <t>0064L000003yLkG</t>
  </si>
  <si>
    <t>MS Technology Asset Inventory roadmap</t>
  </si>
  <si>
    <t>0064L00000BlogL</t>
  </si>
  <si>
    <t>MS IIS - Scrum Master Support 2022 #WM</t>
  </si>
  <si>
    <t>Jenna Pica</t>
  </si>
  <si>
    <t>0064L000003ygJa</t>
  </si>
  <si>
    <t>Hilton IGP Deployment - Chicago Market - Year 4-5</t>
  </si>
  <si>
    <t>0064L00000DLocK</t>
  </si>
  <si>
    <t>UX / UI - Wireframes design</t>
  </si>
  <si>
    <t>0064L00000DLr00</t>
  </si>
  <si>
    <t>Temple Health IT Roadmap</t>
  </si>
  <si>
    <t>0064L00000DLrHz</t>
  </si>
  <si>
    <t>Deque Systems Inc.</t>
  </si>
  <si>
    <t>Markt Study (as part of sales side due diligence)</t>
  </si>
  <si>
    <t>0064L000002bhj8</t>
  </si>
  <si>
    <t>MS Finance IM Investment Structure Re-evaluation</t>
  </si>
  <si>
    <t>0064L00000D95fP</t>
  </si>
  <si>
    <t>*Strategic Reimbursement* Tampa General Occupational Mix PRS Strategy</t>
  </si>
  <si>
    <t>Kitty Forenza</t>
  </si>
  <si>
    <t>0064L00000Bkv58</t>
  </si>
  <si>
    <t>Onestream EPM Legacy &amp; Acct. Rec. Assessment</t>
  </si>
  <si>
    <t>0064L00000CXDh3</t>
  </si>
  <si>
    <t>Cell Therapy Manufacturing Network Strategy</t>
  </si>
  <si>
    <t>0064L00000DJRmH</t>
  </si>
  <si>
    <t>MSIM / EV Website Redesign QB - Phase 2</t>
  </si>
  <si>
    <t>0064L00000CXtEJ</t>
  </si>
  <si>
    <t>Digital Supply Chain Strategy</t>
  </si>
  <si>
    <t>0064L00000D8p8B</t>
  </si>
  <si>
    <t>Symphony - GTM Support</t>
  </si>
  <si>
    <t>Michael Oliveri</t>
  </si>
  <si>
    <t>Josh Rosenfeld</t>
  </si>
  <si>
    <t>0064L00000DMDtb</t>
  </si>
  <si>
    <t>ATC / CoreSite Data Center IT QA Engineering Support - Aug 2022</t>
  </si>
  <si>
    <t>0064L000007xYfh</t>
  </si>
  <si>
    <t>NEJE PY2020 Pharmacy Assessment (3 of 4)</t>
  </si>
  <si>
    <t>0064L000007xYfi</t>
  </si>
  <si>
    <t>NEJE PY2020 Pharmacy Assessment (4 of 4)</t>
  </si>
  <si>
    <t>0064L00000DM0GJ</t>
  </si>
  <si>
    <t>SVB PMO - Strategic and Regulatory Initiatives Support - Change Order 4</t>
  </si>
  <si>
    <t>SVB PMO - Strategic and Regulatory Initiatives Support</t>
  </si>
  <si>
    <t>Bridget Koessler</t>
  </si>
  <si>
    <t>0064L00000DLuno</t>
  </si>
  <si>
    <t>ABRY PROPERTIES, LLC</t>
  </si>
  <si>
    <t>Compensation consulting</t>
  </si>
  <si>
    <t>0064L00000DLxhQ</t>
  </si>
  <si>
    <t>McCain Foods Group Inc</t>
  </si>
  <si>
    <t>Engagement/Pulse Surveys -2022/2023</t>
  </si>
  <si>
    <t>Pamela Dowd</t>
  </si>
  <si>
    <t>0064L000001wS0J</t>
  </si>
  <si>
    <t>Zhuhai Hengxinfengye Technology Co. Ltd</t>
  </si>
  <si>
    <t>Lexmark P&amp;O Actuarial Services 2020</t>
  </si>
  <si>
    <t>Caroline Campbell</t>
  </si>
  <si>
    <t>0064L00000DFWRZ</t>
  </si>
  <si>
    <t>Proyecto de Consultoría en Customer Experience KPI´s (NiHUB)</t>
  </si>
  <si>
    <t>0064L00000DM0FV</t>
  </si>
  <si>
    <t>OXXO - Vendor Management Office</t>
  </si>
  <si>
    <t>Miguel Francisco Viveros</t>
  </si>
  <si>
    <t>0064L00000DLrcY</t>
  </si>
  <si>
    <t>ProMedica Health System - *SMART* IP License Renewal - FY23</t>
  </si>
  <si>
    <t>0064L00000CGycp</t>
  </si>
  <si>
    <t>Poland SSC Review</t>
  </si>
  <si>
    <t>0064I000014KHew</t>
  </si>
  <si>
    <t>Eaton Digital Strategy &amp; Commercialization</t>
  </si>
  <si>
    <t>0064L00000Bp0ue</t>
  </si>
  <si>
    <t>Shionogi &amp; Co., Ltd.</t>
  </si>
  <si>
    <t>622 BRM Facilitation Support</t>
  </si>
  <si>
    <t>Meghan Self</t>
  </si>
  <si>
    <t>0064I000011os6M</t>
  </si>
  <si>
    <t>IGP - Hilton Orlando</t>
  </si>
  <si>
    <t>23/1/2020</t>
  </si>
  <si>
    <t>0064L000009BO4j</t>
  </si>
  <si>
    <t>Global Communications Interpretation Strategy Phase 2</t>
  </si>
  <si>
    <t>0064L00000DJRR8</t>
  </si>
  <si>
    <t>SGT Costpoint Planning (v2)</t>
  </si>
  <si>
    <t>Michael Arbus</t>
  </si>
  <si>
    <t>0064L000007x0Ui</t>
  </si>
  <si>
    <t>0064L00000CXor1</t>
  </si>
  <si>
    <t>MS at Work - Compliance Channel Commercialization Capability Design &amp; Execution</t>
  </si>
  <si>
    <t>0064L00000D8d5n</t>
  </si>
  <si>
    <t>Blue Apron Holdings Inc.</t>
  </si>
  <si>
    <t>Blue Apron Inventory Cost Management</t>
  </si>
  <si>
    <t>0064L00000Bl2vQ</t>
  </si>
  <si>
    <t>Wells CIB- Whole Loan Trading Implementation-Project Planning#Core</t>
  </si>
  <si>
    <t>0064L00000ArJSS</t>
  </si>
  <si>
    <t>Children's Hospitals&amp;clinics Of Minnesota</t>
  </si>
  <si>
    <t>RevElate transition *RC Tech* *Rev Cycle*</t>
  </si>
  <si>
    <t>0064L00000CY2z4</t>
  </si>
  <si>
    <t>Data - classification, lineage, and data quality practices</t>
  </si>
  <si>
    <t>0064L000009B8dE</t>
  </si>
  <si>
    <t>MSFT ENGCLA FY22 Instructional Design Support Extension</t>
  </si>
  <si>
    <t>0064L00000BoFDQ</t>
  </si>
  <si>
    <t>Leland Stanford Junior University</t>
  </si>
  <si>
    <t>Payroll Process Assessment</t>
  </si>
  <si>
    <t>Thomas Tarangioli</t>
  </si>
  <si>
    <t>0064L00000Bl9t2</t>
  </si>
  <si>
    <t>PricewaterhouseCoopers LLC</t>
  </si>
  <si>
    <t>#NLHR [Client Name] Workday HR Optimization Project</t>
  </si>
  <si>
    <t>31/12/2021</t>
  </si>
  <si>
    <t>Trisha Hernandez</t>
  </si>
  <si>
    <t>0064L00000CX7oT</t>
  </si>
  <si>
    <t>Excellus Project Golden Flyer - Vendor Management May 2022</t>
  </si>
  <si>
    <t>0064L000009APuZ</t>
  </si>
  <si>
    <t>Eastern Maine Healthcare Systems</t>
  </si>
  <si>
    <t>Cerner Transition *RC Tech* *Rev Cycle*</t>
  </si>
  <si>
    <t>0064L00000BfFTZ</t>
  </si>
  <si>
    <t>Capital Digestive Care Llc</t>
  </si>
  <si>
    <t>Back-Office Revenue Cycle Assessment &amp; Contracting Support *Rev Cycle*</t>
  </si>
  <si>
    <t>0064L00000BorYN</t>
  </si>
  <si>
    <t>TTS Negotiated Documentation Operating Model - Design Phase</t>
  </si>
  <si>
    <t>William DeLuca</t>
  </si>
  <si>
    <t>0064L00000Bfefj</t>
  </si>
  <si>
    <t>Potential work after MassMutual ESG Product Development Framework</t>
  </si>
  <si>
    <t>0064L00000BeIWZ</t>
  </si>
  <si>
    <t>MS at Work - Designated Brokerage Operating Model Design Addendum (Feb 2022)</t>
  </si>
  <si>
    <t>0064L00000BnyAF</t>
  </si>
  <si>
    <t>Billboards Market Assessment</t>
  </si>
  <si>
    <t>29/4/2022 12:46 am</t>
  </si>
  <si>
    <t>UD Gupt</t>
  </si>
  <si>
    <t>0064L00000BoUZq</t>
  </si>
  <si>
    <t>MSFT HR FY22 TLI-GTM Sponsorship Comparative Scan</t>
  </si>
  <si>
    <t>0064L000002ZrT9</t>
  </si>
  <si>
    <t>Channel Assessment</t>
  </si>
  <si>
    <t>0064L00000BfEtR</t>
  </si>
  <si>
    <t>Automobile Club Of So. California</t>
  </si>
  <si>
    <t>Automobile Club Of So. California - Actuarial Services OPEB Plan</t>
  </si>
  <si>
    <t>30/6/2025</t>
  </si>
  <si>
    <t>Kenneth Lindquist</t>
  </si>
  <si>
    <t>0064L00000DG4vw</t>
  </si>
  <si>
    <t>HP CS SSC Simplify CME End-User Training - CO#2</t>
  </si>
  <si>
    <t>0064L00000D8R9q</t>
  </si>
  <si>
    <t>Riverglade Capital LLC</t>
  </si>
  <si>
    <t>Project Wildcats - LTO Diligence</t>
  </si>
  <si>
    <t>0064L00000CYWao</t>
  </si>
  <si>
    <t>Merck MilliporeSigma:  Dynamic Pricing Assessment and Pilot-Extension</t>
  </si>
  <si>
    <t>Merck MilliporeSigma:  Dynamic Pricing Assessment and Pilot</t>
  </si>
  <si>
    <t>0064L000007uerH</t>
  </si>
  <si>
    <t>Microsoft HRDD FY22 Strategic Deal Assessment #PRA</t>
  </si>
  <si>
    <t>0064L00000Bfef0</t>
  </si>
  <si>
    <t>Potential work after KKR - ESG PortCo Reporting Support</t>
  </si>
  <si>
    <t>0064L00000Bfeev</t>
  </si>
  <si>
    <t>0064L00000CXx0z</t>
  </si>
  <si>
    <t>Froedtert Health: Pharmacy Optimization (Phase 1: Assessment) *FFG*</t>
  </si>
  <si>
    <t>0064L00000DJRbN</t>
  </si>
  <si>
    <t>Gilead Global Pricing Data Lake Migration - Azure to AWS *Pricing</t>
  </si>
  <si>
    <t>Sajid Abbasi</t>
  </si>
  <si>
    <t>0064L00000As7Hv</t>
  </si>
  <si>
    <t>Shutts &amp; Bowen Llp</t>
  </si>
  <si>
    <t>2022 - 2025 Administrative Outsourcing</t>
  </si>
  <si>
    <t>0064L00000BloAy</t>
  </si>
  <si>
    <t>Implementación Oficina de Proyectos</t>
  </si>
  <si>
    <t>Raul Campero</t>
  </si>
  <si>
    <t>0064L00000BctUN</t>
  </si>
  <si>
    <t>EQT AB</t>
  </si>
  <si>
    <t>Safety stock and risk buy process</t>
  </si>
  <si>
    <t>0064L00000DLrsH</t>
  </si>
  <si>
    <t>BAH - Bonus Plan Design</t>
  </si>
  <si>
    <t>Heather O'Neil</t>
  </si>
  <si>
    <t>0064L00000BoV5h</t>
  </si>
  <si>
    <t>CPR Workflow Tool Development Support</t>
  </si>
  <si>
    <t>Marina Veber</t>
  </si>
  <si>
    <t>0064L00000DMAip</t>
  </si>
  <si>
    <t>2022 BMS Finance Integration (LER/Rhine) - Addendum #4 (LER CLH - Flash Sales)</t>
  </si>
  <si>
    <t>0064L00000BfZee</t>
  </si>
  <si>
    <t>Spirit Airlines Inc.</t>
  </si>
  <si>
    <t>Spirit 280G</t>
  </si>
  <si>
    <t>David Lebolt</t>
  </si>
  <si>
    <t>0064L00000DMDnY</t>
  </si>
  <si>
    <t>Global Bev Mfg Plant Maintenance Op Model</t>
  </si>
  <si>
    <t>0064I000014JlOl</t>
  </si>
  <si>
    <t>Northrop Oracle EPM</t>
  </si>
  <si>
    <t>28/3/2020</t>
  </si>
  <si>
    <t>0064L00000DM4Lh</t>
  </si>
  <si>
    <t>Rubicon Founders LLC</t>
  </si>
  <si>
    <t>Imagine Pediatrics - Risk Contracting Support</t>
  </si>
  <si>
    <t>Sarah Poserina</t>
  </si>
  <si>
    <t>0064L00000BeyiG</t>
  </si>
  <si>
    <t>Process Intelligence CoE Support</t>
  </si>
  <si>
    <t>Yuliya Harris</t>
  </si>
  <si>
    <t>0064L00000DMDsO</t>
  </si>
  <si>
    <t>Aecom Tecsult Inc.</t>
  </si>
  <si>
    <t>IT and Data Management</t>
  </si>
  <si>
    <t>Davi Bryan</t>
  </si>
  <si>
    <t>Michael Crooks</t>
  </si>
  <si>
    <t>0064L000002aYyW</t>
  </si>
  <si>
    <t>Talent Upskilling Strategy--Finance</t>
  </si>
  <si>
    <t>0064L000001vKm5</t>
  </si>
  <si>
    <t>Talent Upskilling Strategy--Data/Analytics</t>
  </si>
  <si>
    <t>16/7/2020</t>
  </si>
  <si>
    <t>Taylor Beckmann</t>
  </si>
  <si>
    <t>0064L000009BFB6</t>
  </si>
  <si>
    <t>HR M&amp;A Support</t>
  </si>
  <si>
    <t>Jamie Traynor</t>
  </si>
  <si>
    <t>0064L00000BdRrD</t>
  </si>
  <si>
    <t>Provider Data Management Automation</t>
  </si>
  <si>
    <t>0064L00000Boe5t</t>
  </si>
  <si>
    <t>Parker-Hannifin Corporation</t>
  </si>
  <si>
    <t>FCG Electrical Connectors Market Growth Strategy</t>
  </si>
  <si>
    <t>0064L00000DG21N</t>
  </si>
  <si>
    <t>Hain HighRadius Phase 1 Assessment</t>
  </si>
  <si>
    <t>0064L00000D8XPR</t>
  </si>
  <si>
    <t>Cloudflare S2P Finance Process Improvement #Coupa</t>
  </si>
  <si>
    <t>0064L000007wlxA</t>
  </si>
  <si>
    <t>Abbott Laboratories #ProEdge Production License - Expansion</t>
  </si>
  <si>
    <t>0064L00000422gc</t>
  </si>
  <si>
    <t>PG&amp;E_Customer_Experience_Vision</t>
  </si>
  <si>
    <t>0064L00000D8wwC</t>
  </si>
  <si>
    <t>Commercial Vehicle Group Inc.</t>
  </si>
  <si>
    <t>Consulting Services Introduction - Connected Supply Chain</t>
  </si>
  <si>
    <t>0064L00000CVBQR</t>
  </si>
  <si>
    <t>LivaNova Plc</t>
  </si>
  <si>
    <t>#QMS Risk Management Support</t>
  </si>
  <si>
    <t>0064L00000CVRtd</t>
  </si>
  <si>
    <t>Wabash National - Front Office Tech Strategy</t>
  </si>
  <si>
    <t>Back-office Digital Transformation</t>
  </si>
  <si>
    <t>0064L00000Bo0D6</t>
  </si>
  <si>
    <t>HealthPartners Rev Cycle Support</t>
  </si>
  <si>
    <t>0064L00000CW58F</t>
  </si>
  <si>
    <t>DD Accounting Operations</t>
  </si>
  <si>
    <t>Derek Rose</t>
  </si>
  <si>
    <t>0064L00000BewSy</t>
  </si>
  <si>
    <t>OBPPC (Pricing)</t>
  </si>
  <si>
    <t>0064L00000Bf6R5</t>
  </si>
  <si>
    <t>Citizens - Total Experience Initiative</t>
  </si>
  <si>
    <t>0064L00000Bf6Qb</t>
  </si>
  <si>
    <t>Citizens - People Retention Strategy</t>
  </si>
  <si>
    <t>0064L00000BoQlp</t>
  </si>
  <si>
    <t>Curia Global, Inc.</t>
  </si>
  <si>
    <t>0064L00000CYnK5</t>
  </si>
  <si>
    <t>2022 / 2023 Listen Platform</t>
  </si>
  <si>
    <t>Nik Shah</t>
  </si>
  <si>
    <t>Dylan Galaty</t>
  </si>
  <si>
    <t>0064L00000BoQnR</t>
  </si>
  <si>
    <t>0064L00000BevwE</t>
  </si>
  <si>
    <t>NFT &amp; #Metaverse Strategy #Digitalassets</t>
  </si>
  <si>
    <t>0064L00000CW5GB</t>
  </si>
  <si>
    <t>DD Alteryx dev</t>
  </si>
  <si>
    <t>0064L00000CW5Hk</t>
  </si>
  <si>
    <t>DD S2P Integration Coupa</t>
  </si>
  <si>
    <t>0064L00000DLPdy</t>
  </si>
  <si>
    <t>Accuweather Inc.</t>
  </si>
  <si>
    <t>Accuweather B2B Service Offering</t>
  </si>
  <si>
    <t>0064L00000D8xpM</t>
  </si>
  <si>
    <t>MSFT HR FY23 TLI-TLX - Learner Experience Support - Roadmap CO</t>
  </si>
  <si>
    <t>0064L000002ZcBQ</t>
  </si>
  <si>
    <t>MRI Job Costing</t>
  </si>
  <si>
    <t>0064L000001v6tL</t>
  </si>
  <si>
    <t>Kimberly-Clark - Media Intelligence</t>
  </si>
  <si>
    <t>13/12/2022</t>
  </si>
  <si>
    <t>Gowri Sundaresan</t>
  </si>
  <si>
    <t>0064I00000zRBt8</t>
  </si>
  <si>
    <t>InnVest Hotels LP</t>
  </si>
  <si>
    <t>IGP - Innvest Hotels</t>
  </si>
  <si>
    <t>15/11/2019</t>
  </si>
  <si>
    <t>0064L00000CYmuw</t>
  </si>
  <si>
    <t>WBC Holdings LP</t>
  </si>
  <si>
    <t>SFDR Assess and Recommend</t>
  </si>
  <si>
    <t>Guido Moret</t>
  </si>
  <si>
    <t>0064L00000D98Pt</t>
  </si>
  <si>
    <t>Molina UM Future State Process Design</t>
  </si>
  <si>
    <t>0064L00000D97sp</t>
  </si>
  <si>
    <t>Social Media Platform &amp; Reporting Strategy Support</t>
  </si>
  <si>
    <t>Haley Horton</t>
  </si>
  <si>
    <t>0064L000009AbbP</t>
  </si>
  <si>
    <t>MSK - Hygiene</t>
  </si>
  <si>
    <t>0064L00000BlWvQ</t>
  </si>
  <si>
    <t>Walmart Packaging</t>
  </si>
  <si>
    <t>Chris OBrien</t>
  </si>
  <si>
    <t>0064L00000DM0MW</t>
  </si>
  <si>
    <t>Tech review - Workday, CRM</t>
  </si>
  <si>
    <t>Manish Kumar</t>
  </si>
  <si>
    <t>0064L00000D95xE</t>
  </si>
  <si>
    <t>Enovis Corporation</t>
  </si>
  <si>
    <t>Digital Finance and Automation Assessment</t>
  </si>
  <si>
    <t>0064L00000Bmlch</t>
  </si>
  <si>
    <t>Baupost Group GP, LLC</t>
  </si>
  <si>
    <t>Expense Allocations Support</t>
  </si>
  <si>
    <t>0064L000002aiKe</t>
  </si>
  <si>
    <t>Dicerna Pharmaceuticals Inc.</t>
  </si>
  <si>
    <t>Advanced Therapy FFG: Dicerna Process Development &amp; Manufacturing Strategy</t>
  </si>
  <si>
    <t>0064L00000997zS</t>
  </si>
  <si>
    <t>Teleo Capital Management LLC</t>
  </si>
  <si>
    <t>Digital TPA Transformation - Mobilization</t>
  </si>
  <si>
    <t>0064L00000DJZSJ</t>
  </si>
  <si>
    <t>Perforce Software Holdings, Inc</t>
  </si>
  <si>
    <t>Project Puppet - Integration Support</t>
  </si>
  <si>
    <t>Angela Fuentes</t>
  </si>
  <si>
    <t>0064L00000DJkTU</t>
  </si>
  <si>
    <t>Lucid ESG Technology Consulting</t>
  </si>
  <si>
    <t>IS_ESG Assurance</t>
  </si>
  <si>
    <t>Matthew Bucher</t>
  </si>
  <si>
    <t>0064L00000BoQPK</t>
  </si>
  <si>
    <t>LPL / Advisory Billing Root Cause Assessment (Phase II) / $200,000</t>
  </si>
  <si>
    <t>0064L00000CWxI8</t>
  </si>
  <si>
    <t>NT Automation Assessment</t>
  </si>
  <si>
    <t>0064L00000Bp2U4</t>
  </si>
  <si>
    <t>Gilead U.S. Contracting System Vendor Assessment</t>
  </si>
  <si>
    <t>Manav Saranathan</t>
  </si>
  <si>
    <t>0064I00000y7mqP</t>
  </si>
  <si>
    <t>TE Innovation Strategy</t>
  </si>
  <si>
    <t>0064L00000BdR88</t>
  </si>
  <si>
    <t>State Of California</t>
  </si>
  <si>
    <t>*SMART* License - UCI Medical Center</t>
  </si>
  <si>
    <t>0064L00000BmJoQ</t>
  </si>
  <si>
    <t>Roku HR Change Management</t>
  </si>
  <si>
    <t>Roku HR optimization implementation</t>
  </si>
  <si>
    <t>0064L000009AaiF</t>
  </si>
  <si>
    <t>UM Rural Health Clinic opportunity *Strategic Reimbursement*</t>
  </si>
  <si>
    <t>0064I000011p5l4</t>
  </si>
  <si>
    <t>Five Guys Holdings LLC</t>
  </si>
  <si>
    <t>26/1/2020</t>
  </si>
  <si>
    <t>Amanda Kennedy</t>
  </si>
  <si>
    <t>0064I00000y7mqo</t>
  </si>
  <si>
    <t>TE Digital Ops</t>
  </si>
  <si>
    <t>18/9/2022</t>
  </si>
  <si>
    <t>0064L00000D8xRf</t>
  </si>
  <si>
    <t>RAPS: Product Trust &amp; Safety Research Pilot</t>
  </si>
  <si>
    <t>0064L000009Aaen</t>
  </si>
  <si>
    <t>Advocate-Aurora Rural Health Clinic *Strategic Reimbursement*</t>
  </si>
  <si>
    <t>0064L00000ArQ07</t>
  </si>
  <si>
    <t>#QMS BD Complaints Efficiency &amp; Automation</t>
  </si>
  <si>
    <t>0064L00000BlZ6k</t>
  </si>
  <si>
    <t>Genentech Commercial Operations and Pricing Support</t>
  </si>
  <si>
    <t>26/10/2022</t>
  </si>
  <si>
    <t>0064L00000CY8V0</t>
  </si>
  <si>
    <t>Jackson Health System</t>
  </si>
  <si>
    <t>Price Transparency Compliance *rev cycle*</t>
  </si>
  <si>
    <t>0064L00000D8vTl</t>
  </si>
  <si>
    <t>Ropes &amp; Gray LLP</t>
  </si>
  <si>
    <t>Ropes&amp;Gray Finance Benchmarking</t>
  </si>
  <si>
    <t>0064L00000CGwfz</t>
  </si>
  <si>
    <t>Baker Hughes Workforce Planning</t>
  </si>
  <si>
    <t>0064L00000DLonD</t>
  </si>
  <si>
    <t>WF CR COE Pre-Validation Program Management</t>
  </si>
  <si>
    <t>0064L00000CY7wx</t>
  </si>
  <si>
    <t>0064L00000CVruz</t>
  </si>
  <si>
    <t>Comcast Business - Fed Gov GTM Strategy, Managed Services #TMTSales</t>
  </si>
  <si>
    <t>Joe Palladino</t>
  </si>
  <si>
    <t>0064L00000DM03s</t>
  </si>
  <si>
    <t>RKT Capital Markets IA RFP</t>
  </si>
  <si>
    <t>0064L00000DFoGi</t>
  </si>
  <si>
    <t>CMO M&amp;E Culture Project</t>
  </si>
  <si>
    <t>John Colaruotolo</t>
  </si>
  <si>
    <t>0064L00000Bg81U</t>
  </si>
  <si>
    <t>Loyalty Strategy - US in Support of UK/DE</t>
  </si>
  <si>
    <t>0064L00000CY8b2</t>
  </si>
  <si>
    <t>Nursing Workforce Transformation</t>
  </si>
  <si>
    <t>0064L00000DLozs</t>
  </si>
  <si>
    <t>DSPA Benchmarking</t>
  </si>
  <si>
    <t>Shuyi Chang</t>
  </si>
  <si>
    <t>0064L00000CVsaM</t>
  </si>
  <si>
    <t>Trimble, Inc. ESG Green Growth Strategy</t>
  </si>
  <si>
    <t>0064L00000D95br</t>
  </si>
  <si>
    <t>LFG Tech Simplification - Roadmap, Mobilization &amp; Pilot</t>
  </si>
  <si>
    <t>LFG Tech Simplification - Analysis &amp; Planning</t>
  </si>
  <si>
    <t>0064L000002a1uk</t>
  </si>
  <si>
    <t>Dynamic Credit Surveillance + Growth ideas #credit</t>
  </si>
  <si>
    <t>Ashish Garg</t>
  </si>
  <si>
    <t>0064L00000D95eM</t>
  </si>
  <si>
    <t>MMA Data Strategy</t>
  </si>
  <si>
    <t>0064L00000D96Iq</t>
  </si>
  <si>
    <t>Getaround Inc.</t>
  </si>
  <si>
    <t>Pay Equity</t>
  </si>
  <si>
    <t>Jeffrey Yen</t>
  </si>
  <si>
    <t>0064L00000DJZCa</t>
  </si>
  <si>
    <t>HPE - Contra - Partner Benefits</t>
  </si>
  <si>
    <t>0064L00000D93o0</t>
  </si>
  <si>
    <t>UKG - MSD ERP MP2 October Release Training In-Flight Review - $200K</t>
  </si>
  <si>
    <t>0064L00000DJWb8</t>
  </si>
  <si>
    <t>5G MIL Support</t>
  </si>
  <si>
    <t>0064L000006Xf57</t>
  </si>
  <si>
    <t>Heineken Holding N.V.</t>
  </si>
  <si>
    <t>Heineken USA - Innovation: Project Nebula  - Phase 2</t>
  </si>
  <si>
    <t>24/2/2021</t>
  </si>
  <si>
    <t>0064L000001vjQv</t>
  </si>
  <si>
    <t>Sandy Spring Wealth Management Strategy #&lt;$50B #SCB</t>
  </si>
  <si>
    <t>28/7/2020</t>
  </si>
  <si>
    <t>0064L000003zGjA</t>
  </si>
  <si>
    <t>PennyMac Financial Services, Inc.</t>
  </si>
  <si>
    <t>MSR Model Implementation Support</t>
  </si>
  <si>
    <t>0064L00000CGwIk</t>
  </si>
  <si>
    <t>St Jude Childrens Research Hospital</t>
  </si>
  <si>
    <t>Graduate School Accreditation Assessment</t>
  </si>
  <si>
    <t>0064I0000131dXR</t>
  </si>
  <si>
    <t>BMS Pricing &amp; Reimbursement Modernization *Pricing*</t>
  </si>
  <si>
    <t>19/2/2020</t>
  </si>
  <si>
    <t>0064L00000B1mc6</t>
  </si>
  <si>
    <t>Micro Focus International PLC</t>
  </si>
  <si>
    <t>Micro Focus Sales Ops Org Design</t>
  </si>
  <si>
    <t>0064L000002Zc7t</t>
  </si>
  <si>
    <t>iManage Cloud Upgrade</t>
  </si>
  <si>
    <t>0064L00000DLMX2</t>
  </si>
  <si>
    <t>Denali Therapeutics</t>
  </si>
  <si>
    <t>Coupa - P2I</t>
  </si>
  <si>
    <t>0064L00000DJiRv</t>
  </si>
  <si>
    <t>FEMSA - OneStream Implementation - Phase 1 (US Portion)</t>
  </si>
  <si>
    <t>FEMSA - Consolidation  - OneStream Implementation</t>
  </si>
  <si>
    <t>0064L00000BfUR6</t>
  </si>
  <si>
    <t>Ally Bank - Blueprint + Core Selection #FOB-Blueprint</t>
  </si>
  <si>
    <t>Gabrielle Niland</t>
  </si>
  <si>
    <t>0064L00000DLN6r</t>
  </si>
  <si>
    <t>Pancreatic Cancer Action Network</t>
  </si>
  <si>
    <t>Market Scan for Pancreatic Cancer Drugs / Partnerships #XPCONC</t>
  </si>
  <si>
    <t>0064L00000BmjfU</t>
  </si>
  <si>
    <t>Xignux / Viakable - FY22 - Return on Experience / Voice of Customer</t>
  </si>
  <si>
    <t>0064L00000DLMXq</t>
  </si>
  <si>
    <t>Ripple Foods Pbc</t>
  </si>
  <si>
    <t>0064L00000CYHiq</t>
  </si>
  <si>
    <t>MoO HQ Readiness Assessment - Ph 1 - Culture Assessment</t>
  </si>
  <si>
    <t>Siddarth Bhatia</t>
  </si>
  <si>
    <t>0064L0000099XVA</t>
  </si>
  <si>
    <t>Pennsylvania National Mutual Casualty Insurance Company</t>
  </si>
  <si>
    <t>Alternative Distribution Strategy</t>
  </si>
  <si>
    <t>0064L000004wkDf</t>
  </si>
  <si>
    <t>Compliance Data Access Support</t>
  </si>
  <si>
    <t>0064L000002c9XA</t>
  </si>
  <si>
    <t>High Value Service Co - Feasibility #SS&amp;O #PayerCO&amp;ITrans</t>
  </si>
  <si>
    <t>28/5/2021</t>
  </si>
  <si>
    <t>0064L00000BmIRB</t>
  </si>
  <si>
    <t>COP - Treasury IHB Design</t>
  </si>
  <si>
    <t>0064L00000DLNID</t>
  </si>
  <si>
    <t>Moderna - Analytics Discovery CDW</t>
  </si>
  <si>
    <t>Esha Basole</t>
  </si>
  <si>
    <t>0064L00000B1kEM</t>
  </si>
  <si>
    <t>Anthem HCD E-Commerce</t>
  </si>
  <si>
    <t>0064L00000D8tTj</t>
  </si>
  <si>
    <t>Compensation Analysis for Wolt &amp; DD</t>
  </si>
  <si>
    <t>0064L00000D8tV6</t>
  </si>
  <si>
    <t>AbbVie Content Velocity Program Support</t>
  </si>
  <si>
    <t>Tyler Jorgenson</t>
  </si>
  <si>
    <t>Candace Armand</t>
  </si>
  <si>
    <t>0064L00000D943A</t>
  </si>
  <si>
    <t>Pinnacol Assurance</t>
  </si>
  <si>
    <t>Ascent Program - Capability Definition &amp; Prioritization</t>
  </si>
  <si>
    <t>0064L00000CXg8S</t>
  </si>
  <si>
    <t>Essentia Health</t>
  </si>
  <si>
    <t>Ambulatory Scheduling Optimization</t>
  </si>
  <si>
    <t>0064L00000BfvKJ</t>
  </si>
  <si>
    <t>TSG Consumer Partners LP</t>
  </si>
  <si>
    <t>Thrive Stock Plan Vendor Search &amp; Implementation</t>
  </si>
  <si>
    <t>0064L00000DJgiq</t>
  </si>
  <si>
    <t>Univar - EPM implementation guidelines and roadmap</t>
  </si>
  <si>
    <t>0064L00000D8sz0</t>
  </si>
  <si>
    <t>CURE AUTO INSURANCE</t>
  </si>
  <si>
    <t>CURE - Quote and Bind CX</t>
  </si>
  <si>
    <t>Bill Valdespino</t>
  </si>
  <si>
    <t>0064L00000D8szK</t>
  </si>
  <si>
    <t>PDT &amp; BPM Program Mobilization</t>
  </si>
  <si>
    <t>0064L000004vdnT</t>
  </si>
  <si>
    <t>HCSC - Market Enablement</t>
  </si>
  <si>
    <t>0064L00000Bf1l3</t>
  </si>
  <si>
    <t>Employment Tax - Recurring Consulting</t>
  </si>
  <si>
    <t>Mike Lane</t>
  </si>
  <si>
    <t>0064L00000CXfeJ</t>
  </si>
  <si>
    <t>AT&amp;T Public Sector P&amp;L &amp; Ops Portal POC</t>
  </si>
  <si>
    <t>0064L0000099Cnu</t>
  </si>
  <si>
    <t>Argus Dental and Vision - AWS</t>
  </si>
  <si>
    <t>0064L00000D93cd</t>
  </si>
  <si>
    <t>MarketAdvantage Pilot</t>
  </si>
  <si>
    <t>0064L00000BebTq</t>
  </si>
  <si>
    <t>Lowe's Change Management and AVP Transformation</t>
  </si>
  <si>
    <t>Rachel Cala-Slaton</t>
  </si>
  <si>
    <t>0064L00000BesX1</t>
  </si>
  <si>
    <t>SYF Origination Testing</t>
  </si>
  <si>
    <t>0064L00000DJVz4</t>
  </si>
  <si>
    <t>Meta Business Messaging CPQ Process Enhancement</t>
  </si>
  <si>
    <t>Ryan Caruso</t>
  </si>
  <si>
    <t>0064L00000BcmYl</t>
  </si>
  <si>
    <t>Highroads Inc.</t>
  </si>
  <si>
    <t>HighRoads P2A BA support #PayerCO&amp;ITrans</t>
  </si>
  <si>
    <t>0064L00000CWQK6</t>
  </si>
  <si>
    <t>ARKEMA</t>
  </si>
  <si>
    <t>Arkema - Benchmarking Opportunity</t>
  </si>
  <si>
    <t>0064L000001vgq7</t>
  </si>
  <si>
    <t>Goodwin Procter LLP</t>
  </si>
  <si>
    <t>26/7/2020</t>
  </si>
  <si>
    <t>0064L00000BmFTE</t>
  </si>
  <si>
    <t>Yondr Americas - Strategic PMO Support - Pilot Phase</t>
  </si>
  <si>
    <t>0064L00000CVq0c</t>
  </si>
  <si>
    <t>Candor Technology Inc.</t>
  </si>
  <si>
    <t>Demand Gen Strategy</t>
  </si>
  <si>
    <t>Craig Kallin</t>
  </si>
  <si>
    <t>0064L00000CVonw</t>
  </si>
  <si>
    <t>Nuvance MAA Analysis *Strategic Reimbursement*</t>
  </si>
  <si>
    <t>0064L00000DLKNe</t>
  </si>
  <si>
    <t>Sales Effectiveness &amp; Sales KPI Visualization</t>
  </si>
  <si>
    <t>0064L00000CWPvx</t>
  </si>
  <si>
    <t>Webasto Beteiligungs Verwaltung Gbr</t>
  </si>
  <si>
    <t>SMC Market Study</t>
  </si>
  <si>
    <t>0064L00000DFZca</t>
  </si>
  <si>
    <t>Braze Inc.</t>
  </si>
  <si>
    <t>GBS and Location Strategy Assessment</t>
  </si>
  <si>
    <t>0064L000009fYRk</t>
  </si>
  <si>
    <t>Global Shared Services Phase II (Buildout)</t>
  </si>
  <si>
    <t>0064L00000BoLi7</t>
  </si>
  <si>
    <t>Affimed N.V. Niederlassung Deutschland</t>
  </si>
  <si>
    <t>Oncology Launch Strategy</t>
  </si>
  <si>
    <t>Ben Rhee</t>
  </si>
  <si>
    <t>0064L00000DJfsA</t>
  </si>
  <si>
    <t>Digital Service Activation and Monitoring</t>
  </si>
  <si>
    <t>0064L00000DJfse</t>
  </si>
  <si>
    <t>PH and Agent Service Operations</t>
  </si>
  <si>
    <t>0064L00000BonpF</t>
  </si>
  <si>
    <t>LPL / Escheatment Process Enhancement / $200,000</t>
  </si>
  <si>
    <t>22/8/2022</t>
  </si>
  <si>
    <t>0064I00000wveA4</t>
  </si>
  <si>
    <t>Erie Indemnity Co</t>
  </si>
  <si>
    <t>Erie- Digital Workplace Assessment and Approach</t>
  </si>
  <si>
    <t>16/8/2019</t>
  </si>
  <si>
    <t>Scott McMillen</t>
  </si>
  <si>
    <t>Damanjit Singh</t>
  </si>
  <si>
    <t>0064L000002cHSR</t>
  </si>
  <si>
    <t>DXC #Endurance Resource Mgmt and Deployment | 0064L000002cHSRQA2</t>
  </si>
  <si>
    <t>Victoria Miskel</t>
  </si>
  <si>
    <t>0064L00000Bnm2N</t>
  </si>
  <si>
    <t>iCapital FFG / Operating Model Diagnostic</t>
  </si>
  <si>
    <t>0064L00000D8sgX</t>
  </si>
  <si>
    <t>0064L00000CWcII</t>
  </si>
  <si>
    <t>CNX Resources Corp</t>
  </si>
  <si>
    <t>Liquidity review (Minimum liquidity analysis)</t>
  </si>
  <si>
    <t>0064L00000D8tJo</t>
  </si>
  <si>
    <t>Biomarin Patient Services</t>
  </si>
  <si>
    <t>0064L00000DFirA</t>
  </si>
  <si>
    <t>Novant Health MAA Analysis - *Strategic Reimbursement*</t>
  </si>
  <si>
    <t>0064L00000BoKUO</t>
  </si>
  <si>
    <t>Lockton Inc.</t>
  </si>
  <si>
    <t>International Target DD Support</t>
  </si>
  <si>
    <t>Vikram Latawa</t>
  </si>
  <si>
    <t>0064L00000AqWbx</t>
  </si>
  <si>
    <t>USAA FSB Retail Banking &amp; Payments Strategic Roadmap</t>
  </si>
  <si>
    <t>GX_FY22_XLOS_BS_Payments</t>
  </si>
  <si>
    <t>Susan Hough</t>
  </si>
  <si>
    <t>0064L000003zeIV</t>
  </si>
  <si>
    <t>Ally Financial #MI - Media Intelligence Platform</t>
  </si>
  <si>
    <t>0064L0000040gdg</t>
  </si>
  <si>
    <t>IOTG - Portfolio Management</t>
  </si>
  <si>
    <t>0064L00000DJg17</t>
  </si>
  <si>
    <t>Temple Medical Center IT Roadmap</t>
  </si>
  <si>
    <t>Carl Miller</t>
  </si>
  <si>
    <t>0064L00000DLK9S</t>
  </si>
  <si>
    <t>Pentland Group Holdings Ltd.</t>
  </si>
  <si>
    <t>3PL Deployment Support</t>
  </si>
  <si>
    <t>0064L00000Bm4f4</t>
  </si>
  <si>
    <t>DVC_OptumCare Phase 1 #FFG3.0 #ProviderGrowth</t>
  </si>
  <si>
    <t>0064L00000CXdjp</t>
  </si>
  <si>
    <t>RWJF - PAA Function Redesign</t>
  </si>
  <si>
    <t>0064L00000D8QHj</t>
  </si>
  <si>
    <t>Take Two Interactive Software INC.</t>
  </si>
  <si>
    <t>Take Two Interactive Treasury Transformation</t>
  </si>
  <si>
    <t>0064L00000Bnhpb</t>
  </si>
  <si>
    <t>Infrastructure Phase 1 - US Spin #CiaB</t>
  </si>
  <si>
    <t>0064L00000CXQif</t>
  </si>
  <si>
    <t>AT&amp;T Indirect Channel Recurring Benchmark</t>
  </si>
  <si>
    <t>0064L00000BmTnd</t>
  </si>
  <si>
    <t>HPE - NPI / NSI redesign</t>
  </si>
  <si>
    <t>0064L00000Apdcb</t>
  </si>
  <si>
    <t>The Irvine Company</t>
  </si>
  <si>
    <t>Irvine Company / Tenant Engagement Platform &amp; Strategy Assessment</t>
  </si>
  <si>
    <t>Tim Meade</t>
  </si>
  <si>
    <t>0064L00000ApdeI</t>
  </si>
  <si>
    <t>VGX3100 Launch Strategy - US Patient Market Mapping</t>
  </si>
  <si>
    <t>0064L00000D8r5O</t>
  </si>
  <si>
    <t>FP&amp;A and EPM Transformation - Design</t>
  </si>
  <si>
    <t>0064L00000AqWKh</t>
  </si>
  <si>
    <t>FedEx BPO Assessment</t>
  </si>
  <si>
    <t>Chuck Christensen</t>
  </si>
  <si>
    <t>0064L00000D8r7e</t>
  </si>
  <si>
    <t>Marketing Nurture Campaign Activation</t>
  </si>
  <si>
    <t>0064L00000BoKEV</t>
  </si>
  <si>
    <t>Yondr Americas - DC Operational Process Development</t>
  </si>
  <si>
    <t>0064L00000BoJhM</t>
  </si>
  <si>
    <t>MSIM Content - Phase 2</t>
  </si>
  <si>
    <t>MSIM Content Assessment &amp; Strategy</t>
  </si>
  <si>
    <t>0064L00000B2m40</t>
  </si>
  <si>
    <t>WHR - AWS - People: Customer Onboarding Tech</t>
  </si>
  <si>
    <t>0064L00000BcjLC</t>
  </si>
  <si>
    <t>Automation of external financial reporting</t>
  </si>
  <si>
    <t>0064L000001wG07</t>
  </si>
  <si>
    <t>Panera Indirect / Store DTV / Transformation #S&amp;P #Profit</t>
  </si>
  <si>
    <t>0064L00000BmDfD</t>
  </si>
  <si>
    <t>Nestlé NA - Success in Acquisitions</t>
  </si>
  <si>
    <t>0064L00000DJdsz</t>
  </si>
  <si>
    <t>CDK Global, Inc.</t>
  </si>
  <si>
    <t>Indirect Procurement#S&amp;P#POD</t>
  </si>
  <si>
    <t>Vikram Negi</t>
  </si>
  <si>
    <t>0064L000009f4e5</t>
  </si>
  <si>
    <t>Lifespan Corporation</t>
  </si>
  <si>
    <t>HCC and DRG Validation Support *Rev Cycle*</t>
  </si>
  <si>
    <t>0064L00000BoJqT</t>
  </si>
  <si>
    <t>Treasury Function Migration</t>
  </si>
  <si>
    <t>0064L00000Bo94X</t>
  </si>
  <si>
    <t>CHS Empower - EPM Part 2 FCCS</t>
  </si>
  <si>
    <t>0064L00000BnWVC</t>
  </si>
  <si>
    <t>Total Rewards Comms - Deal Support</t>
  </si>
  <si>
    <t>Sean Bard</t>
  </si>
  <si>
    <t>0064L00000B2WnB</t>
  </si>
  <si>
    <t>0064L00000D908k</t>
  </si>
  <si>
    <t>Fredrikson &amp; Byron P.A.</t>
  </si>
  <si>
    <t>Reasonable Compensation Consulting</t>
  </si>
  <si>
    <t>Chris Hamilton</t>
  </si>
  <si>
    <t>0064L00000D909i</t>
  </si>
  <si>
    <t>Reasonable Compensation Consulting v2</t>
  </si>
  <si>
    <t>0064L0000040vLK</t>
  </si>
  <si>
    <t>FNF:  Oracle Cloud Migration #Hawk #Oracle_INS</t>
  </si>
  <si>
    <t>0064L00000BoHMz</t>
  </si>
  <si>
    <t>Giant Eagle INC.</t>
  </si>
  <si>
    <t>Real Estate Lifecycle Assessment</t>
  </si>
  <si>
    <t>0064L00000Bd7OW</t>
  </si>
  <si>
    <t>WestRock - Intransit Automation</t>
  </si>
  <si>
    <t>Allison LeClair</t>
  </si>
  <si>
    <t>0064L000006juBr</t>
  </si>
  <si>
    <t>Microsoft Surface Engineering Warranty Phase 2</t>
  </si>
  <si>
    <t>0064L00000Boith</t>
  </si>
  <si>
    <t>The Hartford - Medical/Rx RFP</t>
  </si>
  <si>
    <t>Ronald Barlow</t>
  </si>
  <si>
    <t>0064L00000BoXvJ</t>
  </si>
  <si>
    <t>Azz Inc.</t>
  </si>
  <si>
    <t>AZZ - EPM Strategy</t>
  </si>
  <si>
    <t>0064L00000CYC1E</t>
  </si>
  <si>
    <t>Arrow ESG Technology Deployment - Microsoft - #ESGMSFT</t>
  </si>
  <si>
    <t>0064L00000CYC0Q</t>
  </si>
  <si>
    <t>NetApp ESG Technology Deployment - Microsoft - #ESGMSFT</t>
  </si>
  <si>
    <t>0064L00000DFy8t</t>
  </si>
  <si>
    <t>BCBSMA Clinical Data Exchange Strategy &amp; Business Case #Payeranalytics</t>
  </si>
  <si>
    <t>0064L00000CV9I1</t>
  </si>
  <si>
    <t>#Metaverse market entry analysis</t>
  </si>
  <si>
    <t>0064I00000tJHQC</t>
  </si>
  <si>
    <t>ET RightAngle Managed Services</t>
  </si>
  <si>
    <t>Ryan Richards</t>
  </si>
  <si>
    <t>0064L00000DG7Wp</t>
  </si>
  <si>
    <t>Innovaccer Inc.</t>
  </si>
  <si>
    <t>Innovaccer SI Opportunity - Embright</t>
  </si>
  <si>
    <t>0064L00000CYT8X</t>
  </si>
  <si>
    <t>Inova Health - *SMART* OP License</t>
  </si>
  <si>
    <t>0064L00000Bn4Xi</t>
  </si>
  <si>
    <t>0064L00000CWN3y</t>
  </si>
  <si>
    <t>Stryker_2021 Employment Tax Refunds_$200K</t>
  </si>
  <si>
    <t>0064L00000DG7a8</t>
  </si>
  <si>
    <t>Innovaccer SI Opportunity - CHI Health Partners (Part of CommonSpirit)</t>
  </si>
  <si>
    <t>0064L00000DFWAn</t>
  </si>
  <si>
    <t>BCBS NC Statutory Accounting Advisory and Assistance</t>
  </si>
  <si>
    <t>David Knipe</t>
  </si>
  <si>
    <t>0064L00000DJRPq</t>
  </si>
  <si>
    <t>FYE2022 / FY2023</t>
  </si>
  <si>
    <t>Amy Beert</t>
  </si>
  <si>
    <t>0064L00000DFVfa</t>
  </si>
  <si>
    <t>Paper Bill Redesign</t>
  </si>
  <si>
    <t>0064L00000CYTH0</t>
  </si>
  <si>
    <t>#QMS #OWT CQO Support</t>
  </si>
  <si>
    <t>0064L00000DFVjh</t>
  </si>
  <si>
    <t>UST - Project Endeavour - People Strategy #CO&amp;I</t>
  </si>
  <si>
    <t>0064L00000DLVZJ</t>
  </si>
  <si>
    <t>Tufts Medicine, Inc.</t>
  </si>
  <si>
    <t>0064L00000Boypw</t>
  </si>
  <si>
    <t>HPE - Ordering Process? Design #TMTPricing</t>
  </si>
  <si>
    <t>0064L00000Boyqa</t>
  </si>
  <si>
    <t>HPE - Partner Enablement Value Proposition #TMTPricing</t>
  </si>
  <si>
    <t>0064L00000BgPYN</t>
  </si>
  <si>
    <t>Payments Innovation Strategy</t>
  </si>
  <si>
    <t>0064L00000Boyql</t>
  </si>
  <si>
    <t>HPE - Partner Program/ Incentives/ Comp #TMTPricing</t>
  </si>
  <si>
    <t>0064L000007xB1w</t>
  </si>
  <si>
    <t>MSFT Trade Modern Workplace PoC</t>
  </si>
  <si>
    <t>Bob Woods</t>
  </si>
  <si>
    <t>0064L00000Bnvp1</t>
  </si>
  <si>
    <t>No Duns Code In D&amp;b Database</t>
  </si>
  <si>
    <t>Demand Planning</t>
  </si>
  <si>
    <t>0064L00000Boyqu</t>
  </si>
  <si>
    <t>HPE - Renewal and Expansion Process Design #TMTPricing</t>
  </si>
  <si>
    <t>0064L000009fcS1</t>
  </si>
  <si>
    <t>Gas Operations Data Assessment</t>
  </si>
  <si>
    <t>0064L00000BgPZO</t>
  </si>
  <si>
    <t>Cost of Payments Analysis</t>
  </si>
  <si>
    <t>0064L00000DG6NX</t>
  </si>
  <si>
    <t>Transparency in Coverage Commercial Compliance Audit</t>
  </si>
  <si>
    <t>Leigh Ann Solomon</t>
  </si>
  <si>
    <t>0064L00000BgPZQ</t>
  </si>
  <si>
    <t>0064L00000BoWsJ</t>
  </si>
  <si>
    <t>Product Management Model Playbook and Training Plan</t>
  </si>
  <si>
    <t>Brendan Flores</t>
  </si>
  <si>
    <t>0064L00000BoH6N</t>
  </si>
  <si>
    <t>Enterprise Digital &amp; Data Op Model</t>
  </si>
  <si>
    <t>0064L00000CYB10</t>
  </si>
  <si>
    <t>RTR Healthcheck - Implementation</t>
  </si>
  <si>
    <t>0064L00000Ar5FF</t>
  </si>
  <si>
    <t>Deere OneStream Implementation</t>
  </si>
  <si>
    <t>0064L00000BoXXg</t>
  </si>
  <si>
    <t>VONTIER Corp.</t>
  </si>
  <si>
    <t>Vontier_Salesforce &amp; Tech Roadmap_SFDC</t>
  </si>
  <si>
    <t>0064L00000BgPaW</t>
  </si>
  <si>
    <t>Branded Payments Innovation Strategy</t>
  </si>
  <si>
    <t>0064L00000BnvzL</t>
  </si>
  <si>
    <t>Beaumont Health</t>
  </si>
  <si>
    <t>Beaumont Health System S-10 Services</t>
  </si>
  <si>
    <t>0064L000009g2eP</t>
  </si>
  <si>
    <t>Construction Project Management Vendor Selection</t>
  </si>
  <si>
    <t>0064L000007wqBa</t>
  </si>
  <si>
    <t>Fleet / Logistics Assessment</t>
  </si>
  <si>
    <t>0064L00000DJamo</t>
  </si>
  <si>
    <t>ACI Market Scan</t>
  </si>
  <si>
    <t>Jennie Goldstein</t>
  </si>
  <si>
    <t>0064L00000DJbT9</t>
  </si>
  <si>
    <t>FDA Project Optimus</t>
  </si>
  <si>
    <t>0065800000ji5Ch</t>
  </si>
  <si>
    <t>*SMART* License - Advocate</t>
  </si>
  <si>
    <t>31/10/2018</t>
  </si>
  <si>
    <t>0064L00000Bfq72</t>
  </si>
  <si>
    <t>ANTH #Alliance:MSFT Health/Care Value Management #HVM #Anthem C&amp;D</t>
  </si>
  <si>
    <t>Azure Payer Cloud-migration  #PayerAnalytics #Alliance:MSFT</t>
  </si>
  <si>
    <t>0064L00000DLEwC</t>
  </si>
  <si>
    <t>Program Management Support</t>
  </si>
  <si>
    <t>0064L00000BojOe</t>
  </si>
  <si>
    <t>HPE - CPQ Requirements #TMTPricing</t>
  </si>
  <si>
    <t>0064L00000BojOo</t>
  </si>
  <si>
    <t>HPE - Friction Free Program Management</t>
  </si>
  <si>
    <t>0064L00000BojOU</t>
  </si>
  <si>
    <t>HPE - Pre-qualification process #TMTPricing</t>
  </si>
  <si>
    <t>0064L00000BoX0S</t>
  </si>
  <si>
    <t>Elara HoldingsL.L.C.</t>
  </si>
  <si>
    <t>Elara DSNP Specialty Strategy  #GCOE #Medicare</t>
  </si>
  <si>
    <t>0064L00000CYbLt</t>
  </si>
  <si>
    <t>MSHS Pop Health Member Services Zendesk Optimization #PayerAnalytics</t>
  </si>
  <si>
    <t>0064L000004yFgi</t>
  </si>
  <si>
    <t>GRS Op Model Transformation - Change Management-Pull-Through</t>
  </si>
  <si>
    <t>GRS--Global Digital Roadmap #Digital</t>
  </si>
  <si>
    <t>0064L00000Bogw9</t>
  </si>
  <si>
    <t>Tampa Bay Banking Company</t>
  </si>
  <si>
    <t>Bank of Tampa - LOS System Selection #SCB #&lt;$50B</t>
  </si>
  <si>
    <t>0064L00000CY00O</t>
  </si>
  <si>
    <t>Alaska Air Group Inc.</t>
  </si>
  <si>
    <t>Alaska Air ESG and SEC Climate Change Support #ESG</t>
  </si>
  <si>
    <t>0064L00000BoFZM</t>
  </si>
  <si>
    <t>Corbett Technology Solutions - Finance Value Accelerator</t>
  </si>
  <si>
    <t>0064L000001vQ4b</t>
  </si>
  <si>
    <t>0064L00000DFwCj</t>
  </si>
  <si>
    <t>Sword Health Technologies, Inc.</t>
  </si>
  <si>
    <t>RCM Operational &amp; Tech Assessment</t>
  </si>
  <si>
    <t>0064L00000BcwJD</t>
  </si>
  <si>
    <t>LVHN 3M Engage One CDI Implementation Assistance *Rev Cycle*</t>
  </si>
  <si>
    <t>0064L00000CYQbH</t>
  </si>
  <si>
    <t>Lilly Market Research Core</t>
  </si>
  <si>
    <t>0064L00000CWmaC</t>
  </si>
  <si>
    <t>Kao - agile product development support</t>
  </si>
  <si>
    <t>Maki Futami</t>
  </si>
  <si>
    <t>0064L00000CXoHr</t>
  </si>
  <si>
    <t>Luminace Customer Team and Portal Selection</t>
  </si>
  <si>
    <t>Kristin Kelsch</t>
  </si>
  <si>
    <t>0064L00000DJNXv</t>
  </si>
  <si>
    <t>PHELPS DODGE FOUNDATION.</t>
  </si>
  <si>
    <t>Freeport - OneStream design phase</t>
  </si>
  <si>
    <t>0064L00000BogW6</t>
  </si>
  <si>
    <t>Amendment 02 - Global Diversity &amp; Inclusion 2022 Report</t>
  </si>
  <si>
    <t>Barbara Poenisch</t>
  </si>
  <si>
    <t>0064L00000BoUy7</t>
  </si>
  <si>
    <t>Kaiser_Net Zero Implementation_SFDC</t>
  </si>
  <si>
    <t>0064L00000DFcwE</t>
  </si>
  <si>
    <t>Shell - Chemicals - Louisiana Corridor ESG Risk Assessment Phase 2</t>
  </si>
  <si>
    <t>Shell - Chemicals - Louisiana Corridor ESG Risk Assessment</t>
  </si>
  <si>
    <t>Megan Haas</t>
  </si>
  <si>
    <t>0064L00000BmOyp</t>
  </si>
  <si>
    <t>PwC Germany</t>
  </si>
  <si>
    <t>#QMS Olympus Risk Management Assessment</t>
  </si>
  <si>
    <t>0064L0000040aCS</t>
  </si>
  <si>
    <t>US Banking RFP</t>
  </si>
  <si>
    <t>17/10/2020</t>
  </si>
  <si>
    <t>0064L00000Aq0MF</t>
  </si>
  <si>
    <t>Procurement Roadmapping</t>
  </si>
  <si>
    <t>0064L00000Aq0Ll</t>
  </si>
  <si>
    <t>Aon Procurement Roadmapping</t>
  </si>
  <si>
    <t>0064L00000BoyGj</t>
  </si>
  <si>
    <t>HPE Talent Assessment - CTO Pilot</t>
  </si>
  <si>
    <t>Nishi Vijay</t>
  </si>
  <si>
    <t>0064L00000DG5A8</t>
  </si>
  <si>
    <t>TOKYO GAS CO., LTD.</t>
  </si>
  <si>
    <t>US Trading Target Operating Model</t>
  </si>
  <si>
    <t>0064L000009enST</t>
  </si>
  <si>
    <t>MUB Resiliency/BCP  #resilience</t>
  </si>
  <si>
    <t>0064L00000BgMS9</t>
  </si>
  <si>
    <t>Exelixis Inc.</t>
  </si>
  <si>
    <t>Exelixis - QMR #QualityManagedServices</t>
  </si>
  <si>
    <t>0064L00000Bn0EO</t>
  </si>
  <si>
    <t>Project Playbook</t>
  </si>
  <si>
    <t>Aaron Higley</t>
  </si>
  <si>
    <t>0064L00000BoemP</t>
  </si>
  <si>
    <t>RL Customer Mindset</t>
  </si>
  <si>
    <t>22/6/2022 4:33 pm</t>
  </si>
  <si>
    <t>0064L00000B23Pt</t>
  </si>
  <si>
    <t>First Midwest Bancorp INC.</t>
  </si>
  <si>
    <t>TM Platform Integration w/ Core DDA Support</t>
  </si>
  <si>
    <t>0064L00000CXmfw</t>
  </si>
  <si>
    <t>Unum MDM Program Assessment</t>
  </si>
  <si>
    <t>0064L00000D8ZCe</t>
  </si>
  <si>
    <t>Automotive Digital Retailing -- ADS Rehash Tool Product Design</t>
  </si>
  <si>
    <t>0064L000009fsP5</t>
  </si>
  <si>
    <t>CX-AX extension - move money</t>
  </si>
  <si>
    <t>Tina Cruz</t>
  </si>
  <si>
    <t>0064L00000CYqQg</t>
  </si>
  <si>
    <t>Rollins Inc.</t>
  </si>
  <si>
    <t>EPM - Close and Consolidations Healthcheck</t>
  </si>
  <si>
    <t>0064L00000AqbEU</t>
  </si>
  <si>
    <t>DTCC - Deals Strategy</t>
  </si>
  <si>
    <t>Michael McKenna</t>
  </si>
  <si>
    <t>0064L00000CVWGr</t>
  </si>
  <si>
    <t>LHS Investment I LLC</t>
  </si>
  <si>
    <t>leon Medical Center Physician Education</t>
  </si>
  <si>
    <t>0064L00000DFcTg</t>
  </si>
  <si>
    <t>Tony's Factory B.V.</t>
  </si>
  <si>
    <t>US Brand Positioning</t>
  </si>
  <si>
    <t>Priyanka Gupta</t>
  </si>
  <si>
    <t>0064L00000DLukf</t>
  </si>
  <si>
    <t>CIBC Procurement Transformation #S&amp;P</t>
  </si>
  <si>
    <t>0064L00000D8Ypa</t>
  </si>
  <si>
    <t>GE Aviation SAF Strategy</t>
  </si>
  <si>
    <t>0064L0000099oYk</t>
  </si>
  <si>
    <t>MESSA PBM RFP</t>
  </si>
  <si>
    <t>0064L00000D8ZWG</t>
  </si>
  <si>
    <t>CY2023 HF Medicare Marketing Materials #GCOE</t>
  </si>
  <si>
    <t>0064L00000B35a8</t>
  </si>
  <si>
    <t>CenterPoint - Jana risk model SAP integration</t>
  </si>
  <si>
    <t>0064L00000D8ZW5</t>
  </si>
  <si>
    <t>CY2023 Medicare Marketing Materials Assistance #GCOE</t>
  </si>
  <si>
    <t>0064L00000DLTQ5</t>
  </si>
  <si>
    <t>Project Brown - Day Two IT Planning Support</t>
  </si>
  <si>
    <t>Rohan Nigam</t>
  </si>
  <si>
    <t>0064L00000BfmNw</t>
  </si>
  <si>
    <t>Sierra Space ESG Program Assistance 2022 Expansion 1</t>
  </si>
  <si>
    <t>Diana O'Connor</t>
  </si>
  <si>
    <t>0064L00000BnRcq</t>
  </si>
  <si>
    <t>NetJets Chart of Accounts Redesign</t>
  </si>
  <si>
    <t>0065800000jijot</t>
  </si>
  <si>
    <t>Multi-dimensional Profitability / Reporting</t>
  </si>
  <si>
    <t>0064L000009fooX</t>
  </si>
  <si>
    <t>Jackson Financial Inc.</t>
  </si>
  <si>
    <t>JFI - ESG 2021 - $200K</t>
  </si>
  <si>
    <t>0064L000007wJn6</t>
  </si>
  <si>
    <t>BSC Enterprise Performance Dashboard</t>
  </si>
  <si>
    <t>0064L00000CYq1V</t>
  </si>
  <si>
    <t>280G Consulting</t>
  </si>
  <si>
    <t>Nathan Swartz</t>
  </si>
  <si>
    <t>0064L00000BlllV</t>
  </si>
  <si>
    <t>Shell - IT - Sector Decarbonization Digital Advisory Support</t>
  </si>
  <si>
    <t>0064L000007vzZ0</t>
  </si>
  <si>
    <t>Finance Function of the Future</t>
  </si>
  <si>
    <t>0064L00000Bo2Vq</t>
  </si>
  <si>
    <t>Underground Program (Investment)</t>
  </si>
  <si>
    <t>Hector Rodriguez</t>
  </si>
  <si>
    <t>0064L000009A12x</t>
  </si>
  <si>
    <t>CMS Command Center - 2021-22</t>
  </si>
  <si>
    <t>0064L00000DFlhg</t>
  </si>
  <si>
    <t>Performance Management Assessment</t>
  </si>
  <si>
    <t>Elizabeth Gauf</t>
  </si>
  <si>
    <t>0064L00000BnKqL</t>
  </si>
  <si>
    <t>Travel POS Financing (US portion of UK Program)</t>
  </si>
  <si>
    <t>0064L000009AWII</t>
  </si>
  <si>
    <t>Cardinal Health Tech Services Change Control Process Phase 2</t>
  </si>
  <si>
    <t>0064L000009A39b</t>
  </si>
  <si>
    <t>Google MATI Support</t>
  </si>
  <si>
    <t>Jac Crocker</t>
  </si>
  <si>
    <t>0064L00000CWBUz</t>
  </si>
  <si>
    <t>Programa para la creación de valor compartido y el diseńo de negocios inclusivos</t>
  </si>
  <si>
    <t>0064L00000CYsxr</t>
  </si>
  <si>
    <t>Trimble- Reverse Logistics- Operating Model</t>
  </si>
  <si>
    <t>Nisha Bhatia</t>
  </si>
  <si>
    <t>0064L00000DJe2p</t>
  </si>
  <si>
    <t>DSP Job Architecture</t>
  </si>
  <si>
    <t>0064L00000Bo0gI</t>
  </si>
  <si>
    <t>0064L0000041qmn</t>
  </si>
  <si>
    <t>Microsoft Office of CTO AirSim Strategy</t>
  </si>
  <si>
    <t>0064I000014JVcO</t>
  </si>
  <si>
    <t>ncino DAO #&gt;$50B #Comm50B+</t>
  </si>
  <si>
    <t>0064L00000CGvui</t>
  </si>
  <si>
    <t>MUFG - CCAR and Capital Reg Support Phase 2</t>
  </si>
  <si>
    <t>0064L00000D8k6K</t>
  </si>
  <si>
    <t>COP Sprint 1 Extension</t>
  </si>
  <si>
    <t>0064L00000B2uXk</t>
  </si>
  <si>
    <t>Investment Pipeline Support Q4 2022</t>
  </si>
  <si>
    <t>0064L00000B2uXL</t>
  </si>
  <si>
    <t>Investment Pipeline Support Q3 2022</t>
  </si>
  <si>
    <t>0064L00000CYmXw</t>
  </si>
  <si>
    <t>Synchrony - Coupa CRA Enhancement</t>
  </si>
  <si>
    <t>Grant Good</t>
  </si>
  <si>
    <t>0064L00000DFc34</t>
  </si>
  <si>
    <t>PwC Spain</t>
  </si>
  <si>
    <t>Bodylogical Pilot - Spain</t>
  </si>
  <si>
    <t>Marianne DeWitt</t>
  </si>
  <si>
    <t>0064L00000BdM9V</t>
  </si>
  <si>
    <t>GDEB Robotic Process Automation</t>
  </si>
  <si>
    <t>Michael Conan</t>
  </si>
  <si>
    <t>0064L00000BlOD6</t>
  </si>
  <si>
    <t>Signature - ncino CMF/Deployment #2 CO1   #&lt;$50B</t>
  </si>
  <si>
    <t>0064L00000CW8mt</t>
  </si>
  <si>
    <t>Aon ITPS BusOps support</t>
  </si>
  <si>
    <t>Shai Zorea</t>
  </si>
  <si>
    <t>0064L00000CY7SU</t>
  </si>
  <si>
    <t>EV Charging Strategy</t>
  </si>
  <si>
    <t>26/5/2022 6:52 pm</t>
  </si>
  <si>
    <t>0064L00000Bfedi</t>
  </si>
  <si>
    <t>Potential work after SEC ESG Guidelines - Compliance Assessment</t>
  </si>
  <si>
    <t>0064I000011ov73</t>
  </si>
  <si>
    <t>IGP - The Duniway and Hilton Portland Downtown</t>
  </si>
  <si>
    <t>0064L00000DMEM9</t>
  </si>
  <si>
    <t>UCLA Health - *SMART* IP and OP License Renewal FY23</t>
  </si>
  <si>
    <t>0064L00000BmniX</t>
  </si>
  <si>
    <t>OPPD VOD/Qualtrics Services</t>
  </si>
  <si>
    <t>0064L00000D8vpX</t>
  </si>
  <si>
    <t>Management Co. ERP Vendor Selection</t>
  </si>
  <si>
    <t>0064L00000CXwey</t>
  </si>
  <si>
    <t>Insulet Acton Smart Inventory Flow #MedTech</t>
  </si>
  <si>
    <t>0064L00000BoZt5</t>
  </si>
  <si>
    <t>Kimball Intl - 2022 H&amp;W Consulting</t>
  </si>
  <si>
    <t>Abigail Cape</t>
  </si>
  <si>
    <t>0064L000004xhWn</t>
  </si>
  <si>
    <t>Roche Canada - Advisory - Ecosystems Journey AI Solutions Ph1</t>
  </si>
  <si>
    <t>19/8/2021 10:55 pm</t>
  </si>
  <si>
    <t>Philip Bradley</t>
  </si>
  <si>
    <t>0064L00000DMG7L</t>
  </si>
  <si>
    <t>Mayer Brown Llp</t>
  </si>
  <si>
    <t>Mayer Brown Cash Bal Plan - WT Actuarial Svcs 2022</t>
  </si>
  <si>
    <t>0064L00000DLndl</t>
  </si>
  <si>
    <t>Mortgage Loan Sale Strategy</t>
  </si>
  <si>
    <t>Peter Pollini</t>
  </si>
  <si>
    <t>0064L00000CYU0U</t>
  </si>
  <si>
    <t>PL - Actuarial Valuation &amp; Pension Plan Benefit Administration</t>
  </si>
  <si>
    <t>0064L00000DLFrr</t>
  </si>
  <si>
    <t>Enterprise Learning Org:  Real-Time Scheduling Engine Chg Mgmt &amp; Training Needs Analysis</t>
  </si>
  <si>
    <t>0064L00000DJk1z</t>
  </si>
  <si>
    <t>MS Project Apollo - Addendum 1</t>
  </si>
  <si>
    <t>Daniel Pack</t>
  </si>
  <si>
    <t>0064L00000CXwsC</t>
  </si>
  <si>
    <t>Geo Expansion - C &amp; F</t>
  </si>
  <si>
    <t>0064L00000BoMDy</t>
  </si>
  <si>
    <t>Aep Holdings, Inc.</t>
  </si>
  <si>
    <t>EPM Cons &amp; FP&amp;A SW Selection</t>
  </si>
  <si>
    <t>20/7/2022 4:51 pm</t>
  </si>
  <si>
    <t>John Watts</t>
  </si>
  <si>
    <t>0064L00000DJTi6</t>
  </si>
  <si>
    <t>Morgan Stanley - Finance Academy #ProEdgexWorkforce (Phase 1)</t>
  </si>
  <si>
    <t>0064L00000CWMjN</t>
  </si>
  <si>
    <t>UCB SA</t>
  </si>
  <si>
    <t>UCB U.S. Neurology Workshop</t>
  </si>
  <si>
    <t>Mair Sanitato</t>
  </si>
  <si>
    <t>0064L000009BLQD</t>
  </si>
  <si>
    <t>Target Inventory Accuracy &amp; Shrink Project</t>
  </si>
  <si>
    <t>0064L00000Bnvyr</t>
  </si>
  <si>
    <t>TSMC NA SuccessFactors Recruiting and Onboarding</t>
  </si>
  <si>
    <t>0064L00000DMEGH</t>
  </si>
  <si>
    <t>Inova Health - *SMART* License - Outpatient Expansion</t>
  </si>
  <si>
    <t>0064L00000DM7uG</t>
  </si>
  <si>
    <t>Cash Flow Testing - Year 3</t>
  </si>
  <si>
    <t>Sam Cayemberg</t>
  </si>
  <si>
    <t>0064L00000DFyro</t>
  </si>
  <si>
    <t>Enterprise Learning Org:  Gas Plant On-The-Job Training (OJT) Development</t>
  </si>
  <si>
    <t>0064L00000CH4ij</t>
  </si>
  <si>
    <t>Floor &amp; Decor Holdings Inc.</t>
  </si>
  <si>
    <t>Physical and Transition Risk Assessment</t>
  </si>
  <si>
    <t>13/2/2023</t>
  </si>
  <si>
    <t>0064L000009gJme</t>
  </si>
  <si>
    <t>0064L00000Bmxg0</t>
  </si>
  <si>
    <t>UI Path Sales Comp Operational Assessment</t>
  </si>
  <si>
    <t>0064L00000BolVN</t>
  </si>
  <si>
    <t>Ramsbury Invest AB</t>
  </si>
  <si>
    <t>H&amp;M Payroll Assessment</t>
  </si>
  <si>
    <t>0064L00000D8r6l</t>
  </si>
  <si>
    <t>Treasury technology assistance</t>
  </si>
  <si>
    <t>0064L0000099tMR</t>
  </si>
  <si>
    <t>Workiva Stat Assessment</t>
  </si>
  <si>
    <t>0064L00000BnvuV</t>
  </si>
  <si>
    <t>BOM / Catalog Optimization</t>
  </si>
  <si>
    <t>0064L00000DLWVV</t>
  </si>
  <si>
    <t>Envision - WT Retirement Plan Design 2022</t>
  </si>
  <si>
    <t>0064L00000B1tMb</t>
  </si>
  <si>
    <t>UST Innovation - Shared RAN</t>
  </si>
  <si>
    <t>0064L00000DM5H2</t>
  </si>
  <si>
    <t>Pilot MarTech Assessment</t>
  </si>
  <si>
    <t>0064L00000D8zfs</t>
  </si>
  <si>
    <t>Morgan Stanley / Trade Exception Processes Operating Model / $175,000</t>
  </si>
  <si>
    <t>0064L00000DMDjq</t>
  </si>
  <si>
    <t>ATC / CoreSite Data Center Integration Extension - Aug 2022</t>
  </si>
  <si>
    <t>0064L000007wIC3</t>
  </si>
  <si>
    <t>MSFT FastTrack BOM and Support - Azure</t>
  </si>
  <si>
    <t>Daniel Jorgensen</t>
  </si>
  <si>
    <t>0064L00000Bm8TX</t>
  </si>
  <si>
    <t>Future of Work, Enterprise Operations People Strategy</t>
  </si>
  <si>
    <t>0064L00000Bp0n4</t>
  </si>
  <si>
    <t>Honorhealth</t>
  </si>
  <si>
    <t>Honorhealth - Talent Acquisition Re-design Phase 3</t>
  </si>
  <si>
    <t>0064L00000BlGHt</t>
  </si>
  <si>
    <t>Mike Sinyard</t>
  </si>
  <si>
    <t>Specialized Bicycle Components - EPM Assessment</t>
  </si>
  <si>
    <t>0064L00000DFlxo</t>
  </si>
  <si>
    <t>Avangrid OpCo Pension Plan Mergers</t>
  </si>
  <si>
    <t>Tim Lynch</t>
  </si>
  <si>
    <t>0064L00000Bn9vp</t>
  </si>
  <si>
    <t>Clinical Data Reporting Strategy</t>
  </si>
  <si>
    <t>0064L00000DLMYA</t>
  </si>
  <si>
    <t>RAYDIANT</t>
  </si>
  <si>
    <t>0064L00000BoejG</t>
  </si>
  <si>
    <t>Wellmark INC.</t>
  </si>
  <si>
    <t>PBM Market Check and Strategy</t>
  </si>
  <si>
    <t>0064L00000DFill</t>
  </si>
  <si>
    <t>TCCC MyCoke evolution</t>
  </si>
  <si>
    <t>0064L00000BoUrf</t>
  </si>
  <si>
    <t>Fund VII Data Mapping</t>
  </si>
  <si>
    <t>0064L0000042FRI</t>
  </si>
  <si>
    <t>340B Optimization - Patient Referral Arrangement - *Strategic Reimbursement*</t>
  </si>
  <si>
    <t>0064L00000Bnq4w</t>
  </si>
  <si>
    <t>AURA Network Systems Inc.</t>
  </si>
  <si>
    <t>Strategy Support Q3'22 Extension</t>
  </si>
  <si>
    <t>0064L00000BecLJ</t>
  </si>
  <si>
    <t>09 Solutions, Inc</t>
  </si>
  <si>
    <t>09 Solutions - DEI</t>
  </si>
  <si>
    <t>Tony Berlingeri</t>
  </si>
  <si>
    <t>0064L00000BmITR</t>
  </si>
  <si>
    <t>Waggener Edstrom Worldwide, Inc.</t>
  </si>
  <si>
    <t>Waggener Edstrom Worldwide - Hiring Journey Assessment</t>
  </si>
  <si>
    <t>Shebani Patel</t>
  </si>
  <si>
    <t>0064L00000DLrSJ</t>
  </si>
  <si>
    <t>Cedars-Sinai *SMART* IP Renewal - FY23</t>
  </si>
  <si>
    <t>0064I000011pRqT</t>
  </si>
  <si>
    <t>W Minneapolis OpCp VII LLC</t>
  </si>
  <si>
    <t>IGP - Minneapolis Hilton</t>
  </si>
  <si>
    <t>0064L00000DM4Jv</t>
  </si>
  <si>
    <t>Comcast Business - Offnet ASAP Program Leader #TMTSales</t>
  </si>
  <si>
    <t>0064L000009AOdr</t>
  </si>
  <si>
    <t>MSFT HR FY22 H2 ECD - Aspire Communications</t>
  </si>
  <si>
    <t>0064L00000DJYkl</t>
  </si>
  <si>
    <t>MS Pricing Horizontal - Q3 Extension</t>
  </si>
  <si>
    <t>0064L00000D8Ytw</t>
  </si>
  <si>
    <t>Board Of Governors State University System Of Florida</t>
  </si>
  <si>
    <t>Shands Jacksonville FFY24-25 Wage Index Strategy *Strategic Reimbursement*</t>
  </si>
  <si>
    <t>Michelle Manuel</t>
  </si>
  <si>
    <t>0064L00000DFv6k</t>
  </si>
  <si>
    <t>AB 3rd Party Marketplace_Extenstion</t>
  </si>
  <si>
    <t>0064L00000DFVrl</t>
  </si>
  <si>
    <t>Eisai SP Expansion Extension</t>
  </si>
  <si>
    <t>0064L00000BoZkD</t>
  </si>
  <si>
    <t>Stephen Gould Paper Co.</t>
  </si>
  <si>
    <t>Stephen Gould - 2022 Inventory Process Gap Analysis</t>
  </si>
  <si>
    <t>Tom Yetman</t>
  </si>
  <si>
    <t>0064L000007GEgt</t>
  </si>
  <si>
    <t>Finance Modernization - Data and Reporting Strategy #Hawk  #RocktheSEpipe</t>
  </si>
  <si>
    <t>0064L00000Bn1se</t>
  </si>
  <si>
    <t>Crr Holdings, Llc</t>
  </si>
  <si>
    <t>Vendor Selection</t>
  </si>
  <si>
    <t>0064L00000Bnc1q</t>
  </si>
  <si>
    <t>TPA Mobilization Support - Phase 2 #PayerCO&amp;ITrans</t>
  </si>
  <si>
    <t>0064L00000Bf8fx</t>
  </si>
  <si>
    <t>ESG Strategy Proposal</t>
  </si>
  <si>
    <t>0064L00000DJkrm</t>
  </si>
  <si>
    <t>New Residential Investment Corp.</t>
  </si>
  <si>
    <t>Shellpoint Investor Accounting and Investor Reporting Technology Assessment 1</t>
  </si>
  <si>
    <t>13/6/2023</t>
  </si>
  <si>
    <t>Shellpoint Investor Accounting and Investor Reporting Technology Assessment</t>
  </si>
  <si>
    <t>0064L00000D97pH</t>
  </si>
  <si>
    <t>Shellpoint Investor Accounting and Investor Reporting Technology Assessment 2</t>
  </si>
  <si>
    <t>22/7/2023</t>
  </si>
  <si>
    <t>0064L0000099Z1Y</t>
  </si>
  <si>
    <t>News Corp Spend Analysis and Monthly Refresh - #S&amp;P#POD</t>
  </si>
  <si>
    <t>0064L00000BgZKE</t>
  </si>
  <si>
    <t>162m calculations</t>
  </si>
  <si>
    <t>0064L00000DLMie</t>
  </si>
  <si>
    <t>Eisai SP Expansion Extension - Jul'22</t>
  </si>
  <si>
    <t>0064L00000BfeeD</t>
  </si>
  <si>
    <t>The Progressive Corporation</t>
  </si>
  <si>
    <t>Potential work after Protective Sustainability Program Review and Roadmap</t>
  </si>
  <si>
    <t>0064L00000BcmuS</t>
  </si>
  <si>
    <t>GE Nuclear Medicine Tracers Opportunity Assessment - US Phase 2 #XPCONC</t>
  </si>
  <si>
    <t>0064L00000DLrUb</t>
  </si>
  <si>
    <t>IU Health - *SMART* IP License Renewal - FY23</t>
  </si>
  <si>
    <t>0064L00000DFlkV</t>
  </si>
  <si>
    <t>Comcast_Cable Consent Management Platform - Product Owner Jul Sept 2022</t>
  </si>
  <si>
    <t>Gretchen Tipton</t>
  </si>
  <si>
    <t>0064L00000BmFvI</t>
  </si>
  <si>
    <t>MSFT DLS FY22 Project Denali (ABK) - IMO Standup</t>
  </si>
  <si>
    <t>0064L00000Boxz8</t>
  </si>
  <si>
    <t>HR M&amp;A Playbook</t>
  </si>
  <si>
    <t>0064I000011oup9</t>
  </si>
  <si>
    <t>BALTIMORE HOTEL Corp.</t>
  </si>
  <si>
    <t>IGP - Hilton Baltimore</t>
  </si>
  <si>
    <t>0064L00000DMEEP</t>
  </si>
  <si>
    <t>Cedars-Sinai *SMART* License - Huntington Facility Addition</t>
  </si>
  <si>
    <t>0064L00000DFVU3</t>
  </si>
  <si>
    <t>Laboratorios Pisa, S.A. de C.V.</t>
  </si>
  <si>
    <t>Diagnóstico organizacional</t>
  </si>
  <si>
    <t>0064L00000DFZtH</t>
  </si>
  <si>
    <t>Cloudflare Sales Compensation Administration</t>
  </si>
  <si>
    <t>Indira Persad</t>
  </si>
  <si>
    <t>0064L000009fGaX</t>
  </si>
  <si>
    <t>NGES Cost Model 2.0 Roadmap</t>
  </si>
  <si>
    <t>0064L000004vBod</t>
  </si>
  <si>
    <t>0064L00000CXfWG</t>
  </si>
  <si>
    <t>Universal Parks &amp; Resorts Tag Audit</t>
  </si>
  <si>
    <t>0064L00000CX3SD</t>
  </si>
  <si>
    <t>Development Process Diagnostic Assessment</t>
  </si>
  <si>
    <t>0064L00000Bn8zA</t>
  </si>
  <si>
    <t>Cape Fear Valley Health Systems</t>
  </si>
  <si>
    <t>*SMART* License - Cape Fear Valley Health Systems</t>
  </si>
  <si>
    <t>Peyton Alexander</t>
  </si>
  <si>
    <t>0064L000001vVAA</t>
  </si>
  <si>
    <t>*SMART* License - Northside Hospital</t>
  </si>
  <si>
    <t>0064L000001vVAK</t>
  </si>
  <si>
    <t>*SMART* License - Wellstar Health</t>
  </si>
  <si>
    <t>0064L00000CH4iF</t>
  </si>
  <si>
    <t>Scope 3 GHG estimates and supplier engagement</t>
  </si>
  <si>
    <t>16/1/2023</t>
  </si>
  <si>
    <t>0064L00000DLKqv</t>
  </si>
  <si>
    <t>Funds - Accounting Loan Staff</t>
  </si>
  <si>
    <t>0064L00000Bff8R</t>
  </si>
  <si>
    <t>Meta Ads and Mission Control Headcount Process Rationalization</t>
  </si>
  <si>
    <t>0064L00000DFlkf</t>
  </si>
  <si>
    <t>Corbett Technology Solutions - SSC Assessment &amp; Standup</t>
  </si>
  <si>
    <t>0064L00000D94Gn</t>
  </si>
  <si>
    <t>Spectrum Brands_Inventory Optimization PH1</t>
  </si>
  <si>
    <t>Steve Puricelli</t>
  </si>
  <si>
    <t>Rodger Reis</t>
  </si>
  <si>
    <t>0064L00000DLoGY</t>
  </si>
  <si>
    <t>WF CIB RCSA Foundational Risk Support</t>
  </si>
  <si>
    <t>0064L00000D93hx</t>
  </si>
  <si>
    <t>Flexcard Compliance Support - Phase 1</t>
  </si>
  <si>
    <t>0064L00000CXW2G</t>
  </si>
  <si>
    <t>AMZN Finance: Blackline Secondary Account Reconciliation</t>
  </si>
  <si>
    <t>0064L000001vV5p</t>
  </si>
  <si>
    <t>Northeast Georgia Health System</t>
  </si>
  <si>
    <t>*SMART* License - Northeast Georgia</t>
  </si>
  <si>
    <t>0064L00000CYxsI</t>
  </si>
  <si>
    <t>LifePoint Health Managed Care Strategy *Reimbursement*</t>
  </si>
  <si>
    <t>Kimberly Carlozzi</t>
  </si>
  <si>
    <t>0064L00000BoKtd</t>
  </si>
  <si>
    <t>Process Assessment via Process Mining Phase 1</t>
  </si>
  <si>
    <t>0064L00000D8t08</t>
  </si>
  <si>
    <t>Baptist Health System Inc.</t>
  </si>
  <si>
    <t>Administrative Benchmarking Support</t>
  </si>
  <si>
    <t>0064L00000CXD6G</t>
  </si>
  <si>
    <t>United Airlines- Fuel Management System Selection</t>
  </si>
  <si>
    <t>0064L00000BlCXT</t>
  </si>
  <si>
    <t>Avenue One Holdings LP</t>
  </si>
  <si>
    <t>Tech and Operational Assessment</t>
  </si>
  <si>
    <t>0064L000009fYQm</t>
  </si>
  <si>
    <t>Digital Upskilling (Finance)</t>
  </si>
  <si>
    <t>0064L00000DLKVT</t>
  </si>
  <si>
    <t>0064L00000DFZeR</t>
  </si>
  <si>
    <t>Saint Joseph's University</t>
  </si>
  <si>
    <t>*CI* Nursing Build or Buy</t>
  </si>
  <si>
    <t>0064L00000DLKUz</t>
  </si>
  <si>
    <t>0064L00000BmFcV</t>
  </si>
  <si>
    <t>Freeman Decorating Co.</t>
  </si>
  <si>
    <t>Employee Preference analytics</t>
  </si>
  <si>
    <t>Theresa Gee</t>
  </si>
  <si>
    <t>Nathan Mathews</t>
  </si>
  <si>
    <t>0064L000009fYRC</t>
  </si>
  <si>
    <t>Finance Org Design Phase II (Buildout)</t>
  </si>
  <si>
    <t>0064L00000417ks</t>
  </si>
  <si>
    <t>UBS - Bank Charter/Structure review</t>
  </si>
  <si>
    <t>0064L00000Bgej4</t>
  </si>
  <si>
    <t>LEO plan redesign</t>
  </si>
  <si>
    <t>0064L00000BfQiW</t>
  </si>
  <si>
    <t>Fiber Build Process Improvement</t>
  </si>
  <si>
    <t>Jonathan Turner</t>
  </si>
  <si>
    <t>0064L00000BonFR</t>
  </si>
  <si>
    <t>Ascot Group Limited</t>
  </si>
  <si>
    <t>ETHOS Technology Strategy</t>
  </si>
  <si>
    <t>Matthew Wolff</t>
  </si>
  <si>
    <t>0064L00000BdLDv</t>
  </si>
  <si>
    <t>Cruise Llc</t>
  </si>
  <si>
    <t>Values, Behaviors and Ways of Working</t>
  </si>
  <si>
    <t>Adam Gerstein</t>
  </si>
  <si>
    <t>0064L00000DJTkg</t>
  </si>
  <si>
    <t>S&amp;PS Engineering IT Operating Model definition</t>
  </si>
  <si>
    <t>0064L00000CX0xa</t>
  </si>
  <si>
    <t>Customer Engagement Technology Stack Assessment</t>
  </si>
  <si>
    <t>0064L00000CYxcP</t>
  </si>
  <si>
    <t>Nutrien Ltd.</t>
  </si>
  <si>
    <t>#IOBP -- Nutrien Portfolio and Capital Planning</t>
  </si>
  <si>
    <t>0064L00000Ar8so</t>
  </si>
  <si>
    <t>BD Global Pricing - Project Revolution - Extension *Pricing*</t>
  </si>
  <si>
    <t>BD Global Pricing - Vendavo Project - Phase 1a Extension *Pricing*</t>
  </si>
  <si>
    <t>0064L000001w3tY</t>
  </si>
  <si>
    <t>*Rev Cycle* - LVHN</t>
  </si>
  <si>
    <t>0064L000001wDuq</t>
  </si>
  <si>
    <t>Cameron Enterprises A Limited Partnership</t>
  </si>
  <si>
    <t>Finance Modernization - Phase 0</t>
  </si>
  <si>
    <t>0064L000001uqy9</t>
  </si>
  <si>
    <t>HR Modernization - Phase 0</t>
  </si>
  <si>
    <t>30/8/2021 9:18 pm</t>
  </si>
  <si>
    <t>0064L00000BnJ36</t>
  </si>
  <si>
    <t>Duracell Master Data Management Discovery</t>
  </si>
  <si>
    <t>0064L00000Bnhsa</t>
  </si>
  <si>
    <t>Procurement Diagnostic</t>
  </si>
  <si>
    <t>James O'Keefe</t>
  </si>
  <si>
    <t>0064L00000BolZt</t>
  </si>
  <si>
    <t>Tanium Inc.</t>
  </si>
  <si>
    <t>Tanium Growth</t>
  </si>
  <si>
    <t>0064L00000CX0U6</t>
  </si>
  <si>
    <t>Veritone Inc.</t>
  </si>
  <si>
    <t>Veritone - SW Innovation &amp; Prod Mgmt Op Model</t>
  </si>
  <si>
    <t>0064L00000CY3Vj</t>
  </si>
  <si>
    <t>Beachbody, LLC.</t>
  </si>
  <si>
    <t>Beachbody - Commissions Benchmarking &amp; Cost Analysis</t>
  </si>
  <si>
    <t>0064L00000Bg2Fl</t>
  </si>
  <si>
    <t>Navistar Well Being</t>
  </si>
  <si>
    <t>0064L000003zU1x</t>
  </si>
  <si>
    <t>AISIN CORPORATION</t>
  </si>
  <si>
    <t>Aisin - H&amp;W Benefits Assessment</t>
  </si>
  <si>
    <t>0064L00000B29Qj</t>
  </si>
  <si>
    <t>Bridger Aerospace LLC</t>
  </si>
  <si>
    <t>IPO Readiness</t>
  </si>
  <si>
    <t>0064L00000BfQSs</t>
  </si>
  <si>
    <t>ADM - Outsourcing Contracts</t>
  </si>
  <si>
    <t>0064L00000BfsXD</t>
  </si>
  <si>
    <t>Christiana Care Health System INC.</t>
  </si>
  <si>
    <t>*SMART* License - Christiana Care</t>
  </si>
  <si>
    <t>0064L000001vU67</t>
  </si>
  <si>
    <t>Cullman Regional RHC *Strategic Reimbursement*</t>
  </si>
  <si>
    <t>0064L00000CYvUL</t>
  </si>
  <si>
    <t>Embecta Hedging Program Launch</t>
  </si>
  <si>
    <t>0064L00000DJdD8</t>
  </si>
  <si>
    <t>Metlife Payment hub &amp; vendor discovery</t>
  </si>
  <si>
    <t>14/7/2022 1:29 am</t>
  </si>
  <si>
    <t>0064L00000D8opE</t>
  </si>
  <si>
    <t>Treehouse Foods Inc.</t>
  </si>
  <si>
    <t>Treehouse - High Radius Options Analysis</t>
  </si>
  <si>
    <t>0064L00000DFiD0</t>
  </si>
  <si>
    <t>GALEN MEDICAL GROUP, P.C.</t>
  </si>
  <si>
    <t>Galen Medical Group Rev Cycle Assessment</t>
  </si>
  <si>
    <t>0064L000007vogw</t>
  </si>
  <si>
    <t>NUSA Direct to Consumer Strategy</t>
  </si>
  <si>
    <t>0064L00000BlQgj</t>
  </si>
  <si>
    <t>Secure eCommerce Value Pricing Training</t>
  </si>
  <si>
    <t>0064L00000Be9ul</t>
  </si>
  <si>
    <t>DEI Employee Sentiment</t>
  </si>
  <si>
    <t>0064L00000BdGte</t>
  </si>
  <si>
    <t>Scopely Inc.</t>
  </si>
  <si>
    <t>Compensation Support</t>
  </si>
  <si>
    <t>0064L00000BnDsj</t>
  </si>
  <si>
    <t>FPL - SAP Customer Transformation Roadmap and Business Case</t>
  </si>
  <si>
    <t>0064L00000CH0BM</t>
  </si>
  <si>
    <t>MUFG / MUG IDI Plan</t>
  </si>
  <si>
    <t>0064L00000D8nxR</t>
  </si>
  <si>
    <t>Performance Management Transformation</t>
  </si>
  <si>
    <t>0064L00000DLhsu</t>
  </si>
  <si>
    <t>Ampacet Corporation</t>
  </si>
  <si>
    <t>Ampacet - Pension retiree annuity buyout</t>
  </si>
  <si>
    <t>0064L00000DLhtd</t>
  </si>
  <si>
    <t>Ampacet - pension plan design</t>
  </si>
  <si>
    <t>0064L00000CWpA1</t>
  </si>
  <si>
    <t>Engineering inventory management</t>
  </si>
  <si>
    <t>0064L00000CWpD5</t>
  </si>
  <si>
    <t>Vz - FPAS Capacity Management</t>
  </si>
  <si>
    <t>0064L00000DG7je</t>
  </si>
  <si>
    <t>STUDIO DISTRIBUTION SERVICES LLC</t>
  </si>
  <si>
    <t>SDS Media- Reverse Logistics</t>
  </si>
  <si>
    <t>0064L00000DM6yg</t>
  </si>
  <si>
    <t>Consumer Portfolio Services Inc.</t>
  </si>
  <si>
    <t>CPS Collection Scorecard Review and Advisory Support - #Collections_FY23 Opportunity</t>
  </si>
  <si>
    <t>0064L00000DEshf</t>
  </si>
  <si>
    <t>Payroll Strategy</t>
  </si>
  <si>
    <t>0064L000007wr6F</t>
  </si>
  <si>
    <t>Microsoft Surface New Device #1 GTM Research Study - Phase 2</t>
  </si>
  <si>
    <t>0064L00000Bo6La</t>
  </si>
  <si>
    <t>Bath &amp; Body Works, Inc.</t>
  </si>
  <si>
    <t>Bath &amp; Body Works Loss Prevention Program Design</t>
  </si>
  <si>
    <t>0064L00000BfN5r</t>
  </si>
  <si>
    <t>ADM - Food Traceability (Seed-to-Fork) #InsightsFactory</t>
  </si>
  <si>
    <t>0064L000002ZGgy</t>
  </si>
  <si>
    <t>GM Aftermarket support</t>
  </si>
  <si>
    <t>0064L000001wRbY</t>
  </si>
  <si>
    <t>KOBE STEEL, LTD.</t>
  </si>
  <si>
    <t>H&amp;W Cost Assessment</t>
  </si>
  <si>
    <t>0064L00000BnvrC</t>
  </si>
  <si>
    <t>GDIT Finance Optimization</t>
  </si>
  <si>
    <t>0064L000009ftVb</t>
  </si>
  <si>
    <t>Customer Link POC/Pilot for Gerber Life</t>
  </si>
  <si>
    <t>0064L00000Boj6k</t>
  </si>
  <si>
    <t>HPE - Clari &amp; Anaplan Interlock</t>
  </si>
  <si>
    <t>0064L00000Boj7x</t>
  </si>
  <si>
    <t>HR Transformation &amp; Total Rewards</t>
  </si>
  <si>
    <t>0064L00000DFfRT</t>
  </si>
  <si>
    <t>AA - Fuels Operating Model</t>
  </si>
  <si>
    <t>0064L00000CVHf3</t>
  </si>
  <si>
    <t>Okta Assessment of ESG Reporting Systems and Data Platform #ESG-TMT-Wave2</t>
  </si>
  <si>
    <t>0064L00000CVHfX</t>
  </si>
  <si>
    <t>0064L00000CYsxc</t>
  </si>
  <si>
    <t>Payables RFP</t>
  </si>
  <si>
    <t>Chuck Kreuter</t>
  </si>
  <si>
    <t>0064L00000DLi5P</t>
  </si>
  <si>
    <t>ANICO - pension self-annuitization</t>
  </si>
  <si>
    <t>0064L00000CVkVj</t>
  </si>
  <si>
    <t>WM Market Deep Dive</t>
  </si>
  <si>
    <t>0064L00000CWmB3</t>
  </si>
  <si>
    <t>Vialto - Partner Compensation Strategy</t>
  </si>
  <si>
    <t>Andrew Skor</t>
  </si>
  <si>
    <t>0064L00000Boglp</t>
  </si>
  <si>
    <t>Marsh - Treasury Practices Design Support</t>
  </si>
  <si>
    <t>Marsh - TMS Selection</t>
  </si>
  <si>
    <t>0064L00000BogmT</t>
  </si>
  <si>
    <t>Profit in Inventory 2022 - Hologic</t>
  </si>
  <si>
    <t>Matthew Bruckerhoff</t>
  </si>
  <si>
    <t>0064L00000CXpM9</t>
  </si>
  <si>
    <t>Employee Preference Tool (Rewards)</t>
  </si>
  <si>
    <t>0064L00000BlpMW</t>
  </si>
  <si>
    <t>Aon Responsible Sourcing</t>
  </si>
  <si>
    <t>0064I0000132pRb</t>
  </si>
  <si>
    <t>*SMART* License - Indiana University Health, Inc - OP</t>
  </si>
  <si>
    <t>27/2/2020</t>
  </si>
  <si>
    <t>0064L00000DLVOR</t>
  </si>
  <si>
    <t>University of Miami Health System (UHealth)</t>
  </si>
  <si>
    <t>0064L00000BdXKc</t>
  </si>
  <si>
    <t>Ally Smart Auction - Canada PMO</t>
  </si>
  <si>
    <t>0064L00000CVGzR</t>
  </si>
  <si>
    <t>Eli Lilly Clinical Trials Technology Strategy #medable</t>
  </si>
  <si>
    <t>Siddhartha Bhattacharya</t>
  </si>
  <si>
    <t>0064L00000DM4v6</t>
  </si>
  <si>
    <t>Route App, Inc.</t>
  </si>
  <si>
    <t>DEI Support</t>
  </si>
  <si>
    <t>0064L00000DFuQA</t>
  </si>
  <si>
    <t>Sampling Program PM</t>
  </si>
  <si>
    <t>0064L00000Bd3sL</t>
  </si>
  <si>
    <t>Tackling the War-on-Talent</t>
  </si>
  <si>
    <t>0064L00000Bd3ri</t>
  </si>
  <si>
    <t>Managing Enterprise-Wide Transformation</t>
  </si>
  <si>
    <t>0064L00000Bd3rh</t>
  </si>
  <si>
    <t>Definition and Pilot of an Enterprise-Wide Agile Framework</t>
  </si>
  <si>
    <t>0064L00000CW8jG</t>
  </si>
  <si>
    <t>Currency Billing Support - Phase 2</t>
  </si>
  <si>
    <t>0064L00000CV5mp</t>
  </si>
  <si>
    <t>Materials Demand Planning Assess and Design - Major Projects</t>
  </si>
  <si>
    <t>0064L000009AvMZ</t>
  </si>
  <si>
    <t>Wintrust Balance Sheet Planning and Multi-Dimensional  Profitability</t>
  </si>
  <si>
    <t>0064L00000BnCAy</t>
  </si>
  <si>
    <t>Hay Island Holding Corporation</t>
  </si>
  <si>
    <t>Procurement Roadmap Assessment</t>
  </si>
  <si>
    <t>0064L00000DLV4z</t>
  </si>
  <si>
    <t>Stephen Gould - Deferred Comp Plan Redesign</t>
  </si>
  <si>
    <t>0064L000009AUi4</t>
  </si>
  <si>
    <t>CFTC CCO Program Enhancement</t>
  </si>
  <si>
    <t>0064L00000BgMSi</t>
  </si>
  <si>
    <t>BMS Finance - Commercial_Above Market Extension</t>
  </si>
  <si>
    <t>Zachary Massa</t>
  </si>
  <si>
    <t>0064L00000DM3uv</t>
  </si>
  <si>
    <t>CD&amp;R_Hybrid/Remote Policy Development_$150K</t>
  </si>
  <si>
    <t>0064L00000CWkEl</t>
  </si>
  <si>
    <t>DTNA - Marketing Cloud POC</t>
  </si>
  <si>
    <t>0064L00000CWkEk</t>
  </si>
  <si>
    <t>GM - MarTech/Customer 360</t>
  </si>
  <si>
    <t>0064L000003zMnG</t>
  </si>
  <si>
    <t>Commercial Deposit Account Opening - Discovery</t>
  </si>
  <si>
    <t>0064L00000B22hI</t>
  </si>
  <si>
    <t>Peacehealth</t>
  </si>
  <si>
    <t>*SMART* License OP - Peacehealth</t>
  </si>
  <si>
    <t>0064L00000DM4ee</t>
  </si>
  <si>
    <t>PortCo ERG Support</t>
  </si>
  <si>
    <t>0064L00000CWHkZ</t>
  </si>
  <si>
    <t>US Bank_Union Bank Payroll Tax Assistance_$150K</t>
  </si>
  <si>
    <t>0064L00000CWHnN</t>
  </si>
  <si>
    <t>Salesforce CRM Enhancements</t>
  </si>
  <si>
    <t>0064L00000D8ZSc</t>
  </si>
  <si>
    <t>Project House - Inventory Model Development</t>
  </si>
  <si>
    <t>0064L00000DM4jy</t>
  </si>
  <si>
    <t>SUMITOMO CORPORATION</t>
  </si>
  <si>
    <t>2022-2024 Engagement Surveys</t>
  </si>
  <si>
    <t>0064L00000D8ZZ4</t>
  </si>
  <si>
    <t>Centralized retrospective review program *Rev Cycle*</t>
  </si>
  <si>
    <t>0064I00000r3cZ1</t>
  </si>
  <si>
    <t>DIGITAL REALTY TRUST, INC.</t>
  </si>
  <si>
    <t>Supply Chain Optimization</t>
  </si>
  <si>
    <t>Sean Ballington</t>
  </si>
  <si>
    <t>0064L00000BdEEo</t>
  </si>
  <si>
    <t>VETERINARY EMERGENCY GROUP P.C.</t>
  </si>
  <si>
    <t>Leadership Competency Framework and Assessment</t>
  </si>
  <si>
    <t>0064L00000DFSCf</t>
  </si>
  <si>
    <t>Farmers Insurance Exchange</t>
  </si>
  <si>
    <t>Farmers Agent Talent Strategy</t>
  </si>
  <si>
    <t>0064I00000vQF7A</t>
  </si>
  <si>
    <t>WellPet - Trade Program Structuring #RGM</t>
  </si>
  <si>
    <t>30/7/2019</t>
  </si>
  <si>
    <t>0064L00000CYpHI</t>
  </si>
  <si>
    <t>New Product Launch Planning and Support</t>
  </si>
  <si>
    <t>0064L00000DFroE</t>
  </si>
  <si>
    <t>WGL IP QA/Assessment</t>
  </si>
  <si>
    <t>Heather McGinnis</t>
  </si>
  <si>
    <t>0064L00000CXJjr</t>
  </si>
  <si>
    <t>HCSC - Change Navigator</t>
  </si>
  <si>
    <t>0064L00000DG1yx</t>
  </si>
  <si>
    <t>AMZN Finance: Lease Accounting Current State Process Documentation</t>
  </si>
  <si>
    <t>0064L000007UWnK</t>
  </si>
  <si>
    <t>ESG Prioritization Mapping &amp; Diagnostic</t>
  </si>
  <si>
    <t>0064L000007wK5d</t>
  </si>
  <si>
    <t>Microsoft Surface New Device #2 GTM Research Study</t>
  </si>
  <si>
    <t>0064L00000Boeco</t>
  </si>
  <si>
    <t>Crocs Inc.</t>
  </si>
  <si>
    <t>Crocs - Hey Dude Ops integration extension</t>
  </si>
  <si>
    <t>Kunjal Harshavat</t>
  </si>
  <si>
    <t>0064L00000DLuSC</t>
  </si>
  <si>
    <t>Total Leave DevOps Assessment</t>
  </si>
  <si>
    <t>0064L000002al6G</t>
  </si>
  <si>
    <t>Design and Project Management Process Mining Pilot</t>
  </si>
  <si>
    <t>0064L00000Bf6fb</t>
  </si>
  <si>
    <t>Meta - Infra Benchmarking</t>
  </si>
  <si>
    <t>0064L00000Bnqea</t>
  </si>
  <si>
    <t>Project Force Phase 3 - Lease Admin Transition Support</t>
  </si>
  <si>
    <t>0064L00000BmoCm</t>
  </si>
  <si>
    <t>UHC Medical Policy Optimization Phase 2</t>
  </si>
  <si>
    <t>Mickelle Shults</t>
  </si>
  <si>
    <t>0064L00000B2SIX</t>
  </si>
  <si>
    <t>Blue Cross Blue Shield Vermont</t>
  </si>
  <si>
    <t>Salesforce Platform Health Assessment</t>
  </si>
  <si>
    <t>Matthew Klein</t>
  </si>
  <si>
    <t>0064L000009AC2Z</t>
  </si>
  <si>
    <t>E&amp;I New Market Entry Strategy Support #Growth</t>
  </si>
  <si>
    <t>0064L00000D8zMW</t>
  </si>
  <si>
    <t>Catalent Pharma Finance GBS - Phase IV - Design</t>
  </si>
  <si>
    <t>HIA_PLS_FFG</t>
  </si>
  <si>
    <t>0064L00000Bmns3</t>
  </si>
  <si>
    <t>Cycle Counts/PI's and Shrink Inventory Analysis</t>
  </si>
  <si>
    <t>0064L00000DLQgZ</t>
  </si>
  <si>
    <t>Establishing CoE for PowerPlatform</t>
  </si>
  <si>
    <t>0064L00000DFPVK</t>
  </si>
  <si>
    <t>Global Stat Process - Enterprise Standard</t>
  </si>
  <si>
    <t>0064L00000DLQgt</t>
  </si>
  <si>
    <t>ESG: Cloud for Sustainability</t>
  </si>
  <si>
    <t>0064L00000BnPZz</t>
  </si>
  <si>
    <t>MSFT HR FY22 TLI BEX BM</t>
  </si>
  <si>
    <t>0064L00000CX6tk</t>
  </si>
  <si>
    <t>Mirion Technologies Inc.</t>
  </si>
  <si>
    <t>Treasury Strategy &amp; Liquidity Management</t>
  </si>
  <si>
    <t>0064L00000BlYYs</t>
  </si>
  <si>
    <t>Resolution Life Group Holdings Ltd</t>
  </si>
  <si>
    <t>ResLife DTO VA - M&amp;A Playbook</t>
  </si>
  <si>
    <t>0064L000007wjfO</t>
  </si>
  <si>
    <t>Future of Commerce - Omnichannel Capability Roadmap</t>
  </si>
  <si>
    <t>Brooks Future of Commerce Phase 1 - Voice of Customer (VoC)</t>
  </si>
  <si>
    <t>0064L00000BocF3</t>
  </si>
  <si>
    <t>Hershey Trust Company</t>
  </si>
  <si>
    <t>MHS Strategic Workforce Planning Phase 2</t>
  </si>
  <si>
    <t>0064L00000BotFc</t>
  </si>
  <si>
    <t>C&amp;IS Digital Blueprint and Roadmap - Ext. 1</t>
  </si>
  <si>
    <t>0064L00000Bg8pj</t>
  </si>
  <si>
    <t>JBG Smith Properties</t>
  </si>
  <si>
    <t>Finance Function Assessment</t>
  </si>
  <si>
    <t>0064L00000DMAzC</t>
  </si>
  <si>
    <t>MBUSA Field RE-org</t>
  </si>
  <si>
    <t>0064L00000BocNR</t>
  </si>
  <si>
    <t>Third Rock Ventures</t>
  </si>
  <si>
    <t>WT _ FY22 FY23 payroll loan staff</t>
  </si>
  <si>
    <t>Sharmon Priaulx</t>
  </si>
  <si>
    <t>0064L000009B1NG</t>
  </si>
  <si>
    <t>PSHP Performance Improvement</t>
  </si>
  <si>
    <t>0064L000009B1OE</t>
  </si>
  <si>
    <t>Supply chain optimization</t>
  </si>
  <si>
    <t>0064L00000CWVnN</t>
  </si>
  <si>
    <t>INGR - Forecasting (Ops through Finance)</t>
  </si>
  <si>
    <t>0064L00000DLrkX</t>
  </si>
  <si>
    <t>RGA - pension self-annuitization</t>
  </si>
  <si>
    <t>0064L000009AOhU</t>
  </si>
  <si>
    <t>BPY Administrator Platform Support and Advice</t>
  </si>
  <si>
    <t>0064L00000D97u7</t>
  </si>
  <si>
    <t>Western Alliance Bancorporation</t>
  </si>
  <si>
    <t>WAL Change Management People Skills</t>
  </si>
  <si>
    <t>0064L00000BkyZ6</t>
  </si>
  <si>
    <t>E&amp;I Medical Policy Optimization Assessment</t>
  </si>
  <si>
    <t>0064L00000DMAQR</t>
  </si>
  <si>
    <t>Heico Corporation</t>
  </si>
  <si>
    <t>Project Phoenix - Supply Chain Phase 1</t>
  </si>
  <si>
    <t>0064L00000DM0Rb</t>
  </si>
  <si>
    <t>P66 Midstream - PM Optimization</t>
  </si>
  <si>
    <t>0064L00000CYmAs</t>
  </si>
  <si>
    <t>Advent International Corporation</t>
  </si>
  <si>
    <t>FY22 #ESG Strategy &amp; Prioritization</t>
  </si>
  <si>
    <t>0064L000007FL9S</t>
  </si>
  <si>
    <t>Payer Services Transformation</t>
  </si>
  <si>
    <t>0064L00000D8VDO</t>
  </si>
  <si>
    <t>Automotive Digital Retailing</t>
  </si>
  <si>
    <t>0064L00000D8VDx</t>
  </si>
  <si>
    <t>MSFT HR FY23 TLI TLX Course Intake Process - Phase II</t>
  </si>
  <si>
    <t>0064L00000CYL1z</t>
  </si>
  <si>
    <t>IFS Marketing Dashboards</t>
  </si>
  <si>
    <t>0064L00000CYn4g</t>
  </si>
  <si>
    <t>T-Mobile Wholesale and IoT Growth</t>
  </si>
  <si>
    <t>0064L00000BlHRk</t>
  </si>
  <si>
    <t>Change Management Op Model--Visualization/Navigator</t>
  </si>
  <si>
    <t>0064L00000CGyfe</t>
  </si>
  <si>
    <t>BCBSMA Blues Collaboration Landscape</t>
  </si>
  <si>
    <t>0064L00000DBQMO</t>
  </si>
  <si>
    <t>Toll Brothers</t>
  </si>
  <si>
    <t>Toll Brothers - SW Innovation</t>
  </si>
  <si>
    <t>0064L00000CWD2q</t>
  </si>
  <si>
    <t>August A White Institute for Healthcare Equality Inc</t>
  </si>
  <si>
    <t>Augustus White Institute</t>
  </si>
  <si>
    <t>0064L00000D8vX9</t>
  </si>
  <si>
    <t>Berel, S.A. de C.V.</t>
  </si>
  <si>
    <t>Berel - FY23 - Optimización de procesos de P2P (procure to pay)</t>
  </si>
  <si>
    <t>0064L00000AqJnk</t>
  </si>
  <si>
    <t>Grupo Proeza, S.A.P.I. de C.V.</t>
  </si>
  <si>
    <t>Citrofrut - FY22 - Standard Costing #FFG</t>
  </si>
  <si>
    <t>0064L00000BlEyg</t>
  </si>
  <si>
    <t>Shine Time Management, LLC</t>
  </si>
  <si>
    <t>Woodie?s Wash Shack - Finance Project</t>
  </si>
  <si>
    <t>Frank Nowicki</t>
  </si>
  <si>
    <t>0064L00000CVsZJ</t>
  </si>
  <si>
    <t>Trimble, Inc. SEC Readiness Evaluation for ESG Disclosures</t>
  </si>
  <si>
    <t>0064L00000DBQVf</t>
  </si>
  <si>
    <t>Archroma Holdings S.a.r.l</t>
  </si>
  <si>
    <t>Adinah SK IT and Cyber DD #CiaB</t>
  </si>
  <si>
    <t>Chetan Shetty</t>
  </si>
  <si>
    <t>0064L00000CH6vQ</t>
  </si>
  <si>
    <t>GE Aviation -- Inventory Assessment</t>
  </si>
  <si>
    <t>Jonathan LaCross</t>
  </si>
  <si>
    <t>0064L00000DMAAY</t>
  </si>
  <si>
    <t>The Sherwin-Williams Company</t>
  </si>
  <si>
    <t>IT Workforce Upskilling and ProEdge</t>
  </si>
  <si>
    <t>0064L00000CXWlC</t>
  </si>
  <si>
    <t>Angelo, Gordon &amp; Co., L.P.</t>
  </si>
  <si>
    <t>Arc Home Mortgage Originations Process Assessment</t>
  </si>
  <si>
    <t>0064L00000B2MSh</t>
  </si>
  <si>
    <t>FB: IBOS as a Service</t>
  </si>
  <si>
    <t>0064L00000BmlRy</t>
  </si>
  <si>
    <t>Northern Trust Climate Risk Assessment</t>
  </si>
  <si>
    <t>0064L00000BliTd</t>
  </si>
  <si>
    <t>AR/ VR Ecommerce Strategy and Prototype</t>
  </si>
  <si>
    <t>0064I000011ouq2</t>
  </si>
  <si>
    <t>CORCORAN JENNISON HOSPITALITY LLC</t>
  </si>
  <si>
    <t>IGP - DoubleTree by Hilton Boston Downtown</t>
  </si>
  <si>
    <t>0064L00000BlERD</t>
  </si>
  <si>
    <t>Amsted Industries Inc.</t>
  </si>
  <si>
    <t>Amsted - H&amp;W Benefits</t>
  </si>
  <si>
    <t>0064L00000BfecX</t>
  </si>
  <si>
    <t>Potential work after MetLife Environmental Goals Implementation - Extension</t>
  </si>
  <si>
    <t>0064L00000BmI6m</t>
  </si>
  <si>
    <t>UNIBAIL RODAMCO WESTFIELD SE</t>
  </si>
  <si>
    <t>Finance Transformation Phase 3</t>
  </si>
  <si>
    <t>0064L00000DJiEr</t>
  </si>
  <si>
    <t>Radnet Inc.</t>
  </si>
  <si>
    <t>RadNet - HR Assessment</t>
  </si>
  <si>
    <t>Melissa Gradie</t>
  </si>
  <si>
    <t>0064L00000CXW6L</t>
  </si>
  <si>
    <t>AMZN Finance: Scribe Process Improvement Support</t>
  </si>
  <si>
    <t>0064L0000042A6o</t>
  </si>
  <si>
    <t>Groom Law Group Chartered</t>
  </si>
  <si>
    <t>Roth savings opportunity leveraging COLI policies</t>
  </si>
  <si>
    <t>22/11/2020</t>
  </si>
  <si>
    <t>0064L00000DJhfh</t>
  </si>
  <si>
    <t>Inovio Budget Process Support</t>
  </si>
  <si>
    <t>0064L00000DLoOI</t>
  </si>
  <si>
    <t>Accuity Delivery Systems LLC</t>
  </si>
  <si>
    <t>Accuity MSH E42 Coding Assessment *Rev Cycle*</t>
  </si>
  <si>
    <t>Jade Miller</t>
  </si>
  <si>
    <t>0064L00000BcmmY</t>
  </si>
  <si>
    <t>NAR Rebate Strategy Assessment *Pricing*</t>
  </si>
  <si>
    <t>0064I00000ww30O</t>
  </si>
  <si>
    <t>NQ Plan Financing</t>
  </si>
  <si>
    <t>23/8/2019</t>
  </si>
  <si>
    <t>0064I00000ww31H</t>
  </si>
  <si>
    <t>Simpson Thacher &amp; Bartlett LLP</t>
  </si>
  <si>
    <t>0064L00000Bopvo</t>
  </si>
  <si>
    <t>Frontline Workforce strategy</t>
  </si>
  <si>
    <t>0064L00000B1n5X</t>
  </si>
  <si>
    <t>MSFT PowerApps target</t>
  </si>
  <si>
    <t>0064L00000BopwD</t>
  </si>
  <si>
    <t>THATGAMECOMPANY Inc.</t>
  </si>
  <si>
    <t>Performance Management Strategy - That Game Company</t>
  </si>
  <si>
    <t>0064L00000CY8Nl</t>
  </si>
  <si>
    <t>Liftoff Global Payroll RFI</t>
  </si>
  <si>
    <t>Nellie Bloom</t>
  </si>
  <si>
    <t>0064L00000CYIS5</t>
  </si>
  <si>
    <t>Expense Allocation Review #NextGenCostingMSO</t>
  </si>
  <si>
    <t>0064L00000DLNFT</t>
  </si>
  <si>
    <t>McDermott Will &amp; Emery, LLP</t>
  </si>
  <si>
    <t>SMB Prospecting Analytics</t>
  </si>
  <si>
    <t>0064L00000DLNGW</t>
  </si>
  <si>
    <t>AMZN Finance: Leasing / Tririga Calendar Alignment</t>
  </si>
  <si>
    <t>0064L00000BlX3e</t>
  </si>
  <si>
    <t>Walmart Energy as a Service (EaaS)</t>
  </si>
  <si>
    <t>0064L000004v5AJ</t>
  </si>
  <si>
    <t>DCC Public Limited Company</t>
  </si>
  <si>
    <t>DCC P&amp;O (Tax) - H&amp;W Plan Consolidation Consulting - Phase I</t>
  </si>
  <si>
    <t>0064L00000DMGW6</t>
  </si>
  <si>
    <t>Yamaha Motor Co., Ltd.</t>
  </si>
  <si>
    <t>Change Management SAP</t>
  </si>
  <si>
    <t>0064L00000B2vej</t>
  </si>
  <si>
    <t>LP Template Support Q4 2022</t>
  </si>
  <si>
    <t>0064L00000B2vdD</t>
  </si>
  <si>
    <t>LP Template Support Q3 2022</t>
  </si>
  <si>
    <t>0064L00000Bp0ns</t>
  </si>
  <si>
    <t>Secretaría de Turismo</t>
  </si>
  <si>
    <t>Actualización ACB</t>
  </si>
  <si>
    <t>Jose Antonio Aguilar</t>
  </si>
  <si>
    <t>0064L00000CY7FL</t>
  </si>
  <si>
    <t>Health Actuarial Modernization - Ops Model Assessment</t>
  </si>
  <si>
    <t>George Kentros</t>
  </si>
  <si>
    <t>0064L00000DM7RE</t>
  </si>
  <si>
    <t>Interactive Advertising Bureau Inc.</t>
  </si>
  <si>
    <t>IAB Revenue and Podcast Report [publish spring 2023]</t>
  </si>
  <si>
    <t>0064L00000BoyH3</t>
  </si>
  <si>
    <t>RDOF Extension</t>
  </si>
  <si>
    <t>0064L00000Ard7W</t>
  </si>
  <si>
    <t>Mitsui Fudosan Co., Ltd.</t>
  </si>
  <si>
    <t>Mitsui Fudosan America - Finance Assessment</t>
  </si>
  <si>
    <t>Renzo Donizetti</t>
  </si>
  <si>
    <t>0064L00000DLrYW</t>
  </si>
  <si>
    <t>Maricopa Health Foundation</t>
  </si>
  <si>
    <t>Valleywise Health (fka Maricopa) *SMART* IP License Renewal FY23</t>
  </si>
  <si>
    <t>0064L00000CYU18</t>
  </si>
  <si>
    <t>Century Aluminum Company</t>
  </si>
  <si>
    <t>PL - Defined Benefit Administration &amp; Call Center With Additional Actuarial Services</t>
  </si>
  <si>
    <t>0064L00000DLPG1</t>
  </si>
  <si>
    <t>PPP KYC Ongoing Advisory Extension</t>
  </si>
  <si>
    <t>Pamela Johnston</t>
  </si>
  <si>
    <t>Abigail Singley</t>
  </si>
  <si>
    <t>0064L00000Bf6Vv</t>
  </si>
  <si>
    <t>Waymo Phase 2 Supplier Diversity Future State &amp; Roadmap #ESG</t>
  </si>
  <si>
    <t>Waymo Phase 1 Supplier Diversity Mission / Vision &amp; Exec Preso #ESG</t>
  </si>
  <si>
    <t>0064L00000BoZsv</t>
  </si>
  <si>
    <t>Saratoga Benchmarking license (US and Global) winback - Willis Towers Watson</t>
  </si>
  <si>
    <t>Phuong Tran</t>
  </si>
  <si>
    <t>0064L00000DLVmr</t>
  </si>
  <si>
    <t>Saratoga Benchmarking renewal license - Marsh McLennan (Global)</t>
  </si>
  <si>
    <t>Jack Phillips</t>
  </si>
  <si>
    <t>0064L00000Bnq5G</t>
  </si>
  <si>
    <t>Airbus SE</t>
  </si>
  <si>
    <t>HAPS Pricing Models - Phase 1</t>
  </si>
  <si>
    <t>0064L00000D95Ts</t>
  </si>
  <si>
    <t>HAPS Pricing Models - Phase 3</t>
  </si>
  <si>
    <t>0064L00000D95Tn</t>
  </si>
  <si>
    <t>HAPS Pricing Models - Phase 2</t>
  </si>
  <si>
    <t>0064L00000BnyIJ</t>
  </si>
  <si>
    <t>Torquest Partners Inc.</t>
  </si>
  <si>
    <t>Thomas Dallaire</t>
  </si>
  <si>
    <t>0064L00000BmqzJ</t>
  </si>
  <si>
    <t>Fair Isaac Corporation</t>
  </si>
  <si>
    <t>FY22 and FY23 162(m) Consulting</t>
  </si>
  <si>
    <t>Fernanda Valdes Solis</t>
  </si>
  <si>
    <t>0064L00000Aqbr2</t>
  </si>
  <si>
    <t>International Business Machines Corporation</t>
  </si>
  <si>
    <t>Saratoga Benchmarking renewal license - IBM</t>
  </si>
  <si>
    <t>0064L00000DLraw</t>
  </si>
  <si>
    <t>Parkland Health and Hospital System</t>
  </si>
  <si>
    <t>Parkland Health - *SMART* IP Renewal FY23</t>
  </si>
  <si>
    <t>0064L00000DLrYR</t>
  </si>
  <si>
    <t>Maine Medical Center</t>
  </si>
  <si>
    <t>Maine Medical - *SMART* IP Renewal - FY23</t>
  </si>
  <si>
    <t>0064I00001317Gl</t>
  </si>
  <si>
    <t>Millennium Hotel</t>
  </si>
  <si>
    <t>IGP - Millennium Hilton Hotel</t>
  </si>
  <si>
    <t>0064L00000BmzWg</t>
  </si>
  <si>
    <t>Internal Audit 2022 Competency Assessment</t>
  </si>
  <si>
    <t>Bhushan Sethi</t>
  </si>
  <si>
    <t>Stefanie Goldberg</t>
  </si>
  <si>
    <t>0064L00000BoDIs</t>
  </si>
  <si>
    <t>Altos  Labs, Inc.</t>
  </si>
  <si>
    <t>ERP Software Selection</t>
  </si>
  <si>
    <t>0064L00000DLrRf</t>
  </si>
  <si>
    <t>Butler Health System</t>
  </si>
  <si>
    <t>Butler Health - *SMART* IP License Renewal - FY23</t>
  </si>
  <si>
    <t>0064L00000BlUrv</t>
  </si>
  <si>
    <t>Transformación Centralizadores Coppel</t>
  </si>
  <si>
    <t>31/3/2022 4:49 pm</t>
  </si>
  <si>
    <t>0064L00000DG0p6</t>
  </si>
  <si>
    <t>Coding Compliance Plan and Assessment *Rev Cycle*</t>
  </si>
  <si>
    <t>Chandra Stephenson</t>
  </si>
  <si>
    <t>0064L00000D95qm</t>
  </si>
  <si>
    <t>STRAUMANN HOLDING AG</t>
  </si>
  <si>
    <t>R&amp;D / HCP interface Operations Assessment</t>
  </si>
  <si>
    <t>0064L00000BoQBh</t>
  </si>
  <si>
    <t>University Of Utah Hospitals And Clinics</t>
  </si>
  <si>
    <t>*CDMCT* Experience Transition to Qualtrics</t>
  </si>
  <si>
    <t>0064L00000BnNNN</t>
  </si>
  <si>
    <t>Airline Pilots Association International</t>
  </si>
  <si>
    <t>FedEx ALPA - pension plan consulting</t>
  </si>
  <si>
    <t>Eric Nelson</t>
  </si>
  <si>
    <t>0064L00000CVRlP</t>
  </si>
  <si>
    <t>HPE Sustainability GTM #ESG-TMT-Wave1</t>
  </si>
  <si>
    <t>0064L00000BlExd</t>
  </si>
  <si>
    <t>Ascension Health | WebMD/Krames/Salesforce work</t>
  </si>
  <si>
    <t>0064L00000BfwxZ</t>
  </si>
  <si>
    <t>VillageMD</t>
  </si>
  <si>
    <t>VBC Assessment</t>
  </si>
  <si>
    <t>Glynn Davis</t>
  </si>
  <si>
    <t>0064L000009fY0j</t>
  </si>
  <si>
    <t>Indigo Workforce Transformation</t>
  </si>
  <si>
    <t>Elizabeth Wardwell</t>
  </si>
  <si>
    <t>0064L00000BmFWN</t>
  </si>
  <si>
    <t>Live Oak Next Gen product discovery  #&lt;$50B</t>
  </si>
  <si>
    <t>0064L00000D8tIM</t>
  </si>
  <si>
    <t>Employee Retention Credit</t>
  </si>
  <si>
    <t>Nicole Gagliastre</t>
  </si>
  <si>
    <t>0064L00000CH59p</t>
  </si>
  <si>
    <t>A&amp;AN Access Phase IV</t>
  </si>
  <si>
    <t>0064L00000BgekM</t>
  </si>
  <si>
    <t>Shell - Terminal Modernization Catalyst Event</t>
  </si>
  <si>
    <t>0064L000002c67D</t>
  </si>
  <si>
    <t>The Queens Borough Public Library</t>
  </si>
  <si>
    <t>Queens Library - 2022 Compensation Consulting</t>
  </si>
  <si>
    <t>26/5/2021</t>
  </si>
  <si>
    <t>0064L00000Bm2He</t>
  </si>
  <si>
    <t>Grantor Trust Dated May 21, 2003</t>
  </si>
  <si>
    <t>Crypto/NFT Set-up</t>
  </si>
  <si>
    <t>Robert Roman</t>
  </si>
  <si>
    <t>0064L00000D8owZ</t>
  </si>
  <si>
    <t>Advance Publications Inc.</t>
  </si>
  <si>
    <t>Production Team Org Design</t>
  </si>
  <si>
    <t>0064L00000D8oFz</t>
  </si>
  <si>
    <t>Atlas Capital Resources GP II LLC</t>
  </si>
  <si>
    <t>Employment Tax Consulting Services</t>
  </si>
  <si>
    <t>Jessica Warren</t>
  </si>
  <si>
    <t>0064L000009AI8T</t>
  </si>
  <si>
    <t>Aspirus Inc.</t>
  </si>
  <si>
    <t>Acension Acquisition FICA Refund Opportunity</t>
  </si>
  <si>
    <t>0064L000007wquP</t>
  </si>
  <si>
    <t>PwC Partner Affairs Surveys</t>
  </si>
  <si>
    <t>0064L00000CXMxI</t>
  </si>
  <si>
    <t>FIS Payment Solution for GSK</t>
  </si>
  <si>
    <t>0064L00000DEsft</t>
  </si>
  <si>
    <t>0064L00000BntPx</t>
  </si>
  <si>
    <t>Barings_Change Management &amp; Technology #FOW</t>
  </si>
  <si>
    <t>Danielle Casale</t>
  </si>
  <si>
    <t>0064I000015Td0g</t>
  </si>
  <si>
    <t>UofMizzou Transfer DRG Analysis *Strategic Reimbursement*</t>
  </si>
  <si>
    <t>15/5/2020</t>
  </si>
  <si>
    <t>0064L00000BoeMH</t>
  </si>
  <si>
    <t>CF Industries Inc.</t>
  </si>
  <si>
    <t>CF: ESG System Implementation - Sphera Core to Cloud Migration</t>
  </si>
  <si>
    <t>0064L00000BoeN4</t>
  </si>
  <si>
    <t>Sun Chemical Corporation</t>
  </si>
  <si>
    <t>SunChemical: ESG System Implementation - Sphera Core to Cloud Migration</t>
  </si>
  <si>
    <t>0064L00000BoeNJ</t>
  </si>
  <si>
    <t>Air Products &amp; Chemicals Inc.</t>
  </si>
  <si>
    <t>AirProducts: ESG System Implementation - Sphera Core to Cloud Migration</t>
  </si>
  <si>
    <t>0064L00000BoePa</t>
  </si>
  <si>
    <t>Prolec GE USA - ISA Migration Extension</t>
  </si>
  <si>
    <t>Stacey Feldman</t>
  </si>
  <si>
    <t>0064L0000097chx</t>
  </si>
  <si>
    <t>State Of Alabama</t>
  </si>
  <si>
    <t>University of Alabama Health - *SMART* IP and OP License Renewal - FY22</t>
  </si>
  <si>
    <t>0064L00000DMDnx</t>
  </si>
  <si>
    <t>Nitto Denko Corp</t>
  </si>
  <si>
    <t>Nitto US Primary Research</t>
  </si>
  <si>
    <t>Claire Tsakalakis</t>
  </si>
  <si>
    <t>0064L00000DJmY8</t>
  </si>
  <si>
    <t>HR Dashboard</t>
  </si>
  <si>
    <t>0064L00000BmN68</t>
  </si>
  <si>
    <t>Stormont-Vail Health Care Inc.</t>
  </si>
  <si>
    <t>Stormont-Vail Rural Health Clinic Conversion *Strategic Reimbursement*</t>
  </si>
  <si>
    <t>0064L000004woKP</t>
  </si>
  <si>
    <t>Amentum Holdings Llc</t>
  </si>
  <si>
    <t>DC Investment Advisor Record Keeper Diligence</t>
  </si>
  <si>
    <t>0064L00000D8xKY</t>
  </si>
  <si>
    <t>Structured finance risk support</t>
  </si>
  <si>
    <t>0064L000009B1eK</t>
  </si>
  <si>
    <t>Employers Mutual Casualty Company</t>
  </si>
  <si>
    <t>EMC Small Commercial Strategy #XPCGrowth</t>
  </si>
  <si>
    <t>0064L00000D96Bu</t>
  </si>
  <si>
    <t>JMP Solutions, Inc. - Finance Assessment</t>
  </si>
  <si>
    <t>0064L00000DM0Do</t>
  </si>
  <si>
    <t>Pilot Productivity TMO</t>
  </si>
  <si>
    <t>Patrick Dunne</t>
  </si>
  <si>
    <t>0064L00000BmI84</t>
  </si>
  <si>
    <t>MS at Work - Retirement Controls Review Addendum 1</t>
  </si>
  <si>
    <t>0064L00000DFo3A</t>
  </si>
  <si>
    <t>Fiber Telco Colocation Analysis</t>
  </si>
  <si>
    <t>0064L00000CXczf</t>
  </si>
  <si>
    <t>ADM - Llamasoft Coach</t>
  </si>
  <si>
    <t>0064L00000DJTuv</t>
  </si>
  <si>
    <t>Gilead Global Pricing SAP Integration Extension</t>
  </si>
  <si>
    <t>0064L00000BgT2Z</t>
  </si>
  <si>
    <t>Project Connect AP/AR Support</t>
  </si>
  <si>
    <t>0064L00000CVm3m</t>
  </si>
  <si>
    <t>Vizio Holding Corp</t>
  </si>
  <si>
    <t>Equity Stabilization &amp; Payroll Tax Health Check</t>
  </si>
  <si>
    <t>Giovanni Zammiello</t>
  </si>
  <si>
    <t>0064L00000CYBaH</t>
  </si>
  <si>
    <t>Stericycle INC.</t>
  </si>
  <si>
    <t>Car allowance tax analysis</t>
  </si>
  <si>
    <t>0064L00000D8o0a</t>
  </si>
  <si>
    <t>Reasonable executive compensation consulting</t>
  </si>
  <si>
    <t>0064L000009AzAh</t>
  </si>
  <si>
    <t>Citrofrut - FY22 - Implementation Fit for Growth Phase 1</t>
  </si>
  <si>
    <t>27/11/2021</t>
  </si>
  <si>
    <t>0064L00000BoymY</t>
  </si>
  <si>
    <t>PAN - LTQ Initiative</t>
  </si>
  <si>
    <t>Holly Kelley</t>
  </si>
  <si>
    <t>0064L000009AfPS</t>
  </si>
  <si>
    <t>Hershey Entertainment &amp; Resorts Company</t>
  </si>
  <si>
    <t>Customer Link - Hershey Entertainment &amp; Resorts</t>
  </si>
  <si>
    <t>Dan Renner</t>
  </si>
  <si>
    <t>AD_DT_AA_DIGITAL_TRANSCEND TECH_10FY22_CUSTOMER LINK CMSWIRE CONTENT SYNDICATION</t>
  </si>
  <si>
    <t>Krishna Shah</t>
  </si>
  <si>
    <t>0064L00000CVgP6</t>
  </si>
  <si>
    <t>MS at Work - Retirement Solutions Controls and Roadmap</t>
  </si>
  <si>
    <t>0064L00000DFVtN</t>
  </si>
  <si>
    <t>Eisai IT Roadmap Support Jun-Aug'22</t>
  </si>
  <si>
    <t>0064L00000BlQ97</t>
  </si>
  <si>
    <t>Internal Partner Affairs- Feedback Tool</t>
  </si>
  <si>
    <t>Courtney Lennartz</t>
  </si>
  <si>
    <t>0064L00000DMENM</t>
  </si>
  <si>
    <t>Wakemed</t>
  </si>
  <si>
    <t>WakeMed Health &amp; Hospitals - *SMART* IP Renewal - FY23</t>
  </si>
  <si>
    <t>0064L00000B2vdH</t>
  </si>
  <si>
    <t>LP1P Support Q4 2022</t>
  </si>
  <si>
    <t>0064L00000B2vdC</t>
  </si>
  <si>
    <t>LP1P Support Q3 2022</t>
  </si>
  <si>
    <t>0064L00000D8tQz</t>
  </si>
  <si>
    <t>BD PFS traceability- stakeholders mapping - Phase 1 (Assessment)</t>
  </si>
  <si>
    <t>0064L00000CWN3A</t>
  </si>
  <si>
    <t>Portfolio Management and Project Controls Assessment Refresh and Roadmap</t>
  </si>
  <si>
    <t>0064L00000BntPT</t>
  </si>
  <si>
    <t>National Rural Electric Cooperative</t>
  </si>
  <si>
    <t>NRECA GBP claims assessment</t>
  </si>
  <si>
    <t>Nathan Scavello</t>
  </si>
  <si>
    <t>0064L00000D95is</t>
  </si>
  <si>
    <t>Mars, Incorporated</t>
  </si>
  <si>
    <t>MARS/Wrigley NA Cash Forecasting Assessment</t>
  </si>
  <si>
    <t>0064L00000DJiOX</t>
  </si>
  <si>
    <t>W. P. Carey Inc</t>
  </si>
  <si>
    <t>D&amp;I Education Session Phase 2</t>
  </si>
  <si>
    <t>0064L00000BnPZp</t>
  </si>
  <si>
    <t>MSFT HR FY22 TLI TLX Course Intake Process Design</t>
  </si>
  <si>
    <t>0064I00000zRBwl</t>
  </si>
  <si>
    <t>The Silver Hotel Group Ruparell Foundation</t>
  </si>
  <si>
    <t>IGP - The Silver Hotel Group</t>
  </si>
  <si>
    <t>0064L00000Borry</t>
  </si>
  <si>
    <t>Jabil - FYE 2022 Retirement Plan Valuations</t>
  </si>
  <si>
    <t>Becky Brenza</t>
  </si>
  <si>
    <t>0064I000014Jkd1</t>
  </si>
  <si>
    <t>Coding Assessment *Rev Cycle*</t>
  </si>
  <si>
    <t>27/3/2020</t>
  </si>
  <si>
    <t>April Puzauskas</t>
  </si>
  <si>
    <t>0064L00000D8zPk</t>
  </si>
  <si>
    <t>Pfizer PAP Assessment Phase 2</t>
  </si>
  <si>
    <t>0064L00000DLr50</t>
  </si>
  <si>
    <t>Project Eternals - Coding Compliance Due Diligence</t>
  </si>
  <si>
    <t>0064L00000Bmzki</t>
  </si>
  <si>
    <t>Oxy - ESG - Occupational Health Software Selection</t>
  </si>
  <si>
    <t>0064L00000D8tKX</t>
  </si>
  <si>
    <t>Pfizer PAP Assessment Change Order</t>
  </si>
  <si>
    <t>0064L00000CYTi6</t>
  </si>
  <si>
    <t>PepsiCo GBS Digital Factory Tech Staff Aug #FFG</t>
  </si>
  <si>
    <t>Mike Stachowiak</t>
  </si>
  <si>
    <t>0064L00000BnTcK</t>
  </si>
  <si>
    <t>FMR LLC</t>
  </si>
  <si>
    <t>Reinsurance management compensation benchmarking</t>
  </si>
  <si>
    <t>0064L00000DMEFc</t>
  </si>
  <si>
    <t>Hoag - *SMART* License IP Renewal - FY23</t>
  </si>
  <si>
    <t>0064I00000zRCSR</t>
  </si>
  <si>
    <t>MH Hotels (Meadowvale) Ltd.</t>
  </si>
  <si>
    <t>IGP - MH Hotels</t>
  </si>
  <si>
    <t>0064L00000DLrU1</t>
  </si>
  <si>
    <t>Hoag - *SMART* IP Renewal - FY23</t>
  </si>
  <si>
    <t>0064I000011ouwk</t>
  </si>
  <si>
    <t>INTEGRATED CAPITAL LLC</t>
  </si>
  <si>
    <t>IGP - DoubleTree Resort by Hilton Myrtle Beach Oceanfront</t>
  </si>
  <si>
    <t>0064L00000CX9qj</t>
  </si>
  <si>
    <t>MSK: Pharmacy Optimization *FFG*</t>
  </si>
  <si>
    <t>0064L00000Boebb</t>
  </si>
  <si>
    <t>2022 401(k) Operational Compliance Assessment</t>
  </si>
  <si>
    <t>0065800000jftEs</t>
  </si>
  <si>
    <t>Microsoft - Data Center Predictive Maintenance - $100k</t>
  </si>
  <si>
    <t>27/9/2018</t>
  </si>
  <si>
    <t>0064L0000042TFp</t>
  </si>
  <si>
    <t>Essentia Health *VBO*</t>
  </si>
  <si>
    <t>0064L00000CVDqq</t>
  </si>
  <si>
    <t>ProMedica Health System - *SMART* Outpatient License</t>
  </si>
  <si>
    <t>0064I000015TQfN</t>
  </si>
  <si>
    <t>Vehicle M&amp;A Targeting</t>
  </si>
  <si>
    <t>0064L00000BeykW</t>
  </si>
  <si>
    <t>Panera data &amp; analytics strategy</t>
  </si>
  <si>
    <t>GX_FY22_XLOS "Beyond Digital" Transformation</t>
  </si>
  <si>
    <t>0064L000007WNpY</t>
  </si>
  <si>
    <t>DoorDash Policy and Regulatory Intelligence (PRI)</t>
  </si>
  <si>
    <t>0064L00000CW4xN</t>
  </si>
  <si>
    <t>Gilead: Transformation - Finance/ D&amp;A: GTN Support *Pricing*</t>
  </si>
  <si>
    <t>0064L000003zKl2</t>
  </si>
  <si>
    <t>Griffin Health Services Corporation</t>
  </si>
  <si>
    <t>*SMART* License - Griffin Health</t>
  </si>
  <si>
    <t>0064I0000131yc8</t>
  </si>
  <si>
    <t>HOSP BOARD OF DIRS OF LEE CNTY D/B/A LEE MEMORIAL HLTH SYS</t>
  </si>
  <si>
    <t>*SMART* License - Lee Memorial Health</t>
  </si>
  <si>
    <t>0064L00000DLPzG</t>
  </si>
  <si>
    <t>Hyliion Inc.</t>
  </si>
  <si>
    <t>Market Assessment</t>
  </si>
  <si>
    <t>0064L00000AqqCI</t>
  </si>
  <si>
    <t>RIG - ESG/Carbon Ledger</t>
  </si>
  <si>
    <t>0064L000007DzNS</t>
  </si>
  <si>
    <t>Honda Smart Factory Proof of Concept</t>
  </si>
  <si>
    <t>0064L00000DLQbZ</t>
  </si>
  <si>
    <t>Sidecar Health, Inc.</t>
  </si>
  <si>
    <t>Sidecar Health Specialty Drug RFP</t>
  </si>
  <si>
    <t>0064L00000CWWhj</t>
  </si>
  <si>
    <t>Taylor Morrison Treasury Services</t>
  </si>
  <si>
    <t>Heela Popal</t>
  </si>
  <si>
    <t>0064L00000CWFiD</t>
  </si>
  <si>
    <t>University Of Wisconsin Medical Foundati</t>
  </si>
  <si>
    <t>Lauren Serpan</t>
  </si>
  <si>
    <t>0064L00000D8XM3</t>
  </si>
  <si>
    <t>Bertelsmann Stiftung</t>
  </si>
  <si>
    <t>WT - Bundled Admin and Actuarial Pension Services</t>
  </si>
  <si>
    <t>0064L00000AqqLJ</t>
  </si>
  <si>
    <t>Merck: Working Capital Reduction</t>
  </si>
  <si>
    <t>0064L00000DJnG1</t>
  </si>
  <si>
    <t>Covid Blue Health, Inc.</t>
  </si>
  <si>
    <t>Business Model Review</t>
  </si>
  <si>
    <t>0064L00000CWWrD</t>
  </si>
  <si>
    <t>KP Product Management Strategy</t>
  </si>
  <si>
    <t>HIA FFG-Back Office Admin</t>
  </si>
  <si>
    <t>0064L00000AqqMq</t>
  </si>
  <si>
    <t>Merck Life Sciences: Supply Chain Resiliency</t>
  </si>
  <si>
    <t>0064L00000DFPXu</t>
  </si>
  <si>
    <t>Trillium Health Resources</t>
  </si>
  <si>
    <t>Actuarial Support 2022</t>
  </si>
  <si>
    <t>0064L00000AqqNy</t>
  </si>
  <si>
    <t>Merck MilliporeSigma: eCommerce Upgrade</t>
  </si>
  <si>
    <t>0064L00000D8XTd</t>
  </si>
  <si>
    <t>Pfizer Health Solutions Partners Transformation</t>
  </si>
  <si>
    <t>Jessica Antonitis</t>
  </si>
  <si>
    <t>0064L00000CWWsU</t>
  </si>
  <si>
    <t>MembershipConnect Alteryx</t>
  </si>
  <si>
    <t>0064L0000070nom</t>
  </si>
  <si>
    <t>ESG Strategy &amp; Reporting</t>
  </si>
  <si>
    <t>0064L000009ARkv</t>
  </si>
  <si>
    <t>Deere - Workiva Implementation Support</t>
  </si>
  <si>
    <t>0064L000007xO7t</t>
  </si>
  <si>
    <t>Employment Tax Consulting</t>
  </si>
  <si>
    <t>0064L00000BfzLU</t>
  </si>
  <si>
    <t>Atwell LLC</t>
  </si>
  <si>
    <t>Atwell HR data review</t>
  </si>
  <si>
    <t>0064L000002ZRXn</t>
  </si>
  <si>
    <t>Novartis AG</t>
  </si>
  <si>
    <t>#QMS Quality &amp; Digital Transformation - Novartis</t>
  </si>
  <si>
    <t>0064L00000DMAuW</t>
  </si>
  <si>
    <t>Vanderbilt: Pharmacy Optimization *FFG*</t>
  </si>
  <si>
    <t>0064L00000DMAwD</t>
  </si>
  <si>
    <t>Vanderbilt: Wage Index + Rural Assets *Strategic Reimbursement*</t>
  </si>
  <si>
    <t>0064L000001uhHQ</t>
  </si>
  <si>
    <t>26/5/2023</t>
  </si>
  <si>
    <t>0064L000002ZS2Z</t>
  </si>
  <si>
    <t>Ancala Bioenergy Holdco Limited</t>
  </si>
  <si>
    <t>#QMS Quality &amp; Digital Transformation - Biogen</t>
  </si>
  <si>
    <t>0064L00000BocKD</t>
  </si>
  <si>
    <t>Wellington Management Group LLP</t>
  </si>
  <si>
    <t>WT FY22 - FY23 MD Life Insurance global tax diligence</t>
  </si>
  <si>
    <t>0064L00000DMAvU</t>
  </si>
  <si>
    <t>Vanderbilt: Patient Access Transformation - Assessment (Phase 1) *A&amp;AN*</t>
  </si>
  <si>
    <t>0064L000001uhLc</t>
  </si>
  <si>
    <t>0064L00000CWxdp</t>
  </si>
  <si>
    <t>Memorial Hermann: Cost Optimization *FFG*</t>
  </si>
  <si>
    <t>0064L000002ZRWL</t>
  </si>
  <si>
    <t>SANOFI</t>
  </si>
  <si>
    <t>#QMS Digital Quality Transformation - Sanofi</t>
  </si>
  <si>
    <t>0064L000002ZRWM</t>
  </si>
  <si>
    <t>#QMS Quality &amp; Digital Transformation - Sanofi</t>
  </si>
  <si>
    <t>0064L00000BfFuz</t>
  </si>
  <si>
    <t>Pricing Roadmap and Architecture</t>
  </si>
  <si>
    <t>0064L00000BoS41</t>
  </si>
  <si>
    <t>Garland Industries INC.</t>
  </si>
  <si>
    <t>Garland Industries 2022 ESOP Consulting</t>
  </si>
  <si>
    <t>Chad Longa</t>
  </si>
  <si>
    <t>0064L00000Bp2r4</t>
  </si>
  <si>
    <t>Valero - OneStream implementation design Phase 0</t>
  </si>
  <si>
    <t>0064L00000DLre0</t>
  </si>
  <si>
    <t>2022 Molina Member Attribution Assistance</t>
  </si>
  <si>
    <t>0064L00000CW5I0</t>
  </si>
  <si>
    <t>Knowledge Transition Academy</t>
  </si>
  <si>
    <t>Elizabeth Daniel</t>
  </si>
  <si>
    <t>0064L00000B1mz5</t>
  </si>
  <si>
    <t>VCI Subscription Model support - assess and recommend (audi reLease)</t>
  </si>
  <si>
    <t>0064L000001uh89</t>
  </si>
  <si>
    <t>0064L000001uy8L</t>
  </si>
  <si>
    <t>RPM International</t>
  </si>
  <si>
    <t>0064L000001uy8M</t>
  </si>
  <si>
    <t>Snap-On Incorporated</t>
  </si>
  <si>
    <t>Oracle Cloud - On Prem Hyperion to the Cloud (Tools Group)</t>
  </si>
  <si>
    <t>0064L00000D97nQ</t>
  </si>
  <si>
    <t>LPL DVC #FFG3.0</t>
  </si>
  <si>
    <t>0064L00000CX7oO</t>
  </si>
  <si>
    <t>Enhance Customer Profile with Social Handle Data</t>
  </si>
  <si>
    <t>0064L00000997NA</t>
  </si>
  <si>
    <t>P&amp;G - Medical Device Software Work Process Development</t>
  </si>
  <si>
    <t>Michael Argadine</t>
  </si>
  <si>
    <t>0064L000007FLC5</t>
  </si>
  <si>
    <t>Change Healthcare Integration</t>
  </si>
  <si>
    <t>0064L00000D8exg</t>
  </si>
  <si>
    <t>Sales Projection Model</t>
  </si>
  <si>
    <t>0064L00000Bg7p4</t>
  </si>
  <si>
    <t>Best Buy Health - Tech Portfolio Op Model and Roadmap</t>
  </si>
  <si>
    <t>0064L00000Bew2M</t>
  </si>
  <si>
    <t>WM IE&amp;D Data Tools and Analysis</t>
  </si>
  <si>
    <t>0064L00000BgYrg</t>
  </si>
  <si>
    <t>Peter G Angelos Revocable Trust</t>
  </si>
  <si>
    <t>Baltimore Orioles NFT Strategy</t>
  </si>
  <si>
    <t>SC_TMT_AA_TRANSFORM_INDUSTRY_CEO_03FY22_SPORTS_OUTLOOK_FORM_FILLS</t>
  </si>
  <si>
    <t>0064L00000CWgEO</t>
  </si>
  <si>
    <t>Pm Pediatrics Management Group LLC</t>
  </si>
  <si>
    <t>PM Pediatrics FP&amp;A MS</t>
  </si>
  <si>
    <t>0064L00000Bcq2B</t>
  </si>
  <si>
    <t>0064L0000068zob</t>
  </si>
  <si>
    <t>DTCC - FP&amp;A</t>
  </si>
  <si>
    <t>AD_CA_FFG_EV_FFG_BUSINESS TRANSFORMATION_QWNTHX4TC43_12FY21_FP&amp;A ROUNDTABLE</t>
  </si>
  <si>
    <t>0064L00000CXzjw</t>
  </si>
  <si>
    <t>BJC - Strategy, M/A</t>
  </si>
  <si>
    <t>0064L00000BoPpW</t>
  </si>
  <si>
    <t>Spotify - Talent Acquisition Automation &amp; Dashboard</t>
  </si>
  <si>
    <t>0064L00000D8Ufg</t>
  </si>
  <si>
    <t>Lixil - US Supply Chain Strategy #FFG</t>
  </si>
  <si>
    <t>Graegar Smith</t>
  </si>
  <si>
    <t>0064L00000D8xKT</t>
  </si>
  <si>
    <t>Bank of Nova Scotia - New York Agency</t>
  </si>
  <si>
    <t>prime brokerage review</t>
  </si>
  <si>
    <t>0064L00000D8xM0</t>
  </si>
  <si>
    <t>Polaris - Corporate Outsourcing Assessment</t>
  </si>
  <si>
    <t>Liz Evans</t>
  </si>
  <si>
    <t>0064L00000DLrDY</t>
  </si>
  <si>
    <t>QUILVEST</t>
  </si>
  <si>
    <t>0064L00000BobWD</t>
  </si>
  <si>
    <t>Blackstone RE - Deal Management Process Analysis</t>
  </si>
  <si>
    <t>Emily Godward</t>
  </si>
  <si>
    <t>0064L00000DM1DG</t>
  </si>
  <si>
    <t>AMZN Finance: Total Tax Contribution Accounting Team Support</t>
  </si>
  <si>
    <t>0064L00000CXYPg</t>
  </si>
  <si>
    <t>Embecta Marketing Competencies</t>
  </si>
  <si>
    <t>0064L00000Bo08L</t>
  </si>
  <si>
    <t>GBS Benchmark &amp; Advisory Services -</t>
  </si>
  <si>
    <t>0064L00000BoPz2</t>
  </si>
  <si>
    <t>Ideal Integrations LLC</t>
  </si>
  <si>
    <t>Finance platform #Intacct</t>
  </si>
  <si>
    <t>Daniel Moses</t>
  </si>
  <si>
    <t>0064L000009Aajh</t>
  </si>
  <si>
    <t>Mayo Rural Health Clinic *Strategic Reimbursement*</t>
  </si>
  <si>
    <t>0064L000009AakL</t>
  </si>
  <si>
    <t>Ascension Healthcare PLC</t>
  </si>
  <si>
    <t>Ascension Rural Health Clinics *Strategic Reimbursement*</t>
  </si>
  <si>
    <t>0064L00000D8y4g</t>
  </si>
  <si>
    <t>Voluntary Benefits Strategy &amp; RFP</t>
  </si>
  <si>
    <t>0064L00000CXXs6</t>
  </si>
  <si>
    <t>RJ - CRM Tool to Improve FA Experience &amp; Product Support</t>
  </si>
  <si>
    <t>0064L00000D8VR6</t>
  </si>
  <si>
    <t>NFLX - Customer Lifetime Value</t>
  </si>
  <si>
    <t>0064L00000CYIUP</t>
  </si>
  <si>
    <t>Bank Optimization and Rationalization</t>
  </si>
  <si>
    <t>0064L00000D8vW1</t>
  </si>
  <si>
    <t>Revenue Growth and Sales Transformation</t>
  </si>
  <si>
    <t>0064L00000D8vVh</t>
  </si>
  <si>
    <t>Digital Commerce 3rd Party Marketplace_Phase 2</t>
  </si>
  <si>
    <t>0064L00000CXWWA</t>
  </si>
  <si>
    <t>DEI Leadership Experiences</t>
  </si>
  <si>
    <t>Devon Van Buren</t>
  </si>
  <si>
    <t>0064L00000DLopO</t>
  </si>
  <si>
    <t>CHS: Pharmacy Optimization *FFG*</t>
  </si>
  <si>
    <t>0064L00000CVru6</t>
  </si>
  <si>
    <t>Comcast Business - Sales Comp Design #TMTSales</t>
  </si>
  <si>
    <t>0064L00000D8vXn</t>
  </si>
  <si>
    <t>NALH - Strategy Development Support</t>
  </si>
  <si>
    <t>Daniel Miekina</t>
  </si>
  <si>
    <t>0064L00000CGwjr</t>
  </si>
  <si>
    <t>BD - embecta Contract Mgmt Analysis</t>
  </si>
  <si>
    <t>Jessa Davis</t>
  </si>
  <si>
    <t>0064L0000041Lw3</t>
  </si>
  <si>
    <t>TD Bank_Card strategy support</t>
  </si>
  <si>
    <t>0064L00000Bg849</t>
  </si>
  <si>
    <t>Retail Media - US in Support of UK/DE</t>
  </si>
  <si>
    <t>0064I00000vPyiV</t>
  </si>
  <si>
    <t>DTCC - Workforce of the Future</t>
  </si>
  <si>
    <t>25/7/2019</t>
  </si>
  <si>
    <t>0064L00000CVsa2</t>
  </si>
  <si>
    <t>Project Switzerland: Access &amp; SFDC</t>
  </si>
  <si>
    <t>0064L00000BgZ8c</t>
  </si>
  <si>
    <t>Front Office Capability</t>
  </si>
  <si>
    <t>Josh Peters</t>
  </si>
  <si>
    <t>Sara Miller</t>
  </si>
  <si>
    <t>0064L000007xYtA</t>
  </si>
  <si>
    <t>Wilsquare Capital LLC</t>
  </si>
  <si>
    <t>Versare ERC Analysis</t>
  </si>
  <si>
    <t>Tom Klein</t>
  </si>
  <si>
    <t>0064L00000CWUEO</t>
  </si>
  <si>
    <t>HP CS SSC MDM Additional PS Automation</t>
  </si>
  <si>
    <t>HP CS SSC MDM Governance CO</t>
  </si>
  <si>
    <t>0064L000007xYwn</t>
  </si>
  <si>
    <t>Harbour Group Industries Inc.</t>
  </si>
  <si>
    <t>Thibault/WF Enterprises, Inc. ERC Analysis and Calculations</t>
  </si>
  <si>
    <t>0064L000007xYwJ</t>
  </si>
  <si>
    <t>CPS Products - ERC Analysis and Computations</t>
  </si>
  <si>
    <t>0064L000007xYvG</t>
  </si>
  <si>
    <t>Cattron  ERC Analysis and Calculations</t>
  </si>
  <si>
    <t>0064L000001u31S</t>
  </si>
  <si>
    <t>Pension Live Online Administration System</t>
  </si>
  <si>
    <t>Shedonne Lawrence</t>
  </si>
  <si>
    <t>0064L00000CWwQE</t>
  </si>
  <si>
    <t>BBYH - Revenue Cycle Management Phase 0</t>
  </si>
  <si>
    <t>0064L00000DFoXV</t>
  </si>
  <si>
    <t>Legal Business Services</t>
  </si>
  <si>
    <t>0064L00000BnN9G</t>
  </si>
  <si>
    <t>Marketing Analytics Roadmap</t>
  </si>
  <si>
    <t>0064L000009fIIE</t>
  </si>
  <si>
    <t>LifePoint Medicare &amp; Medicaid Reimbursement Assessment - *Strategic Reimbursement*</t>
  </si>
  <si>
    <t>0064I00000y6m8I</t>
  </si>
  <si>
    <t>FFG Discussion</t>
  </si>
  <si>
    <t>0064L00000BfebS</t>
  </si>
  <si>
    <t>Potential work after ASUS.ESG.CC-BNY-Climate Change Support</t>
  </si>
  <si>
    <t>0064L00000BlESL</t>
  </si>
  <si>
    <t>Barack Ferrazzano Kirschbaum &amp; Nagelberg LLP</t>
  </si>
  <si>
    <t>BFKN - H&amp;W Benefits</t>
  </si>
  <si>
    <t>0064I00000wwTGq</t>
  </si>
  <si>
    <t>General Ledger Standardization</t>
  </si>
  <si>
    <t>31/8/2019</t>
  </si>
  <si>
    <t>0064L000003zGlV</t>
  </si>
  <si>
    <t>Country CLIC 2.0 Life PAS Transformation Mobilization</t>
  </si>
  <si>
    <t>Matthew Hurlbut</t>
  </si>
  <si>
    <t>0064L00000Bnmb2</t>
  </si>
  <si>
    <t>Contracts and Tenders Assessment</t>
  </si>
  <si>
    <t>0064L00000DLN1b</t>
  </si>
  <si>
    <t>Celanese - ESG</t>
  </si>
  <si>
    <t>0064L00000D8cyD</t>
  </si>
  <si>
    <t>Audax Group</t>
  </si>
  <si>
    <t>Audax Revenue Cycle Assessment</t>
  </si>
  <si>
    <t>0064L00000D8czf</t>
  </si>
  <si>
    <t>HB Fuller Company</t>
  </si>
  <si>
    <t>BiK Review &amp; Payroll tax consulting</t>
  </si>
  <si>
    <t>0064L00000DJXOo</t>
  </si>
  <si>
    <t>Mt Sinai: Digital Marketing Transformation</t>
  </si>
  <si>
    <t>0064L00000BmIAj</t>
  </si>
  <si>
    <t>Corn Syrup / Supply Chain Commodity Solutions</t>
  </si>
  <si>
    <t>Mahadevan Thantry</t>
  </si>
  <si>
    <t>0064L00000BoOGu</t>
  </si>
  <si>
    <t>ESG - Reporting - Workiva</t>
  </si>
  <si>
    <t>0064L000004vxy2</t>
  </si>
  <si>
    <t>Cornell University</t>
  </si>
  <si>
    <t>WCMC Mission Based Assessment</t>
  </si>
  <si>
    <t>0064L00000BfCmg</t>
  </si>
  <si>
    <t>TX Marketplace Remediation</t>
  </si>
  <si>
    <t>0064L000004xM9X</t>
  </si>
  <si>
    <t>RGM as Service</t>
  </si>
  <si>
    <t>0064L00000CH72v</t>
  </si>
  <si>
    <t>ABB Ltd</t>
  </si>
  <si>
    <t>Margin Protection and Benchmarking</t>
  </si>
  <si>
    <t>Thomas Hines</t>
  </si>
  <si>
    <t>0064L00000BnKiM</t>
  </si>
  <si>
    <t>HP CX Pilot PM Extension</t>
  </si>
  <si>
    <t>0064L00000CYYgP</t>
  </si>
  <si>
    <t>Employee Resource Group (ERG) Relaunch</t>
  </si>
  <si>
    <t>0064L0000099GXN</t>
  </si>
  <si>
    <t>#QMS Digital Quality Transformation</t>
  </si>
  <si>
    <t>0064L00000CYYjJ</t>
  </si>
  <si>
    <t>HC Upskilling (recruiting function)</t>
  </si>
  <si>
    <t>0064L00000CYYip</t>
  </si>
  <si>
    <t>Global Self- ID Campaign</t>
  </si>
  <si>
    <t>0064L00000CWSg1</t>
  </si>
  <si>
    <t>StoneX Global Payments Enterprise Agile</t>
  </si>
  <si>
    <t>0064L00000CWSgQ</t>
  </si>
  <si>
    <t>StoneX Global Payments Brand Awareness</t>
  </si>
  <si>
    <t>0064L00000ArNDh</t>
  </si>
  <si>
    <t>Inclusion/Engagement Survey</t>
  </si>
  <si>
    <t>0064L00000CXz1L</t>
  </si>
  <si>
    <t>Ulteig Engineers Inc.</t>
  </si>
  <si>
    <t>High Value Engineering</t>
  </si>
  <si>
    <t>0064L0000040kyu</t>
  </si>
  <si>
    <t>Mitsubishi Chemical Group Corporation</t>
  </si>
  <si>
    <t>#QMS Veeva Platform Analysis, Business Case</t>
  </si>
  <si>
    <t>0064L00000B1n4P</t>
  </si>
  <si>
    <t>Rush Health Systems Inc.</t>
  </si>
  <si>
    <t>0064L00000CWTMh</t>
  </si>
  <si>
    <t>Revene Growth - Data Monetization</t>
  </si>
  <si>
    <t>0064L0000099WoG</t>
  </si>
  <si>
    <t>CNA - ESG Target</t>
  </si>
  <si>
    <t>0064L00000AqZGO</t>
  </si>
  <si>
    <t>Duracell Supplier Diversity Program - Design &amp; Implementation</t>
  </si>
  <si>
    <t>0064L000001vUj9</t>
  </si>
  <si>
    <t>Mimecast UK Limited</t>
  </si>
  <si>
    <t>Mimecast POINTS Assessment Follow-up</t>
  </si>
  <si>
    <t>23/1/2023</t>
  </si>
  <si>
    <t>Nevenka Mattenet</t>
  </si>
  <si>
    <t>Aditi Ahuja</t>
  </si>
  <si>
    <t>0064L0000041mQg</t>
  </si>
  <si>
    <t>UBS - WMAP Azure related #WMA</t>
  </si>
  <si>
    <t>13/11/2020</t>
  </si>
  <si>
    <t>0064I0000132es0</t>
  </si>
  <si>
    <t>Church &amp; Dwight Co., Inc.</t>
  </si>
  <si>
    <t>Church &amp; Dwight #RGM</t>
  </si>
  <si>
    <t>0064L00000BfvFd</t>
  </si>
  <si>
    <t>FDX CAST - Change Management  GSK Inventory Project</t>
  </si>
  <si>
    <t>22/6/2022 1:08 am</t>
  </si>
  <si>
    <t>0064L00000DJVdc</t>
  </si>
  <si>
    <t>Hannon Armstrong Sustainable Infrastructure Capital, Inc.</t>
  </si>
  <si>
    <t>Equator Principles Implementation</t>
  </si>
  <si>
    <t>Ed Hsu</t>
  </si>
  <si>
    <t>0064I0000132etY</t>
  </si>
  <si>
    <t>Heineken #RGM</t>
  </si>
  <si>
    <t>0064L00000BesGP</t>
  </si>
  <si>
    <t>The Queen's Health Systems</t>
  </si>
  <si>
    <t>The Queen's Health Systems *Strategic Reimbursement*</t>
  </si>
  <si>
    <t>0064L00000D947M</t>
  </si>
  <si>
    <t>Adams Street Partners LLC.</t>
  </si>
  <si>
    <t>Fund Admin Integration Support</t>
  </si>
  <si>
    <t>0064I0000132euz</t>
  </si>
  <si>
    <t>Dairy Farmers Of America Inc.</t>
  </si>
  <si>
    <t>Dairy Farmers of America #RGM</t>
  </si>
  <si>
    <t>0064L000006xNB0</t>
  </si>
  <si>
    <t>Spire, Inc.</t>
  </si>
  <si>
    <t>Spire Integrated Planning</t>
  </si>
  <si>
    <t>Steve Korn</t>
  </si>
  <si>
    <t>0064I0000132eyh</t>
  </si>
  <si>
    <t>Johnsonville Sausage LLC</t>
  </si>
  <si>
    <t>Johnsonville Sausage #RGM</t>
  </si>
  <si>
    <t>0064L00000CH4iU</t>
  </si>
  <si>
    <t>SEC Readiness Assessment (light)</t>
  </si>
  <si>
    <t>0064L00000DLM1k</t>
  </si>
  <si>
    <t>Metaverse Initial Exploration</t>
  </si>
  <si>
    <t>0064L00000Bet1p</t>
  </si>
  <si>
    <t>Pension Plan Redesign</t>
  </si>
  <si>
    <t>0064L00000CYYGC</t>
  </si>
  <si>
    <t>CRWS, Inc. and Subsidiaries</t>
  </si>
  <si>
    <t>Mexico Site Location Strategy</t>
  </si>
  <si>
    <t>Alberto Vargas</t>
  </si>
  <si>
    <t>0064L00000CH5S8</t>
  </si>
  <si>
    <t>MSFT OAB FY23 MSA Xandr Product Support</t>
  </si>
  <si>
    <t>0064L00000CXwfc</t>
  </si>
  <si>
    <t>UHG C&amp;S 2023 Operations Migration Support - Project Igloo - #PayerCO&amp;ITrans</t>
  </si>
  <si>
    <t>0065800000ScUA6</t>
  </si>
  <si>
    <t>Indiana Farm Bureau Insurance</t>
  </si>
  <si>
    <t>CC Business Case &amp; Implementation</t>
  </si>
  <si>
    <t>20/4/2015</t>
  </si>
  <si>
    <t>ADV_FS_FFG</t>
  </si>
  <si>
    <t>Imran Ilyas</t>
  </si>
  <si>
    <t>0064I00000zR5w4</t>
  </si>
  <si>
    <t>Ashford Hospitality Trust Inc.</t>
  </si>
  <si>
    <t>IGP - Embassy Santa Clara-Silicon Valley SNCCA</t>
  </si>
  <si>
    <t>13/11/2019</t>
  </si>
  <si>
    <t>0064L00000BlEGa</t>
  </si>
  <si>
    <t>Banner &amp; Witcoff</t>
  </si>
  <si>
    <t>Banner &amp; Witcoff - H&amp;W Benefits</t>
  </si>
  <si>
    <t>0064L00000BmYKa</t>
  </si>
  <si>
    <t>Gilead: Transformation: Commercial: Gross-to-Net Diagnostic</t>
  </si>
  <si>
    <t>0064L000009fY0P</t>
  </si>
  <si>
    <t>Indigo Equity Clean Up</t>
  </si>
  <si>
    <t>0064L00000DJVxc</t>
  </si>
  <si>
    <t>ESG Deals Integration</t>
  </si>
  <si>
    <t>0064L00000BnKOM</t>
  </si>
  <si>
    <t>Meta Anaplan Implementation</t>
  </si>
  <si>
    <t>0064L000002bwRS</t>
  </si>
  <si>
    <t>Kemper Actuarial Modernization</t>
  </si>
  <si>
    <t>Anshu Goel</t>
  </si>
  <si>
    <t>0064L00000BmYNy</t>
  </si>
  <si>
    <t>ADM - Safety Quality</t>
  </si>
  <si>
    <t>0064L00000Bcn8Z</t>
  </si>
  <si>
    <t>*RC Tech* *Rev Cycle* Tenet</t>
  </si>
  <si>
    <t>0064L000004xYak</t>
  </si>
  <si>
    <t>Consumer 360</t>
  </si>
  <si>
    <t>Christen Kostaroff</t>
  </si>
  <si>
    <t>0064L00000BoO8b</t>
  </si>
  <si>
    <t>Bayview - Funding &amp; Capital Markets FFG Lite Diagnostic</t>
  </si>
  <si>
    <t>0064L00000DJgBC</t>
  </si>
  <si>
    <t>IAT Insurance Group Inc.</t>
  </si>
  <si>
    <t>IAT Duck Creek Claims Implementation Support - Assessment</t>
  </si>
  <si>
    <t>Augusto Ornelas</t>
  </si>
  <si>
    <t>0064L00000Blusb</t>
  </si>
  <si>
    <t>P&amp;G - NA TPM Design #Pricing #RGM</t>
  </si>
  <si>
    <t>0064L00000BmVsU</t>
  </si>
  <si>
    <t>HIG GB Claims Automation</t>
  </si>
  <si>
    <t>0064L00000Bm65h</t>
  </si>
  <si>
    <t>Morgan Stanley / Automation Strategy / $100,000</t>
  </si>
  <si>
    <t>0064I0000132f54</t>
  </si>
  <si>
    <t>Reckitt Benckiser Group PLC</t>
  </si>
  <si>
    <t>Reckitt Benckiser #RGM</t>
  </si>
  <si>
    <t>0064L00000DBMnv</t>
  </si>
  <si>
    <t>Evergy - Risk System evaluation</t>
  </si>
  <si>
    <t>0064L00000DLKMq</t>
  </si>
  <si>
    <t>KeyBank Procurement on Demand Landscaping and Snow Removal #S&amp;P#POD</t>
  </si>
  <si>
    <t>0064L00000BgVMC</t>
  </si>
  <si>
    <t>Supply Chain Transformation Support</t>
  </si>
  <si>
    <t>0064L000009AMRt</t>
  </si>
  <si>
    <t>FY22 Strategic Opportunity:  Bringing the Advents Together</t>
  </si>
  <si>
    <t>0064L00000DFZao</t>
  </si>
  <si>
    <t>Starwood Capital Group, L.L.C.</t>
  </si>
  <si>
    <t>SH Hotels Decarbonization Project #ESG</t>
  </si>
  <si>
    <t>Sarah Korykora</t>
  </si>
  <si>
    <t>0064L00000DJfpQ</t>
  </si>
  <si>
    <t>Bridgewater - HQ Relocation</t>
  </si>
  <si>
    <t>0064L00000BmFae</t>
  </si>
  <si>
    <t>CBRE IM | IAR Administrator 2022 Fee Analysis</t>
  </si>
  <si>
    <t>0064L00000DFlIH</t>
  </si>
  <si>
    <t>0064L000006CTbF</t>
  </si>
  <si>
    <t>Treehouse - RGM Managed Service #RGM</t>
  </si>
  <si>
    <t>0064L000009AoFv</t>
  </si>
  <si>
    <t>INGR - Time to Market for new products</t>
  </si>
  <si>
    <t>0064L000009AoFw</t>
  </si>
  <si>
    <t>INGR - Demand Forecasting</t>
  </si>
  <si>
    <t>0064L000009AoHh</t>
  </si>
  <si>
    <t>INGR - Capital Allocation</t>
  </si>
  <si>
    <t>0064L00000B1kTC</t>
  </si>
  <si>
    <t>Hologic Digital Finance</t>
  </si>
  <si>
    <t>0064L000002cHQd</t>
  </si>
  <si>
    <t>AT&amp;T Biz Partnership Opportunities</t>
  </si>
  <si>
    <t>0064L000006jwlL</t>
  </si>
  <si>
    <t>GBS Automation - O2C Process Intelligence</t>
  </si>
  <si>
    <t>0064L00000Bf1Tn</t>
  </si>
  <si>
    <t>Centene Enterprise Spans &amp; Layers Analysis</t>
  </si>
  <si>
    <t>0064L00000DJVYS</t>
  </si>
  <si>
    <t>Vorwerk Verwaltung SE</t>
  </si>
  <si>
    <t>Neato Robotics Cost Assessment</t>
  </si>
  <si>
    <t>Amit Verma</t>
  </si>
  <si>
    <t>Daren Mann</t>
  </si>
  <si>
    <t>0064I0000132eFi</t>
  </si>
  <si>
    <t>Shiseido Company, Limited</t>
  </si>
  <si>
    <t>Shiseido Company #RGM</t>
  </si>
  <si>
    <t>0064L000009AoGA</t>
  </si>
  <si>
    <t>INGR - Plant Optimization | SMART Factory</t>
  </si>
  <si>
    <t>0064L00000Bl2gk</t>
  </si>
  <si>
    <t>Nasdaq Revenue Optimization and Process Mining</t>
  </si>
  <si>
    <t>0064L000002ZKnQ</t>
  </si>
  <si>
    <t>Heartland Food Products Group</t>
  </si>
  <si>
    <t>Heartland Foods Performance Analyzer #RGM</t>
  </si>
  <si>
    <t>27/8/2023</t>
  </si>
  <si>
    <t>Dina Zhou</t>
  </si>
  <si>
    <t>0064L00000B2Zcf</t>
  </si>
  <si>
    <t>BHF - Future of Distributions</t>
  </si>
  <si>
    <t>0064L000001uaec</t>
  </si>
  <si>
    <t>Charles Schwab New Abnormal/RTW #COVID-19</t>
  </si>
  <si>
    <t>Mark Noga</t>
  </si>
  <si>
    <t>0064L000002bBca</t>
  </si>
  <si>
    <t>Clark Enterprises Inc.</t>
  </si>
  <si>
    <t>Atkinson - Compensation Consulting</t>
  </si>
  <si>
    <t>31/7/2021 5:12 pm</t>
  </si>
  <si>
    <t>0064L000007xVZy</t>
  </si>
  <si>
    <t>Credit Card of the Future</t>
  </si>
  <si>
    <t>0064L00000B2ZcG</t>
  </si>
  <si>
    <t>BHF - Future of Product</t>
  </si>
  <si>
    <t>Mark Rosenthal</t>
  </si>
  <si>
    <t>0064L00000B2Zbh</t>
  </si>
  <si>
    <t>BHF - Enterprise Performance Analysis</t>
  </si>
  <si>
    <t>0064L00000D8PLp</t>
  </si>
  <si>
    <t>Clever Care Health Plan Inc.</t>
  </si>
  <si>
    <t>Clever Care MSO Assessment &amp; Operating Model</t>
  </si>
  <si>
    <t>0064L00000D8qpL</t>
  </si>
  <si>
    <t>Marmon - ESG/EHS Technology Support (Phase 2)</t>
  </si>
  <si>
    <t>0064L00000Bm3sH</t>
  </si>
  <si>
    <t>Cox Auto - M&amp;A Integration Governance model consulting</t>
  </si>
  <si>
    <t>Christina Scherma</t>
  </si>
  <si>
    <t>Amit Patel</t>
  </si>
  <si>
    <t>0064L00000991Mv</t>
  </si>
  <si>
    <t>HCSC AI Pilot #xPC:PayerAnalytics #Alliance:C3AI #PayerAnalytics</t>
  </si>
  <si>
    <t>0064L00000Blv9w</t>
  </si>
  <si>
    <t>NFLX - Customer Experience</t>
  </si>
  <si>
    <t>0064L00000ArJQ2</t>
  </si>
  <si>
    <t>Scheduling Analytics *RC Tech* *Rev Cycle*</t>
  </si>
  <si>
    <t>0064L00000DJUK1</t>
  </si>
  <si>
    <t>Inspira Health: Microsoft CRM Pilot #MSFTProvider</t>
  </si>
  <si>
    <t>0064L00000DJUM6</t>
  </si>
  <si>
    <t>UPMC: Microsoft CRM Strategy #MSFTProvider</t>
  </si>
  <si>
    <t>0064L00000DJTlU</t>
  </si>
  <si>
    <t>Bellin Cost Report Reimbursement Analysis - FY 2021 and Prior - *Strategic Reimbursement*</t>
  </si>
  <si>
    <t>0064L00000CH2n8</t>
  </si>
  <si>
    <t>American Financial Group Inc.</t>
  </si>
  <si>
    <t>Mexcio Auto Insurance Growth Strategy</t>
  </si>
  <si>
    <t>0064L000004yIib</t>
  </si>
  <si>
    <t>Sentry Assessment</t>
  </si>
  <si>
    <t>30/1/2021</t>
  </si>
  <si>
    <t>0064L00000991LE</t>
  </si>
  <si>
    <t>BCBSMA AI pilot #xPC:PayerAnalytics #Alliance:C3AI #HVM</t>
  </si>
  <si>
    <t>0064L00000991Kk</t>
  </si>
  <si>
    <t>BSC Citizen-Led AI pilot #xPC:PayerAnalytics #Alliance:C3AI #PayerAnalytics</t>
  </si>
  <si>
    <t>0064L00000991Kb</t>
  </si>
  <si>
    <t>AmeriHealth AI pilot #xPC:PayerAnalytics #Alliance:C3AI #PayerAnalytics</t>
  </si>
  <si>
    <t>0064L00000CYFDC</t>
  </si>
  <si>
    <t>Black Rifle Coffee Company</t>
  </si>
  <si>
    <t>0064L000009f4GW</t>
  </si>
  <si>
    <t>Fairview Health Services *VBO* FY23</t>
  </si>
  <si>
    <t>30/8/2021 7:27 pm</t>
  </si>
  <si>
    <t>0064L000002ZKbZ</t>
  </si>
  <si>
    <t>All Market Inc.</t>
  </si>
  <si>
    <t>Vita Coco Performance Analyzer #RGM</t>
  </si>
  <si>
    <t>27/8/2024</t>
  </si>
  <si>
    <t>0064L000003yb3w</t>
  </si>
  <si>
    <t>Employee Financial Education and Wellness</t>
  </si>
  <si>
    <t>Danielle LeStrange</t>
  </si>
  <si>
    <t>0064L00000DJV6T</t>
  </si>
  <si>
    <t>WT _ FY22 FY23 payroll operational and tax review</t>
  </si>
  <si>
    <t>0064L00000D91c7</t>
  </si>
  <si>
    <t>Cure Insurance Quote UX</t>
  </si>
  <si>
    <t>0064L000002bco4</t>
  </si>
  <si>
    <t>BC Idaho - Ops / Compliance Transformation - Medicare Intelli-Hub #GcoE #Automation</t>
  </si>
  <si>
    <t>0064L00000CYEmZ</t>
  </si>
  <si>
    <t>Vertex Control Tower</t>
  </si>
  <si>
    <t>0064L00000AqhD2</t>
  </si>
  <si>
    <t>Tmx Group Inc.</t>
  </si>
  <si>
    <t>TSX VENTURE EXCHANGE INC.:  Oracle RMB Opportunity #ORACLE_BCM</t>
  </si>
  <si>
    <t>0064L00000AqhD1</t>
  </si>
  <si>
    <t>CME Group Inc.</t>
  </si>
  <si>
    <t>CME:  Oracle RMB Opportunity #ORACLE_BCM</t>
  </si>
  <si>
    <t>0064L00000AqhD6</t>
  </si>
  <si>
    <t>NASDAQ:  Oracle Revenue Leakage Analysis #ORACLE_BCM</t>
  </si>
  <si>
    <t>0064L00000CY2o1</t>
  </si>
  <si>
    <t>IU Health: RRC IME + 340B *Strategic Reimbursement*</t>
  </si>
  <si>
    <t>0064L000003z2WB</t>
  </si>
  <si>
    <t>Boeing Engineering Effectiveness</t>
  </si>
  <si>
    <t>0064L000007xhVd</t>
  </si>
  <si>
    <t>P66 Aligne, MorningStar Replacement assessment</t>
  </si>
  <si>
    <t>0065800000Sc5cY</t>
  </si>
  <si>
    <t>Indiana Farmers Mutual Insurance Company</t>
  </si>
  <si>
    <t>Claims Inception Phase</t>
  </si>
  <si>
    <t>21/4/2015</t>
  </si>
  <si>
    <t>0064L00000BgTOV</t>
  </si>
  <si>
    <t>People Analytics -- Personas and Observational Research</t>
  </si>
  <si>
    <t>0064L000009Alhh</t>
  </si>
  <si>
    <t>Agile product delivery model implementation</t>
  </si>
  <si>
    <t>0064L00000BoJff</t>
  </si>
  <si>
    <t>Dana-Farber Cancer Institute Inc.</t>
  </si>
  <si>
    <t>DFCI - Remote Workforce Implementation - Extension</t>
  </si>
  <si>
    <t>Christine Freyermuth</t>
  </si>
  <si>
    <t>0064L00000BfA1m</t>
  </si>
  <si>
    <t>Voya Analytics - Use Case Prioritization - Workshop</t>
  </si>
  <si>
    <t>0064L00000Bft8s</t>
  </si>
  <si>
    <t>Commonwealth Care Alliance - Project Diehard - SFDC Platform Assessment</t>
  </si>
  <si>
    <t>0064L00000BoJoX</t>
  </si>
  <si>
    <t>INGR - Compensation Plan Alignment</t>
  </si>
  <si>
    <t>0064L00000BoKRj</t>
  </si>
  <si>
    <t>Sony Group Corporation</t>
  </si>
  <si>
    <t>Equity Payroll Assistance</t>
  </si>
  <si>
    <t>0064L00000CXsK1</t>
  </si>
  <si>
    <t>FIS Loyalty - Pay with Points</t>
  </si>
  <si>
    <t>0064L00000CVmEk</t>
  </si>
  <si>
    <t>W&amp;C Evaluation of tax treatment of non-US partners in US pension plans</t>
  </si>
  <si>
    <t>0064L000004vPLZ</t>
  </si>
  <si>
    <t>#QMS ISO Batch Release - Kyowa Kirin</t>
  </si>
  <si>
    <t>0064I000015SUTU</t>
  </si>
  <si>
    <t>Brown Rudnick Llp</t>
  </si>
  <si>
    <t>Pension actuarial/admin services</t>
  </si>
  <si>
    <t>0064L00000BlbO2</t>
  </si>
  <si>
    <t>ICON Business Unit CoE Design</t>
  </si>
  <si>
    <t>Bryan Vodicka</t>
  </si>
  <si>
    <t>0064L00000D8oir</t>
  </si>
  <si>
    <t>Motherson Sumi Systems Limited</t>
  </si>
  <si>
    <t>Supplier Assessment - Pricing Increase</t>
  </si>
  <si>
    <t>Chase Podsiad</t>
  </si>
  <si>
    <t>0064L00000BlbOC</t>
  </si>
  <si>
    <t>ICON Business Unit CoE Implementation Planning PMO</t>
  </si>
  <si>
    <t>0064L00000BlbOH</t>
  </si>
  <si>
    <t>ICON Demand and Capacity Management Capability</t>
  </si>
  <si>
    <t>0064L000009AjIk</t>
  </si>
  <si>
    <t>BMS - Supply Chain Metrics</t>
  </si>
  <si>
    <t>Amy Joe</t>
  </si>
  <si>
    <t>0064L00000CYCSA</t>
  </si>
  <si>
    <t>Workforce Capabilities Assessment</t>
  </si>
  <si>
    <t>Kyle Schneider</t>
  </si>
  <si>
    <t>0064L000009BJk6</t>
  </si>
  <si>
    <t>HealthPartners Oracle OHI #PayerCO&amp;ITrans</t>
  </si>
  <si>
    <t>0064L00000BlbTM</t>
  </si>
  <si>
    <t>R2R - Finance Transformation</t>
  </si>
  <si>
    <t>0064L00000CWpZV</t>
  </si>
  <si>
    <t>Citizens Bank: Event Driven Foundation</t>
  </si>
  <si>
    <t>0064L00000Aq3nT</t>
  </si>
  <si>
    <t>AWS - Country Requirements Gathering</t>
  </si>
  <si>
    <t>Satpreet Grewal</t>
  </si>
  <si>
    <t>0064L00000DJe0A</t>
  </si>
  <si>
    <t>PACNW CommonSpirit Reimb: Critical Access Hospital (CAH) Strategy *Strategic Reimbursement*</t>
  </si>
  <si>
    <t>0064L00000DFydw</t>
  </si>
  <si>
    <t>Studio Alpha Business Case Refresh #TMTPricing</t>
  </si>
  <si>
    <t>0064L00000ArHY9</t>
  </si>
  <si>
    <t>FY22 Strategic Opportunity:  Digital as a Service</t>
  </si>
  <si>
    <t>0064L00000BlQab</t>
  </si>
  <si>
    <t>Intel - Capital Lifecycle Management - IA Support Q1FY22</t>
  </si>
  <si>
    <t>0064L00000DJe5e</t>
  </si>
  <si>
    <t>BSC Shared Services Location Analysis RFP</t>
  </si>
  <si>
    <t>0064L00000Bg25v</t>
  </si>
  <si>
    <t>K-C Supply Chain</t>
  </si>
  <si>
    <t>0064L0000099aay</t>
  </si>
  <si>
    <t>AEA Investors LP</t>
  </si>
  <si>
    <t>compensation consulting</t>
  </si>
  <si>
    <t>Jen Savard</t>
  </si>
  <si>
    <t>0064L00000Bo9NF</t>
  </si>
  <si>
    <t>Alleghany Corporation</t>
  </si>
  <si>
    <t>Bryce Tholen</t>
  </si>
  <si>
    <t>0064L000004w13t</t>
  </si>
  <si>
    <t>Capital Blue Cross</t>
  </si>
  <si>
    <t>CBC Cyber Security</t>
  </si>
  <si>
    <t>FI FY22 Cybersecurity &amp; Privacy Targeting</t>
  </si>
  <si>
    <t>0064L00000ArkDL</t>
  </si>
  <si>
    <t>Supplier Diversity- Tier 1 Program Support</t>
  </si>
  <si>
    <t>0064L00000AqhAg</t>
  </si>
  <si>
    <t>CCMP Capital GP, LLC</t>
  </si>
  <si>
    <t>BGIS:  Oracle RMB Opportunity #ORACLE_PE</t>
  </si>
  <si>
    <t>0064L000004xi7A</t>
  </si>
  <si>
    <t>#QMS Quality Transparency</t>
  </si>
  <si>
    <t>28/1/2021</t>
  </si>
  <si>
    <t>0064L00000CYAhf</t>
  </si>
  <si>
    <t>Ocwen Financial Corporation</t>
  </si>
  <si>
    <t>Pipe/Ware Model Assessment</t>
  </si>
  <si>
    <t>0064L000009AILN</t>
  </si>
  <si>
    <t>Billing system update</t>
  </si>
  <si>
    <t>0064L00000ApcD6</t>
  </si>
  <si>
    <t>0064L00000Cvhe7</t>
  </si>
  <si>
    <t>UPMC: Pharmacy Optimization *FFG*</t>
  </si>
  <si>
    <t>0064L000009AILD</t>
  </si>
  <si>
    <t>Statutory Accounting Outsourcing (US and International)</t>
  </si>
  <si>
    <t>0064L00000D8oUL</t>
  </si>
  <si>
    <t>BD - Contract / Spend Analysis #S&amp;P@POD</t>
  </si>
  <si>
    <t>0065800000jhQ1p</t>
  </si>
  <si>
    <t>Okta - B2E IAM</t>
  </si>
  <si>
    <t>18/10/2018</t>
  </si>
  <si>
    <t>Brian George</t>
  </si>
  <si>
    <t>0065800000eHA95</t>
  </si>
  <si>
    <t>Digital Culture/Upskilling - WoF</t>
  </si>
  <si>
    <t>19/7/2018</t>
  </si>
  <si>
    <t>James Curtin</t>
  </si>
  <si>
    <t>UK BD Campaign to track Opps and activities</t>
  </si>
  <si>
    <t>0064L00000DFyCb</t>
  </si>
  <si>
    <t>CVS: Medicaid NextGen: Duals Benefit Configuration - Tactical Support Q3 2022 #PayerCO&amp;ITrans</t>
  </si>
  <si>
    <t>0064L00000DLhsv</t>
  </si>
  <si>
    <t>Ampacet - ALM</t>
  </si>
  <si>
    <t>0064L00000Bfa1U</t>
  </si>
  <si>
    <t>Customer Centricity Analytics Pilot</t>
  </si>
  <si>
    <t>0064L00000Bfa1T</t>
  </si>
  <si>
    <t>0064L00000Bfa23</t>
  </si>
  <si>
    <t>0064L00000Bfa22</t>
  </si>
  <si>
    <t>0064L00000Bfa1N</t>
  </si>
  <si>
    <t>0064L00000Bfa1M</t>
  </si>
  <si>
    <t>0064L00000Bfa1L</t>
  </si>
  <si>
    <t>0064L00000Bfa1K</t>
  </si>
  <si>
    <t>The Northern Trust Company</t>
  </si>
  <si>
    <t>0064L00000Bfa1J</t>
  </si>
  <si>
    <t>Citizens Financial Corp.</t>
  </si>
  <si>
    <t>0064L00000Bfa1V</t>
  </si>
  <si>
    <t>0064L00000Bfa1u</t>
  </si>
  <si>
    <t>0064L00000Bfa1t</t>
  </si>
  <si>
    <t>0064L00000Bfa1s</t>
  </si>
  <si>
    <t>0064L00000Bfa2N</t>
  </si>
  <si>
    <t>0064L00000Bfa2M</t>
  </si>
  <si>
    <t>0064L00000Bfa1k</t>
  </si>
  <si>
    <t>0064L00000Bfa1j</t>
  </si>
  <si>
    <t>0064L00000Bfa1i</t>
  </si>
  <si>
    <t>0064L00000CYCD8</t>
  </si>
  <si>
    <t>Rev Cycle - cost approach</t>
  </si>
  <si>
    <t>0064L00000Bfa2Y</t>
  </si>
  <si>
    <t>Farmers Mutual Insurance Company</t>
  </si>
  <si>
    <t>0064L00000Bfa2X</t>
  </si>
  <si>
    <t>0064L00000Bfa2W</t>
  </si>
  <si>
    <t>0064I00000wzT0S</t>
  </si>
  <si>
    <t>Wingstop Inc</t>
  </si>
  <si>
    <t>Restaurant Profitability Improvement #Profit</t>
  </si>
  <si>
    <t>26/9/2019</t>
  </si>
  <si>
    <t>0064L00000Bfa2g</t>
  </si>
  <si>
    <t>Genworth Financial Inc.</t>
  </si>
  <si>
    <t>0064L00000CYCDI</t>
  </si>
  <si>
    <t>PBM and Pharma</t>
  </si>
  <si>
    <t>0064L00000CYCDX</t>
  </si>
  <si>
    <t>Finance Analytics</t>
  </si>
  <si>
    <t>0064L00000CYCDY</t>
  </si>
  <si>
    <t>FFG (Finance, Enterprise, etc)</t>
  </si>
  <si>
    <t>0064L00000CYCDc</t>
  </si>
  <si>
    <t>Trust for enterprise</t>
  </si>
  <si>
    <t>0064L000009A87j</t>
  </si>
  <si>
    <t>Selendy &amp; Gay PLLC.</t>
  </si>
  <si>
    <t>Culture &amp; Leadership alignment workshop</t>
  </si>
  <si>
    <t>0064L00000CWpER</t>
  </si>
  <si>
    <t>UPSTART HOLDINGS Inc.</t>
  </si>
  <si>
    <t>Upstart - Assistance with driving auto lending growth through Prodigy acquisition</t>
  </si>
  <si>
    <t>Amy Meyer</t>
  </si>
  <si>
    <t>0064L00000CYbkt</t>
  </si>
  <si>
    <t>Simplify SSC CME Testing Support</t>
  </si>
  <si>
    <t>0064L000004x30C</t>
  </si>
  <si>
    <t>Skidmore Owings &amp; Merrill Llp</t>
  </si>
  <si>
    <t>SOM - H&amp;W Strategy</t>
  </si>
  <si>
    <t>0064L00000DLxat</t>
  </si>
  <si>
    <t>H2 2022 EU MDR Support</t>
  </si>
  <si>
    <t>H1 2022 Quality Program</t>
  </si>
  <si>
    <t>0064L000006VUTS</t>
  </si>
  <si>
    <t>Telco Energy Management</t>
  </si>
  <si>
    <t>0064L00000Bo770</t>
  </si>
  <si>
    <t>MSFT HR FY22 TR/HRBI Program Management and Change Management Support</t>
  </si>
  <si>
    <t>0064L00000DLxfo</t>
  </si>
  <si>
    <t>HP - e2e Marketing - 100,000</t>
  </si>
  <si>
    <t>0064L00000BnTyB</t>
  </si>
  <si>
    <t>HR transformation (Customer Experience &amp; Underlying technology)</t>
  </si>
  <si>
    <t>0064I000011posJ</t>
  </si>
  <si>
    <t>Actuarial/Administration of DB Plan</t>
  </si>
  <si>
    <t>James Horvath</t>
  </si>
  <si>
    <t>0064L00000DLVkg</t>
  </si>
  <si>
    <t>STB - Investment Advisor Due Diligence</t>
  </si>
  <si>
    <t>0064L00000Bfohe</t>
  </si>
  <si>
    <t>Chris Carmody: Analytics</t>
  </si>
  <si>
    <t>0064L00000CVYqW</t>
  </si>
  <si>
    <t>Coursera, Inc.</t>
  </si>
  <si>
    <t>Procurement on Demand Procurement Start Up #S&amp;P#POD</t>
  </si>
  <si>
    <t>0064L00000CVYtB</t>
  </si>
  <si>
    <t>2022 ORSA Support</t>
  </si>
  <si>
    <t>0064L00000BfolC</t>
  </si>
  <si>
    <t>Finance Transformation Assessment &amp; Roadmap</t>
  </si>
  <si>
    <t>0064L00000Bo6do</t>
  </si>
  <si>
    <t>Qurate - Workplace Capital Management</t>
  </si>
  <si>
    <t>0064L00000CH00E</t>
  </si>
  <si>
    <t>GPN Board Investment</t>
  </si>
  <si>
    <t>Joseph Sauer</t>
  </si>
  <si>
    <t>0064L00000DM7uC</t>
  </si>
  <si>
    <t>2022 Actuarial Opinion and Memorandum</t>
  </si>
  <si>
    <t>0064L00000426Kw</t>
  </si>
  <si>
    <t>ERP Implementation - Phase 0</t>
  </si>
  <si>
    <t>0064L00000CYPce</t>
  </si>
  <si>
    <t>Supply Chain Planning System Selection</t>
  </si>
  <si>
    <t>0064L000007vLqE</t>
  </si>
  <si>
    <t>Market Disruption Management #archegos</t>
  </si>
  <si>
    <t>0064L00000BnBhh</t>
  </si>
  <si>
    <t>50 South FFG/Automation Diagnostic</t>
  </si>
  <si>
    <t>0064L000004yFu3</t>
  </si>
  <si>
    <t>P32H Digital Strategy</t>
  </si>
  <si>
    <t>0064L00000BoxrT</t>
  </si>
  <si>
    <t>ICE Black Knight Pursuit</t>
  </si>
  <si>
    <t>Liban Ahmed</t>
  </si>
  <si>
    <t>0064L00000BeHrl</t>
  </si>
  <si>
    <t>CBRE - IA&amp;R ESG Reporting</t>
  </si>
  <si>
    <t>0064L00000BnU0g</t>
  </si>
  <si>
    <t>0064L00000BeZX2</t>
  </si>
  <si>
    <t>Harvard Services - 2022 - Financial Close Improvement - Private</t>
  </si>
  <si>
    <t>0064L00000BeZWF</t>
  </si>
  <si>
    <t>Harvard Services - 2022 - OBS Oct Acquisition - Private</t>
  </si>
  <si>
    <t>0064L00000DLVAn</t>
  </si>
  <si>
    <t>GTCR - Investment Advisor Due Diligence</t>
  </si>
  <si>
    <t>0064L000007VOmo</t>
  </si>
  <si>
    <t>Saratoga Benchmarking winback - Takeda</t>
  </si>
  <si>
    <t>Andi Elliott</t>
  </si>
  <si>
    <t>0064I00000y5b1K</t>
  </si>
  <si>
    <t>Talent Strategy (WFoF) #workforce</t>
  </si>
  <si>
    <t>0064L00000Bd654</t>
  </si>
  <si>
    <t>Leave Management Review</t>
  </si>
  <si>
    <t>0064L00000Bd64k</t>
  </si>
  <si>
    <t>eQMS Selection</t>
  </si>
  <si>
    <t>ERP Selection and Roadmap - Quality Support</t>
  </si>
  <si>
    <t>0064L00000DM7EZ</t>
  </si>
  <si>
    <t>Kate Pargetor</t>
  </si>
  <si>
    <t>0064L00000CYt8k</t>
  </si>
  <si>
    <t>Logistics Go to Market</t>
  </si>
  <si>
    <t>0064L00000CYt8a</t>
  </si>
  <si>
    <t>Ground Operations Excellence</t>
  </si>
  <si>
    <t>0064L00000BnU9s</t>
  </si>
  <si>
    <t>0064L000007YGkb</t>
  </si>
  <si>
    <t>Sentiment Analysis / Customer Insight</t>
  </si>
  <si>
    <t>0064L000003zQ1F</t>
  </si>
  <si>
    <t>Enterprise Services - Zero-based Budgeting #ZBB</t>
  </si>
  <si>
    <t>17/9/2020</t>
  </si>
  <si>
    <t>Katie Edwards</t>
  </si>
  <si>
    <t>0064L00000BnUA7</t>
  </si>
  <si>
    <t>0064L00000BoXEA</t>
  </si>
  <si>
    <t>Tech innovation in patient services</t>
  </si>
  <si>
    <t>0064L00000As7Uv</t>
  </si>
  <si>
    <t>Temple Health: Pharmacy Optimization *FFG*</t>
  </si>
  <si>
    <t>0064L00000As7Uu</t>
  </si>
  <si>
    <t>Christus Health: Pharmacy Optimization *FFG*</t>
  </si>
  <si>
    <t>0064L00000BnUF2</t>
  </si>
  <si>
    <t>The Nature Conservancy</t>
  </si>
  <si>
    <t>Phase 2 - Career Lattice Program</t>
  </si>
  <si>
    <t>0064L000009B7ux</t>
  </si>
  <si>
    <t>Customer Link - Segmentation</t>
  </si>
  <si>
    <t>Anoop Singh</t>
  </si>
  <si>
    <t>0064L00000As7Wm</t>
  </si>
  <si>
    <t>BJC HealthCare: Pharmacy Optimization *FFG*</t>
  </si>
  <si>
    <t>0064L00000As7Z1</t>
  </si>
  <si>
    <t>HonorHealth: Pharmacy Optimization *FFG*</t>
  </si>
  <si>
    <t>0064L00000BfMNn</t>
  </si>
  <si>
    <t>STD Program Analysis</t>
  </si>
  <si>
    <t>0064L00000As7Yh</t>
  </si>
  <si>
    <t>Multicare: Pharmacy Optimization *FFG*</t>
  </si>
  <si>
    <t>0064L00000As7ZG</t>
  </si>
  <si>
    <t>SSM Health: Pharmacy Optimization *FFG*</t>
  </si>
  <si>
    <t>0064L00000As7ZW</t>
  </si>
  <si>
    <t>Scripps Health: Pharmacy Optimization *FFG*</t>
  </si>
  <si>
    <t>0064L00000As7Za</t>
  </si>
  <si>
    <t>Northwell Health: Pharmacy Optimization *FFG*</t>
  </si>
  <si>
    <t>0064L00000BfN1Y</t>
  </si>
  <si>
    <t>KeyBank Sustainable Finance ESG</t>
  </si>
  <si>
    <t>Juan Fuentes Martin</t>
  </si>
  <si>
    <t>0064L000009B6Dd</t>
  </si>
  <si>
    <t>Qurate - Digital Value Creation #DVC</t>
  </si>
  <si>
    <t>0064L000004xQfh</t>
  </si>
  <si>
    <t>#QMS Kyowa Kirin - QRM Module Implementation</t>
  </si>
  <si>
    <t>0064L000009fs0d</t>
  </si>
  <si>
    <t>MetLife Stat Automation</t>
  </si>
  <si>
    <t>0064L00000DG3ks</t>
  </si>
  <si>
    <t>Nisource | ProEdge #Expansion</t>
  </si>
  <si>
    <t>0064L00000DFtq2</t>
  </si>
  <si>
    <t>280G Consulting pt 2</t>
  </si>
  <si>
    <t>0064L00000BdETA</t>
  </si>
  <si>
    <t>EOG Resources, Inc.</t>
  </si>
  <si>
    <t>ESG Reporting Strategy</t>
  </si>
  <si>
    <t>0064L00000BndZA</t>
  </si>
  <si>
    <t>ADM - Asset Optimization and Retirement</t>
  </si>
  <si>
    <t>0064L00000DFSXd</t>
  </si>
  <si>
    <t>EU Health Emergency Preparedness Plan Support</t>
  </si>
  <si>
    <t>Adam Fitzpatrick</t>
  </si>
  <si>
    <t>0064L00000CYaWW</t>
  </si>
  <si>
    <t>CDW - Finance Forward Phase 2</t>
  </si>
  <si>
    <t>0064L0000040s1v</t>
  </si>
  <si>
    <t>UBS Asset Management - Environmental, Social &amp; Governance (ESG)</t>
  </si>
  <si>
    <t>0064L000006AEOE</t>
  </si>
  <si>
    <t>Product Rationalization</t>
  </si>
  <si>
    <t>0064L00000Bmqzi</t>
  </si>
  <si>
    <t>Warsaw -  procurement contract review</t>
  </si>
  <si>
    <t>0064L00000BfmgC</t>
  </si>
  <si>
    <t>#TMTMSO - Change Management aaS</t>
  </si>
  <si>
    <t>0064L00000As719</t>
  </si>
  <si>
    <t>Coupa - Post implementation support #S&amp;P#POD</t>
  </si>
  <si>
    <t>0064L00000Bfmgk</t>
  </si>
  <si>
    <t>#TMTMSO - Learning Management</t>
  </si>
  <si>
    <t>0064L00000424Qb</t>
  </si>
  <si>
    <t>ASTELLAS PHARMA AUSTRALIA PTY LTD</t>
  </si>
  <si>
    <t>#QMS eQMS Vendor Selection</t>
  </si>
  <si>
    <t>0064L00000BgNjV</t>
  </si>
  <si>
    <t>Eleox LLC</t>
  </si>
  <si>
    <t>Blockchain Strategy</t>
  </si>
  <si>
    <t>0064L00000BoFCX</t>
  </si>
  <si>
    <t>Breakshit labs - Ongoing Support &amp; Delivery #metaverse</t>
  </si>
  <si>
    <t>0064L00000CYsBJ</t>
  </si>
  <si>
    <t>Akerman LLP</t>
  </si>
  <si>
    <t>Design and implementation of a partner cash balance plan</t>
  </si>
  <si>
    <t>0064L00000Bel0a</t>
  </si>
  <si>
    <t>Vornado Supplier Diversity</t>
  </si>
  <si>
    <t>0064L00000BnQfK</t>
  </si>
  <si>
    <t>Munson Healthcare</t>
  </si>
  <si>
    <t>0064L0000097Z36</t>
  </si>
  <si>
    <t>Lilac Services Ltd.</t>
  </si>
  <si>
    <t>Data Strategy &amp; Reporting</t>
  </si>
  <si>
    <t>0064L00000DMDy2</t>
  </si>
  <si>
    <t>Wittington Investments, Limited</t>
  </si>
  <si>
    <t>Merchandising Strategy</t>
  </si>
  <si>
    <t>0064L00000ArAyy</t>
  </si>
  <si>
    <t>Danaher Life Sciences Expanding Services Business</t>
  </si>
  <si>
    <t>0064L00000Behtp</t>
  </si>
  <si>
    <t>Alico Services Corp.</t>
  </si>
  <si>
    <t>0064L00000Behvb</t>
  </si>
  <si>
    <t>0064L00000BehvY</t>
  </si>
  <si>
    <t>1st Source Corporation</t>
  </si>
  <si>
    <t>0064L00000BehvX</t>
  </si>
  <si>
    <t>Flagstar Bancorp Inc.</t>
  </si>
  <si>
    <t>0064L00000BehvW</t>
  </si>
  <si>
    <t>OTTO BREMER FOUNDATION</t>
  </si>
  <si>
    <t>0064L00000Behw5</t>
  </si>
  <si>
    <t>FRB Customer Centricity Analytics Pilot</t>
  </si>
  <si>
    <t>0064L00000Behvg</t>
  </si>
  <si>
    <t>YOUNG CORPORATION</t>
  </si>
  <si>
    <t>0064L00000BnbqE</t>
  </si>
  <si>
    <t>StoneX - Payments Strategy</t>
  </si>
  <si>
    <t>0064I000011nWCS</t>
  </si>
  <si>
    <t>P66 - PRA Replacement Strategy</t>
  </si>
  <si>
    <t>14/1/2020</t>
  </si>
  <si>
    <t>0064L00000BlmpL</t>
  </si>
  <si>
    <t>0064L00000BowZd</t>
  </si>
  <si>
    <t>DEI Landscape Assessment</t>
  </si>
  <si>
    <t>0064L000009AE85</t>
  </si>
  <si>
    <t>BSC ESG as a Differentiator</t>
  </si>
  <si>
    <t>0064L00000CVgki</t>
  </si>
  <si>
    <t>#IOBP - Amgen PD Design Support</t>
  </si>
  <si>
    <t>0064L00000B22ed</t>
  </si>
  <si>
    <t>Equifax Inc.</t>
  </si>
  <si>
    <t>ProEdge in EWS</t>
  </si>
  <si>
    <t>0064L000009B6TI</t>
  </si>
  <si>
    <t>GRM Portfolio Review</t>
  </si>
  <si>
    <t>0064L00000DLSi8</t>
  </si>
  <si>
    <t>Smithfield ESG Assessment</t>
  </si>
  <si>
    <t>0064L00000D8l3g</t>
  </si>
  <si>
    <t>Responsible Supply Chain</t>
  </si>
  <si>
    <t>David Linich</t>
  </si>
  <si>
    <t>0064L000009g2A5</t>
  </si>
  <si>
    <t>CUNA:  Oracle In-bound ERP/EPM Opportunity  #ORACLE_INS</t>
  </si>
  <si>
    <t>0064L00000B2vf8</t>
  </si>
  <si>
    <t>MSR One Framework Support - Phase 3</t>
  </si>
  <si>
    <t>0064L00000DLSkd</t>
  </si>
  <si>
    <t>TGT - Retail Cost Management</t>
  </si>
  <si>
    <t>0064I00000qscZJ</t>
  </si>
  <si>
    <t>CCB CRM Assessment #Comm50B+</t>
  </si>
  <si>
    <t>21/3/2019</t>
  </si>
  <si>
    <t>0064L0000041Shz</t>
  </si>
  <si>
    <t>Chiesa Shahinian &amp; Giantomasi PC</t>
  </si>
  <si>
    <t>Cash Balance Plan Redesign</t>
  </si>
  <si>
    <t>0064L0000099lmW</t>
  </si>
  <si>
    <t>Covington &amp; Burling LLP</t>
  </si>
  <si>
    <t>PRT consultant to Cov client</t>
  </si>
  <si>
    <t>0064L00000AqpwY</t>
  </si>
  <si>
    <t>Vertex: VX-2030: Cell &amp; Gene Therapy Market Access</t>
  </si>
  <si>
    <t>0064L000003yXsW</t>
  </si>
  <si>
    <t>CVS LDTI Strategy</t>
  </si>
  <si>
    <t>Long Duration</t>
  </si>
  <si>
    <t>0064L00000DLS8F</t>
  </si>
  <si>
    <t>0064L00000Aqpxb</t>
  </si>
  <si>
    <t>Vertex: Supply Chain Resiliency</t>
  </si>
  <si>
    <t>0064L000009B4EA</t>
  </si>
  <si>
    <t>Legal &amp; General Group Plc</t>
  </si>
  <si>
    <t>State Tax Pension Reporting Requirements and</t>
  </si>
  <si>
    <t>0064L00000B20K2</t>
  </si>
  <si>
    <t>Hologic Treasury / Tax Structuring</t>
  </si>
  <si>
    <t>0064L00000CWzh6</t>
  </si>
  <si>
    <t>Yale New Haven Health System</t>
  </si>
  <si>
    <t>Yale FY21 Organ &amp; Beds *Strategic reimbursement*</t>
  </si>
  <si>
    <t>0064L00000DFc0F</t>
  </si>
  <si>
    <t>Forward Air Corporation</t>
  </si>
  <si>
    <t>FP&amp;A Operating Model</t>
  </si>
  <si>
    <t>0064L00000CYpLt</t>
  </si>
  <si>
    <t>BIAH - Equine Omnichannel Excellence (Phase 3)</t>
  </si>
  <si>
    <t>0064I00000zSfIb</t>
  </si>
  <si>
    <t>ESPP Administrative Oversight Support</t>
  </si>
  <si>
    <t>0064L00000Artek</t>
  </si>
  <si>
    <t>OrangeDot, Inc.</t>
  </si>
  <si>
    <t>Headspace Revenue Cycle Assessment *rev cycle*</t>
  </si>
  <si>
    <t>0064L00000DM4AK</t>
  </si>
  <si>
    <t>Artera_Emp Tax Merger Assistance_100K</t>
  </si>
  <si>
    <t>0064L00000CYpPC</t>
  </si>
  <si>
    <t>BIAH - Equine Omnichannel Excellence (Phase 4)</t>
  </si>
  <si>
    <t>0064L00000421hT</t>
  </si>
  <si>
    <t>Pension Actuarial Valuation</t>
  </si>
  <si>
    <t>Gina Uhrich</t>
  </si>
  <si>
    <t>0064L00000BnbTF</t>
  </si>
  <si>
    <t>Rapid Finance Diagnostic &amp; Roadmap</t>
  </si>
  <si>
    <t>0064I000015SqAU</t>
  </si>
  <si>
    <t>Beth Israel Lahey Health Inc.</t>
  </si>
  <si>
    <t>BILH // Virtual Care -Clin-Ops and Workflow</t>
  </si>
  <si>
    <t>Linda Craib</t>
  </si>
  <si>
    <t>0064L00000CYqUO</t>
  </si>
  <si>
    <t>S2P Technology Roadmap</t>
  </si>
  <si>
    <t>Pranav Sunil Gokhale</t>
  </si>
  <si>
    <t>0064L00000D8d0x</t>
  </si>
  <si>
    <t>Global COVID-19 LCM Workshop</t>
  </si>
  <si>
    <t>0064L00000ApcFM</t>
  </si>
  <si>
    <t>0064L00000BljmC</t>
  </si>
  <si>
    <t>Bridgewater Associates - Compensation and Benefits</t>
  </si>
  <si>
    <t>0064L00000Bp2Xh</t>
  </si>
  <si>
    <t>CBRE - IA&amp;R - Time Tracking Advice</t>
  </si>
  <si>
    <t>0064L00000DFhlz</t>
  </si>
  <si>
    <t>2022 TNC Compensation Review</t>
  </si>
  <si>
    <t>Emily Sinclair</t>
  </si>
  <si>
    <t>0064L00000DLFlU</t>
  </si>
  <si>
    <t>Enterprise Learning Org:  Training Intake &amp; Analysis Support</t>
  </si>
  <si>
    <t>0064L00000DFz0H</t>
  </si>
  <si>
    <t>Enterprise Learning Org:  Training Development Support</t>
  </si>
  <si>
    <t>0064L00000Bp0ma</t>
  </si>
  <si>
    <t>Secretaría de Comunicaciones y Transportes</t>
  </si>
  <si>
    <t>Estudio de mercado y actualizar ACB, Aeropuerto Tamuin</t>
  </si>
  <si>
    <t>0064L00000CW93Q</t>
  </si>
  <si>
    <t>Knowledge Transition Training</t>
  </si>
  <si>
    <t>0064L00000CVC7a</t>
  </si>
  <si>
    <t>Payroll and HR Compliance - SCOPE REVISION</t>
  </si>
  <si>
    <t>0064L00000BerhA</t>
  </si>
  <si>
    <t>Wec Energy Group, Inc.</t>
  </si>
  <si>
    <t>Resource Demand Model - POC</t>
  </si>
  <si>
    <t>0064L00000Bldb3</t>
  </si>
  <si>
    <t>2022 Pension Services</t>
  </si>
  <si>
    <t>Humza Khan</t>
  </si>
  <si>
    <t>0064L0000041PGe</t>
  </si>
  <si>
    <t>Grupo Jumex, S.A. de C.V.</t>
  </si>
  <si>
    <t>Finance RPA</t>
  </si>
  <si>
    <t>0064L00000DMEMT</t>
  </si>
  <si>
    <t>University of Miami *SMART* IP Renewal - FY23</t>
  </si>
  <si>
    <t>0064L00000DMENC</t>
  </si>
  <si>
    <t>UPMC - *SMART* IP &amp; OP Renewal - FY23</t>
  </si>
  <si>
    <t>0064L00000AqoS8</t>
  </si>
  <si>
    <t>Microsoft Surface Marketing Compete: Consumer Expansion</t>
  </si>
  <si>
    <t>0064L00000DLQ8I</t>
  </si>
  <si>
    <t>Carbon Footprint Estimation</t>
  </si>
  <si>
    <t>Allie Hunter</t>
  </si>
  <si>
    <t>0064L00000DMAYB</t>
  </si>
  <si>
    <t>Magna MMLE Plant Improvement Ph. 1 (Newaygo)</t>
  </si>
  <si>
    <t>0064L00000BfeeH</t>
  </si>
  <si>
    <t>Potential work after Progressive ESG Assurance</t>
  </si>
  <si>
    <t>0064L00000CXdtY</t>
  </si>
  <si>
    <t>Ballard Spahr LLP</t>
  </si>
  <si>
    <t>2022 Ballard Spahr Bonus Review</t>
  </si>
  <si>
    <t>0064L00000DLJuD</t>
  </si>
  <si>
    <t>Patterson Belknap Webb &amp; Tyler Llp</t>
  </si>
  <si>
    <t>2022-2024 Cash Balance Administration Services</t>
  </si>
  <si>
    <t>0064L00000BnyP5</t>
  </si>
  <si>
    <t>Microsoft "GSMO" Social Entrepreneurship Phase 2 - US Market Research</t>
  </si>
  <si>
    <t>0064L00000DM7HO</t>
  </si>
  <si>
    <t>#QMS Curia Burlington Metrics Support</t>
  </si>
  <si>
    <t>#QMS Curia Burlington - Ops Excellence Pullthrough</t>
  </si>
  <si>
    <t>0064L00000B2cPF</t>
  </si>
  <si>
    <t>Hilite Industries Inc.</t>
  </si>
  <si>
    <t>Hilite Employee Retention Credit</t>
  </si>
  <si>
    <t>Chris King</t>
  </si>
  <si>
    <t>0064L00000BfIQs</t>
  </si>
  <si>
    <t>American Chemical Society</t>
  </si>
  <si>
    <t>Katherine Briceno</t>
  </si>
  <si>
    <t>0064L00000DMEGI</t>
  </si>
  <si>
    <t>Mount Sinai Health System - *SMART* Consulting Renewal - FY23</t>
  </si>
  <si>
    <t>0064L00000DMEJt</t>
  </si>
  <si>
    <t>Regional West Health Services</t>
  </si>
  <si>
    <t>Regional West *SMART* IP License Renewal FY23</t>
  </si>
  <si>
    <t>0064L00000D8t1a</t>
  </si>
  <si>
    <t>*CI* Data Validation Report</t>
  </si>
  <si>
    <t>0064I00000u1oaG</t>
  </si>
  <si>
    <t>Conrad Indianapolis - IGP</t>
  </si>
  <si>
    <t>20/5/2019</t>
  </si>
  <si>
    <t>0064L00000DMEJb</t>
  </si>
  <si>
    <t>State of New York</t>
  </si>
  <si>
    <t>Suny Upstate Medical University - *SMART* IP Renewal - FY23</t>
  </si>
  <si>
    <t>0064L00000DFcmT</t>
  </si>
  <si>
    <t>Fisher Brothers Financial And Development Company L.p.</t>
  </si>
  <si>
    <t>A15 New Business Plan</t>
  </si>
  <si>
    <t>0064L00000D8za9</t>
  </si>
  <si>
    <t>Circle Internet Services, Inc.</t>
  </si>
  <si>
    <t>CircleCI Pay Equity 2022</t>
  </si>
  <si>
    <t>0064L00000DMEGz</t>
  </si>
  <si>
    <t>LCMC Health - *SMART* IP East Jefferson Facility Addition</t>
  </si>
  <si>
    <t>0064L00000Bnqct</t>
  </si>
  <si>
    <t>Centessa Pharmaceuticals plc</t>
  </si>
  <si>
    <t>Centessa FY22 Compensation Tax Matters</t>
  </si>
  <si>
    <t>0064I000011pIGv</t>
  </si>
  <si>
    <t>Rrh Corporation</t>
  </si>
  <si>
    <t>IGP - Doubletree Los Angeles Westside</t>
  </si>
  <si>
    <t>28/1/2020</t>
  </si>
  <si>
    <t>0064L00000DMEC9</t>
  </si>
  <si>
    <t>Pacific Maritime Association</t>
  </si>
  <si>
    <t>PMA 2021-2023 Forms 5500</t>
  </si>
  <si>
    <t>0064L00000DFciv</t>
  </si>
  <si>
    <t>NEXSTAR MEDIA GROUP, INC.</t>
  </si>
  <si>
    <t>2021 Forms 5500 - Nexstar / Tribune</t>
  </si>
  <si>
    <t>0064L00000DLrU0</t>
  </si>
  <si>
    <t>Dartmouth Health</t>
  </si>
  <si>
    <t>Dartmouth-Hitchcock - *SMART* IP Renewal - FY23</t>
  </si>
  <si>
    <t>0064I000011pII8</t>
  </si>
  <si>
    <t>Hines Interests Limited Partnership</t>
  </si>
  <si>
    <t>IGP - Conrad Washington DC</t>
  </si>
  <si>
    <t>0064I000011o2p9</t>
  </si>
  <si>
    <t>San Jose Hilton</t>
  </si>
  <si>
    <t>IGP - San Jose Hilton</t>
  </si>
  <si>
    <t>0064L00000AplpY</t>
  </si>
  <si>
    <t>Gates Stock Comp DTA support - IFRS</t>
  </si>
  <si>
    <t>0064L00000DLNPO</t>
  </si>
  <si>
    <t>Saratoga Benchmarking renewal - Cielo (License)</t>
  </si>
  <si>
    <t>Gracie Miller</t>
  </si>
  <si>
    <t>0064L00000DJiN5</t>
  </si>
  <si>
    <t>Yahoo - HR Analytics</t>
  </si>
  <si>
    <t>0064L00000BmvWI</t>
  </si>
  <si>
    <t>Twitter Inc.</t>
  </si>
  <si>
    <t>2022/2023 Global Equity Consulting</t>
  </si>
  <si>
    <t>Sonia Bhasin</t>
  </si>
  <si>
    <t>0064L00000DLVrj</t>
  </si>
  <si>
    <t>Spencer Stuart Star US Inc.</t>
  </si>
  <si>
    <t>Saratoba Benchmarking renewal license - Kincentric / Spencer Stuart</t>
  </si>
  <si>
    <t>0064L00000DMFZd</t>
  </si>
  <si>
    <t>Moderna Digital Medicine</t>
  </si>
  <si>
    <t>Ahmet Ozman</t>
  </si>
  <si>
    <t>0064L00000BlmxF</t>
  </si>
  <si>
    <t>FedEx ARCS Reporting</t>
  </si>
  <si>
    <t>0064L00000Bogtt</t>
  </si>
  <si>
    <t>Becle, S.A.B. de C.V.</t>
  </si>
  <si>
    <t>FY23-ESG Strategy-BECLE</t>
  </si>
  <si>
    <t>Cristian Jaramillo</t>
  </si>
  <si>
    <t>0064I000011o1il</t>
  </si>
  <si>
    <t>Heafey Group (florida) Inc.</t>
  </si>
  <si>
    <t>IGP - Conrad Fort Lauderdale</t>
  </si>
  <si>
    <t>16/1/2020</t>
  </si>
  <si>
    <t>0064L00000DLrUy</t>
  </si>
  <si>
    <t>The Guthrie Clinic</t>
  </si>
  <si>
    <t>Guthrie Healthcare System - *SMART* IP Renewal - FY23</t>
  </si>
  <si>
    <t>0064L00000DMEEQ</t>
  </si>
  <si>
    <t>Guthrie Healthcare System - *SMART* Consulting Renewal - FY23</t>
  </si>
  <si>
    <t>0064I000011pQ1P</t>
  </si>
  <si>
    <t>IGP - C Baldwin Hotel Houston</t>
  </si>
  <si>
    <t>0064I00000y8XsW</t>
  </si>
  <si>
    <t>Ecd Company Inc</t>
  </si>
  <si>
    <t>IGP - theWit Hotel</t>
  </si>
  <si>
    <t>0064L00000DFzG5</t>
  </si>
  <si>
    <t>Guidewire Software, Inc.</t>
  </si>
  <si>
    <t>Guidewire - FY2022/FY2023 Stock Based Comp Deferred Tax Asset Support</t>
  </si>
  <si>
    <t>0064L0000068w6g</t>
  </si>
  <si>
    <t>COLI financing SupeRoth Phase I</t>
  </si>
  <si>
    <t>Tobiah Mintz</t>
  </si>
  <si>
    <t>0064L00000CWcQa</t>
  </si>
  <si>
    <t>Wellington - WT - Providing subject-matter advice on a defined benefit plan</t>
  </si>
  <si>
    <t>0064L00000BebTH</t>
  </si>
  <si>
    <t>Lowe's Listening Strategy - Stay Program</t>
  </si>
  <si>
    <t>0064L00000BlxJj</t>
  </si>
  <si>
    <t>SVB Procurement/TPRM/Cyber Transformation PMO</t>
  </si>
  <si>
    <t>0064L000001uC9i</t>
  </si>
  <si>
    <t>MSFT RE&amp;S Operations Risk and Control Assessment - Advisory</t>
  </si>
  <si>
    <t>Stephen Little</t>
  </si>
  <si>
    <t>0064L00000D8cIG</t>
  </si>
  <si>
    <t>British Columbia Investment Management Corporation</t>
  </si>
  <si>
    <t>Technology Strategy Assessment</t>
  </si>
  <si>
    <t>Matt Nichols</t>
  </si>
  <si>
    <t>0064L00000CH2oV</t>
  </si>
  <si>
    <t>Finance change management continued support</t>
  </si>
  <si>
    <t>0064L00000CH2zY</t>
  </si>
  <si>
    <t>Fisher Investments, Inc.</t>
  </si>
  <si>
    <t>Leadership alignment</t>
  </si>
  <si>
    <t>0064L00000CY2Mq</t>
  </si>
  <si>
    <t>Shell Mobility Deal Support</t>
  </si>
  <si>
    <t>0064L00000CY2bg</t>
  </si>
  <si>
    <t>Coupa - Optimization</t>
  </si>
  <si>
    <t>0064L00000CYBHR</t>
  </si>
  <si>
    <t>DEVELOP MOBILIER INDUSTRIEL</t>
  </si>
  <si>
    <t>Finance Transformation Planning</t>
  </si>
  <si>
    <t>0064L000009AILO</t>
  </si>
  <si>
    <t>FP&amp;A Optimization (Anaplan)</t>
  </si>
  <si>
    <t>0064L00000DFWFd</t>
  </si>
  <si>
    <t>VIRGIN GROUP HOLDINGS LIMITED</t>
  </si>
  <si>
    <t>Financial-Model Support</t>
  </si>
  <si>
    <t>Jonas Niermann</t>
  </si>
  <si>
    <t>0064I00000q0uY1</t>
  </si>
  <si>
    <t>Intel Construction Fraud Program Support</t>
  </si>
  <si>
    <t>16/4/2019</t>
  </si>
  <si>
    <t>0064L00000CWnLI</t>
  </si>
  <si>
    <t>BX Insurance Outsource Assessment</t>
  </si>
  <si>
    <t>0064L00000Ar5CQ</t>
  </si>
  <si>
    <t>Qualified Plan Compliance Assistance</t>
  </si>
  <si>
    <t>0064I000011pora</t>
  </si>
  <si>
    <t>Design/Implementation of New DB Plans</t>
  </si>
  <si>
    <t>0064L000009fRAN</t>
  </si>
  <si>
    <t>Pinterest Inc.</t>
  </si>
  <si>
    <t>Content Moderation Assessment #Growth</t>
  </si>
  <si>
    <t>31/5/2022 4:36 pm</t>
  </si>
  <si>
    <t>0064L00000DJbSV</t>
  </si>
  <si>
    <t>Kinder - 280G 162m support - post diligence support</t>
  </si>
  <si>
    <t>Katie McGonigal</t>
  </si>
  <si>
    <t>Kanth Sishtla</t>
  </si>
  <si>
    <t>0064L00000Bogs7</t>
  </si>
  <si>
    <t>The Crawford Group Inc</t>
  </si>
  <si>
    <t>EFM - Fleet Process Improvement</t>
  </si>
  <si>
    <t>0064L000009AVxA</t>
  </si>
  <si>
    <t>Successor Employer Analysis</t>
  </si>
  <si>
    <t>Samuel Kalvass Jr</t>
  </si>
  <si>
    <t>0064L00000Bn2cD</t>
  </si>
  <si>
    <t>Evolving DEI in WFT</t>
  </si>
  <si>
    <t>0064L00000CY0C5</t>
  </si>
  <si>
    <t>Sheppard Mullin Richter &amp; Hampton</t>
  </si>
  <si>
    <t>DO NOT USE - WT - 2023 Actuarial Valuation for Sheppard Mullin Cash Balance Plan</t>
  </si>
  <si>
    <t>Shep Price</t>
  </si>
  <si>
    <t>0064L000009g0o3</t>
  </si>
  <si>
    <t>HP Inc. Employment Tax Refunds</t>
  </si>
  <si>
    <t>0064L00000CYb1A</t>
  </si>
  <si>
    <t>FY23 Beneficiary Financial Counseling</t>
  </si>
  <si>
    <t>0064L00000DM6If</t>
  </si>
  <si>
    <t>WT - 2023 Actuarial Valuation for Sheppard Mullin Cash Balance Plan</t>
  </si>
  <si>
    <t>0064L00000DM729</t>
  </si>
  <si>
    <t>Caresource Management Group</t>
  </si>
  <si>
    <t>Preventive Code Set Validation &amp; Compliance Assessment *Rev Cycle*</t>
  </si>
  <si>
    <t>0064L000009eq4E</t>
  </si>
  <si>
    <t>KKDC US Controllership Finance Value Accelerator</t>
  </si>
  <si>
    <t>24/6/2021</t>
  </si>
  <si>
    <t>Benjamin Vanderver</t>
  </si>
  <si>
    <t>0064L00000BowUO</t>
  </si>
  <si>
    <t>Udemy, Inc.</t>
  </si>
  <si>
    <t>FFG Org Design Insights</t>
  </si>
  <si>
    <t>0064L00000CWHnJ</t>
  </si>
  <si>
    <t>NATIONAL DISTRIBUTING COMPANY, Inc.</t>
  </si>
  <si>
    <t>2022 Employee Survey Support</t>
  </si>
  <si>
    <t>0064L00000DFRXc</t>
  </si>
  <si>
    <t>Team Polling Customization</t>
  </si>
  <si>
    <t>0064L00000AsEEN</t>
  </si>
  <si>
    <t>AG - ESG Assessment</t>
  </si>
  <si>
    <t>Jonathan Hatton</t>
  </si>
  <si>
    <t>0064L00000B33Ci</t>
  </si>
  <si>
    <t>MS IIS - Client Journey Map (2021) #WM</t>
  </si>
  <si>
    <t>0064L00000DMDko</t>
  </si>
  <si>
    <t>Hershey - International TPM Deployment CO1 - UAT Extension #RGM</t>
  </si>
  <si>
    <t>0064L0000041B3n</t>
  </si>
  <si>
    <t>Otsuka Holdings Co., Ltd.</t>
  </si>
  <si>
    <t>Trade Promotion Process Enhancements #RGM</t>
  </si>
  <si>
    <t>Brent Stolle</t>
  </si>
  <si>
    <t>0064L00000AqMNB</t>
  </si>
  <si>
    <t>Payroll Refund Review_$75K</t>
  </si>
  <si>
    <t>0064L00000Bg8gm</t>
  </si>
  <si>
    <t>Globe Life_Payroll Tax Process_$75K</t>
  </si>
  <si>
    <t>0064L00000DLrUa</t>
  </si>
  <si>
    <t>Fulton Dekalb Hospital Authority</t>
  </si>
  <si>
    <t>Grady Health - *SMART* IP Renewal - FY23</t>
  </si>
  <si>
    <t>0064L00000BocOZ</t>
  </si>
  <si>
    <t>Pepsico ESG Scope 3 Technology Deployment - Design - Sphera</t>
  </si>
  <si>
    <t>0064L00000AraDh</t>
  </si>
  <si>
    <t>PPP KYC Advisory</t>
  </si>
  <si>
    <t>16/11/2021 1:53 am</t>
  </si>
  <si>
    <t>0064L00000CXzqE</t>
  </si>
  <si>
    <t>MIcrosoft CO+I Compliance Org Design - Team offsite</t>
  </si>
  <si>
    <t>Natasha Ellis</t>
  </si>
  <si>
    <t>0064L00000D8vZF</t>
  </si>
  <si>
    <t>FINANCIERE PINAULT</t>
  </si>
  <si>
    <t>Broker RFP</t>
  </si>
  <si>
    <t>0064L00000CtjMk</t>
  </si>
  <si>
    <t>Professional Dashboard</t>
  </si>
  <si>
    <t>0064L00000B2pEM</t>
  </si>
  <si>
    <t>Fusion 2.0 BIA</t>
  </si>
  <si>
    <t>0064L00000CWx0I</t>
  </si>
  <si>
    <t>PAI PARTNERS</t>
  </si>
  <si>
    <t>Marcolin Chargeback Process Assessment *Pricing*</t>
  </si>
  <si>
    <t>0064L0000042A5m</t>
  </si>
  <si>
    <t>Recurring cash balance actuarial</t>
  </si>
  <si>
    <t>0064L00000BecUV</t>
  </si>
  <si>
    <t>Jazwares - SG&amp;A Overhead/Mgmt Services Allocation Study</t>
  </si>
  <si>
    <t>0064L00000DLNC0</t>
  </si>
  <si>
    <t>Marcolin Sample Process Assessment *Pricing*</t>
  </si>
  <si>
    <t>0064L00000D8TJo</t>
  </si>
  <si>
    <t>R2R Assessment - Accruals and Account Recs</t>
  </si>
  <si>
    <t>0064L00000BmHsp</t>
  </si>
  <si>
    <t>Anton Rupert Trust</t>
  </si>
  <si>
    <t>Richemont NA Pay Equity</t>
  </si>
  <si>
    <t>0064I000014M0OE</t>
  </si>
  <si>
    <t>*SMART* IP &amp; OP Coding Consulting Renewal - FY22</t>
  </si>
  <si>
    <t>18/4/2020</t>
  </si>
  <si>
    <t>0064L00000DJZ8x</t>
  </si>
  <si>
    <t>Alphaeon Corporation</t>
  </si>
  <si>
    <t>Evolus - FY23 Initial #ESG Prioritization and Roadmap</t>
  </si>
  <si>
    <t>0064L00000Bnouq</t>
  </si>
  <si>
    <t>FY23-360E-MobilityMkt-HONDA</t>
  </si>
  <si>
    <t>0064L00000DLqx7</t>
  </si>
  <si>
    <t>Feedzai Inc.</t>
  </si>
  <si>
    <t>2022 Compensation Consulting</t>
  </si>
  <si>
    <t>0064L00000CYLTj</t>
  </si>
  <si>
    <t>Rook Holdings, LLC</t>
  </si>
  <si>
    <t>Shift4 162(m) Consulting (2022)</t>
  </si>
  <si>
    <t>Michael Shapson</t>
  </si>
  <si>
    <t>0064L00000BoQS4</t>
  </si>
  <si>
    <t>Takeda HR Benchmarking and Saratoga</t>
  </si>
  <si>
    <t>0064L00000D8crq</t>
  </si>
  <si>
    <t>GREATER OMAHA PACKING CO. Inc.</t>
  </si>
  <si>
    <t>2022 LTI Design</t>
  </si>
  <si>
    <t>Katherine Devlin</t>
  </si>
  <si>
    <t>0064L00000Be0U7</t>
  </si>
  <si>
    <t>KKR - Data Ops Support Q3 2022</t>
  </si>
  <si>
    <t>0064L00000Be0UC</t>
  </si>
  <si>
    <t>KKR - Data Ops Support Q4 2022</t>
  </si>
  <si>
    <t>0064L00000Bl5JA</t>
  </si>
  <si>
    <t>VHOD API Development *Rev Cycle* *RC Tech*</t>
  </si>
  <si>
    <t>HI.HS.EV.2019 REVENUE CYCLE CONSORTIUM_04FY19</t>
  </si>
  <si>
    <t>Hardik Choksi</t>
  </si>
  <si>
    <t>0064I00000y7RdN</t>
  </si>
  <si>
    <t>Blanco Rio Ltd.</t>
  </si>
  <si>
    <t>IGP - Embassy Suites San Antonio Riverwalk</t>
  </si>
  <si>
    <t>0064I00000zTrsR</t>
  </si>
  <si>
    <t>MERIDEN LODGING ASSOCIATES LLC</t>
  </si>
  <si>
    <t>IGP - Hampton Inn South Plainfield and Hilton Garden Inn Wayne NJ</t>
  </si>
  <si>
    <t>24/12/2019</t>
  </si>
  <si>
    <t>0064L00000DFiAz</t>
  </si>
  <si>
    <t>Bain Capital Holdings, LP</t>
  </si>
  <si>
    <t>Quantum Golden Parachute Consulting</t>
  </si>
  <si>
    <t>Davin MacKenzie</t>
  </si>
  <si>
    <t>0064L00000CH0HK</t>
  </si>
  <si>
    <t>MSFT DLS FY23 H1 TR Lancaster</t>
  </si>
  <si>
    <t>Pauline Badarani</t>
  </si>
  <si>
    <t>0064L00000CXogS</t>
  </si>
  <si>
    <t>CDH Fund V, L.P.</t>
  </si>
  <si>
    <t>2022 Exec. Comp &amp; LTI Plan</t>
  </si>
  <si>
    <t>0064L00000DMEN2</t>
  </si>
  <si>
    <t>University of North Carolina Hospitals - *SMART* Consulting Renewal - FY23</t>
  </si>
  <si>
    <t>0064L00000DMEMK</t>
  </si>
  <si>
    <t>University Of Connecticut Health Center</t>
  </si>
  <si>
    <t>University of Connecticut Health - *SMART* IP Renewal - FY23</t>
  </si>
  <si>
    <t>0064L00000DLrYi</t>
  </si>
  <si>
    <t>Northwest Community Hospital</t>
  </si>
  <si>
    <t>Northwest Community Hospital - *SMART* IP License Renewal - FY23</t>
  </si>
  <si>
    <t>0064L00000CWG8K</t>
  </si>
  <si>
    <t>Aea International Holdings Pte. Ltd.</t>
  </si>
  <si>
    <t>Sales compensation consulting</t>
  </si>
  <si>
    <t>0064L00000D8XSV</t>
  </si>
  <si>
    <t>North Carolina Chapter - Workforce Planning</t>
  </si>
  <si>
    <t>0064L00000CXZXq</t>
  </si>
  <si>
    <t>MSA Safety Incorporated - Phase 1 - Gross Margin add-on</t>
  </si>
  <si>
    <t>0064L00000CXFsq</t>
  </si>
  <si>
    <t>Cerberus Capital Management LP</t>
  </si>
  <si>
    <t>NexTier - ESG Readiness 2022</t>
  </si>
  <si>
    <t>Recurring; Parent</t>
  </si>
  <si>
    <t>0064L00000D95V5</t>
  </si>
  <si>
    <t>Dole Food Company Inc.</t>
  </si>
  <si>
    <t>Export and Remeasurement Support</t>
  </si>
  <si>
    <t>0064L000001w4xg</t>
  </si>
  <si>
    <t>FCA US - Tier 2 Transparency #FFG</t>
  </si>
  <si>
    <t>0064L00000DMI4E</t>
  </si>
  <si>
    <t>NexTier - ESG Readiness 2022 v2</t>
  </si>
  <si>
    <t>24/7/2023</t>
  </si>
  <si>
    <t>Mike Spaniol</t>
  </si>
  <si>
    <t>0064L00000DMGK5</t>
  </si>
  <si>
    <t>Custom Survey Programming</t>
  </si>
  <si>
    <t>0064L00000CZ0Rf</t>
  </si>
  <si>
    <t>Peloton Interactive, Inc.</t>
  </si>
  <si>
    <t>Peloton Contract Remediation #S&amp;P</t>
  </si>
  <si>
    <t>0064L00000DMEKN</t>
  </si>
  <si>
    <t>South Nassau Communities Hospital</t>
  </si>
  <si>
    <t>South Nassau Community Hospital - SMART IP Renewal - FY23</t>
  </si>
  <si>
    <t>0064L00000DMEMJ</t>
  </si>
  <si>
    <t>University of Chicago - *SMART* IP Renewal - FY23</t>
  </si>
  <si>
    <t>0064L00000DLrUK</t>
  </si>
  <si>
    <t>Edward-Elmhurst Healthcare</t>
  </si>
  <si>
    <t>Edward-Elmhurst Health - *SMART* IP Renewal - FY23</t>
  </si>
  <si>
    <t>0064L00000CYTzC</t>
  </si>
  <si>
    <t>Alliance Resource Partners, LP</t>
  </si>
  <si>
    <t>PL - Actuarial Valuation &amp; Benefit Administration</t>
  </si>
  <si>
    <t>0064I00000zSOoD</t>
  </si>
  <si>
    <t>IGP - Hyatt HOTEL 50 BOWERY NYC</t>
  </si>
  <si>
    <t>0064L00000DLraT</t>
  </si>
  <si>
    <t>Phoebe Putney Health System Inc.</t>
  </si>
  <si>
    <t>Phoebe Putney Health - *SMART* IP Renewal - FY23</t>
  </si>
  <si>
    <t>0064L00000DMENE</t>
  </si>
  <si>
    <t>WakeMed Health &amp; Hospitals - *SMART* Consulting Renewal - FY23</t>
  </si>
  <si>
    <t>0064L00000DFaQf</t>
  </si>
  <si>
    <t>McDonald's Supplier -DEI Assessment</t>
  </si>
  <si>
    <t>0064L00000B2bxz</t>
  </si>
  <si>
    <t>Revenue Integrity Strategy *Rev Cycle*</t>
  </si>
  <si>
    <t>0064L00000DLNkY</t>
  </si>
  <si>
    <t>Florida Achievement Support Trust, LLC</t>
  </si>
  <si>
    <t>2022 Florida Achievement Support Trust Compensation Consulting</t>
  </si>
  <si>
    <t>0064L00000BoaEX</t>
  </si>
  <si>
    <t>Delta #ProEdge Opportunity - Production -FP&amp;A, Tax and Treasury</t>
  </si>
  <si>
    <t>0064L00000CWwM7</t>
  </si>
  <si>
    <t>Palomar Holdings Inc</t>
  </si>
  <si>
    <t>0064L0000099jDE</t>
  </si>
  <si>
    <t>AH Capital Management LLC.</t>
  </si>
  <si>
    <t>Andreessen Horowitz - Retirement Plan Design/Implementation (Workforce Transformation)</t>
  </si>
  <si>
    <t>0064L0000041Is7</t>
  </si>
  <si>
    <t>Mount Nittany Health System</t>
  </si>
  <si>
    <t>*SMART* License - Mount Nittany</t>
  </si>
  <si>
    <t>0064L0000040Bzt</t>
  </si>
  <si>
    <t>Esperion Therapeutics, Inc</t>
  </si>
  <si>
    <t>Esperion-Employment Tax Consulting-60K</t>
  </si>
  <si>
    <t>0064L000009BLWL</t>
  </si>
  <si>
    <t>Currency Billing Support - Phase 1</t>
  </si>
  <si>
    <t>0064L00000Bn4XE</t>
  </si>
  <si>
    <t>Avanos Medical, Inc.</t>
  </si>
  <si>
    <t>Avanos Compensation Tax Matters FY2022</t>
  </si>
  <si>
    <t>0064L00000CH0EG</t>
  </si>
  <si>
    <t>ALDI actuarial valuations - US (2022-2024)</t>
  </si>
  <si>
    <t>0064L00000DLFo9</t>
  </si>
  <si>
    <t>LCMC Health - *SMART* IP Facility Addition - Jefferson</t>
  </si>
  <si>
    <t>0064L00000DJRSL</t>
  </si>
  <si>
    <t>Starwood Property Trust Inc.</t>
  </si>
  <si>
    <t>ERG Playbook</t>
  </si>
  <si>
    <t>0064L00000DLVlM</t>
  </si>
  <si>
    <t>Saratoga Benchmarking renewal - Meta (Global) - no user data</t>
  </si>
  <si>
    <t>0064L000009Af9t</t>
  </si>
  <si>
    <t>RADV Validation and RADV Risk Mitigation</t>
  </si>
  <si>
    <t>0064L00000CVWAT</t>
  </si>
  <si>
    <t>Bates White LLC</t>
  </si>
  <si>
    <t>Cash balance plan design/implementation</t>
  </si>
  <si>
    <t>0064L00000DMDfy</t>
  </si>
  <si>
    <t>Crawford And Company</t>
  </si>
  <si>
    <t>Close Process Task Manager Automation</t>
  </si>
  <si>
    <t>0064L00000DMEHi</t>
  </si>
  <si>
    <t>Montefiore Health System - *SMART* Interface Conversion</t>
  </si>
  <si>
    <t>0064L00000CYq8C</t>
  </si>
  <si>
    <t>HR Maturity Assessment</t>
  </si>
  <si>
    <t>0064L00000D8ojk</t>
  </si>
  <si>
    <t>Analysis on Customer Data</t>
  </si>
  <si>
    <t>0064L00000D8QrI</t>
  </si>
  <si>
    <t>LDC Gas Management System Ohio Aug 2022 Change Order</t>
  </si>
  <si>
    <t>0064L00000DMEEy</t>
  </si>
  <si>
    <t>Crouse Health Hospital Inc.</t>
  </si>
  <si>
    <t>Crouse Health - *SMART* Inpatient Renewal - FY23</t>
  </si>
  <si>
    <t>0064L00000DMEJu</t>
  </si>
  <si>
    <t>Stony Brook University Hospital.</t>
  </si>
  <si>
    <t>Stony Brook University - *SMART* IP Renewal - FY23</t>
  </si>
  <si>
    <t>0064L00000DMEJd</t>
  </si>
  <si>
    <t>Tallahassee Memorial Healthcare</t>
  </si>
  <si>
    <t>Tallahassee Memorial - *SMART* IP License Renewal - FY23</t>
  </si>
  <si>
    <t>0064L00000D8tRd</t>
  </si>
  <si>
    <t>BD PFS traceability- stakeholders mapping - Phase 2 (Strategy)</t>
  </si>
  <si>
    <t>0064L00000D91ew</t>
  </si>
  <si>
    <t>IRMS Workers' Comp Review</t>
  </si>
  <si>
    <t>Stephen Fike</t>
  </si>
  <si>
    <t>0064L00000DMIds</t>
  </si>
  <si>
    <t>TotalMed Holdings, Inc.</t>
  </si>
  <si>
    <t>July 2022 409A Tax Consulting</t>
  </si>
  <si>
    <t>0064L00000CYR7c</t>
  </si>
  <si>
    <t>#QMS - Project Yellow (QMS Assessment)</t>
  </si>
  <si>
    <t>0064L00000DFSPF</t>
  </si>
  <si>
    <t>Payroll &amp; Employment Tax Compliance Review</t>
  </si>
  <si>
    <t>Katie Green</t>
  </si>
  <si>
    <t>0064L00000Bnqwe</t>
  </si>
  <si>
    <t>Dentsu Group Inc.</t>
  </si>
  <si>
    <t>#mxwebsourced - Dentsu Mexico - FY22 - Consultoría sobre ley de publicidad</t>
  </si>
  <si>
    <t>0064L000009AOgv</t>
  </si>
  <si>
    <t>State of Michigan</t>
  </si>
  <si>
    <t>MDHHS Job Fit Assessment 2022</t>
  </si>
  <si>
    <t>0064L00000BoOFc</t>
  </si>
  <si>
    <t>Ogden Cap Properties LLC.</t>
  </si>
  <si>
    <t>Ogden CAP Properties 2022 Health and Welfare Benefits Consulting</t>
  </si>
  <si>
    <t>Jay Harmon</t>
  </si>
  <si>
    <t>0064L00000DLrZo</t>
  </si>
  <si>
    <t>Mount Sinai Medical Center of Florida Inc. &amp; Miami Heart Institute</t>
  </si>
  <si>
    <t>Mount Sinai Medical Center - Miami - *SMART* IP Renewal - FY23</t>
  </si>
  <si>
    <t>0064L00000Bnoif</t>
  </si>
  <si>
    <t>Zebra Technologies Corporation</t>
  </si>
  <si>
    <t>Saratoga Benchmarking - Winback - Zebra Technologies</t>
  </si>
  <si>
    <t>0064L00000ArJTf</t>
  </si>
  <si>
    <t>ProEdge - Finance transformation support</t>
  </si>
  <si>
    <t>0064L00000CYU21</t>
  </si>
  <si>
    <t>Anta Investment Ltd.</t>
  </si>
  <si>
    <t>PL - Define Benefit Pension Administration &amp; Call Center &amp; Other Actuarial Services</t>
  </si>
  <si>
    <t>0064L00000DLVlV</t>
  </si>
  <si>
    <t>Saratoga Benchmarking renewal - Principal Life Insurance (Global)</t>
  </si>
  <si>
    <t>0064L00000D8ctw</t>
  </si>
  <si>
    <t>El Puerto de Liverpool, S.A.B. de C.V.</t>
  </si>
  <si>
    <t>Procesos Programa Lealtad</t>
  </si>
  <si>
    <t>Jose Maria Arteaga</t>
  </si>
  <si>
    <t>0064L00000BfQFP</t>
  </si>
  <si>
    <t>Fluor 2022 Stock-based Compensation Consulting</t>
  </si>
  <si>
    <t>0064L00000CYRPr</t>
  </si>
  <si>
    <t>Paul Mueller Company</t>
  </si>
  <si>
    <t>PL - Pension/Actuarial/Plan Administration Services</t>
  </si>
  <si>
    <t>0064I000011pIJ6</t>
  </si>
  <si>
    <t>Xenia Hotels &amp; Resorts, Inc.</t>
  </si>
  <si>
    <t>IGP - Waldorf Astoria Buckhead</t>
  </si>
  <si>
    <t>0064L00000D8xQ2</t>
  </si>
  <si>
    <t>WT Loan Staff 2022</t>
  </si>
  <si>
    <t>Lexie Li</t>
  </si>
  <si>
    <t>0064L00000BoJpf</t>
  </si>
  <si>
    <t>M&amp;T Bank Corporation</t>
  </si>
  <si>
    <t>2021 Form 5500 filings - Lazard/Wilmington</t>
  </si>
  <si>
    <t>Cindy Herendeen</t>
  </si>
  <si>
    <t>0064L00000CWcO0</t>
  </si>
  <si>
    <t>SEA TO SUMMIT PTY LTD</t>
  </si>
  <si>
    <t>Project Saints 280G</t>
  </si>
  <si>
    <t>Jake Kimball</t>
  </si>
  <si>
    <t>David Whitfield</t>
  </si>
  <si>
    <t>0064L00000Bmj9s</t>
  </si>
  <si>
    <t>Firsthealth Of The Carolinas, Inc.</t>
  </si>
  <si>
    <t>*SMART* License - FirstHealth of the Carolinas</t>
  </si>
  <si>
    <t>0064L00000BfeIf</t>
  </si>
  <si>
    <t>MUHealth Workforce Automation, Intelligent document ingestion</t>
  </si>
  <si>
    <t>0064L00000DJVks</t>
  </si>
  <si>
    <t>SentinelOne, Inc.</t>
  </si>
  <si>
    <t>Project Aardvark Purchase Accounting</t>
  </si>
  <si>
    <t>Chen Wu</t>
  </si>
  <si>
    <t>0064L0000070WPQ</t>
  </si>
  <si>
    <t>Non Qualified Pension Merger Feasibility Study</t>
  </si>
  <si>
    <t>0064L00000CXVBp</t>
  </si>
  <si>
    <t>USC FY22 Xover MBD Analysis *Strategic Reimbursement*</t>
  </si>
  <si>
    <t>0064L000009fY4W</t>
  </si>
  <si>
    <t>PI #Growth Model</t>
  </si>
  <si>
    <t>0064L00000BfeVU</t>
  </si>
  <si>
    <t>ProEdge -- MassMutual: HR</t>
  </si>
  <si>
    <t>0064L00000Bfdtp</t>
  </si>
  <si>
    <t>Protective Risk Taxonomy Refresh</t>
  </si>
  <si>
    <t>Melissa Card</t>
  </si>
  <si>
    <t>0064L00000CYjIZ</t>
  </si>
  <si>
    <t>ProEdge - Hyatt Hotels</t>
  </si>
  <si>
    <t>0064L00000D94BO</t>
  </si>
  <si>
    <t>Plantronics, Inc.</t>
  </si>
  <si>
    <t>Compensation Tax Consulting - Additional Fees #2</t>
  </si>
  <si>
    <t>0064L00000DJVyQ</t>
  </si>
  <si>
    <t>R&amp;D Delivery Model</t>
  </si>
  <si>
    <t>0064L00000BnL1Y</t>
  </si>
  <si>
    <t>AFA Pension Consulting Services</t>
  </si>
  <si>
    <t>0064L00000CVPFg</t>
  </si>
  <si>
    <t>YAGEO Corporation</t>
  </si>
  <si>
    <t>Kemet 404A Review - 2020 - 2021</t>
  </si>
  <si>
    <t>0064L00000BnKPt</t>
  </si>
  <si>
    <t>Shaw Industries Anaplan Implementation</t>
  </si>
  <si>
    <t>0064L00000CYioa</t>
  </si>
  <si>
    <t>RLI Corp.</t>
  </si>
  <si>
    <t>RLI_Emp Tax Consulting_$50K</t>
  </si>
  <si>
    <t>0064L00000BmjSG</t>
  </si>
  <si>
    <t>Cheyenne Regional Medical Center</t>
  </si>
  <si>
    <t>*SMART* License - Cheyenne Regional Medical Center</t>
  </si>
  <si>
    <t>0064L00000CYG7s</t>
  </si>
  <si>
    <t>Uniphore Technologies Inc.</t>
  </si>
  <si>
    <t>Equity Consulting</t>
  </si>
  <si>
    <t>0064L000007ub68</t>
  </si>
  <si>
    <t>CNG Rate Case - Pension Work</t>
  </si>
  <si>
    <t>0064L00000CWbUJ</t>
  </si>
  <si>
    <t>Project Darwin (Global trade opportunity)</t>
  </si>
  <si>
    <t>0064L000009fYRV</t>
  </si>
  <si>
    <t>Global Shared Services Phase I (Design)</t>
  </si>
  <si>
    <t>0064L00000CXwJg</t>
  </si>
  <si>
    <t>Adolfson &amp; Peterson INC.</t>
  </si>
  <si>
    <t>AP Construction 2022 Engagement Survey</t>
  </si>
  <si>
    <t>0064L00000BnInr</t>
  </si>
  <si>
    <t>AWS Reporting Dashboard</t>
  </si>
  <si>
    <t>Barbara Allen</t>
  </si>
  <si>
    <t>0064L000003zh6N</t>
  </si>
  <si>
    <t>ProEdge Opportunity #ProEdge</t>
  </si>
  <si>
    <t>0064L000009fij0</t>
  </si>
  <si>
    <t>Ceo Works LLC</t>
  </si>
  <si>
    <t>Saratoga Benchmarking License - CEO.works</t>
  </si>
  <si>
    <t>0064L00000D8rLb</t>
  </si>
  <si>
    <t>SMART Data Analytics Support</t>
  </si>
  <si>
    <t>0064L00000Bks21</t>
  </si>
  <si>
    <t>Vertex Pharma #ProEdge DEI</t>
  </si>
  <si>
    <t>0064L00000D8qoX</t>
  </si>
  <si>
    <t>Project Hilo</t>
  </si>
  <si>
    <t>Michael Giampa</t>
  </si>
  <si>
    <t>Scott Falkner</t>
  </si>
  <si>
    <t>0064L00000D8qsy</t>
  </si>
  <si>
    <t>Avid Technology Inc.</t>
  </si>
  <si>
    <t>Return to Office - People &amp; Places Strategy</t>
  </si>
  <si>
    <t>Ebony Washington</t>
  </si>
  <si>
    <t>0064L00000BonBt</t>
  </si>
  <si>
    <t>Spire Services Inc.</t>
  </si>
  <si>
    <t>Spire - Cyber Tabletop for Board Meeting</t>
  </si>
  <si>
    <t>CS_Cyber_Transformation_Defense_Resilience</t>
  </si>
  <si>
    <t>0064L000009g7LN</t>
  </si>
  <si>
    <t>Raymond James ProEdge Extension #ProEdge - Expansion</t>
  </si>
  <si>
    <t>0064L000007wSKr</t>
  </si>
  <si>
    <t>Trinet Group Inc</t>
  </si>
  <si>
    <t>Trinet #ProEdge</t>
  </si>
  <si>
    <t>0064L000002Zlx8</t>
  </si>
  <si>
    <t>Hines Technology Strategy</t>
  </si>
  <si>
    <t>0064L00000CXCH1</t>
  </si>
  <si>
    <t>Broadridge Financial Solutions, Inc.</t>
  </si>
  <si>
    <t>Broadridge - ProEdge</t>
  </si>
  <si>
    <t>0064L00000BfszC</t>
  </si>
  <si>
    <t>Navistar ESG Opportunity</t>
  </si>
  <si>
    <t>0064L00000CXCFt</t>
  </si>
  <si>
    <t>AG - ProEdge</t>
  </si>
  <si>
    <t>0064L000006VjLM</t>
  </si>
  <si>
    <t>LHC Group, Inc.</t>
  </si>
  <si>
    <t>LHC Group #ProEdge</t>
  </si>
  <si>
    <t>0064L00000DJTyd</t>
  </si>
  <si>
    <t>Project Pearl - ITDD</t>
  </si>
  <si>
    <t>Conrad Balejko</t>
  </si>
  <si>
    <t>Andrew Gardner</t>
  </si>
  <si>
    <t>0064L000002bcs1</t>
  </si>
  <si>
    <t>Kimball Employee Financial Wellness</t>
  </si>
  <si>
    <t>0064L000007GzxU</t>
  </si>
  <si>
    <t>Intel - ProEdge Learning Pilot</t>
  </si>
  <si>
    <t>0064L00000BgSaz</t>
  </si>
  <si>
    <t>THD Merchandising Enhancements</t>
  </si>
  <si>
    <t>0064L0000098sS7</t>
  </si>
  <si>
    <t>Total Rewards Labor Prep Support</t>
  </si>
  <si>
    <t>0064L000007xi2d</t>
  </si>
  <si>
    <t>Kobe H&amp;W Opportunity Assessment</t>
  </si>
  <si>
    <t>0064L0000069xGQ</t>
  </si>
  <si>
    <t>Google: YouTube Health Strategy</t>
  </si>
  <si>
    <t>Mark Viego</t>
  </si>
  <si>
    <t>0064L00000BepQ0</t>
  </si>
  <si>
    <t>CX Strategy</t>
  </si>
  <si>
    <t>0064L000002bTMI</t>
  </si>
  <si>
    <t>Guidewell Mutual Holding Corp.</t>
  </si>
  <si>
    <t>Triple S ProEdge #ProEdge</t>
  </si>
  <si>
    <t>0064L000007wSbE</t>
  </si>
  <si>
    <t>SCJ - Customer Advantage</t>
  </si>
  <si>
    <t>0064L000003zU1d</t>
  </si>
  <si>
    <t>#WFOD Platform Sign up</t>
  </si>
  <si>
    <t>0064L00000Bg1yG</t>
  </si>
  <si>
    <t>Bank Consolidation</t>
  </si>
  <si>
    <t>0064L00000BmTXF</t>
  </si>
  <si>
    <t>Mayo Clinic - #ProEdge Licenses (post trial) #ProEdgexOracle</t>
  </si>
  <si>
    <t>0064L00000AqUps</t>
  </si>
  <si>
    <t>BJC Healthcare #ProEdge 2.0</t>
  </si>
  <si>
    <t>Lindsey Lewis</t>
  </si>
  <si>
    <t>0064L00000AqUql</t>
  </si>
  <si>
    <t>Bill &amp; Melinda Gates Foundation</t>
  </si>
  <si>
    <t>Bill &amp; Melinda Gates Foundation #ProEdge</t>
  </si>
  <si>
    <t>Paul Leinwand</t>
  </si>
  <si>
    <t>F500_FY22_ProEdge_ProductCampaign</t>
  </si>
  <si>
    <t>0064L000009fSjT</t>
  </si>
  <si>
    <t>Incentive Compensation Management Platform</t>
  </si>
  <si>
    <t>0064L00000ArHUW</t>
  </si>
  <si>
    <t>Memorial Hermann Health System #ProEdge2.0</t>
  </si>
  <si>
    <t>0064L000002aMos</t>
  </si>
  <si>
    <t>Early Retirement Window - Pension Calculations 2021 Update</t>
  </si>
  <si>
    <t>0064L00000DFyhe</t>
  </si>
  <si>
    <t>Scripps Health - Health Cloud CTI Campaign Attribution</t>
  </si>
  <si>
    <t>Nicholas Parent</t>
  </si>
  <si>
    <t>0064L0000041hLg</t>
  </si>
  <si>
    <t>PNM Resources</t>
  </si>
  <si>
    <t>PNM Merger P&amp;O Consulting</t>
  </si>
  <si>
    <t>Erica Zoellner</t>
  </si>
  <si>
    <t>0064L00000CH27v</t>
  </si>
  <si>
    <t>Lockheed Martin RMS 2022 Pulse Survey</t>
  </si>
  <si>
    <t>0064L000009AILw</t>
  </si>
  <si>
    <t>HR Transformation opportunities</t>
  </si>
  <si>
    <t>0064L000009AILm</t>
  </si>
  <si>
    <t>Customer Transformation opportunities</t>
  </si>
  <si>
    <t>0064L0000070dhZ</t>
  </si>
  <si>
    <t>Valero Energy Corporation - #ProEdge</t>
  </si>
  <si>
    <t>0064L00000691eH</t>
  </si>
  <si>
    <t>Genentech Inc. #ProEdge</t>
  </si>
  <si>
    <t>0064L00000AqwJm</t>
  </si>
  <si>
    <t>ProEdge - Broader Enterprise Expansion</t>
  </si>
  <si>
    <t>0064L00000CV8p9</t>
  </si>
  <si>
    <t>National Minority Supplier Development Council, Inc.</t>
  </si>
  <si>
    <t>NMSDC Regional Council Award Automation Assessment</t>
  </si>
  <si>
    <t>Trent Houdek</t>
  </si>
  <si>
    <t>0064L00000DFhAF</t>
  </si>
  <si>
    <t>ProEdge - ConocoPhillips</t>
  </si>
  <si>
    <t>0064L00000CH0Ks</t>
  </si>
  <si>
    <t>EX Diagnostic Survey</t>
  </si>
  <si>
    <t>0064L00000DJQlq</t>
  </si>
  <si>
    <t>Amazon HR - #ProEdgexWorkforce</t>
  </si>
  <si>
    <t>0064L000007xfEW</t>
  </si>
  <si>
    <t>P32H ESG</t>
  </si>
  <si>
    <t>0064L00000CYCDN</t>
  </si>
  <si>
    <t>Workday POV</t>
  </si>
  <si>
    <t>0064L0000070dUR</t>
  </si>
  <si>
    <t>National Oilwell Varco Inc.</t>
  </si>
  <si>
    <t>National Oilwell Varco, Inc. - #ProEdge</t>
  </si>
  <si>
    <t>0064L000007xehN</t>
  </si>
  <si>
    <t>Expanded Swap Reporting review</t>
  </si>
  <si>
    <t>14/6/2021</t>
  </si>
  <si>
    <t>0064L00000CYshU</t>
  </si>
  <si>
    <t>Selective Insurance Group Inc.</t>
  </si>
  <si>
    <t>Selective_WT Consulting_50K</t>
  </si>
  <si>
    <t>0064L00000DLUzG</t>
  </si>
  <si>
    <t>L. L. Bean, Inc.</t>
  </si>
  <si>
    <t>L.L.Bean - DOL 95-1</t>
  </si>
  <si>
    <t>0064L00000Ar5A0</t>
  </si>
  <si>
    <t>Molina Healthcare #ProEdge</t>
  </si>
  <si>
    <t>0064L00000BfpCr</t>
  </si>
  <si>
    <t>FDX ShopRunner data monetization #Getyourducksinarow_FDX?</t>
  </si>
  <si>
    <t>0064L00000BnvzQ</t>
  </si>
  <si>
    <t>Project Ocean Global Equity Consulting</t>
  </si>
  <si>
    <t>0064L00000Blr6l</t>
  </si>
  <si>
    <t>#PayerAnalytics-MSFT Alliance-Care Mgmt for Centene #HVM #Alliance:MSFT</t>
  </si>
  <si>
    <t>0064L000009AEan</t>
  </si>
  <si>
    <t>Patient Experience</t>
  </si>
  <si>
    <t>0064L00000CY0U9</t>
  </si>
  <si>
    <t>Eaton Vance Corp.</t>
  </si>
  <si>
    <t>2022 Employee Survey</t>
  </si>
  <si>
    <t>0064L000004vp9X</t>
  </si>
  <si>
    <t>Otsuka America #ProEdge Finance Digital Upskilling</t>
  </si>
  <si>
    <t>16/12/2020</t>
  </si>
  <si>
    <t>0064L000004xdZl</t>
  </si>
  <si>
    <t>DTCC - ProEdge</t>
  </si>
  <si>
    <t>0064L00000DM8RN</t>
  </si>
  <si>
    <t>Harvest Partners Lp</t>
  </si>
  <si>
    <t>OnPoint - Application strategy review</t>
  </si>
  <si>
    <t>Jackie Kalocay Hogg</t>
  </si>
  <si>
    <t>0064L00000DM8Rc</t>
  </si>
  <si>
    <t>Fortis - ERP</t>
  </si>
  <si>
    <t>0064L00000DM7oh</t>
  </si>
  <si>
    <t>Portfolio Operations Advisory Support #IOBP</t>
  </si>
  <si>
    <t>0064L000009B81A</t>
  </si>
  <si>
    <t>Eli Lilly ProEdge Share for Central IT</t>
  </si>
  <si>
    <t>0064L00000B0pyr</t>
  </si>
  <si>
    <t>AMZN Finance:  Close Process Support</t>
  </si>
  <si>
    <t>0064L00000B0pz6</t>
  </si>
  <si>
    <t>AMZN Finance:  FX Conversion</t>
  </si>
  <si>
    <t>0064L00000Bogq1</t>
  </si>
  <si>
    <t>Snyk Limited</t>
  </si>
  <si>
    <t>Snyk _ WT _ Compensation Consulting incl tax FMV FY22</t>
  </si>
  <si>
    <t>0064L00000Bnw3r</t>
  </si>
  <si>
    <t>Reddit Global Equity Consulting</t>
  </si>
  <si>
    <t>0064L00000Arwh7</t>
  </si>
  <si>
    <t>Distribution Materials Demand Planning PM Support</t>
  </si>
  <si>
    <t>0064L00000DMGdC</t>
  </si>
  <si>
    <t>PwC SWEDEN</t>
  </si>
  <si>
    <t>Equity Incentives</t>
  </si>
  <si>
    <t>0064L00000BoyZU</t>
  </si>
  <si>
    <t>Nautic Partners LLC.</t>
  </si>
  <si>
    <t>Analytics and HR reporting assistance</t>
  </si>
  <si>
    <t>0064L000003yMS3</t>
  </si>
  <si>
    <t>RJF - Cash Strategy</t>
  </si>
  <si>
    <t>Gaurav Shenai</t>
  </si>
  <si>
    <t>0064L000004x2dg</t>
  </si>
  <si>
    <t>Blue Cross Blue Shield Nebraska</t>
  </si>
  <si>
    <t>BCBS Nebraska #ProEdge</t>
  </si>
  <si>
    <t>0064L00000BfoDZ</t>
  </si>
  <si>
    <t>Commonwealth Care Alliance - Medicare Workshop - Project Beanpot</t>
  </si>
  <si>
    <t>0064L00000BfoFu</t>
  </si>
  <si>
    <t>Liftoff Mobile_Employment Tax Consulting_$50K</t>
  </si>
  <si>
    <t>0064L00000CYPz7</t>
  </si>
  <si>
    <t>Medical Pricing Tool</t>
  </si>
  <si>
    <t>0064L00000CWn7m</t>
  </si>
  <si>
    <t>Change Support BAO &amp; MAC Rapid Assessment</t>
  </si>
  <si>
    <t>Jeanne Lambkin</t>
  </si>
  <si>
    <t>Paige Cero</t>
  </si>
  <si>
    <t>0064L00000BoyeK</t>
  </si>
  <si>
    <t>curology Inc.</t>
  </si>
  <si>
    <t>Curology - HR cultural enablement assessment</t>
  </si>
  <si>
    <t>0064L00000BcwD5</t>
  </si>
  <si>
    <t>Pangeo Holdings LLC</t>
  </si>
  <si>
    <t>EPM Anaplan SI Support</t>
  </si>
  <si>
    <t>0064L00000BnvhW</t>
  </si>
  <si>
    <t>Gilead: Transformation- ESG: Charitable Contribution Benchmarking #ESG</t>
  </si>
  <si>
    <t>Tiffany Chu</t>
  </si>
  <si>
    <t>0064L00000BoFgI</t>
  </si>
  <si>
    <t>Capital Blue Cross #ProEdge #ProEdgexAutomation</t>
  </si>
  <si>
    <t>0064L00000CVHYb</t>
  </si>
  <si>
    <t>2022 Ballard Spahr Pay Equity Analysis</t>
  </si>
  <si>
    <t>0064L00000BoUjC</t>
  </si>
  <si>
    <t>Benchmarking Support</t>
  </si>
  <si>
    <t>Mike Jones</t>
  </si>
  <si>
    <t>0064L000009B6DO</t>
  </si>
  <si>
    <t>Qurate - Supply Chain Transformation</t>
  </si>
  <si>
    <t>27/4/2022 9:43 pm</t>
  </si>
  <si>
    <t>0064L000002akxE</t>
  </si>
  <si>
    <t>#ProEdge Pilot</t>
  </si>
  <si>
    <t>AD_CA_WOF_CJ_WOF_NWNS_02FY21_PROEDGE DEMO REQUEST FORM</t>
  </si>
  <si>
    <t>0064L000004vLFr</t>
  </si>
  <si>
    <t>P32H #ProEdge ProEdgexAutomation</t>
  </si>
  <si>
    <t>ProEdge Targets Digital Upskilling Webcast</t>
  </si>
  <si>
    <t>0064L00000Bd3l0</t>
  </si>
  <si>
    <t>Arxada Services AG</t>
  </si>
  <si>
    <t>Arxada Hybrid Policy Review</t>
  </si>
  <si>
    <t>0064L000006Ay0c</t>
  </si>
  <si>
    <t>Worldwide Clinical Trials #ProEdge Trial</t>
  </si>
  <si>
    <t>0064L00000CYs6e</t>
  </si>
  <si>
    <t>Project PE Pack (IT &amp; Cyber) - US</t>
  </si>
  <si>
    <t>Nicole Thomas</t>
  </si>
  <si>
    <t>0064L000007wM3u</t>
  </si>
  <si>
    <t>CareFirst Regulatory/tax alignment</t>
  </si>
  <si>
    <t>0064L000007HUl0</t>
  </si>
  <si>
    <t>Bayer Corporation - #ProEdge</t>
  </si>
  <si>
    <t>0064L00000Bn0AC</t>
  </si>
  <si>
    <t>Time and Attendance Evaluation and Consolidation</t>
  </si>
  <si>
    <t>Alex Jebson</t>
  </si>
  <si>
    <t>0064L000002ZiDp</t>
  </si>
  <si>
    <t>PSEG ProEdge</t>
  </si>
  <si>
    <t>20/3/2021</t>
  </si>
  <si>
    <t>0064L000002ZiDk</t>
  </si>
  <si>
    <t>Spire ProEdge</t>
  </si>
  <si>
    <t>0064L000009g31x</t>
  </si>
  <si>
    <t>Morgan Stanley / Mortgage Application Celonis Use Case / $50,000 #FSProcessIntelligence</t>
  </si>
  <si>
    <t>0064L000006W5QL</t>
  </si>
  <si>
    <t>SCJ - IT Ops Strategy and Design</t>
  </si>
  <si>
    <t>20/2/2021</t>
  </si>
  <si>
    <t>0064L00000AqsDl</t>
  </si>
  <si>
    <t>NU PAGAMENTOS S.A. - INSTITUICAO DE PAGAMENTO</t>
  </si>
  <si>
    <t>2021 Nubank Global Equity Consulting</t>
  </si>
  <si>
    <t>0064L000004waDS</t>
  </si>
  <si>
    <t>Abbvie #ProEdge2.0</t>
  </si>
  <si>
    <t>0064L000009fsFZ</t>
  </si>
  <si>
    <t>Bristol Myers Squibb #ProEdge Finance - Expansion</t>
  </si>
  <si>
    <t>0064L00000BlLV3</t>
  </si>
  <si>
    <t>Incyte Corporation</t>
  </si>
  <si>
    <t>Supply Chain Assessment</t>
  </si>
  <si>
    <t>0064L00000DJNEF</t>
  </si>
  <si>
    <t>Retirement Plan Consulting</t>
  </si>
  <si>
    <t>0064L00000D8ZVl</t>
  </si>
  <si>
    <t>ProEdge through Global HR - July 2022</t>
  </si>
  <si>
    <t>0064L000004xS6g</t>
  </si>
  <si>
    <t>IR/GD Post deal HR Operating Model</t>
  </si>
  <si>
    <t>24/1/2021</t>
  </si>
  <si>
    <t>0064L00000DLcXw</t>
  </si>
  <si>
    <t>Pricing - 2020 / CPM Requirement Update Assistance</t>
  </si>
  <si>
    <t>0064L000006ygqD</t>
  </si>
  <si>
    <t>Staff DB plan projections refresh</t>
  </si>
  <si>
    <t>0064L00000BodqF</t>
  </si>
  <si>
    <t>Hillside Children's Center</t>
  </si>
  <si>
    <t>Time and Attendance &amp; FLSA Healthcheck</t>
  </si>
  <si>
    <t>0064L00000D8Xck</t>
  </si>
  <si>
    <t>Global Comm Ops: PRC Evaluation</t>
  </si>
  <si>
    <t>Elizabeth Otterman</t>
  </si>
  <si>
    <t>0064L00000Bnarq</t>
  </si>
  <si>
    <t>Blue Cross and Blue Shield of Arizona, Inc.</t>
  </si>
  <si>
    <t>BCBS AZ #ProEdge</t>
  </si>
  <si>
    <t>0064L00000BnasK</t>
  </si>
  <si>
    <t>Premera Blue Cross</t>
  </si>
  <si>
    <t>Premera Blue Cross #ProEdge</t>
  </si>
  <si>
    <t>0064L00000DMEE0</t>
  </si>
  <si>
    <t>Ascension Health - *SMART* Lourdes OP Expansion</t>
  </si>
  <si>
    <t>0064L00000Bn023</t>
  </si>
  <si>
    <t>Workday Next Level HR</t>
  </si>
  <si>
    <t>0064L00000DMEH1</t>
  </si>
  <si>
    <t>Northwell Health - *SMART* Product Enhancement</t>
  </si>
  <si>
    <t>0064L00000CYq4e</t>
  </si>
  <si>
    <t>Pearson PLC</t>
  </si>
  <si>
    <t>Sarah Tunku Mu'Tamir</t>
  </si>
  <si>
    <t>Katie Samargya</t>
  </si>
  <si>
    <t>0064L00000D8zok</t>
  </si>
  <si>
    <t>Coca Cola Workplace Insights</t>
  </si>
  <si>
    <t>0064L00000DM4Hk</t>
  </si>
  <si>
    <t>Included Health</t>
  </si>
  <si>
    <t>Telehealth Billing to Contractual Assessment *Rev Cycle*</t>
  </si>
  <si>
    <t>0064L00000D8ztB</t>
  </si>
  <si>
    <t>Anthem Workplace Experience Insights</t>
  </si>
  <si>
    <t>0064L00000DMEND</t>
  </si>
  <si>
    <t>WakeMed Health &amp; Hospitals - Abstract and Server Migration</t>
  </si>
  <si>
    <t>0064L000002Z2AS</t>
  </si>
  <si>
    <t>Defined Benefit Plan Redesign</t>
  </si>
  <si>
    <t>Sandy Guralnick</t>
  </si>
  <si>
    <t>0064L00000CVEQt</t>
  </si>
  <si>
    <t>Citrix NewCo Integration ESG</t>
  </si>
  <si>
    <t>0064L000004v8H8</t>
  </si>
  <si>
    <t>Ascom Holding AG</t>
  </si>
  <si>
    <t>ProEdge: Digital Upskilling in Automation-Phased - Expansion</t>
  </si>
  <si>
    <t>ProEdge: Digital Upskilling in Automation -- Free 30 Day Trial</t>
  </si>
  <si>
    <t>0064L00000BfHLX</t>
  </si>
  <si>
    <t>Beaver Dam Health Care Center</t>
  </si>
  <si>
    <t>Aegis Therapies 2022 Engagement Survey</t>
  </si>
  <si>
    <t>Christopher Ruppel</t>
  </si>
  <si>
    <t>0064L00000BmMEL</t>
  </si>
  <si>
    <t>Northshore University Healthsystem</t>
  </si>
  <si>
    <t>*SMART* License - NorthShore University HealthSystem</t>
  </si>
  <si>
    <t>0064L00000DLPwg</t>
  </si>
  <si>
    <t>Pulse Survey Support</t>
  </si>
  <si>
    <t>0064L00000Bd1JY</t>
  </si>
  <si>
    <t>AMZN Finance: Close Optimization</t>
  </si>
  <si>
    <t>0064L00000Bd1KM</t>
  </si>
  <si>
    <t>AMZN Finance: Finance University</t>
  </si>
  <si>
    <t>0064L00000CXZg8</t>
  </si>
  <si>
    <t>LSC_EIN Retention_$50K</t>
  </si>
  <si>
    <t>0064L000007YTqW</t>
  </si>
  <si>
    <t>Astronics Corporation</t>
  </si>
  <si>
    <t>Astronics employee retention credit</t>
  </si>
  <si>
    <t>15/8/2021 4:34 pm</t>
  </si>
  <si>
    <t>Brian Sabedra</t>
  </si>
  <si>
    <t>0064L00000DFqom</t>
  </si>
  <si>
    <t>HedgePoint Schweiz AG</t>
  </si>
  <si>
    <t>0064L00000Bnb1l</t>
  </si>
  <si>
    <t>Anthem #ProEdge Blues Campaign</t>
  </si>
  <si>
    <t>0064L000002Yso3</t>
  </si>
  <si>
    <t>Ascension Health - *SMART* Abstract Migration Fees - Michigan Ministries</t>
  </si>
  <si>
    <t>0064L00000B2SH6</t>
  </si>
  <si>
    <t>ED Coding Education &amp; Training (extension of Telehealth Work) *Rev Cycle*</t>
  </si>
  <si>
    <t>0064L00000Bnb5Y</t>
  </si>
  <si>
    <t>BCBS of Minnesota #ProEdge</t>
  </si>
  <si>
    <t>0064L000002Ysnt</t>
  </si>
  <si>
    <t>Montefiore Health System - *SMART* HL7 and AD Conversion Fees</t>
  </si>
  <si>
    <t>0064L00000DJnG5</t>
  </si>
  <si>
    <t>Private Equity &amp; Tactical Opportunities Fund Administration RFI Refresh</t>
  </si>
  <si>
    <t>0064L000001uHXf</t>
  </si>
  <si>
    <t>TD: Disputes and Chargebacks</t>
  </si>
  <si>
    <t>0064L000007xO5d</t>
  </si>
  <si>
    <t>GA Digital Upskilling ProEdge</t>
  </si>
  <si>
    <t>0064L000007xO4z</t>
  </si>
  <si>
    <t>GA - Annuity</t>
  </si>
  <si>
    <t>John Sadak</t>
  </si>
  <si>
    <t>0064L000007xO4f</t>
  </si>
  <si>
    <t>GA - Distribution Model of the Future</t>
  </si>
  <si>
    <t>0064L00000D8XWm</t>
  </si>
  <si>
    <t>Finance Transformation Digital Day</t>
  </si>
  <si>
    <t>0064L00000AraQp</t>
  </si>
  <si>
    <t>Healthfirst Project Ventura - Spans and Layers PLUS RTW   - August 2022</t>
  </si>
  <si>
    <t>0064L00000CWwut</t>
  </si>
  <si>
    <t>Impossible Foods Inc.</t>
  </si>
  <si>
    <t>Compensation Tax Consulting</t>
  </si>
  <si>
    <t>0064L00000Bobgr</t>
  </si>
  <si>
    <t>Roche - external workforce value case advisory support</t>
  </si>
  <si>
    <t>0064L00000Bo0Dz</t>
  </si>
  <si>
    <t>Bronson Healthcare Group INC.</t>
  </si>
  <si>
    <t>*SMART* License - Bronson Healthcare Group Inc.</t>
  </si>
  <si>
    <t>0064L00000BewRH</t>
  </si>
  <si>
    <t>Sakata Inx Corporation</t>
  </si>
  <si>
    <t>Zilliant Pricing</t>
  </si>
  <si>
    <t>0064L000006yebo</t>
  </si>
  <si>
    <t>Cambia Health Solutions #ProEdge</t>
  </si>
  <si>
    <t>0064L00000Bf6d1</t>
  </si>
  <si>
    <t>ConocoPhillips - ESG - GHG Emissions Corporate Governance Document</t>
  </si>
  <si>
    <t>0064L000004v88k</t>
  </si>
  <si>
    <t>Secondment Program</t>
  </si>
  <si>
    <t>0064L00000D95tv</t>
  </si>
  <si>
    <t>Microsoft Industry Solutions Hiring Operations</t>
  </si>
  <si>
    <t>Stephen Coyle</t>
  </si>
  <si>
    <t>0064L000002Z2A8</t>
  </si>
  <si>
    <t>Elective Allocation Plan</t>
  </si>
  <si>
    <t>0064L00000DJkVB</t>
  </si>
  <si>
    <t>Lucid ESG Human Rights Policy</t>
  </si>
  <si>
    <t>0064L00000BfWSV</t>
  </si>
  <si>
    <t>Remington Hotel Corporation</t>
  </si>
  <si>
    <t>Employee Financial Wellness program</t>
  </si>
  <si>
    <t>17/3/2023</t>
  </si>
  <si>
    <t>Coleen Peters</t>
  </si>
  <si>
    <t>0064L00000Bp2Mt</t>
  </si>
  <si>
    <t>Salaried Compensation Support - LATAM</t>
  </si>
  <si>
    <t>James Grady</t>
  </si>
  <si>
    <t>0064L00000D8xGW</t>
  </si>
  <si>
    <t>LendLease Corporation Limited</t>
  </si>
  <si>
    <t>Campus Business Case</t>
  </si>
  <si>
    <t>0064L00000D8xH0</t>
  </si>
  <si>
    <t>0064L00000BoPpH</t>
  </si>
  <si>
    <t>ProEdge for AT&amp;T</t>
  </si>
  <si>
    <t>0064L00000Bors8</t>
  </si>
  <si>
    <t>HIG GB - Art of the possible in the #metaverse</t>
  </si>
  <si>
    <t>0064L00000D8VFZ</t>
  </si>
  <si>
    <t>Golden Gate Capital LP</t>
  </si>
  <si>
    <t>FY23 WT compensation consulting _ tuition assistance</t>
  </si>
  <si>
    <t>0064L000004xpXO</t>
  </si>
  <si>
    <t>Providence Health &amp; Services #ProEdge</t>
  </si>
  <si>
    <t>0064L00000CXjNL</t>
  </si>
  <si>
    <t>Coupa Extended Hypercare</t>
  </si>
  <si>
    <t>0064L00000CXHLP</t>
  </si>
  <si>
    <t>Coupa Healthcheck</t>
  </si>
  <si>
    <t>0064L00000CYmQg</t>
  </si>
  <si>
    <t>Necco Holding Company I, Inc.</t>
  </si>
  <si>
    <t>0064L000004xO4U</t>
  </si>
  <si>
    <t>Terrain Insight - WMAP Benefits Realisation</t>
  </si>
  <si>
    <t>Paul Chew</t>
  </si>
  <si>
    <t>0064L00000Bnq8K</t>
  </si>
  <si>
    <t>ProEdge @ Schwab #ProEdgexWorkforce</t>
  </si>
  <si>
    <t>0064L00000CXHLy</t>
  </si>
  <si>
    <t>Chip Shortage Strategy</t>
  </si>
  <si>
    <t>0064L00000DJZcP</t>
  </si>
  <si>
    <t>Ad Hoc Accounting Advisory</t>
  </si>
  <si>
    <t>0064L00000BnMzK</t>
  </si>
  <si>
    <t>SINGING RIVER HEALTH SYSTEM FOUNDATION</t>
  </si>
  <si>
    <t>*SMART* License - Singing River Health System</t>
  </si>
  <si>
    <t>0064L00000B2PRp</t>
  </si>
  <si>
    <t>ProEdge for Ross Stores</t>
  </si>
  <si>
    <t>0064L000004vige</t>
  </si>
  <si>
    <t>Intermountain Healthcare #ProEdge</t>
  </si>
  <si>
    <t>0064L00000CXhXi</t>
  </si>
  <si>
    <t>Stone Point Capital LLC</t>
  </si>
  <si>
    <t>Ascensus Supplier Diversity Phase I Program Design #ESG #S&amp;P</t>
  </si>
  <si>
    <t>0064L00000D8Szs</t>
  </si>
  <si>
    <t>Southwest Airlines | ESG | Gender Identify Program</t>
  </si>
  <si>
    <t>0064L0000070Z4L</t>
  </si>
  <si>
    <t>DEUTSCHE BANK AKTIENGESELLSCHAFT - #ProEdge</t>
  </si>
  <si>
    <t>John Garvey</t>
  </si>
  <si>
    <t>0064L00000Be0mB</t>
  </si>
  <si>
    <t>Phil, Inc.</t>
  </si>
  <si>
    <t>Phil Pharmacy Strategic Planning</t>
  </si>
  <si>
    <t>0064L00000D96DR</t>
  </si>
  <si>
    <t>BX Credit RFI Refresh 2022</t>
  </si>
  <si>
    <t>0064L00000CWTfQ</t>
  </si>
  <si>
    <t>FIS + PwC Hyundai Asset Finance Opportunity</t>
  </si>
  <si>
    <t>0064L000006if5k</t>
  </si>
  <si>
    <t>BCBS Arkansas #ProEdge #ProEdgexAutomation</t>
  </si>
  <si>
    <t>0064L000003zi2C</t>
  </si>
  <si>
    <t>SCJ - Deals - M&amp;A Playbooks and Accelerators Design</t>
  </si>
  <si>
    <t>0064L0000070YDk</t>
  </si>
  <si>
    <t>Saratoga Benchmarking - KKR &amp; Various Portcos</t>
  </si>
  <si>
    <t>0064L00000DLOIL</t>
  </si>
  <si>
    <t>Clarify Health Solutions Inc.</t>
  </si>
  <si>
    <t>2022 Secondary Sales</t>
  </si>
  <si>
    <t>0064L00000CXFqk</t>
  </si>
  <si>
    <t>Playa Hotels &amp; Resorts N.V.</t>
  </si>
  <si>
    <t>Stock Comp Support</t>
  </si>
  <si>
    <t>0064L00000BlETd</t>
  </si>
  <si>
    <t>Hinshaw &amp; Culbertson Llp</t>
  </si>
  <si>
    <t>Hinshaw &amp; Culbertson - H&amp;W Benefits Assessment</t>
  </si>
  <si>
    <t>0064L000004vWQN</t>
  </si>
  <si>
    <t>Hawaii Medical Service Assn #ProEdge2.0</t>
  </si>
  <si>
    <t>Digital on Demand Launch - Outbound</t>
  </si>
  <si>
    <t>0064L00000DJXKr</t>
  </si>
  <si>
    <t>Real Estate Funds RFI 2022</t>
  </si>
  <si>
    <t>0064L00000D8cyc</t>
  </si>
  <si>
    <t>*CI* SGU Post Accreditation Support</t>
  </si>
  <si>
    <t>0064L00000Bmjck</t>
  </si>
  <si>
    <t>Methodist Health System</t>
  </si>
  <si>
    <t>*SMART* License - Nebraska Methodist Health System</t>
  </si>
  <si>
    <t>0064L00000BnKgz</t>
  </si>
  <si>
    <t>Brightspeed Anaplan Implementation</t>
  </si>
  <si>
    <t>0064L00000Bm8GJ</t>
  </si>
  <si>
    <t>Centric Brands #ProEdge Opportunity</t>
  </si>
  <si>
    <t>0064L000004vxnd</t>
  </si>
  <si>
    <t>KKR - ProEdge Opportunity #ProEdge</t>
  </si>
  <si>
    <t>0064L00000Bp13l</t>
  </si>
  <si>
    <t>0064L000009BAMA</t>
  </si>
  <si>
    <t>PPL Kentucky Account Reconciliations and Close Management</t>
  </si>
  <si>
    <t>0064L00000BoNuo</t>
  </si>
  <si>
    <t>The University Of Kansas Hospital Authority</t>
  </si>
  <si>
    <t>*SMART* License - The University of Kansas Health System</t>
  </si>
  <si>
    <t>0064L00000Be0XB</t>
  </si>
  <si>
    <t>Amstead Employee Financial Wellness Program</t>
  </si>
  <si>
    <t>Andrew Amelio</t>
  </si>
  <si>
    <t>0064L00000Blz78</t>
  </si>
  <si>
    <t>CSL Behring #ProEdge Qtrly True Up #2</t>
  </si>
  <si>
    <t>0064L00000Blz6y</t>
  </si>
  <si>
    <t>CSL Behring #ProEdge Qtrly True Up #1</t>
  </si>
  <si>
    <t>0064L00000DMEOA</t>
  </si>
  <si>
    <t>Arnot Ogden Hospital</t>
  </si>
  <si>
    <t>Arnot Ogden - *SMART* IP License Renewal - FY23</t>
  </si>
  <si>
    <t>0064L00000D97lj</t>
  </si>
  <si>
    <t>The American Association Of Motor Vehicle Administrators</t>
  </si>
  <si>
    <t>2022 AAMVA Employee Engagement Survey</t>
  </si>
  <si>
    <t>Jamie Strong</t>
  </si>
  <si>
    <t>0064L00000CVWAs</t>
  </si>
  <si>
    <t>Technology roadmap and value proposition #PayerCO&amp;ITrans</t>
  </si>
  <si>
    <t>0064L00000BoQZe</t>
  </si>
  <si>
    <t>MSFT HR FY22 BEX OD PMO Support</t>
  </si>
  <si>
    <t>0064L00000BfXiZ</t>
  </si>
  <si>
    <t>Grupo Valoran S.A. de C.V.</t>
  </si>
  <si>
    <t>Asesoría en Bonos Verdes</t>
  </si>
  <si>
    <t>Jorge Pedroza</t>
  </si>
  <si>
    <t>0064L00000BfFqd</t>
  </si>
  <si>
    <t>Customer Centricity</t>
  </si>
  <si>
    <t>0064L000009g2xM</t>
  </si>
  <si>
    <t>Process Intelligence - Lala</t>
  </si>
  <si>
    <t>0064L00000D8Xdi</t>
  </si>
  <si>
    <t>Robotic Process Automation</t>
  </si>
  <si>
    <t>0064I000011o1YC</t>
  </si>
  <si>
    <t>MMS Grp.</t>
  </si>
  <si>
    <t>IGP - Zemi Beach House Anguilla</t>
  </si>
  <si>
    <t>0064L000009AO2M</t>
  </si>
  <si>
    <t>Maximus, Inc.</t>
  </si>
  <si>
    <t>ProEdge  - L&amp;D</t>
  </si>
  <si>
    <t>0064L00000D8XSk</t>
  </si>
  <si>
    <t>Building 25/26 Construction Project Assessment</t>
  </si>
  <si>
    <t>William Roach</t>
  </si>
  <si>
    <t>0064L000001wM4u</t>
  </si>
  <si>
    <t>Saratoga Benchmarking Renewal - Standard Insurance Company</t>
  </si>
  <si>
    <t>15/8/2020</t>
  </si>
  <si>
    <t>0064L00000DMB8s</t>
  </si>
  <si>
    <t>Institute Of Nuclear Power Operatio</t>
  </si>
  <si>
    <t>INPO 2023 Engagement Survey</t>
  </si>
  <si>
    <t>Abraham Gibbons</t>
  </si>
  <si>
    <t>0064L00000BckEo</t>
  </si>
  <si>
    <t>Warner Bros. Discovery, Inc.</t>
  </si>
  <si>
    <t>Dual Downlink Current State Assessment</t>
  </si>
  <si>
    <t>0064I00000y7RBn</t>
  </si>
  <si>
    <t>Pacifica Companies LLC.</t>
  </si>
  <si>
    <t>IGP - Hilton Stockton</t>
  </si>
  <si>
    <t>0064L00000CYTq0</t>
  </si>
  <si>
    <t>Entrust Corporation</t>
  </si>
  <si>
    <t>PL - Benefit Administration &amp; Call Center Actuarial Services</t>
  </si>
  <si>
    <t>0064L00000DLhrN</t>
  </si>
  <si>
    <t>Academy Of Motion Picture Art And S</t>
  </si>
  <si>
    <t>2022 Executive Compensation Consulting</t>
  </si>
  <si>
    <t>0064L00000BehNy</t>
  </si>
  <si>
    <t>Swbc</t>
  </si>
  <si>
    <t>0064L00000D8zc1</t>
  </si>
  <si>
    <t>PepsiCo Canada Labor Summary</t>
  </si>
  <si>
    <t>Lauren Bauer</t>
  </si>
  <si>
    <t>0064L00000DMEIl</t>
  </si>
  <si>
    <t>Northwell Health - *SMART* Server Migration</t>
  </si>
  <si>
    <t>0064L00000DMELH</t>
  </si>
  <si>
    <t>TMH - *SMART* Coding Consulting Renewal - FY23</t>
  </si>
  <si>
    <t>0064L00000DLViu</t>
  </si>
  <si>
    <t>Saratoga Benchmarking renewal - Kaiser - no user data</t>
  </si>
  <si>
    <t>0064L00000DMDlS</t>
  </si>
  <si>
    <t>Makena Capital Management LLC</t>
  </si>
  <si>
    <t>Makena WT Actuarial Valuation Services 2021 Plan Year</t>
  </si>
  <si>
    <t>0064L000004vVBQ</t>
  </si>
  <si>
    <t>Tampa General Hospital *VBO*</t>
  </si>
  <si>
    <t>30/8/2021 8:05 pm</t>
  </si>
  <si>
    <t>0064L00000CWI6g</t>
  </si>
  <si>
    <t>Saratoga Benchmarking - UC Davis</t>
  </si>
  <si>
    <t>0064L00000CVBJz</t>
  </si>
  <si>
    <t>Saratoga Benchmarking - Novo Nordisk</t>
  </si>
  <si>
    <t>AD_CA_WOF_CJ_WOF_NWNS_06FY21_SARATOGA LANDING PAGE</t>
  </si>
  <si>
    <t>0064L00000D8rDx</t>
  </si>
  <si>
    <t>The Ohio State University</t>
  </si>
  <si>
    <t>Saratoga Benchmarking - Winback - OSU Wexner Medical Center</t>
  </si>
  <si>
    <t>FW_PT_AA_4569_TRANSFORM_WF_NA_07FY23_SARATOGA LANDING PAGE</t>
  </si>
  <si>
    <t>0064L00000DLVxE</t>
  </si>
  <si>
    <t>University Of Iowa Hospitals and Clinics</t>
  </si>
  <si>
    <t>Saratoga Benchmarking multiyear (2 of 3) - University of Iowa Health</t>
  </si>
  <si>
    <t>Talia Rozensher</t>
  </si>
  <si>
    <t>0064L000001uCD6</t>
  </si>
  <si>
    <t>0064L00000DFZ9T</t>
  </si>
  <si>
    <t>Project Bronco - HR Diligence</t>
  </si>
  <si>
    <t>Kyle Dilcher</t>
  </si>
  <si>
    <t>0064L00000CY2S0</t>
  </si>
  <si>
    <t>ACERINOX, S.A.</t>
  </si>
  <si>
    <t>2022 Safety Survey</t>
  </si>
  <si>
    <t>0064L000004vQ6Q</t>
  </si>
  <si>
    <t>Unnico Consulting &amp; Investments LLC</t>
  </si>
  <si>
    <t>Saratoga Benchmarking (License) - UnniCo</t>
  </si>
  <si>
    <t>0064L00000BnWMF</t>
  </si>
  <si>
    <t>TNT Crust LLC</t>
  </si>
  <si>
    <t>0064L00000CYtVo</t>
  </si>
  <si>
    <t>Pre-Sales Support Benchmarking #TMTPricing</t>
  </si>
  <si>
    <t>0064L00000DFRv0</t>
  </si>
  <si>
    <t>Robinson &amp; Diss Pc</t>
  </si>
  <si>
    <t>2022 Robinson &amp; Diss Compensation Consulting</t>
  </si>
  <si>
    <t>0064L00000CVFmg</t>
  </si>
  <si>
    <t>Mirum CGT Scheduling tool</t>
  </si>
  <si>
    <t>0064L00000CWGlL</t>
  </si>
  <si>
    <t>American Jewish Congress</t>
  </si>
  <si>
    <t>AJCongress - 2022 pension actuarial services</t>
  </si>
  <si>
    <t>Ivy Kessler</t>
  </si>
  <si>
    <t>0064L00000DG1Qv</t>
  </si>
  <si>
    <t>China Cloud Offering Survey #TMTPricing</t>
  </si>
  <si>
    <t>0064L00000CXZto</t>
  </si>
  <si>
    <t>Fabric Inc.</t>
  </si>
  <si>
    <t>May 2022 Secondary</t>
  </si>
  <si>
    <t>0064L00000Bf6Py</t>
  </si>
  <si>
    <t>0064L00000BcqVm</t>
  </si>
  <si>
    <t>Total Rewards Training</t>
  </si>
  <si>
    <t>25/10/2022</t>
  </si>
  <si>
    <t>0064L00000D8X2D</t>
  </si>
  <si>
    <t>Customer Portal Market Scan</t>
  </si>
  <si>
    <t>0064L00000DLrpc</t>
  </si>
  <si>
    <t>General Catalyst Partners LLC</t>
  </si>
  <si>
    <t>GC - 401k Plan Feasibility Study and Benchmarking (WT)</t>
  </si>
  <si>
    <t>0064L00000BnMbd</t>
  </si>
  <si>
    <t>Rachael Oxton</t>
  </si>
  <si>
    <t>0064L000004xLRC</t>
  </si>
  <si>
    <t>Ireland Gender Pay Gap Reporting Estimate</t>
  </si>
  <si>
    <t>0064L000001wM3M</t>
  </si>
  <si>
    <t>H. Lee Moffitt Cancer Center &amp; Research Institute</t>
  </si>
  <si>
    <t>Saratoga Benchmarking winback multiyear (1 of 3) - Moffitt Cancer Center</t>
  </si>
  <si>
    <t>0064L00000DLNOB</t>
  </si>
  <si>
    <t>Central Maine Healthcare Corp.</t>
  </si>
  <si>
    <t>Saratoga Benchmarking renewal - Central Maine Healthcare</t>
  </si>
  <si>
    <t>0064L00000DLMq9</t>
  </si>
  <si>
    <t>Black Hills Corporation</t>
  </si>
  <si>
    <t>Saratoga Benchmarking renewal - Black Hills</t>
  </si>
  <si>
    <t>0064L00000DLNTn</t>
  </si>
  <si>
    <t>Denver Health and Hospitals Authority Inc.</t>
  </si>
  <si>
    <t>Saratoga Benchmarking renewal - Denver Health &amp; Hospital Authority</t>
  </si>
  <si>
    <t>0064L00000DLNVT</t>
  </si>
  <si>
    <t>Electronic Arts Inc.</t>
  </si>
  <si>
    <t>Saratoga Benchmarking renewal - Electronic Arts</t>
  </si>
  <si>
    <t>0064L00000AqKaI</t>
  </si>
  <si>
    <t>Cook Children's Health Care System</t>
  </si>
  <si>
    <t>Saratoga Benchmarking renewal multiyear (1 of 3)- Cook Children's Health</t>
  </si>
  <si>
    <t>0064L00000DLKeV</t>
  </si>
  <si>
    <t>Saratoga Benchmarking - UNUM Group</t>
  </si>
  <si>
    <t>0064L00000ArJwJ</t>
  </si>
  <si>
    <t>Saratoga Benchmarking renewal multiyear (1 of 3) - Temple University Health</t>
  </si>
  <si>
    <t>0064L00000Aq4pp</t>
  </si>
  <si>
    <t>Saratoga Benchmarking renewal - Akron Children's Hospital</t>
  </si>
  <si>
    <t>0064L00000DLVmD</t>
  </si>
  <si>
    <t>Mosaic Health System</t>
  </si>
  <si>
    <t>Saratoga Benchmarking renewal - Mosaic Health System</t>
  </si>
  <si>
    <t>0064L00000DLVn6</t>
  </si>
  <si>
    <t>Saratoga Benchmarking renewal - NextEra Energy (Florida Power &amp; Light)</t>
  </si>
  <si>
    <t>0064L00000DLVkb</t>
  </si>
  <si>
    <t>Saratoga Benchmarking Renewal - Maximus</t>
  </si>
  <si>
    <t>0064L00000DLVqH</t>
  </si>
  <si>
    <t>PRA Group Inc.</t>
  </si>
  <si>
    <t>Saratoga Benchmarking renewal - PRA Group</t>
  </si>
  <si>
    <t>0064L00000DLVr2</t>
  </si>
  <si>
    <t>Saratoga Benchmarking renewal - Sentara Healthcare</t>
  </si>
  <si>
    <t>0064L00000DLVox</t>
  </si>
  <si>
    <t>Saratoga Benchmarking renewal - Pennsylvania Power &amp; Light</t>
  </si>
  <si>
    <t>0064L00000DLVNN</t>
  </si>
  <si>
    <t>UW Health</t>
  </si>
  <si>
    <t>Saratoga Benchmarking renewal - UW Health</t>
  </si>
  <si>
    <t>0064L00000DLVU4</t>
  </si>
  <si>
    <t>Coxhealth</t>
  </si>
  <si>
    <t>Saratoga Benchmarking Renewal - CoxHealth</t>
  </si>
  <si>
    <t>0064L00000DLVXP</t>
  </si>
  <si>
    <t>Saratoga Benchmarking renewal - Inova</t>
  </si>
  <si>
    <t>0064L00000DLVY3</t>
  </si>
  <si>
    <t>Saratoga Benchmarking renewal - Intermountain Healthcare</t>
  </si>
  <si>
    <t>0064L00000DLVVq</t>
  </si>
  <si>
    <t>Saratoga Benchmarking renewal - Geisinger Health</t>
  </si>
  <si>
    <t>0064L00000DG4Ei</t>
  </si>
  <si>
    <t>Saratoga Benchmarking renewal - Ally Financial</t>
  </si>
  <si>
    <t>0064L00000D8b3y</t>
  </si>
  <si>
    <t>Ree Automotive Ltd</t>
  </si>
  <si>
    <t>REE Automotive - ESG Support - $39,000</t>
  </si>
  <si>
    <t>0064L00000DMEFS</t>
  </si>
  <si>
    <t>Edward - Elmhurst *SMART* Consulting Renewal - FY23</t>
  </si>
  <si>
    <t>0064L00000DLVJl</t>
  </si>
  <si>
    <t>Wolters Kluwer N.V.</t>
  </si>
  <si>
    <t>Saratoga Benchmarking renewal - Wolters Kluwer</t>
  </si>
  <si>
    <t>0064L00000DLVOG</t>
  </si>
  <si>
    <t>Saratoga Benchmarking Renewal - UnitedHealth Group</t>
  </si>
  <si>
    <t>0064L00000DLrrs</t>
  </si>
  <si>
    <t>CARPENTER CO</t>
  </si>
  <si>
    <t>Carpenter Co - LTI Design</t>
  </si>
  <si>
    <t>0064L00000CH7Fr</t>
  </si>
  <si>
    <t>Saratoga Benchmarking renewal multiyear (1 of 2) - Air Products (Global)</t>
  </si>
  <si>
    <t>0064L00000DLMtc</t>
  </si>
  <si>
    <t>Saratoga Benchmarking renewal - Bristol Myers Squibb (Global)</t>
  </si>
  <si>
    <t>0064L00000Bnohw</t>
  </si>
  <si>
    <t>Manulife Market Fee Analysis - General Account Assets</t>
  </si>
  <si>
    <t>Laura Vining</t>
  </si>
  <si>
    <t>0064L00000Bdb5g</t>
  </si>
  <si>
    <t>PCMCS model review</t>
  </si>
  <si>
    <t>0064L00000CYUKA</t>
  </si>
  <si>
    <t>Watco Companies LLC.</t>
  </si>
  <si>
    <t>PL - Actuarial Valuation &amp; Call Center With Benefits Calculations</t>
  </si>
  <si>
    <t>0064L00000DLKOr</t>
  </si>
  <si>
    <t>Solomon R. Guggenheim Foundation</t>
  </si>
  <si>
    <t>Guggenheim - 2022 Exec Comp Consulting</t>
  </si>
  <si>
    <t>0064L00000DFVfp</t>
  </si>
  <si>
    <t>Billing Ops - Org Design</t>
  </si>
  <si>
    <t>0064L0000040C1k</t>
  </si>
  <si>
    <t>AMN Healthcare Services, Inc.</t>
  </si>
  <si>
    <t>Saratoga Benchmarking license - AMN Healthcare</t>
  </si>
  <si>
    <t>0064L00000BlKB6</t>
  </si>
  <si>
    <t>West Monroe Partners, LLC</t>
  </si>
  <si>
    <t>Saratoga Benchmarking License - West Monroe</t>
  </si>
  <si>
    <t>0064L00000B337n</t>
  </si>
  <si>
    <t>District of Columbia Bar</t>
  </si>
  <si>
    <t>DC Bar - 2023 Compensation Consulting</t>
  </si>
  <si>
    <t>0064L00000DLrrx</t>
  </si>
  <si>
    <t>Vanguard Charitable Endowment Program</t>
  </si>
  <si>
    <t>Vanguard Charitable - Phase 2 Compensation Consulting</t>
  </si>
  <si>
    <t>0064L00000B20Vy</t>
  </si>
  <si>
    <t>Board Of Governors Of The Federal Reserve System</t>
  </si>
  <si>
    <t>FRB Cleveland Engagement Survey 2022</t>
  </si>
  <si>
    <t>0064L00000CVCNE</t>
  </si>
  <si>
    <t>2022 Post Implementation Claim Assessment</t>
  </si>
  <si>
    <t>Renee Phillips</t>
  </si>
  <si>
    <t>0064L00000Bf1Gj</t>
  </si>
  <si>
    <t>FRB Cleveland 2022 Engagement Survey</t>
  </si>
  <si>
    <t>0064I000011pRNl</t>
  </si>
  <si>
    <t>POTEAT HOSPITALITY ASSOCIATES LLC</t>
  </si>
  <si>
    <t>IGP - Hampton Inn &amp; Suites Boone NC</t>
  </si>
  <si>
    <t>0064I00000zQgcw</t>
  </si>
  <si>
    <t>Hedding Hotels LLC</t>
  </si>
  <si>
    <t>IGP - Candlewood Suites Bordentown</t>
  </si>
  <si>
    <t>0064L00000D8qqt</t>
  </si>
  <si>
    <t>Grupo Traxion, S.A.B. de C.V.</t>
  </si>
  <si>
    <t>Traxion OTC</t>
  </si>
  <si>
    <t>Felix Bueno</t>
  </si>
  <si>
    <t>0064L00000CVc6n</t>
  </si>
  <si>
    <t>Charlotte Pipe &amp; Foundry Company</t>
  </si>
  <si>
    <t>Charlotte Pipe  &amp; Foundry 2022 OPEB Valuation</t>
  </si>
  <si>
    <t>0064L00000CYUVw</t>
  </si>
  <si>
    <t>Sun Life Financial Inc.</t>
  </si>
  <si>
    <t>PL - System Maintenance</t>
  </si>
  <si>
    <t>0064L00000DLnPK</t>
  </si>
  <si>
    <t>Livingbridge EP LLP</t>
  </si>
  <si>
    <t>0064L000004wxoc</t>
  </si>
  <si>
    <t>Astellas Pharma ProEdge</t>
  </si>
  <si>
    <t>0064L00000CYFg9</t>
  </si>
  <si>
    <t>OPTIMA BIDCO (JERSEY) LIMITED</t>
  </si>
  <si>
    <t>EG_2022 Employee Movements_30K</t>
  </si>
  <si>
    <t>0064L000007wDch</t>
  </si>
  <si>
    <t>AGILE DYNAMICS PTE. Ltd.</t>
  </si>
  <si>
    <t>Saratoga Benchmarking (license) - Agile Dynamics</t>
  </si>
  <si>
    <t>0064L00000D8bHM</t>
  </si>
  <si>
    <t>BBU IR process documentation</t>
  </si>
  <si>
    <t>0064I00000qs81f</t>
  </si>
  <si>
    <t>Winthrop-University Hospital INC.</t>
  </si>
  <si>
    <t>Periodic Outpatient Coding Assessments</t>
  </si>
  <si>
    <t>0064L000007weGV</t>
  </si>
  <si>
    <t>O. E. M. OF CONNECTICUT Inc.</t>
  </si>
  <si>
    <t>Saratoga Benchmarking (license) - OEM America</t>
  </si>
  <si>
    <t>0064L00000BnWb0</t>
  </si>
  <si>
    <t>Fiskars Oyj Abp</t>
  </si>
  <si>
    <t>Payroll Review</t>
  </si>
  <si>
    <t>0064L00000BnWgj</t>
  </si>
  <si>
    <t>DCC US 401(k) 2021 Plan Year Nondiscrimination Testing</t>
  </si>
  <si>
    <t>Allie Rosenberg</t>
  </si>
  <si>
    <t>0064L00000Bd6a7</t>
  </si>
  <si>
    <t>Euro-Pro Holdco, Llc</t>
  </si>
  <si>
    <t>ESG Sustainability</t>
  </si>
  <si>
    <t>0064L00000BoyK2</t>
  </si>
  <si>
    <t>Discgenics Inc.</t>
  </si>
  <si>
    <t>QSBS Consulting</t>
  </si>
  <si>
    <t>0064L00000BoehU</t>
  </si>
  <si>
    <t>Charlesbank Capital Partners LLC</t>
  </si>
  <si>
    <t>Project Lightning - Worker Classification Considerations</t>
  </si>
  <si>
    <t>0064L00000BnswC</t>
  </si>
  <si>
    <t>Deluxe Corporation</t>
  </si>
  <si>
    <t>Benefit Plan Compliance</t>
  </si>
  <si>
    <t>0064L00000CYNF3</t>
  </si>
  <si>
    <t>Albany International Corporation</t>
  </si>
  <si>
    <t>Albany - DOL 95-1</t>
  </si>
  <si>
    <t>0064L00000DFPUX</t>
  </si>
  <si>
    <t>Project Parachutes</t>
  </si>
  <si>
    <t>Tom Hawkins</t>
  </si>
  <si>
    <t>0064L000002bnAv</t>
  </si>
  <si>
    <t>HRAA 2021 Stock-based Compensation Assistance</t>
  </si>
  <si>
    <t>31/7/2021</t>
  </si>
  <si>
    <t>22/9/2021 7:21 pm</t>
  </si>
  <si>
    <t>Saaylee Potnis</t>
  </si>
  <si>
    <t>0064L000001wLUW</t>
  </si>
  <si>
    <t>Saratoga Benchmarking renewal - Cargill</t>
  </si>
  <si>
    <t>22/5/2021 1:22 pm</t>
  </si>
  <si>
    <t>0064L00000DMApb</t>
  </si>
  <si>
    <t>Universal Music Group N.V.</t>
  </si>
  <si>
    <t>Global Equity Plan Review</t>
  </si>
  <si>
    <t>Liu Wang</t>
  </si>
  <si>
    <t>0064L00000DLqys</t>
  </si>
  <si>
    <t>Business Case - Support</t>
  </si>
  <si>
    <t>0064L00000BnqVT</t>
  </si>
  <si>
    <t>Nextdoor Holdings Inc.</t>
  </si>
  <si>
    <t>QSBS Review</t>
  </si>
  <si>
    <t>0064L00000DLR0A</t>
  </si>
  <si>
    <t>Blue Cross Blue Shield Of Michigan Oracle Cloud Procurement Assessment</t>
  </si>
  <si>
    <t>Andrew Leavitt</t>
  </si>
  <si>
    <t>0064L00000DLNnh</t>
  </si>
  <si>
    <t>The Art Institute Of Chicago</t>
  </si>
  <si>
    <t>AIC - 2022 Executive Compensation Benchmarking</t>
  </si>
  <si>
    <t>0064L000001wMDr</t>
  </si>
  <si>
    <t>Saratoga Benchmarking winback - Northwell Health</t>
  </si>
  <si>
    <t>16/8/2020</t>
  </si>
  <si>
    <t>0064L00000DMAa2</t>
  </si>
  <si>
    <t>CareFirst Health Svcs Team Effectiveness Workshops</t>
  </si>
  <si>
    <t>0064L00000As053</t>
  </si>
  <si>
    <t>DATAART ENTERPRISES, INC.</t>
  </si>
  <si>
    <t>FY22 Comp Consulting</t>
  </si>
  <si>
    <t>0064L00000DLnjF</t>
  </si>
  <si>
    <t>Vocera Employment Tax Assistance</t>
  </si>
  <si>
    <t>Megan Wright</t>
  </si>
  <si>
    <t>0064L00000BfeeC</t>
  </si>
  <si>
    <t>Potential work after Progressive - ESG Assurance Readiness</t>
  </si>
  <si>
    <t>0064L00000D8cxF</t>
  </si>
  <si>
    <t>Payroll tax consulting</t>
  </si>
  <si>
    <t>0064I000011pHNl</t>
  </si>
  <si>
    <t>AMERITEL INNS Inc.</t>
  </si>
  <si>
    <t>IGP - Hampton Inn and Suites - Olympia</t>
  </si>
  <si>
    <t>0064L00000Aplnh</t>
  </si>
  <si>
    <t>Saratoga Benchmarking - Honorhealth</t>
  </si>
  <si>
    <t>0064L000001wLtl</t>
  </si>
  <si>
    <t>Eskenazi Health</t>
  </si>
  <si>
    <t>Saratoga Benchmarking renewal multiyear (1 of 3) - Eskenazi Health</t>
  </si>
  <si>
    <t>0064L00000CH7Hw</t>
  </si>
  <si>
    <t>Saratoga Benchmarking renewal - Accident Fund / BCBS Michigan</t>
  </si>
  <si>
    <t>0064L00000DLMu6</t>
  </si>
  <si>
    <t>North Broward Hospital District</t>
  </si>
  <si>
    <t>Saratoga Benchmarking winback - Broward Health</t>
  </si>
  <si>
    <t>0064L00000AqJvK</t>
  </si>
  <si>
    <t>Commonwealth Of Virginia</t>
  </si>
  <si>
    <t>Saratoga Benchmarking renewal - Virginia DHRM</t>
  </si>
  <si>
    <t>0064L00000DLNX6</t>
  </si>
  <si>
    <t>Equitrans Midstream Corporation</t>
  </si>
  <si>
    <t>Saratoga Benchmarking renewal - Equitrans</t>
  </si>
  <si>
    <t>0064L00000DLN4p</t>
  </si>
  <si>
    <t>Saratoga Benchmarking renewal - CareFirst BCBS of Maryland</t>
  </si>
  <si>
    <t>0064L00000BlD4I</t>
  </si>
  <si>
    <t>0064L00000DLVjx</t>
  </si>
  <si>
    <t>The Trustees Of The University Of Pennsylvania</t>
  </si>
  <si>
    <t>Saratoga Benchmarking renewal - LG Health</t>
  </si>
  <si>
    <t>0064L00000DLVlo</t>
  </si>
  <si>
    <t>Saratoga Benchmarking renewal - Memorial Sloan Kettering Cancer Center</t>
  </si>
  <si>
    <t>0064L00000DLVnl</t>
  </si>
  <si>
    <t>Parkview Health System</t>
  </si>
  <si>
    <t>Saratoga Benchmarking renewal - Parkview Health</t>
  </si>
  <si>
    <t>0064L00000DLVo4</t>
  </si>
  <si>
    <t>Orlando Health</t>
  </si>
  <si>
    <t>Saratoga Benchmarking renewal - Orlando Health</t>
  </si>
  <si>
    <t>0064L00000DLVre</t>
  </si>
  <si>
    <t>Saratoga Benchmarking renewal - Spectrum Health</t>
  </si>
  <si>
    <t>0064L00000DLVTz</t>
  </si>
  <si>
    <t>Saratoga Benchmarking winback - Commonwealth of Virginia - DHRM</t>
  </si>
  <si>
    <t>0064L00000Bnbpu</t>
  </si>
  <si>
    <t>Saratoga Benchmarking - Winback - Cox Enterprises</t>
  </si>
  <si>
    <t>0064L00000DG4By</t>
  </si>
  <si>
    <t>Saratoga Benchmarking renewal - Adventist Health West</t>
  </si>
  <si>
    <t>0064L00000DLVmk</t>
  </si>
  <si>
    <t>Saratoga Benchmarking renewal - Piedmont Healthcare</t>
  </si>
  <si>
    <t>0064L00000DLVUJ</t>
  </si>
  <si>
    <t>Equitable Holdings, Inc.</t>
  </si>
  <si>
    <t>Saratoga Benchmarking Renewal - AXA Equitable</t>
  </si>
  <si>
    <t>0064I00000zQgC2</t>
  </si>
  <si>
    <t>Rising Sun Hotels of Nj LLC</t>
  </si>
  <si>
    <t>IGP - Hampton Inn Bordentown</t>
  </si>
  <si>
    <t>0064L00000CYUWk</t>
  </si>
  <si>
    <t>PL - Benefit Calculations, Call Center &amp; Admin. Platform</t>
  </si>
  <si>
    <t>0064L00000DLNRl</t>
  </si>
  <si>
    <t>2022 Maximus Client Survey</t>
  </si>
  <si>
    <t>0064L00000DMEKO</t>
  </si>
  <si>
    <t>South Nassau Community Hospital - *SMART* Consulting Renewal - FY23</t>
  </si>
  <si>
    <t>0064L00000DMEKP</t>
  </si>
  <si>
    <t>Stony Brook University - *SMART* Consulting Renewal - FY23</t>
  </si>
  <si>
    <t>0064L00000DMENF</t>
  </si>
  <si>
    <t>Arnot Ogden - *SMART* Consulting Renewal - FY23</t>
  </si>
  <si>
    <t>0064L00000DLQS3</t>
  </si>
  <si>
    <t>GMF HR Industry Perspectives/Tech Assessment</t>
  </si>
  <si>
    <t>0064L00000DLQRy</t>
  </si>
  <si>
    <t>0064L00000CV0yK</t>
  </si>
  <si>
    <t>Starbucks - Net Zero Transformation</t>
  </si>
  <si>
    <t>Michael Millstein</t>
  </si>
  <si>
    <t>0064L00000CV0xl</t>
  </si>
  <si>
    <t>Starbucks - Digital ESG Reporting Solutions</t>
  </si>
  <si>
    <t>0064L00000CXHeg</t>
  </si>
  <si>
    <t>BCBS Kansas #ProEdge - Employer Reporting #ProEdgexAutomation</t>
  </si>
  <si>
    <t>0064L00000CX7ik</t>
  </si>
  <si>
    <t>Instant Brands Inc.</t>
  </si>
  <si>
    <t>Instant Brands-Payroll Ops Business Case-$25K</t>
  </si>
  <si>
    <t>0064L00000Bp2DI</t>
  </si>
  <si>
    <t>S&amp;OP and S&amp;OE</t>
  </si>
  <si>
    <t>Debjit Banerjee</t>
  </si>
  <si>
    <t>0064L00000Bf60O</t>
  </si>
  <si>
    <t>ESG Placeholder</t>
  </si>
  <si>
    <t>0064L00000Bf66g</t>
  </si>
  <si>
    <t>Takeda Pharmaceuticals</t>
  </si>
  <si>
    <t>0064L00000Bf691</t>
  </si>
  <si>
    <t>BASF SE</t>
  </si>
  <si>
    <t>0064L00000Bf67j</t>
  </si>
  <si>
    <t>Lion Capital LLP</t>
  </si>
  <si>
    <t>0064L00000Bf68d</t>
  </si>
  <si>
    <t>American Chemistry Council INC.</t>
  </si>
  <si>
    <t>0064L00000Bf69p</t>
  </si>
  <si>
    <t>0064L00000Bf69z</t>
  </si>
  <si>
    <t>Armstrong World Industries</t>
  </si>
  <si>
    <t>0064L00000Bf5Zt</t>
  </si>
  <si>
    <t>AA - ESG Placeholder</t>
  </si>
  <si>
    <t>0064L00000Bf5Zs</t>
  </si>
  <si>
    <t>0064L00000Bf6B7</t>
  </si>
  <si>
    <t>0064L00000Bf6An</t>
  </si>
  <si>
    <t>Cop Holdco Aps</t>
  </si>
  <si>
    <t>0064L00000DLMl9</t>
  </si>
  <si>
    <t>Gavs Technologies Limited</t>
  </si>
  <si>
    <t>Listen Platform - Gavs Technologies</t>
  </si>
  <si>
    <t>0064L00000CWTbZ</t>
  </si>
  <si>
    <t>Listen Platform Stakeholder Impact Assessment</t>
  </si>
  <si>
    <t>0064L000007wWQf</t>
  </si>
  <si>
    <t>SCL - Oracle Optimization SCL - Opportunistic</t>
  </si>
  <si>
    <t>Matthew Gale</t>
  </si>
  <si>
    <t>0064L00000B0z4R</t>
  </si>
  <si>
    <t>Hyperion-Employment Tax Refund Review-$25K</t>
  </si>
  <si>
    <t>0064L0000070FaD</t>
  </si>
  <si>
    <t>Centerpoint Energy Inc. - #ProEdge</t>
  </si>
  <si>
    <t>0064L00000CYY2F</t>
  </si>
  <si>
    <t>GTCR Learning System Support</t>
  </si>
  <si>
    <t>0064L00000CY2tz</t>
  </si>
  <si>
    <t>IBC #ProEdge digital upskilling in Actuary #ProEdgexActuary</t>
  </si>
  <si>
    <t>0064L00000Bnzdw</t>
  </si>
  <si>
    <t>Festo Beteiligungen GmbH &amp; Co. KG</t>
  </si>
  <si>
    <t>Festo DEI Leadership Education</t>
  </si>
  <si>
    <t>Candice McCrae</t>
  </si>
  <si>
    <t>0064L00000BgSq9</t>
  </si>
  <si>
    <t>Braidwell Management Company LP</t>
  </si>
  <si>
    <t>Qualified Plan Feasibility Study</t>
  </si>
  <si>
    <t>0064L000003yNQ3</t>
  </si>
  <si>
    <t>*SMART* Outpatient - Stony Brook University</t>
  </si>
  <si>
    <t>20/8/2020</t>
  </si>
  <si>
    <t>0064L00000CWpX1</t>
  </si>
  <si>
    <t>ITTL OCM &amp; Program advice</t>
  </si>
  <si>
    <t>IT Org Transformation - workshop</t>
  </si>
  <si>
    <t>0064L00000CXsdm</t>
  </si>
  <si>
    <t>FIS MBP System Implementation</t>
  </si>
  <si>
    <t>0065800000jifFT</t>
  </si>
  <si>
    <t>Vwh Capital Management LP</t>
  </si>
  <si>
    <t>Pension consulting Phase 1 - options and considerations</t>
  </si>
  <si>
    <t>0064L000002bamC</t>
  </si>
  <si>
    <t>Finance Integration/Transformation</t>
  </si>
  <si>
    <t>0064L00000CV8eQ</t>
  </si>
  <si>
    <t>GMI ESG Strategy</t>
  </si>
  <si>
    <t>0064L00000D8p2X</t>
  </si>
  <si>
    <t>KDP - Planning Hub Workshop</t>
  </si>
  <si>
    <t>0064L00000429Lx</t>
  </si>
  <si>
    <t>Oncor_Employment Tax Refund Review_$25K</t>
  </si>
  <si>
    <t>21/11/2020</t>
  </si>
  <si>
    <t>0064I00000y7fIf</t>
  </si>
  <si>
    <t>GD-OTS Digital and Finance Transformation Phase 0</t>
  </si>
  <si>
    <t>ADV_IPS_WFOF</t>
  </si>
  <si>
    <t>0064L00000Bd6S3</t>
  </si>
  <si>
    <t>FY21 Beacon Cost Report *Strategic Reimbursement*</t>
  </si>
  <si>
    <t>0064L000002c0TJ</t>
  </si>
  <si>
    <t>Venture Global Partners LLC</t>
  </si>
  <si>
    <t>Venture Global ProEdge #ProEdge</t>
  </si>
  <si>
    <t>25/5/2021</t>
  </si>
  <si>
    <t>0064L00000B1T1M</t>
  </si>
  <si>
    <t>WakeMed *VBO*</t>
  </si>
  <si>
    <t>0064L00000DLFEL</t>
  </si>
  <si>
    <t>Voya Workplace Benefits Data Marketplace Business Case Support</t>
  </si>
  <si>
    <t>0064L000007GAtu</t>
  </si>
  <si>
    <t>Yondr Americas - Diverse Supplier Assessment</t>
  </si>
  <si>
    <t>0064L00000DLi3n</t>
  </si>
  <si>
    <t>Nemours Foundation</t>
  </si>
  <si>
    <t>Nemours Foundation - DOL 95-1</t>
  </si>
  <si>
    <t>0064L00000DLVqg</t>
  </si>
  <si>
    <t>Saratoga Benchmarking renewal - Rockwell (Global)</t>
  </si>
  <si>
    <t>0064L00000Arwem</t>
  </si>
  <si>
    <t>GE Aviation</t>
  </si>
  <si>
    <t>Talent Workstream Big Bets</t>
  </si>
  <si>
    <t>0064L00000BeZWE</t>
  </si>
  <si>
    <t>Harvard Services - 2022 - Acquisition Playbook - Private</t>
  </si>
  <si>
    <t>0064L00000BnU8a</t>
  </si>
  <si>
    <t>Inpatient SMART Coding Reviews</t>
  </si>
  <si>
    <t>0064L000001w0nr</t>
  </si>
  <si>
    <t>*SMART* OP License - MSMC</t>
  </si>
  <si>
    <t>0064L00000BeZ0m</t>
  </si>
  <si>
    <t>ProEdge Opportunity - Avangrid</t>
  </si>
  <si>
    <t>0064L00000Bek5Z</t>
  </si>
  <si>
    <t>UBS - #ProEdge Channel of Risk #ProEdgexRisk</t>
  </si>
  <si>
    <t>0064L00000DLV1M</t>
  </si>
  <si>
    <t>Gannett Co., Inc</t>
  </si>
  <si>
    <t>Gannett - DOL 95-1</t>
  </si>
  <si>
    <t>0064L00000DLV2F</t>
  </si>
  <si>
    <t>CH2M Hill BWXT West Valley - DOL 95-1</t>
  </si>
  <si>
    <t>0064L00000BfZoy</t>
  </si>
  <si>
    <t>Covetrus, Inc.</t>
  </si>
  <si>
    <t>Covetrus General Compensation Consulting for 2022</t>
  </si>
  <si>
    <t>21/2/2023</t>
  </si>
  <si>
    <t>Louesa Huf</t>
  </si>
  <si>
    <t>0064L00000CV64B</t>
  </si>
  <si>
    <t>ESG Whitepaper Interaction</t>
  </si>
  <si>
    <t>0064L000004z78E</t>
  </si>
  <si>
    <t>CVS Health #ProEdge</t>
  </si>
  <si>
    <t>0064L00000DLS7H</t>
  </si>
  <si>
    <t>Nonqualified pension plan calculations</t>
  </si>
  <si>
    <t>0064L00000D8XcQ</t>
  </si>
  <si>
    <t>US Experience Operations Op Model</t>
  </si>
  <si>
    <t>0064L00000DLVtf</t>
  </si>
  <si>
    <t>Ch Robinson Worldwide Inc.</t>
  </si>
  <si>
    <t>Saratoga Benchmarking multiyear (2 of 2) - C.H. Robinson</t>
  </si>
  <si>
    <t>0064L00000CYUM6</t>
  </si>
  <si>
    <t>STELLAR HEALTH GROUP INC. THE</t>
  </si>
  <si>
    <t>Stellar Health Tender Offer Tax Calculations</t>
  </si>
  <si>
    <t>0064L00000DMEJK</t>
  </si>
  <si>
    <t>Northwest Community Hospital - *SMART* Consulting Renewal - FY23</t>
  </si>
  <si>
    <t>0064L000001vHNR</t>
  </si>
  <si>
    <t>*SMART* OP - Boston Medical Center</t>
  </si>
  <si>
    <t>14/7/2020</t>
  </si>
  <si>
    <t>0064L00000DLVGW</t>
  </si>
  <si>
    <t>Factory Mutual Insurance Co</t>
  </si>
  <si>
    <t>Saratoga Benchmarking renewal - FM Global</t>
  </si>
  <si>
    <t>0064L00000CYROP</t>
  </si>
  <si>
    <t>Crane Carrier Holdings, Llc</t>
  </si>
  <si>
    <t>PL - Annual Actuarial Valuation &amp; Benefit Administration</t>
  </si>
  <si>
    <t>0064L00000DLqcI</t>
  </si>
  <si>
    <t>ContourGlobal LP</t>
  </si>
  <si>
    <t>Cogeneración Altamira - Análisis Mercado Eléctrico 2022</t>
  </si>
  <si>
    <t>Guillermo Chavez</t>
  </si>
  <si>
    <t>0064L00000D8zzY</t>
  </si>
  <si>
    <t>Digital Currency Group</t>
  </si>
  <si>
    <t>CoinDesk Market Study</t>
  </si>
  <si>
    <t>0064L00000Aplu9</t>
  </si>
  <si>
    <t>Einhorn Verwaltungsgesellschaft mbH</t>
  </si>
  <si>
    <t>Saratoga Benchmarking - Heraeus</t>
  </si>
  <si>
    <t>0064I0000131xpL</t>
  </si>
  <si>
    <t>Saratoga</t>
  </si>
  <si>
    <t>20/2/2020</t>
  </si>
  <si>
    <t>0064L00000BevqQ</t>
  </si>
  <si>
    <t>Federal Reserve Bank of Minneapolis</t>
  </si>
  <si>
    <t>FRB Minneapolis Self Service Listen</t>
  </si>
  <si>
    <t>0064L00000Bdc8w</t>
  </si>
  <si>
    <t>Global Equity Consulting - Recharge Support</t>
  </si>
  <si>
    <t>Matthew Murawski</t>
  </si>
  <si>
    <t>0064L0000041MQM</t>
  </si>
  <si>
    <t>STEMCELL Holdings Inc.</t>
  </si>
  <si>
    <t>Saratoga Benchmarking (FY22) - Stemcell Technologies</t>
  </si>
  <si>
    <t>0064L00000DLNVx</t>
  </si>
  <si>
    <t>Saratoga Benchmarking renewal - Epiq Systems (Global)</t>
  </si>
  <si>
    <t>0064L000007xjv8</t>
  </si>
  <si>
    <t>Avaya Holdings Corp.</t>
  </si>
  <si>
    <t>Saratoga Benchmarking winback - Avaya</t>
  </si>
  <si>
    <t>0064L00000DLMTe</t>
  </si>
  <si>
    <t>MUFG JP IOA - Market Conduct Risk</t>
  </si>
  <si>
    <t>Jeffrey Corelli</t>
  </si>
  <si>
    <t>0064L00000CW0KM</t>
  </si>
  <si>
    <t>Saratoga Benchmarking - Church and Dwight</t>
  </si>
  <si>
    <t>0064L00000Apgnj</t>
  </si>
  <si>
    <t>Align Technology, Inc.</t>
  </si>
  <si>
    <t>Saratoga Benchmarking renewal - Align Technology</t>
  </si>
  <si>
    <t>0064L000009gJTJ</t>
  </si>
  <si>
    <t>Buckman Laboratories International, Inc.</t>
  </si>
  <si>
    <t>Saratoga Benchmarking - Buckman</t>
  </si>
  <si>
    <t>0064L00000Apgxy</t>
  </si>
  <si>
    <t>Saratoga Benchmarking - Viatris</t>
  </si>
  <si>
    <t>0064L00000D92E6</t>
  </si>
  <si>
    <t>Libra Association</t>
  </si>
  <si>
    <t>P&amp;O Tax Consulting</t>
  </si>
  <si>
    <t>Michael Williams</t>
  </si>
  <si>
    <t>0064L00000D92Dw</t>
  </si>
  <si>
    <t>Diem Networks US Inc.</t>
  </si>
  <si>
    <t>0064L00000DJTz7</t>
  </si>
  <si>
    <t>Markforged Holding Corporation</t>
  </si>
  <si>
    <t>FY22 WT consulting, EMEA tax rates research</t>
  </si>
  <si>
    <t>0064L00000BgTE6</t>
  </si>
  <si>
    <t>Insperity Inc.</t>
  </si>
  <si>
    <t>2022 ASC 718 Market-Based Award Val</t>
  </si>
  <si>
    <t>David Ehr</t>
  </si>
  <si>
    <t>0064L00000CXsvq</t>
  </si>
  <si>
    <t>OKCOIN USA INC.</t>
  </si>
  <si>
    <t>Katie Ginder</t>
  </si>
  <si>
    <t>0064L00000BolbL</t>
  </si>
  <si>
    <t>HP Inc Ethical Supply Chain and Worker Empowerment Project</t>
  </si>
  <si>
    <t>0064L00000Aq4vE</t>
  </si>
  <si>
    <t>Saratoga Benchmarking renewal - American International Group (AIG)</t>
  </si>
  <si>
    <t>0064L00000ApuzM</t>
  </si>
  <si>
    <t>Saratoga Benchmarking - Citi</t>
  </si>
  <si>
    <t>0064L00000CYdYp</t>
  </si>
  <si>
    <t>Frozen Plan Termination Support</t>
  </si>
  <si>
    <t>0064L00000DLVb0</t>
  </si>
  <si>
    <t>Team Building &amp; Effectiveness Workshops</t>
  </si>
  <si>
    <t>Thomas Corcoran</t>
  </si>
  <si>
    <t>0064L00000CY0RU</t>
  </si>
  <si>
    <t>Alight_Gift Card Analysis_$20K</t>
  </si>
  <si>
    <t>0064L00000DLVi6</t>
  </si>
  <si>
    <t>B&amp;D HOLDING SPA</t>
  </si>
  <si>
    <t>Saratoga Benchmarking renewal - IGT (Global)</t>
  </si>
  <si>
    <t>0064L00000BnUZw</t>
  </si>
  <si>
    <t>Saratoga Benchmarking - FIS Global</t>
  </si>
  <si>
    <t>0064L00000DLVlB</t>
  </si>
  <si>
    <t>McCormick &amp; Company, Inc</t>
  </si>
  <si>
    <t>Saratoga Benchmarking renewal - McCormick (Global)</t>
  </si>
  <si>
    <t>0064L00000DLVuT</t>
  </si>
  <si>
    <t>Saratoga Benchmarking multiyear (2 of 3) - Gainwell (Global)</t>
  </si>
  <si>
    <t>0064L00000DLVJH</t>
  </si>
  <si>
    <t>Saratoga Benchmarking renewal - Verizon</t>
  </si>
  <si>
    <t>0064L00000DLVIh</t>
  </si>
  <si>
    <t>Yeti Holdings, Inc.</t>
  </si>
  <si>
    <t>Saratoga Benchmarking renewal - YETI</t>
  </si>
  <si>
    <t>0064L00000DLVM1</t>
  </si>
  <si>
    <t>Saratoga Benchmarking renewal - UiPath (Global)</t>
  </si>
  <si>
    <t>0064L00000DLVRA</t>
  </si>
  <si>
    <t>Teleflex Incorporated</t>
  </si>
  <si>
    <t>Saratoga Benchmarking - Teleflex</t>
  </si>
  <si>
    <t>0064L00000CVzQh</t>
  </si>
  <si>
    <t>Gibson Dunn &amp; Crutcher Llp</t>
  </si>
  <si>
    <t>WT - 2022 Quarterly Benefit Statements for CBP</t>
  </si>
  <si>
    <t>0064L000003zNXw</t>
  </si>
  <si>
    <t>ADM - Saratoga Benchmarking (Global)</t>
  </si>
  <si>
    <t>0064L00000AqQJJ</t>
  </si>
  <si>
    <t>Kyndryl Holdings, Inc.</t>
  </si>
  <si>
    <t>Saratoga Benchmarking - Kyndryl</t>
  </si>
  <si>
    <t>0064L00000DMEGG</t>
  </si>
  <si>
    <t>IU Health *SMART* - Consulting Renewal - FY23</t>
  </si>
  <si>
    <t>0064L00000DLVkI</t>
  </si>
  <si>
    <t>Maxar Technologies Inc.</t>
  </si>
  <si>
    <t>Saratoga Benchmarking renewal - Maxar (Fed)</t>
  </si>
  <si>
    <t>0064L00000DLVH5</t>
  </si>
  <si>
    <t>American Systems Corporation</t>
  </si>
  <si>
    <t>Saratoga Benchmarking multiyear renewal - American Systems (Fed)</t>
  </si>
  <si>
    <t>0064L00000DLVSm</t>
  </si>
  <si>
    <t>Saratoga Benchmarking renewal - Amentum (Fed)</t>
  </si>
  <si>
    <t>0064L00000D8d4Q</t>
  </si>
  <si>
    <t>Saratoga Benchmarking renewal multiyear (2 of 3) - Veritas</t>
  </si>
  <si>
    <t>Angela Caples</t>
  </si>
  <si>
    <t>0064L00000BmTQd</t>
  </si>
  <si>
    <t>BPCE</t>
  </si>
  <si>
    <t>AEW Capital Management 2021 Form 5500 Filings</t>
  </si>
  <si>
    <t>0064L00000DLVnd</t>
  </si>
  <si>
    <t>Parsons Corporation Employee Stock Ownership Plan</t>
  </si>
  <si>
    <t>Saratoga Benchmarking renewal - Parsons (Fed)</t>
  </si>
  <si>
    <t>0064L00000DLVvc</t>
  </si>
  <si>
    <t>Saratoga Benchmarking multiyear (2 of 3) - Metlife (Global)</t>
  </si>
  <si>
    <t>0064L00000DFym0</t>
  </si>
  <si>
    <t>Georgetown University</t>
  </si>
  <si>
    <t>2021 Forms 5500</t>
  </si>
  <si>
    <t>0064L00000DLVvb</t>
  </si>
  <si>
    <t>Saratoga Benchmarking multiyear (2 of 2) - L3Harris (Fed)</t>
  </si>
  <si>
    <t>0064L00000AqZ0a</t>
  </si>
  <si>
    <t>Saratoga Benchmarking - Warner Music Group</t>
  </si>
  <si>
    <t>0064L00000AqZ80</t>
  </si>
  <si>
    <t>Saratoga Benchmarking - AmerisourceBergen</t>
  </si>
  <si>
    <t>0064L00000DLKan</t>
  </si>
  <si>
    <t>Saratoga Benchmarking - Insperity</t>
  </si>
  <si>
    <t>0064L00000Ar9Q7</t>
  </si>
  <si>
    <t>Saudi Arabian Oil Company</t>
  </si>
  <si>
    <t>Saratoga Benchmarking - SABIC</t>
  </si>
  <si>
    <t>0064L000003zCOC</t>
  </si>
  <si>
    <t>H.I.G. Capital, Inc</t>
  </si>
  <si>
    <t>Saratoga Benchmarking - Wellpath</t>
  </si>
  <si>
    <t>0064L000009g4vG</t>
  </si>
  <si>
    <t>CVC Nominees Ltd</t>
  </si>
  <si>
    <t>Saratoga Benchmarking - Petco</t>
  </si>
  <si>
    <t>0064L000009BKKY</t>
  </si>
  <si>
    <t>Springfield Clinic Llp</t>
  </si>
  <si>
    <t>Saratoga Benchmarking - Springfield Clinic</t>
  </si>
  <si>
    <t>0064L000009BKDw</t>
  </si>
  <si>
    <t>LAL Family Corporation</t>
  </si>
  <si>
    <t>Saratoga Benchmarking - Estee Lauder</t>
  </si>
  <si>
    <t>0064L000009BKGl</t>
  </si>
  <si>
    <t>The HAVI Group Limited Partnership</t>
  </si>
  <si>
    <t>Saratoga Benchmarking - Havi Group</t>
  </si>
  <si>
    <t>0064L00000DFiGi</t>
  </si>
  <si>
    <t>Altium Limited</t>
  </si>
  <si>
    <t>Saratoga Benchmarking - Altium</t>
  </si>
  <si>
    <t>0064L000009AkO5</t>
  </si>
  <si>
    <t>Appnovation USA Inc.</t>
  </si>
  <si>
    <t>Saratoga Benchmarking - Appnovation</t>
  </si>
  <si>
    <t>0064L00000DLVjy</t>
  </si>
  <si>
    <t>Saratoga Benchmarking renewal - Lifespan</t>
  </si>
  <si>
    <t>0064L00000DLVuZ</t>
  </si>
  <si>
    <t>Saratoga Benchmarking multiyear (3 of 3) - Horizon BCBS of New Jersey</t>
  </si>
  <si>
    <t>0064L00000BnwFE</t>
  </si>
  <si>
    <t>Gamut Capital Management L.P.</t>
  </si>
  <si>
    <t>Saratoga Benchmarking - Davis-Standard</t>
  </si>
  <si>
    <t>0064L00000AqQX6</t>
  </si>
  <si>
    <t>Saratoga Benchmarking - Ochsner Health</t>
  </si>
  <si>
    <t>0064L00000Aqskj</t>
  </si>
  <si>
    <t>Kongsberg Automotive Asa</t>
  </si>
  <si>
    <t>Saratoga Benchmarking - Kongsberg Automotive</t>
  </si>
  <si>
    <t>0064L000009BFLU</t>
  </si>
  <si>
    <t>Saratoga Benchmarking - Netflix</t>
  </si>
  <si>
    <t>0064L000007HTTA</t>
  </si>
  <si>
    <t>Saratoga Benchmarking - Vertex Pharmaceuticals</t>
  </si>
  <si>
    <t>0064L000009BHMk</t>
  </si>
  <si>
    <t>Farmers &amp; Merchants Investment Inc.</t>
  </si>
  <si>
    <t>Saratoga Benchmarking - Union Bank &amp; Trust</t>
  </si>
  <si>
    <t>0064L00000AqbFD</t>
  </si>
  <si>
    <t>iManage LLC</t>
  </si>
  <si>
    <t>Saratoga Benchmarking - iManage</t>
  </si>
  <si>
    <t>0064L000009AtU7</t>
  </si>
  <si>
    <t>Regeneron Pharmaceuticals Inc.</t>
  </si>
  <si>
    <t>Saratoga Benchmarking - Regeneron Pharmaceuticals</t>
  </si>
  <si>
    <t>AD_CA_WOF_CJ_WOF_RECOVERY_07FY21_SARATOGA PRODUCT PAGE WEB FORM</t>
  </si>
  <si>
    <t>0064L00000Aqb6B</t>
  </si>
  <si>
    <t>2U, INC.</t>
  </si>
  <si>
    <t>Saratoga Benchmarking - 2U, Inc.</t>
  </si>
  <si>
    <t>0064L000009AC6g</t>
  </si>
  <si>
    <t>Saratoga Benchmarking - Ansys Inc.</t>
  </si>
  <si>
    <t>0064L000009AOry</t>
  </si>
  <si>
    <t>Saratoga Benchmarking - Banner Health</t>
  </si>
  <si>
    <t>0064L00000CYmO6</t>
  </si>
  <si>
    <t>Saratoga Benchmarking - American Tower</t>
  </si>
  <si>
    <t>0064L000009AQIl</t>
  </si>
  <si>
    <t>Pro Mach Group, Inc</t>
  </si>
  <si>
    <t>Saratoga Benchmarking - Pro Mach</t>
  </si>
  <si>
    <t>0064L000009B064</t>
  </si>
  <si>
    <t>Factspan Inc</t>
  </si>
  <si>
    <t>Saratoga Benchmarking - Factspan</t>
  </si>
  <si>
    <t>AD_CA_WOF_CJ_WOF_NWNS_11FY22_SARATOGA BENCHMARKING RESULTS EBOOK</t>
  </si>
  <si>
    <t>0064L000009B04I</t>
  </si>
  <si>
    <t>Saratoga Benchmarking - Coca-Cola</t>
  </si>
  <si>
    <t>0064L000003zGWF</t>
  </si>
  <si>
    <t>Washington University</t>
  </si>
  <si>
    <t>Saratoga Benchmarking - Washington University St. Louis</t>
  </si>
  <si>
    <t>0064L00000DJbuj</t>
  </si>
  <si>
    <t>GRENERGY S.A.</t>
  </si>
  <si>
    <t>Análisis Mercado Eléctrico</t>
  </si>
  <si>
    <t>Miguel Angel Avendańo</t>
  </si>
  <si>
    <t>0064L00000DLVwa</t>
  </si>
  <si>
    <t>Simpson Manufacturing Co. Inc.</t>
  </si>
  <si>
    <t>Saratoga Benchmarking multiyear (2 of 3) - Simpson Strong-Tie</t>
  </si>
  <si>
    <t>0064L00000D8qnP</t>
  </si>
  <si>
    <t>Alight, Inc.</t>
  </si>
  <si>
    <t>ESPP Modelling</t>
  </si>
  <si>
    <t>0064L00000D8ZS3</t>
  </si>
  <si>
    <t>Education Dashboard</t>
  </si>
  <si>
    <t>0064L00000DMEH0</t>
  </si>
  <si>
    <t>Northwell Health - *SMART* Abstract Conversion</t>
  </si>
  <si>
    <t>0064L00000DMEOo</t>
  </si>
  <si>
    <t>Ascension Health - *SMART* WIAPP Abstract Conversion</t>
  </si>
  <si>
    <t>0064L00000D97Op</t>
  </si>
  <si>
    <t>ROYCO INC.</t>
  </si>
  <si>
    <t>2022 Compensation Benchmarking</t>
  </si>
  <si>
    <t>0064L00000ApoQ8</t>
  </si>
  <si>
    <t>PTTGC America LLC.</t>
  </si>
  <si>
    <t>Saratoga Benchmarking - PTTGC</t>
  </si>
  <si>
    <t>0064L000009enOM</t>
  </si>
  <si>
    <t>Pamplona Investment Partners I, LP</t>
  </si>
  <si>
    <t>SARATOGA Benchmarking - Parexel</t>
  </si>
  <si>
    <t>0064L000009enPa</t>
  </si>
  <si>
    <t>SARATOGA Benchmarking - Taro Pharmaceuticals</t>
  </si>
  <si>
    <t>0064L000009enPZ</t>
  </si>
  <si>
    <t>SARATOGA Benchmarking - Alexion</t>
  </si>
  <si>
    <t>0064L00000BoSJB</t>
  </si>
  <si>
    <t>T Rowe Price Group Inc</t>
  </si>
  <si>
    <t>Saratoga Benchmarking - T Rowe Price</t>
  </si>
  <si>
    <t>0064L000009enNE</t>
  </si>
  <si>
    <t>SARATOGA Benchmarking - Boston Scientific</t>
  </si>
  <si>
    <t>0064L000009fa0W</t>
  </si>
  <si>
    <t>Barge Design Solutions, Inc.</t>
  </si>
  <si>
    <t>Saratoga Benchmarking - Barge Design Solutions</t>
  </si>
  <si>
    <t>0064L000009fOFL</t>
  </si>
  <si>
    <t>Saratoga Benchmarking - Federal Reserve Board of Governors</t>
  </si>
  <si>
    <t>0064L00000Blkh3</t>
  </si>
  <si>
    <t>Truist Financial Corp.</t>
  </si>
  <si>
    <t>Saratoga Benchmarking - Truist</t>
  </si>
  <si>
    <t>0064L000009fNaZ</t>
  </si>
  <si>
    <t>SARATOGA Benchmarking - Mapfre</t>
  </si>
  <si>
    <t>0064L00000CYp9d</t>
  </si>
  <si>
    <t>Insight Holdings Group, LLC</t>
  </si>
  <si>
    <t>Saratoga Benchmarking - Veeam</t>
  </si>
  <si>
    <t>0064L000004xqnS</t>
  </si>
  <si>
    <t>Saratoga Benchmarking - Adobe</t>
  </si>
  <si>
    <t>0064L000007wJtX</t>
  </si>
  <si>
    <t>Centerbridge Partners Holdings LLC</t>
  </si>
  <si>
    <t>Saratoga Benchmarking - Mentor Network</t>
  </si>
  <si>
    <t>0064L00000BoSd6</t>
  </si>
  <si>
    <t>Saratoga Benchmarking - Wintrust</t>
  </si>
  <si>
    <t>0064L00000CW3rE</t>
  </si>
  <si>
    <t>Sharp Packaging Services, Llc</t>
  </si>
  <si>
    <t>Saratoga Benchmarking - Sharp Packaging Service</t>
  </si>
  <si>
    <t>0064L00000Bf6Dx</t>
  </si>
  <si>
    <t>Us Xpress Enterprises INC.</t>
  </si>
  <si>
    <t>Saratoga Benchmarking - US Xpress</t>
  </si>
  <si>
    <t>0064L00000BocG1</t>
  </si>
  <si>
    <t>Saratoga Benchmarking - The Western Union Company</t>
  </si>
  <si>
    <t>0064L00000CVBV7</t>
  </si>
  <si>
    <t>Saratoga Benchmarking - Workday</t>
  </si>
  <si>
    <t>0064L00000CVBXS</t>
  </si>
  <si>
    <t>Wayne State University Physican Group</t>
  </si>
  <si>
    <t>Saratoga Benchmarking - Wayne Health</t>
  </si>
  <si>
    <t>0064L000004xnyq</t>
  </si>
  <si>
    <t>Ribbon Communications, Inc.</t>
  </si>
  <si>
    <t>Saratoga Benchmarking - Ribbon Communications</t>
  </si>
  <si>
    <t>0064L00000Bf5w3</t>
  </si>
  <si>
    <t>ALKERMES PUBLIC LIMITED COMPANY</t>
  </si>
  <si>
    <t>Saratoga Benchmarking - Alkermes</t>
  </si>
  <si>
    <t>0064L00000BlkND</t>
  </si>
  <si>
    <t>Prudential Financial Inc.</t>
  </si>
  <si>
    <t>Saratoga Benchmarking - Prudential Financial</t>
  </si>
  <si>
    <t>0064L00000Bf5wM</t>
  </si>
  <si>
    <t>Sekisui Diagnostics LLC</t>
  </si>
  <si>
    <t>Saratoga Benchmarking - SEKISUI Diagnostics</t>
  </si>
  <si>
    <t>0064L00000BoS6l</t>
  </si>
  <si>
    <t>Saratoga Benchmarking - Valley National</t>
  </si>
  <si>
    <t>0064L00000CW4mS</t>
  </si>
  <si>
    <t>Poly USA</t>
  </si>
  <si>
    <t>Saratoga benchmarking - Poly</t>
  </si>
  <si>
    <t>0064L00000BlGWj</t>
  </si>
  <si>
    <t>Nebraska Medicine</t>
  </si>
  <si>
    <t>Saratoga Benchmarking - Nebraska Medicine</t>
  </si>
  <si>
    <t>0064L000001wLxY</t>
  </si>
  <si>
    <t>Grady Memorial Hospital</t>
  </si>
  <si>
    <t>Saratoga Benchmarking winback - Grady Memorial Health</t>
  </si>
  <si>
    <t>0064L00000BnNAs</t>
  </si>
  <si>
    <t>BorgWarner Inc.</t>
  </si>
  <si>
    <t>Saratoga Benchmarking - BorgWarner</t>
  </si>
  <si>
    <t>0064L000009fMHp</t>
  </si>
  <si>
    <t>Agilent Technologies, Inc.</t>
  </si>
  <si>
    <t>SARATOGA Benchmarking - Agilent Technologies</t>
  </si>
  <si>
    <t>0064L00000DJl2Q</t>
  </si>
  <si>
    <t>PNC Financial Services Group, Inc.</t>
  </si>
  <si>
    <t>Saratoga Benchmarking - PNC</t>
  </si>
  <si>
    <t>0064L00000CWxC3</t>
  </si>
  <si>
    <t>Draftkings Inc</t>
  </si>
  <si>
    <t>Saratoga Benchmarking - Draftkings</t>
  </si>
  <si>
    <t>0064L00000CWxDS</t>
  </si>
  <si>
    <t>Saratoga benchmarking - Microsoft</t>
  </si>
  <si>
    <t>Saratoga_POD_Manufacturing (Excluding Aerospace &amp; Chemical)</t>
  </si>
  <si>
    <t>0064L00000BoQMa</t>
  </si>
  <si>
    <t>Saratoga Benchmarking - Signature Bank</t>
  </si>
  <si>
    <t>0064L00000Boc29</t>
  </si>
  <si>
    <t>BG LLH, LLC</t>
  </si>
  <si>
    <t>Saratoga Benchmarking - Lineage Logistics</t>
  </si>
  <si>
    <t>0064L00000CWxEk</t>
  </si>
  <si>
    <t>Perrigo Company plc</t>
  </si>
  <si>
    <t>Saratoga Benchmarking - Perrigo Company</t>
  </si>
  <si>
    <t>0064L00000BoPna</t>
  </si>
  <si>
    <t>Saratoga Benchmarking - State Street</t>
  </si>
  <si>
    <t>0064L00000CWxGq</t>
  </si>
  <si>
    <t>Saratoga Benchmarking - Catholic Health Initiatives</t>
  </si>
  <si>
    <t>Saratoga_POD_Hospitals and Health Systems</t>
  </si>
  <si>
    <t>0064L000007Ezl8</t>
  </si>
  <si>
    <t>Barry Callebaut AG</t>
  </si>
  <si>
    <t>Saratoga Benchmarking - Barry Callebaut</t>
  </si>
  <si>
    <t>0064L00000CYmND</t>
  </si>
  <si>
    <t>Kinder Morgan Inc.</t>
  </si>
  <si>
    <t>Saratoga Benchmarking - Kinder Morgan</t>
  </si>
  <si>
    <t>0064L00000CYmQ2</t>
  </si>
  <si>
    <t>One Gas Inc.</t>
  </si>
  <si>
    <t>Saratoga Benchmarking - One Gas Inc.</t>
  </si>
  <si>
    <t>0064L000001wMI2</t>
  </si>
  <si>
    <t>Saratoga Benchmarking Renewal - Tenet Healthcare</t>
  </si>
  <si>
    <t>0064L00000BnNSD</t>
  </si>
  <si>
    <t>Somatus Inc.</t>
  </si>
  <si>
    <t>Saratoga Benchmarking - Somatus</t>
  </si>
  <si>
    <t>0064L00000Blk4a</t>
  </si>
  <si>
    <t>Saratoga Benchmarking - Discover</t>
  </si>
  <si>
    <t>0064L000009fo49</t>
  </si>
  <si>
    <t>Saratoga Benchmarking - DCP Midstream</t>
  </si>
  <si>
    <t>0064L00000BgYFe</t>
  </si>
  <si>
    <t>QINETIQ INC.</t>
  </si>
  <si>
    <t>Saratoga Benchmarking - QinetiQ Inc.</t>
  </si>
  <si>
    <t>0064L000009flHR</t>
  </si>
  <si>
    <t>Cerence Inc.</t>
  </si>
  <si>
    <t>Saratoga Benchmarking - Cerence</t>
  </si>
  <si>
    <t>0064L00000CXVu7</t>
  </si>
  <si>
    <t>Saratoga Benchmarking - Boston Medical Center</t>
  </si>
  <si>
    <t>0064L00000CXVuh</t>
  </si>
  <si>
    <t>Alvarez &amp; Marsal Corporate Performance Improvement LLC</t>
  </si>
  <si>
    <t>Saratoga Benchmarking - Alvarez and Marsal</t>
  </si>
  <si>
    <t>0064L00000CXVuq</t>
  </si>
  <si>
    <t>Centracare Health System</t>
  </si>
  <si>
    <t>Saratoga Benchmarking - Centracare</t>
  </si>
  <si>
    <t>0064L000003zzS1</t>
  </si>
  <si>
    <t>Atlas Air Worldwide Holdings Inc.</t>
  </si>
  <si>
    <t>Saratoga Benchmarking - Atlas Air Worldwide</t>
  </si>
  <si>
    <t>0064L00000DLNOG</t>
  </si>
  <si>
    <t>Saratoga Benchmarking renewal - Centura Health System</t>
  </si>
  <si>
    <t>0064L00000DLNO6</t>
  </si>
  <si>
    <t>Saratoga Benchmarking - Centene</t>
  </si>
  <si>
    <t>0064L00000AqKOb</t>
  </si>
  <si>
    <t>Westerra Credit Union</t>
  </si>
  <si>
    <t>Saratoga Benchmarking - Westerra Credit Union</t>
  </si>
  <si>
    <t>0064L00000DLMmt</t>
  </si>
  <si>
    <t>Baylor College Of Medicine</t>
  </si>
  <si>
    <t>Saratoga Benchmarking renewal - Baylor College of Medicine</t>
  </si>
  <si>
    <t>0064L00000DLMmr</t>
  </si>
  <si>
    <t>Saratoga Benchmarking renewal - Baptist Health South Florida</t>
  </si>
  <si>
    <t>0064L00000DLMmq</t>
  </si>
  <si>
    <t>Avera Health</t>
  </si>
  <si>
    <t>Saratoga Benchmarking renewal - Avera Health</t>
  </si>
  <si>
    <t>0064L00000DLNQ9</t>
  </si>
  <si>
    <t>Saratoga Benchmarking renewal - Cordis</t>
  </si>
  <si>
    <t>0064L00000DLNQ8</t>
  </si>
  <si>
    <t>CMS Energy Corporation</t>
  </si>
  <si>
    <t>Saratoga Benchmarking renewal - Consumers Energy</t>
  </si>
  <si>
    <t>0064L00000DLNQ7</t>
  </si>
  <si>
    <t>College Of American Pathologists</t>
  </si>
  <si>
    <t>Saratoga Benchmarking renewal - College of American Pathologists</t>
  </si>
  <si>
    <t>0064L00000CXVyc</t>
  </si>
  <si>
    <t>Arkansas Children's Hospital</t>
  </si>
  <si>
    <t>Saratoga Benchmarking - Arkansas Children Hospital</t>
  </si>
  <si>
    <t>0064L00000DLMow</t>
  </si>
  <si>
    <t>Saratoga Benchmarking renewal - Beaumont Health</t>
  </si>
  <si>
    <t>0064L00000DLNQM</t>
  </si>
  <si>
    <t>Columbus Regional Hospital</t>
  </si>
  <si>
    <t>Saratoga Benchmarking renewal - Columbus Regional Health</t>
  </si>
  <si>
    <t>0064L00000DLMrN</t>
  </si>
  <si>
    <t>Saratoga Benchmarking - Expedia</t>
  </si>
  <si>
    <t>Saratoga_POD_Leads</t>
  </si>
  <si>
    <t>0064L00000DLMrM</t>
  </si>
  <si>
    <t>Medtronic Plc</t>
  </si>
  <si>
    <t>Saratoga Benchmarking - Medtronic</t>
  </si>
  <si>
    <t>0064L00000DLNRR</t>
  </si>
  <si>
    <t>Saratoga Benchmarking renewal - Cooper University Health</t>
  </si>
  <si>
    <t>0064L00000DLMrW</t>
  </si>
  <si>
    <t>Saratoga Benchmarking renewal - Boehringer Ingelheim</t>
  </si>
  <si>
    <t>0064L00000DLNTm</t>
  </si>
  <si>
    <t>Saratoga Benchmarking renewal - Cynosure</t>
  </si>
  <si>
    <t>0064L00000DLNSz</t>
  </si>
  <si>
    <t>Csaa Insurance Exchange</t>
  </si>
  <si>
    <t>Saratoga Benchmarking renewal - CSAA Insurance</t>
  </si>
  <si>
    <t>0064L00000DLMt8</t>
  </si>
  <si>
    <t>Saratoga Benchmarking - Autodesk</t>
  </si>
  <si>
    <t>0064L0000041LlU</t>
  </si>
  <si>
    <t>State Of Texas</t>
  </si>
  <si>
    <t>Saratoga Benchmarking - TRS of Texas</t>
  </si>
  <si>
    <t>0064L00000DLNV5</t>
  </si>
  <si>
    <t>Saratoga Benchmarking renewal - Eisai</t>
  </si>
  <si>
    <t>0064L00000DLNV4</t>
  </si>
  <si>
    <t>Dry Creek Corporation</t>
  </si>
  <si>
    <t>Saratoga Benchmarking renewal - E &amp; J Gallo</t>
  </si>
  <si>
    <t>0064L00000AqJvL</t>
  </si>
  <si>
    <t>Medifast Inc.</t>
  </si>
  <si>
    <t>Saratoga Benchmarking renewal - Jason Pharmaceuticals (Medifast)</t>
  </si>
  <si>
    <t>0064L00000DLNVe</t>
  </si>
  <si>
    <t>Saratoga Benchmarking renewal - Encompass Health</t>
  </si>
  <si>
    <t>0064L00000DLMvd</t>
  </si>
  <si>
    <t>Capital Health System</t>
  </si>
  <si>
    <t>Saratoga Benchmarking renewal - Capital Health (ASHHRA upgrade)</t>
  </si>
  <si>
    <t>0064L00000CXzHJ</t>
  </si>
  <si>
    <t>Verisk Analytics Inc.</t>
  </si>
  <si>
    <t>Saratoga Benchmarking - Verisk</t>
  </si>
  <si>
    <t>Saratoga_POD_Technology - Software</t>
  </si>
  <si>
    <t>0064L000006jgv1</t>
  </si>
  <si>
    <t>Saratoga Benchmarking  - eHealth</t>
  </si>
  <si>
    <t>0064L00000AqKaK</t>
  </si>
  <si>
    <t>Saratoga Benchmarking renewal - Cuna Mutual Group</t>
  </si>
  <si>
    <t>0064L000006CDYr</t>
  </si>
  <si>
    <t>Saratoga Benchmarking - Univar Solutions</t>
  </si>
  <si>
    <t>0064L00000BlfsL</t>
  </si>
  <si>
    <t>Saratoga Benchmarking - Carbon Health</t>
  </si>
  <si>
    <t>0064L00000CYHSl</t>
  </si>
  <si>
    <t>Amdocs LTD.</t>
  </si>
  <si>
    <t>Saratoga Benchmarking - Amdocs</t>
  </si>
  <si>
    <t>0064L000007wjK1</t>
  </si>
  <si>
    <t>MEDAVIE INC.</t>
  </si>
  <si>
    <t>Saratoga Benchmarking - Medavie</t>
  </si>
  <si>
    <t>0064L00000Bmjau</t>
  </si>
  <si>
    <t>Saratoga Benchmarking renewal - Providence Health</t>
  </si>
  <si>
    <t>0064L000009fZzJ</t>
  </si>
  <si>
    <t>Supportninja</t>
  </si>
  <si>
    <t>Saratoga Benchmarking - SupportNinja</t>
  </si>
  <si>
    <t>0064L000009fZzT</t>
  </si>
  <si>
    <t>Saratoga Benchmarking - Peloton Interactive</t>
  </si>
  <si>
    <t>0064L000001wKED</t>
  </si>
  <si>
    <t>Saratoga Benchmarking winback - AmeriHealth Caritas</t>
  </si>
  <si>
    <t>0064L00000BmIKF</t>
  </si>
  <si>
    <t>Saratoga Benchmarking - Manulife (net new)</t>
  </si>
  <si>
    <t>0064L00000CWSfc</t>
  </si>
  <si>
    <t>United Nations</t>
  </si>
  <si>
    <t>Saratoga Benchmarking - World Food Program USA</t>
  </si>
  <si>
    <t>0064L00000CWSh4</t>
  </si>
  <si>
    <t>INTER PARFUMS Inc.</t>
  </si>
  <si>
    <t>Saratoga Benchmarking - Inter Parfums Inc.</t>
  </si>
  <si>
    <t>0064L00000CXVkc</t>
  </si>
  <si>
    <t>Saratoga Benchmarking - Avnet</t>
  </si>
  <si>
    <t>0064L00000CXVla</t>
  </si>
  <si>
    <t>Cohesity Inc.</t>
  </si>
  <si>
    <t>Saratoga Benchmarking - Cohesity</t>
  </si>
  <si>
    <t>0064L00000CXWLs</t>
  </si>
  <si>
    <t>Saratoga Benchmarking - Akamai</t>
  </si>
  <si>
    <t>0064L00000CXVmn</t>
  </si>
  <si>
    <t>Saratoga Benchmarking - Chime</t>
  </si>
  <si>
    <t>0064L00000AqJdz</t>
  </si>
  <si>
    <t>Saratoga Benchmarking - Mohawk Valley Health System</t>
  </si>
  <si>
    <t>0064L000003zhxv</t>
  </si>
  <si>
    <t>Nsf International</t>
  </si>
  <si>
    <t>Saratoga Benchmarking - NSF International</t>
  </si>
  <si>
    <t>0064L00000DLNHB</t>
  </si>
  <si>
    <t>Saratoga Benchmarking renewal - Cedars Sinai Medical Center</t>
  </si>
  <si>
    <t>0064I0000131SLW</t>
  </si>
  <si>
    <t>Saratoga Benchmarking winback - Johnson Controls</t>
  </si>
  <si>
    <t>18/2/2020</t>
  </si>
  <si>
    <t>0064L00000CXVqo</t>
  </si>
  <si>
    <t>Saratoga Benchmarking - LHC Group Inc.</t>
  </si>
  <si>
    <t>0064L00000BmFrk</t>
  </si>
  <si>
    <t>Saratoga Benchmarking - GlaxoSmithKline (GSK)</t>
  </si>
  <si>
    <t>0064L00000BgVe6</t>
  </si>
  <si>
    <t>TE Connectivity</t>
  </si>
  <si>
    <t>Saratoga Benchmarking - TE Connectivity</t>
  </si>
  <si>
    <t>0064L00000CW0O3</t>
  </si>
  <si>
    <t>The Academy Group, Inc.</t>
  </si>
  <si>
    <t>Saratoga Benchmarking - Health Management Academy</t>
  </si>
  <si>
    <t>0064L00000CX42P</t>
  </si>
  <si>
    <t>Adaptive Biotechnologies Corporation</t>
  </si>
  <si>
    <t>Saratoga Benchmarking - Adaptive Biotechnologies</t>
  </si>
  <si>
    <t>0064L00000CWcQk</t>
  </si>
  <si>
    <t>Saratoga Benchmarking - Farmers Group</t>
  </si>
  <si>
    <t>0064L00000ApgkV</t>
  </si>
  <si>
    <t>ARETE ADVISORS, LLC</t>
  </si>
  <si>
    <t>Saratoga Benchmarking - Arete Advisors</t>
  </si>
  <si>
    <t>0064L00000DJVez</t>
  </si>
  <si>
    <t>Merck &amp; Co. Inc</t>
  </si>
  <si>
    <t>Saratoga Benchmarking - Merck</t>
  </si>
  <si>
    <t>0064L000006z1hK</t>
  </si>
  <si>
    <t>Saratoga Benchmarking - Home Point Financial</t>
  </si>
  <si>
    <t>0064L000007vcXd</t>
  </si>
  <si>
    <t>Dqe Holdings LLC</t>
  </si>
  <si>
    <t>Saratoga Benchmarking - Duquesne Light</t>
  </si>
  <si>
    <t>0064L000009gJXA</t>
  </si>
  <si>
    <t>Prime Therapeutics LLC</t>
  </si>
  <si>
    <t>Saratoga Benchmarking - Prime Therapeutics</t>
  </si>
  <si>
    <t>0064L000007x79I</t>
  </si>
  <si>
    <t>Saratoga Benchmarking - Citizens Bank</t>
  </si>
  <si>
    <t>0064L0000070EbV</t>
  </si>
  <si>
    <t>Saratoga Benchmarking (Winback) - Target</t>
  </si>
  <si>
    <t>0064L00000CXfk7</t>
  </si>
  <si>
    <t>Onex Corporation</t>
  </si>
  <si>
    <t>Saratoga Benchmarking - Celestica</t>
  </si>
  <si>
    <t>0064L000009fGHG</t>
  </si>
  <si>
    <t>Fgi Worldwide Holdings Llc</t>
  </si>
  <si>
    <t>Saratoga Benchmarking - FGI</t>
  </si>
  <si>
    <t>0064L00000CXfnV</t>
  </si>
  <si>
    <t>Platinum Equity, LLC</t>
  </si>
  <si>
    <t>Saratoga Benchmarking - Vertiv</t>
  </si>
  <si>
    <t>0064L00000BlwqS</t>
  </si>
  <si>
    <t>Saratoga Benchmarking - M&amp;T Bank (Net New)</t>
  </si>
  <si>
    <t>0064L00000ApyfP</t>
  </si>
  <si>
    <t>Crane Co.</t>
  </si>
  <si>
    <t>Saratoga Benchmarking - Crane Co.</t>
  </si>
  <si>
    <t>0064L00000Apyfe</t>
  </si>
  <si>
    <t>Saratoga Benchmarking - Shift4</t>
  </si>
  <si>
    <t>0064L00000D91lx</t>
  </si>
  <si>
    <t>Uber Technologies, Inc.</t>
  </si>
  <si>
    <t>Saratoga Benchmarking - Uber</t>
  </si>
  <si>
    <t>CS_TR_AA_7489_TRANSFORM_WF_NA_07FY23_SARATOGA BENCHMARKING RESULTS EBOOK</t>
  </si>
  <si>
    <t>0064L00000AqZ1J</t>
  </si>
  <si>
    <t>Center For Creative Leadership</t>
  </si>
  <si>
    <t>Saratoga Benchmarking - Center for Creative Leadership</t>
  </si>
  <si>
    <t>0064L00000CXwA5</t>
  </si>
  <si>
    <t>Saratoga Benchmarking - UBS Group AG</t>
  </si>
  <si>
    <t>FW_PM_AA_TRANSFORM_REWARDS_CHRO_02FY22_SARATOGA REDUCING TURNOVER EBOOK</t>
  </si>
  <si>
    <t>0064L00000Bg4Ke</t>
  </si>
  <si>
    <t>Fred Hutchinson Cancer Research Center</t>
  </si>
  <si>
    <t>Saratoga Benchmarking - Fred Hutchinson Cancer Research Center</t>
  </si>
  <si>
    <t>0064L000009fiyA</t>
  </si>
  <si>
    <t>Saratoga Benchmarking - Blue Apron</t>
  </si>
  <si>
    <t>0064L000009fivB</t>
  </si>
  <si>
    <t>Saratoga Benchmarking - Securian</t>
  </si>
  <si>
    <t>0064L000007xYWA</t>
  </si>
  <si>
    <t>Saratoga Benchmarking - Beachbody</t>
  </si>
  <si>
    <t>0064L000009fXnR</t>
  </si>
  <si>
    <t>Bio-RAD Laboratories, Inc.</t>
  </si>
  <si>
    <t>SARATOGA Benchmarking - Bio-RAD</t>
  </si>
  <si>
    <t>0064L000009fYIi</t>
  </si>
  <si>
    <t>Saratoga Benchmarking - Danaher</t>
  </si>
  <si>
    <t>0064L00000Bn9M4</t>
  </si>
  <si>
    <t>Saratoga Benchmarking - FRB Minneapolis</t>
  </si>
  <si>
    <t>0064L00000BmFmb</t>
  </si>
  <si>
    <t>South Jersey Industries, Inc</t>
  </si>
  <si>
    <t>Saratoga Benchmarking - South Jersey (SJ) Industries</t>
  </si>
  <si>
    <t>0064L00000Blv0V</t>
  </si>
  <si>
    <t>Edward Jones</t>
  </si>
  <si>
    <t>Saratoga Benchmarking - Edward Jones (Net New)</t>
  </si>
  <si>
    <t>0064L000009fDzm</t>
  </si>
  <si>
    <t>Bryan Health</t>
  </si>
  <si>
    <t>Saratoga Benchmarking - Bryan Health</t>
  </si>
  <si>
    <t>0064L00000AqFdg</t>
  </si>
  <si>
    <t>Ilitch Holdings Inc.</t>
  </si>
  <si>
    <t>Saratoga Benchmarking - Ilitch Holdings</t>
  </si>
  <si>
    <t>0064L000009fEZB</t>
  </si>
  <si>
    <t>Premier Inc.</t>
  </si>
  <si>
    <t>Saratoga Benchmarking - Premier, Inc.</t>
  </si>
  <si>
    <t>0064L000009fESK</t>
  </si>
  <si>
    <t>Saratoga Benchmarking - Coalfire Systems</t>
  </si>
  <si>
    <t>0064L00000Aq6IY</t>
  </si>
  <si>
    <t>Baylor Scott &amp; White Holdings</t>
  </si>
  <si>
    <t>Saratoga Benchmarking winback - Baylor Scott &amp; White Health</t>
  </si>
  <si>
    <t>0064L00000Aq6Kj</t>
  </si>
  <si>
    <t>ALZHEIMER'S DISEASE AND RELATED DISORDERS ASSOCIATION INC.</t>
  </si>
  <si>
    <t>Saratoga Benchmarking renewal - Alzheimer's Association</t>
  </si>
  <si>
    <t>0064L000009fEP6</t>
  </si>
  <si>
    <t>LBell HR Consulting LLC</t>
  </si>
  <si>
    <t>Saratoga Benchmarking (License) - LBell HR Consulting</t>
  </si>
  <si>
    <t>0064L000007vOow</t>
  </si>
  <si>
    <t>Lake Trust Credit Union</t>
  </si>
  <si>
    <t>Saratoga Benchmarking - Lake Trust Credit Union</t>
  </si>
  <si>
    <t>0064L00000BfspH</t>
  </si>
  <si>
    <t>Figure Technologies Inc.</t>
  </si>
  <si>
    <t>Saratoga Benchmarking - Figure</t>
  </si>
  <si>
    <t>0064L00000BnYfx</t>
  </si>
  <si>
    <t>Captario Ab</t>
  </si>
  <si>
    <t>Saratoga Benchmarking - Captario</t>
  </si>
  <si>
    <t>0064L00000ArIza</t>
  </si>
  <si>
    <t>Duke University</t>
  </si>
  <si>
    <t>Saratoga Benchmarking - Duke University Health</t>
  </si>
  <si>
    <t>0064L00000DFYiS</t>
  </si>
  <si>
    <t>Saratoga Benchmarking - City + Ventures</t>
  </si>
  <si>
    <t>0064L00000DFYkO</t>
  </si>
  <si>
    <t>Public Consulting Group Inc.</t>
  </si>
  <si>
    <t>Saratoga Benchmarking - PCG</t>
  </si>
  <si>
    <t>0064L000009gHHb</t>
  </si>
  <si>
    <t>Databricks</t>
  </si>
  <si>
    <t>Saratoga Benchmarking - Databricks</t>
  </si>
  <si>
    <t>0064L00000BnYnY</t>
  </si>
  <si>
    <t>HTT, INC.</t>
  </si>
  <si>
    <t>Saratoga Benchmarking - HTT World Stamping Inc.</t>
  </si>
  <si>
    <t>0064L000007GFUB</t>
  </si>
  <si>
    <t>Outset Medical, Inc</t>
  </si>
  <si>
    <t>Saratoga Benchmarking - Outset Medical</t>
  </si>
  <si>
    <t>0064L00000DFYlg</t>
  </si>
  <si>
    <t>Quest Diagnostics Incorporated</t>
  </si>
  <si>
    <t>Saratoga Benchmarking - Quest Diagnostics</t>
  </si>
  <si>
    <t>0064L000009fEF1</t>
  </si>
  <si>
    <t>Saratoga Benchmarking - Evoke</t>
  </si>
  <si>
    <t>0064L00000DFYmj</t>
  </si>
  <si>
    <t>Ralph Lauren Corporation</t>
  </si>
  <si>
    <t>Saratoga Benchmarking - Ralph Lauren</t>
  </si>
  <si>
    <t>0064L0000041IlB</t>
  </si>
  <si>
    <t>Caleres</t>
  </si>
  <si>
    <t>Saratoga Benchmarking - Caleres (Winback)</t>
  </si>
  <si>
    <t>0064L000007xhbv</t>
  </si>
  <si>
    <t>U.S. Venture, Inc.</t>
  </si>
  <si>
    <t>Saratoga Benchmarking - US Venture</t>
  </si>
  <si>
    <t>0064L000007xhWR</t>
  </si>
  <si>
    <t>Hamilton Company</t>
  </si>
  <si>
    <t>Saratoga Benchmarking - Hamilton Company</t>
  </si>
  <si>
    <t>0064L000007wCLB</t>
  </si>
  <si>
    <t>Henry M. Jackson Foundation for the Advancement of Military Medicine</t>
  </si>
  <si>
    <t>Saratoga Benchmarking - HJF</t>
  </si>
  <si>
    <t>0064L00000BepNu</t>
  </si>
  <si>
    <t>Microland Limited</t>
  </si>
  <si>
    <t>Saratoga Benchmarking - Microland</t>
  </si>
  <si>
    <t>0064L00000ArJ9f</t>
  </si>
  <si>
    <t>Saratoga Benchmarking - Victoria's Secret</t>
  </si>
  <si>
    <t>0064L00000AqhXk</t>
  </si>
  <si>
    <t>Mainehealth Services</t>
  </si>
  <si>
    <t>Saratoga Benchmarking renewal - MaineHealth</t>
  </si>
  <si>
    <t>0064L00000AqhYU</t>
  </si>
  <si>
    <t>Saratoga Benchmarking renewal - MassMutual</t>
  </si>
  <si>
    <t>0064L000007wCLp</t>
  </si>
  <si>
    <t>Saratoga Benchmarking - Duquesne Light Company (DLC)</t>
  </si>
  <si>
    <t>0064L00000AqFX9</t>
  </si>
  <si>
    <t>Scotia Investments Limited</t>
  </si>
  <si>
    <t>Saratoga Benchmarking - Scotia Investments</t>
  </si>
  <si>
    <t>0064L000007wSbd</t>
  </si>
  <si>
    <t>Saratoga Benchmarking Winback - McKesson</t>
  </si>
  <si>
    <t>0064L00000BfsVv</t>
  </si>
  <si>
    <t>Saratoga Benchmarking - Intuit</t>
  </si>
  <si>
    <t>0064L00000Ar9BH</t>
  </si>
  <si>
    <t>University Of Vermont Health Network, The</t>
  </si>
  <si>
    <t>Saratoga Benchmarking - University of Vermont Health Network</t>
  </si>
  <si>
    <t>0064L000007weGU</t>
  </si>
  <si>
    <t>Saratoga Benchmarking - United Natural Foods Inc. (UNFI)</t>
  </si>
  <si>
    <t>0064L00000AqUf4</t>
  </si>
  <si>
    <t>Saratoga Benchmarking renewal - Emergent BioSolutions</t>
  </si>
  <si>
    <t>0064L00000AqUh0</t>
  </si>
  <si>
    <t>Enable Midstream Partners Lp</t>
  </si>
  <si>
    <t>Saratoga Benchmarking renewal - Enable Midstream</t>
  </si>
  <si>
    <t>0064L00000Bo8X5</t>
  </si>
  <si>
    <t>The Timken Company</t>
  </si>
  <si>
    <t>Saratoga Benchmarking - Timken</t>
  </si>
  <si>
    <t>0064L00000BgBBw</t>
  </si>
  <si>
    <t>Snowflake Inc.</t>
  </si>
  <si>
    <t>Saratoga Benchmarking - Snowflake</t>
  </si>
  <si>
    <t>0064L000009fvS8</t>
  </si>
  <si>
    <t>Emerson Health Systems Inc.</t>
  </si>
  <si>
    <t>Saratoga Benchmarking - Emerson Hospital</t>
  </si>
  <si>
    <t>0064L00000Ape6W</t>
  </si>
  <si>
    <t>Aledade, Inc.</t>
  </si>
  <si>
    <t>Saratoga Benchmarking - Aledade</t>
  </si>
  <si>
    <t>0064L000009fvIh</t>
  </si>
  <si>
    <t>Saratoga Benchmarking winback - Equifax</t>
  </si>
  <si>
    <t>0064L00000DFiGs</t>
  </si>
  <si>
    <t>Saratoga Benchmarking - Lowe's</t>
  </si>
  <si>
    <t>0064L00000DFiHH</t>
  </si>
  <si>
    <t>Saratoga Benchmarking - Mckesson</t>
  </si>
  <si>
    <t>0064L00000CXREG</t>
  </si>
  <si>
    <t>Sumeru Equity Partners L.P.</t>
  </si>
  <si>
    <t>Saratoga Benchmarking - Sumeru Equity</t>
  </si>
  <si>
    <t>0064L00000CXRCk</t>
  </si>
  <si>
    <t>Saratoga Benchmarking - GE Healthcare</t>
  </si>
  <si>
    <t>0064L00000401jY</t>
  </si>
  <si>
    <t>Alticor Global Holdings INC.</t>
  </si>
  <si>
    <t>Saratoga Benchmarking - Amway</t>
  </si>
  <si>
    <t>0064L000009fDYH</t>
  </si>
  <si>
    <t>Saratoga Benchmarking winback - Honeywell</t>
  </si>
  <si>
    <t>0064L00000BlrJU</t>
  </si>
  <si>
    <t>JPMorgan Chase &amp; Co.</t>
  </si>
  <si>
    <t>Saratoga Benchmarking - JPMorgan</t>
  </si>
  <si>
    <t>0064L000004weUl</t>
  </si>
  <si>
    <t>Saratoga Benchmarking winback - Froedtert Health</t>
  </si>
  <si>
    <t>0064L000009feu6</t>
  </si>
  <si>
    <t>Saratoga Benchmarking - Comcast</t>
  </si>
  <si>
    <t>0064L000009AkLV</t>
  </si>
  <si>
    <t>Saratoga Benchmarking - Community Health Systems</t>
  </si>
  <si>
    <t>0064L000009AkK8</t>
  </si>
  <si>
    <t>Peopleconnect, Inc.</t>
  </si>
  <si>
    <t>Saratoga Benchmarking - PeopleConnect</t>
  </si>
  <si>
    <t>0064L000007wshC</t>
  </si>
  <si>
    <t>CNM LLP</t>
  </si>
  <si>
    <t>Saratoga Benchmarking - CNM</t>
  </si>
  <si>
    <t>0064L000001w3Us</t>
  </si>
  <si>
    <t>Genstar Capital IX, L.P.</t>
  </si>
  <si>
    <t>Saratoga Benchmarking - OEConnection</t>
  </si>
  <si>
    <t>0064L000007vNfh</t>
  </si>
  <si>
    <t>Singapore National Employers Federation</t>
  </si>
  <si>
    <t>Saratoga Benchmarking - SNEF</t>
  </si>
  <si>
    <t>0064L000007XXRK</t>
  </si>
  <si>
    <t>Great Minds</t>
  </si>
  <si>
    <t>Saratoga Benchmarking - Great Minds</t>
  </si>
  <si>
    <t>0064L000007YIhS</t>
  </si>
  <si>
    <t>G&amp;W Electric Company</t>
  </si>
  <si>
    <t>Saratoga Benchmarking - G&amp;W Electric</t>
  </si>
  <si>
    <t>0064L000007xB6I</t>
  </si>
  <si>
    <t>Dome Construction Corporation</t>
  </si>
  <si>
    <t>Saratoga Benchmarking - Dome Construction</t>
  </si>
  <si>
    <t>0064L00000DM6zZ</t>
  </si>
  <si>
    <t>GRAEME RICHARD HART</t>
  </si>
  <si>
    <t>Saratoga Benchmarking - Pactiv Evergreen</t>
  </si>
  <si>
    <t>0064L00000DM6za</t>
  </si>
  <si>
    <t>Lee Memorial Health System</t>
  </si>
  <si>
    <t>Saratoga Benchmarking - Lee Health</t>
  </si>
  <si>
    <t>0064L000006AzZ0</t>
  </si>
  <si>
    <t>Saratoga Benchmarking - Morningstar</t>
  </si>
  <si>
    <t>0064L000009epmW</t>
  </si>
  <si>
    <t>Biohaven Pharmaceutical Holding CompanyLtd.</t>
  </si>
  <si>
    <t>SARATOGA Benchmarking - Biohaven Pharmaceuticals</t>
  </si>
  <si>
    <t>0064L000006h7aa</t>
  </si>
  <si>
    <t>Saratoga Benchmarking winback - AECOM</t>
  </si>
  <si>
    <t>0064L00000DLVi7</t>
  </si>
  <si>
    <t>Intuitive Surgical, Inc.</t>
  </si>
  <si>
    <t>Saratoga Benchmarking renewal - Intuitive Surgical</t>
  </si>
  <si>
    <t>0064L000009ADwO</t>
  </si>
  <si>
    <t>Bechtel Group Inc.</t>
  </si>
  <si>
    <t>Saratoga Benchmarking - Bechtel</t>
  </si>
  <si>
    <t>0064L00000DLVjz</t>
  </si>
  <si>
    <t>Marshfield Clinic Health System, Inc.</t>
  </si>
  <si>
    <t>Saratoga Benchmarking renewal - Marshfield Clinic</t>
  </si>
  <si>
    <t>0064L00000DLVk2</t>
  </si>
  <si>
    <t>Lifebridge Health Inc.</t>
  </si>
  <si>
    <t>Saratoga Benchmarking - Lifebridge Health</t>
  </si>
  <si>
    <t>0064L00000DLVjT</t>
  </si>
  <si>
    <t>Saratoga Benchmarking renewal - Lennox</t>
  </si>
  <si>
    <t>0064L00000DLVlp</t>
  </si>
  <si>
    <t>New York Power Authority</t>
  </si>
  <si>
    <t>Saratoga Benchmarking renewal - New York Power Authority</t>
  </si>
  <si>
    <t>0064L00000DLVn2</t>
  </si>
  <si>
    <t>Saratoga Benchmarking renewal - Northeast Georgia Health</t>
  </si>
  <si>
    <t>0064L00000DLVlK</t>
  </si>
  <si>
    <t>Medical University Hospital Authority</t>
  </si>
  <si>
    <t>Saratoga Benchmarking renewal - Medical University Hospital Authority</t>
  </si>
  <si>
    <t>0064L00000DLVlP</t>
  </si>
  <si>
    <t>Medline Industries Inc.</t>
  </si>
  <si>
    <t>Saratoga Benchmarking renewal - Medline</t>
  </si>
  <si>
    <t>0064L00000DLVlQ</t>
  </si>
  <si>
    <t>Meijer Companies Ltd.</t>
  </si>
  <si>
    <t>Saratoga Benchmarking renewal - Meijer</t>
  </si>
  <si>
    <t>0064L00000DLVlR</t>
  </si>
  <si>
    <t>Saratoga Benchmarking renewal - Memorial Hermann Health System</t>
  </si>
  <si>
    <t>0064L00000DLVlS</t>
  </si>
  <si>
    <t>Mercy Health System Corporation</t>
  </si>
  <si>
    <t>Saratoga Benchmarking renewal - Mercy Health (ASHHRA upgrade)</t>
  </si>
  <si>
    <t>0064L00000DLVlU</t>
  </si>
  <si>
    <t>Pediatrix Medical Group, Inc.</t>
  </si>
  <si>
    <t>Saratoga Benchmarking renewal - Mednax</t>
  </si>
  <si>
    <t>0064L00000DLVlW</t>
  </si>
  <si>
    <t>Saint Francis Health System Inc.</t>
  </si>
  <si>
    <t>Saratoga Benchmarking renewal - Saint Francis Health</t>
  </si>
  <si>
    <t>0064L00000DLVnb</t>
  </si>
  <si>
    <t>Saratoga Benchmarking Renewal - Novant Health</t>
  </si>
  <si>
    <t>0064L00000DLVnk</t>
  </si>
  <si>
    <t>Saratoga Benchmarking Renewal - Nuvance Health</t>
  </si>
  <si>
    <t>0064L00000DLVnp</t>
  </si>
  <si>
    <t>Oak Street Health, Inc.</t>
  </si>
  <si>
    <t>Saratoga Benchmarking renewal - Oak Street Health</t>
  </si>
  <si>
    <t>0064L00000DLVmh</t>
  </si>
  <si>
    <t>Navy Federal Credit Union</t>
  </si>
  <si>
    <t>Saratoga Benchmarking renewal - Navy Federal</t>
  </si>
  <si>
    <t>0064L00000DLVna</t>
  </si>
  <si>
    <t>Norton Healthcare INC.</t>
  </si>
  <si>
    <t>Saratoga Benchmarking renewal - Norton Healthcare</t>
  </si>
  <si>
    <t>0064L000009fscr</t>
  </si>
  <si>
    <t>Seagen Inc.</t>
  </si>
  <si>
    <t>Saratoga Benchmarking - Seattle Genetics</t>
  </si>
  <si>
    <t>0064L00000DLVqI</t>
  </si>
  <si>
    <t>Saratoga Benchmarking renewal - Premier Health</t>
  </si>
  <si>
    <t>0064L00000DLVqb</t>
  </si>
  <si>
    <t>Saratoga Benchmarking renewal - Renown Health</t>
  </si>
  <si>
    <t>0064L00000Aq2Ny</t>
  </si>
  <si>
    <t>Saratoga Benchmarking winback - PG&amp;E</t>
  </si>
  <si>
    <t>30/8/2021</t>
  </si>
  <si>
    <t>0064L00000DLVoy</t>
  </si>
  <si>
    <t>Saratoga Benchmarking renewal - Sempra Energy</t>
  </si>
  <si>
    <t>0064L00000DLVrt</t>
  </si>
  <si>
    <t>SPX Corporation</t>
  </si>
  <si>
    <t>Saratoga Benchmarking renewal - SPX Corporation</t>
  </si>
  <si>
    <t>0064L00000DLVqq</t>
  </si>
  <si>
    <t>Sandia National Lab</t>
  </si>
  <si>
    <t>Saratoga Benchmarking renewal - Sandia National Laboratories</t>
  </si>
  <si>
    <t>0064L00000DLVqt</t>
  </si>
  <si>
    <t>Campbell Soup Company</t>
  </si>
  <si>
    <t>Saratoga Benchmarking renewal - Campbell Soup</t>
  </si>
  <si>
    <t>0064L00000DLVrZ</t>
  </si>
  <si>
    <t>Southern Ohio Medical Center</t>
  </si>
  <si>
    <t>Saratoga Benchmarking renewal - Southern Ohio Medical Center</t>
  </si>
  <si>
    <t>0064L00000Apc5l</t>
  </si>
  <si>
    <t>Saratoga Benchmarking - HP</t>
  </si>
  <si>
    <t>0064L000004vp5V</t>
  </si>
  <si>
    <t>Royal Bank of Canada</t>
  </si>
  <si>
    <t>Saratoga Benchmarking - City National Bank</t>
  </si>
  <si>
    <t>0064L00000BmRda</t>
  </si>
  <si>
    <t>Saratoga Benchmarking winback - Vidant Health</t>
  </si>
  <si>
    <t>0064L000007xBW6</t>
  </si>
  <si>
    <t>Axon Enterprise, Inc.</t>
  </si>
  <si>
    <t>Saratoga Benchmarking - Axon Enterprise</t>
  </si>
  <si>
    <t>0064L00000CXNDK</t>
  </si>
  <si>
    <t>Saratoga Benchmarking - TruGreen</t>
  </si>
  <si>
    <t>0064L00000CXNBx</t>
  </si>
  <si>
    <t>Aspen Network of Development Entrepreneurs</t>
  </si>
  <si>
    <t>Saratoga Benchmarking - ANDE</t>
  </si>
  <si>
    <t>0064L00000DLVI8</t>
  </si>
  <si>
    <t>Zimmer Biomet Holdings Inc.</t>
  </si>
  <si>
    <t>Saratoga Benchmarking renewal - Zimmer Biomet</t>
  </si>
  <si>
    <t>0064L00000DLVGC</t>
  </si>
  <si>
    <t>Saratoga Benchmarking renewal - Essentia Health (ASHHRA upgrade)</t>
  </si>
  <si>
    <t>0064L00000DLVJG</t>
  </si>
  <si>
    <t>Saratoga Benchmarking renewal - Xcel Energy</t>
  </si>
  <si>
    <t>0064L000007x0bn</t>
  </si>
  <si>
    <t>Centra Health INC.</t>
  </si>
  <si>
    <t>Saratoga Benchmarking - Centra Health</t>
  </si>
  <si>
    <t>0064L00000CVHLr</t>
  </si>
  <si>
    <t>Children's Hospital Of Philadelphia</t>
  </si>
  <si>
    <t>Saratoga Benchmarking - CHOP</t>
  </si>
  <si>
    <t>0064L00000BmR88</t>
  </si>
  <si>
    <t>Greystar Real Estate Partners LLC.</t>
  </si>
  <si>
    <t>Saratoga Benchmarking - Greystar Real Estate</t>
  </si>
  <si>
    <t>0064L00000BnBy9</t>
  </si>
  <si>
    <t>Personalized Beauty Discovery Inc.</t>
  </si>
  <si>
    <t>Saratoga Benchmarking - Beauty for All (BFA) Industries</t>
  </si>
  <si>
    <t>0064L00000DLVM0</t>
  </si>
  <si>
    <t>Virtua Health</t>
  </si>
  <si>
    <t>Saratoga Benchmarking winback - Virtua Health (ASHHRA upgrade)</t>
  </si>
  <si>
    <t>0064L00000DLVKs</t>
  </si>
  <si>
    <t>WESTMORELAND HOSPITAL</t>
  </si>
  <si>
    <t>Saratoga Benchmarking renewal - Westmoreland Hospital (Excela Health)</t>
  </si>
  <si>
    <t>0064L00000DLVKt</t>
  </si>
  <si>
    <t>Saratoga Benchmarking renewal - West Tennessee Healthcare (ASHHRA upgrade)</t>
  </si>
  <si>
    <t>0064L00000DLVLX</t>
  </si>
  <si>
    <t>Saratoga Benchmarking renewal - WGL / AltaGas</t>
  </si>
  <si>
    <t>0064L00000DLVNO</t>
  </si>
  <si>
    <t>Saratoga Benchmarking renewal - Trinity Health</t>
  </si>
  <si>
    <t>0064L00000DLVPY</t>
  </si>
  <si>
    <t>Saratoga Benchmarking - TriNet</t>
  </si>
  <si>
    <t>0064L00000DLVQC</t>
  </si>
  <si>
    <t>Thomas Jefferson University</t>
  </si>
  <si>
    <t>Saratoga Benchmarking renewal - Thomas Jefferson University &amp; Hospitals</t>
  </si>
  <si>
    <t>0064L00000DLVNh</t>
  </si>
  <si>
    <t>Saratoga Benchmarking renewal - UTMB</t>
  </si>
  <si>
    <t>0064L00000DLVNr</t>
  </si>
  <si>
    <t>Saratoga Benchmarking renewal - Unitypoint Health</t>
  </si>
  <si>
    <t>0064L00000DLVS3</t>
  </si>
  <si>
    <t>Saratoga Benchmarking Renewal - Surgery Partners</t>
  </si>
  <si>
    <t>0064L00000DM6qT</t>
  </si>
  <si>
    <t>Integer Holdings Corporation</t>
  </si>
  <si>
    <t>Saratoga Benchmarking - Integer</t>
  </si>
  <si>
    <t>0064L00000DLVQW</t>
  </si>
  <si>
    <t>Saratoga Benchmarking renewal - Texas Children's Hospital</t>
  </si>
  <si>
    <t>0064L00000DLVPx</t>
  </si>
  <si>
    <t>Teachers Insurance And Annuity Association Of America (TIAA)</t>
  </si>
  <si>
    <t>Saratoga Benchmarking renewal - TIAA</t>
  </si>
  <si>
    <t>0064L00000DLVPz</t>
  </si>
  <si>
    <t>Saratoga Benchmarking renewal - The Hershey Company</t>
  </si>
  <si>
    <t>0064L00000Boyhd</t>
  </si>
  <si>
    <t>Saratoga Benchmarking - First Republic Bank</t>
  </si>
  <si>
    <t>0064L00000DLVSI</t>
  </si>
  <si>
    <t>Saratoga Benchmarking renewal - St. Joseph's Health</t>
  </si>
  <si>
    <t>0064L00000DLVSJ</t>
  </si>
  <si>
    <t>St. Elizabeth Healthcare</t>
  </si>
  <si>
    <t>Saratoga Benchmarking renewal - St. Elizabeth Healthcare</t>
  </si>
  <si>
    <t>0064L00000Boyk4</t>
  </si>
  <si>
    <t>Saratoga Benchmarking - Fulton Financial</t>
  </si>
  <si>
    <t>0064L00000DLVVM</t>
  </si>
  <si>
    <t>First Citizens Bancshares Inc.</t>
  </si>
  <si>
    <t>Saratoga Benchmarking renewal - First Citizens Bank</t>
  </si>
  <si>
    <t>0064L00000DLVW1</t>
  </si>
  <si>
    <t>Saratoga Benchmarking Renewal - Hackensack Meridian Health, Inc.</t>
  </si>
  <si>
    <t>0064L000007DmPY</t>
  </si>
  <si>
    <t>Wilson Oil, Inc.</t>
  </si>
  <si>
    <t>Saratoga Benchmarking - Wilcox and Flegel</t>
  </si>
  <si>
    <t>0064L00000DLVUK</t>
  </si>
  <si>
    <t>Saratoga Benchmarking renewal - Fannie Mae</t>
  </si>
  <si>
    <t>0064L00000DLVUL</t>
  </si>
  <si>
    <t>The Guardian Life Insurance Company of America</t>
  </si>
  <si>
    <t>Saratoga Benchmarking renewal - Guardian Life</t>
  </si>
  <si>
    <t>0064L00000DLVV2</t>
  </si>
  <si>
    <t>Federal Reserve Bank Of St Louis</t>
  </si>
  <si>
    <t>Saratoga Benchmarking renewal - Federal Reserve Bank of St. Louis</t>
  </si>
  <si>
    <t>0064L00000BmRCy</t>
  </si>
  <si>
    <t>AGACHE</t>
  </si>
  <si>
    <t>Saratoga Benchmarking - Tiffany &amp; Co.</t>
  </si>
  <si>
    <t>0064L00000DLVY1</t>
  </si>
  <si>
    <t>Saratoga Benchmarking renewal - Henry Ford Health System</t>
  </si>
  <si>
    <t>0064L00000Ar57u</t>
  </si>
  <si>
    <t>Coinbase Global Inc.</t>
  </si>
  <si>
    <t>Saratoga Benchmarking - Coinbase</t>
  </si>
  <si>
    <t>0064L00000DM6x9</t>
  </si>
  <si>
    <t>Dover Corporation</t>
  </si>
  <si>
    <t>Saratoga Benchmarking - Dover Corporation</t>
  </si>
  <si>
    <t>0064L00000DLVWf</t>
  </si>
  <si>
    <t>Gusto, Inc.</t>
  </si>
  <si>
    <t>Saratoga Benchmarking - Gusto</t>
  </si>
  <si>
    <t>0064L00000DG4Es</t>
  </si>
  <si>
    <t>Ameren Corporation</t>
  </si>
  <si>
    <t>Saratoga Benchmarking renewal - Ameren</t>
  </si>
  <si>
    <t>0064L00000AppYE</t>
  </si>
  <si>
    <t>Saratoga Benchmarking - Swisher</t>
  </si>
  <si>
    <t>0064L000007xqxi</t>
  </si>
  <si>
    <t>EMPRESAS JUAN YARUR SPA</t>
  </si>
  <si>
    <t>Saratoga Benchmarking - City National Bank of Florida</t>
  </si>
  <si>
    <t>0064L00000CW9AH</t>
  </si>
  <si>
    <t>Herbalife Nutrition Ltd.</t>
  </si>
  <si>
    <t>Saratoga Benchmarking - Herbalife</t>
  </si>
  <si>
    <t>0064L00000Boy77</t>
  </si>
  <si>
    <t>Federal Agricultural Mortgage Corp.</t>
  </si>
  <si>
    <t>Saratoga Benchmarking - Farmer Mac</t>
  </si>
  <si>
    <t>0064L00000Boy85</t>
  </si>
  <si>
    <t>Envista Holdings Corporation</t>
  </si>
  <si>
    <t>Saratoga Benchmarking - Envista Holdings Corporation</t>
  </si>
  <si>
    <t>0064L00000Boy9N</t>
  </si>
  <si>
    <t>Saratoga Benchmarking - Ocwen Financial Corporation</t>
  </si>
  <si>
    <t>0064L00000Aqbhh</t>
  </si>
  <si>
    <t>SOCIETE NATIONALE SNCF</t>
  </si>
  <si>
    <t>Saratoga Benchmarking renewal - GEODIS</t>
  </si>
  <si>
    <t>0064L00000DM70S</t>
  </si>
  <si>
    <t>Saratoga Benchmarking - Nutanix</t>
  </si>
  <si>
    <t>0064L00000BowJv</t>
  </si>
  <si>
    <t>Saratoga Benchmarking - FNB Corporation</t>
  </si>
  <si>
    <t>0064L00000BowPJ</t>
  </si>
  <si>
    <t>XPO Logistics, Inc.</t>
  </si>
  <si>
    <t>Saratoga Benchmarking - XPO Logistics</t>
  </si>
  <si>
    <t>0064L00000BowXr</t>
  </si>
  <si>
    <t>Saratoga Benchmarking - USAA</t>
  </si>
  <si>
    <t>0064L000007xadU</t>
  </si>
  <si>
    <t>ELECTRICITE DE FRANCE</t>
  </si>
  <si>
    <t>Saratoga Benchmarking - Framatome</t>
  </si>
  <si>
    <t>0064L000007xagO</t>
  </si>
  <si>
    <t>Saratoga Benchmarking - SAP</t>
  </si>
  <si>
    <t>0064L00000DLTN6</t>
  </si>
  <si>
    <t>Saratoga Benchmarking - International Paper</t>
  </si>
  <si>
    <t>0064L00000Bf9d1</t>
  </si>
  <si>
    <t>Paychex Inc.</t>
  </si>
  <si>
    <t>Saratoga Benchmarking - Paychex</t>
  </si>
  <si>
    <t>0064L00000DLTNG</t>
  </si>
  <si>
    <t>Unilever PLC</t>
  </si>
  <si>
    <t>Saratoga Benchmarking - Unilever</t>
  </si>
  <si>
    <t>0064L000007xqyl</t>
  </si>
  <si>
    <t>ACCO Brands Corporation</t>
  </si>
  <si>
    <t>Saratoga Benchmarking - ACCO Brands</t>
  </si>
  <si>
    <t>0064L00000DG4Bo</t>
  </si>
  <si>
    <t>Saratoga Benchmarking renewal - AdventHealth</t>
  </si>
  <si>
    <t>0064L00000DG4DQ</t>
  </si>
  <si>
    <t>Aerovironment, Inc.</t>
  </si>
  <si>
    <t>Saratoga Benchmarking renewal - AeroVironment</t>
  </si>
  <si>
    <t>0064L00000DG4D6</t>
  </si>
  <si>
    <t>Saratoga Benchmarking renewal - Advocate Aurora</t>
  </si>
  <si>
    <t>0064L000009fMgk</t>
  </si>
  <si>
    <t>Sobi Inc.</t>
  </si>
  <si>
    <t>SARATOGA Benchmarking - Sobi</t>
  </si>
  <si>
    <t>0064L00000BfYqf</t>
  </si>
  <si>
    <t>Saratoga Benchmarking - WakeMed</t>
  </si>
  <si>
    <t>0064L00000BmMgU</t>
  </si>
  <si>
    <t>Saratoga Benchmarking - UChicago Medicine</t>
  </si>
  <si>
    <t>0064L00000CYpOn</t>
  </si>
  <si>
    <t>New Jersey Manufacturers Insurance Group</t>
  </si>
  <si>
    <t>Saratoga Benchmarking - NJM</t>
  </si>
  <si>
    <t>0064L00000D93dR</t>
  </si>
  <si>
    <t>Goldentree Asset Management LLC.</t>
  </si>
  <si>
    <t>2021 Form 5500 Filings - GoldenTree</t>
  </si>
  <si>
    <t>0064L00000ApelF</t>
  </si>
  <si>
    <t>CCA #ProEdge Finance/Bi Expansion</t>
  </si>
  <si>
    <t>0064L00000CYFKM</t>
  </si>
  <si>
    <t>Firm of John Dickinson Schneider Inc., The</t>
  </si>
  <si>
    <t>Capex Workshop</t>
  </si>
  <si>
    <t>0064L000009fBfc</t>
  </si>
  <si>
    <t>Process Intelligence P2P</t>
  </si>
  <si>
    <t>Jorge Canto</t>
  </si>
  <si>
    <t>0064L00000DLVtk</t>
  </si>
  <si>
    <t>Saratoga Benchmarking multiyear (2 of 2) - CHRISTUS Health</t>
  </si>
  <si>
    <t>0064L00000DLVtm</t>
  </si>
  <si>
    <t>Saratoga Benchmarking multiyear (2 of 2) - Constellation Brands</t>
  </si>
  <si>
    <t>0064L00000DLVx8</t>
  </si>
  <si>
    <t>Auto Club Group</t>
  </si>
  <si>
    <t>Saratoga Benchmarking multiyear (2 of 2) - The Autoclub Group (AAA Michigan)</t>
  </si>
  <si>
    <t>0064L00000DLVoJ</t>
  </si>
  <si>
    <t>Saratoga Benchmarking renewal - Peraton (Fed)</t>
  </si>
  <si>
    <t>John Reing</t>
  </si>
  <si>
    <t>0064L00000DLVlT</t>
  </si>
  <si>
    <t>Logistics Management Institute</t>
  </si>
  <si>
    <t>Saratoga Benchmarking renewal - LMI (Fed)</t>
  </si>
  <si>
    <t>0064L00000D8d4B</t>
  </si>
  <si>
    <t>Saratoga Benchmarking renewal multiyear (2 of 3) - Wellstar Health</t>
  </si>
  <si>
    <t>0064L00000DLVqJ</t>
  </si>
  <si>
    <t>Saratoga Benchmarking multiyear (2 of 3) - Parkland Health</t>
  </si>
  <si>
    <t>0064L00000DLVqL</t>
  </si>
  <si>
    <t>Tokio Marine Holdings, Inc.</t>
  </si>
  <si>
    <t>Saratoga Benchmarking multiyear (2 of 3) - Philadelphia Insurance</t>
  </si>
  <si>
    <t>0064L00000DLVt1</t>
  </si>
  <si>
    <t>Saratoga Benchmarking multiyear (2 of 3) - Blue Shield of California</t>
  </si>
  <si>
    <t>0064L00000DLVru</t>
  </si>
  <si>
    <t>Saratoga Benchmarking multiyear (3 of 3) - Fairview Health</t>
  </si>
  <si>
    <t>0064L00000DLVtC</t>
  </si>
  <si>
    <t>Saratoga Benchmarking multiyear (2 of 3) - City of Hope Medical</t>
  </si>
  <si>
    <t>0064L00000DLVra</t>
  </si>
  <si>
    <t>Saratoga Benchmarking multiyear (2 of 3) - BJC Healthcare</t>
  </si>
  <si>
    <t>0064L00000DLVuV</t>
  </si>
  <si>
    <t>Saratoga Benchmarking multiyear (2 of 3) - IU Health</t>
  </si>
  <si>
    <t>0064L00000DLVuW</t>
  </si>
  <si>
    <t>Saratoga Benchmarking multiyear (2 of 3) - JPS Health</t>
  </si>
  <si>
    <t>0064L00000DLVtz</t>
  </si>
  <si>
    <t>Saratoga Benchmarking multiyear (2 of 3) - Entergy</t>
  </si>
  <si>
    <t>0064L00000DLVun</t>
  </si>
  <si>
    <t>Saratoga Benchmarking multiyear (2 of 3) - Health Care Service - BCBS IL,TX, NM</t>
  </si>
  <si>
    <t>0064L00000DLVup</t>
  </si>
  <si>
    <t>Saratoga Benchmarking multiyear (2 of 3) - Integris</t>
  </si>
  <si>
    <t>0064L00000DLVvW</t>
  </si>
  <si>
    <t>Kelly Services, Inc.</t>
  </si>
  <si>
    <t>Saratoga Benchmarking multiyear (2 of 3) - Kelly Services</t>
  </si>
  <si>
    <t>0064L00000DLVvi</t>
  </si>
  <si>
    <t>Saratoga Benchmarking multiyear (2 of 3) - OhioHealth</t>
  </si>
  <si>
    <t>0064L00000DFiO3</t>
  </si>
  <si>
    <t>Beazer Homes Usa Inc.</t>
  </si>
  <si>
    <t>Beazer - FY2023 Stock-Based Comp Valuation</t>
  </si>
  <si>
    <t>0064L00000DLVxD</t>
  </si>
  <si>
    <t>Saratoga Benchmarking multiyear (3 of 3) - TriHealth</t>
  </si>
  <si>
    <t>0064L00000DLVwy</t>
  </si>
  <si>
    <t>Saratoga Benchmarking multiyear (3 of 3) - SSM Health Care</t>
  </si>
  <si>
    <t>0064L00000DLVtb</t>
  </si>
  <si>
    <t>Comagine Health</t>
  </si>
  <si>
    <t>Saratoga Benchmarking multiyear (2 of 2) - Comagine</t>
  </si>
  <si>
    <t>0064L00000BmBHs</t>
  </si>
  <si>
    <t>Saratoga Benchmarking winback - UCSF Medical Center</t>
  </si>
  <si>
    <t>0064L00000DLVxF</t>
  </si>
  <si>
    <t>Saratoga Benchmarking multiyear (2 of 3) - University of Pittsburgh Medical Center (UPMC)</t>
  </si>
  <si>
    <t>0064L00000D8d4L</t>
  </si>
  <si>
    <t>Saratoga Benchmarking renewal multiyear (2 of 5) - Wawa</t>
  </si>
  <si>
    <t>0064L00000DLVwK</t>
  </si>
  <si>
    <t>Saratoga Benchmarking multiyear (2 of 4) - Progressive Insurance</t>
  </si>
  <si>
    <t>0064L00000Aq6eF</t>
  </si>
  <si>
    <t>Carle Foundation Hospital</t>
  </si>
  <si>
    <t>Saratoga Benchmarking renewal - Carle Foundation Hospital (ASHHRA upgrade)</t>
  </si>
  <si>
    <t>0064L00000D903a</t>
  </si>
  <si>
    <t>2021 Form 5500 Filings - JPMC / Schroder</t>
  </si>
  <si>
    <t>0064L00000BlOS6</t>
  </si>
  <si>
    <t>Saratoga Benchmarking - Shannon Health (Winback, ASHHRA)</t>
  </si>
  <si>
    <t>0064L00000DEsdi</t>
  </si>
  <si>
    <t>Koninklijke Ahold Delhaize N.V.</t>
  </si>
  <si>
    <t>2021 Form 5500 Filing - Ahold USA Pension Plan</t>
  </si>
  <si>
    <t>0064L00000CW55Y</t>
  </si>
  <si>
    <t>Saratoga Benchmarking - Loma Linda Health</t>
  </si>
  <si>
    <t>0064L00000AqKgG</t>
  </si>
  <si>
    <t>Deaconess Health System Inc.</t>
  </si>
  <si>
    <t>Saratoga Benchmarking winback - Deaconess Health System (ASHHRA upgrade)</t>
  </si>
  <si>
    <t>0064L00000CX1EE</t>
  </si>
  <si>
    <t>Saratoga Custom Benchmarking - Gusto</t>
  </si>
  <si>
    <t>George Lee</t>
  </si>
  <si>
    <t>0064L00000DFygH</t>
  </si>
  <si>
    <t>Associated Care Ventures, Inc.</t>
  </si>
  <si>
    <t>2022 Midyear MA Accrual Assessment</t>
  </si>
  <si>
    <t>0064L00000DLVvj</t>
  </si>
  <si>
    <t>Panasonic Holdings Corporation</t>
  </si>
  <si>
    <t>Saratoga Benchmarking multiyear (2 of 3) - Panasonic</t>
  </si>
  <si>
    <t>0064I00000u1DRR</t>
  </si>
  <si>
    <t>EU:  ERP System Selection</t>
  </si>
  <si>
    <t>MK.SE.EV.PWC FUTURE ROADS AHEAD_JNNXJWFYV5W_10FY20</t>
  </si>
  <si>
    <t>Melinda Nelson</t>
  </si>
  <si>
    <t>0064L0000099URF</t>
  </si>
  <si>
    <t>AML TMS #risk #transformation #gfc</t>
  </si>
  <si>
    <t>0064L00000CWAiU</t>
  </si>
  <si>
    <t>County Of Los Angeles</t>
  </si>
  <si>
    <t>Saratoga Benchmarking winback - Los Angeles County</t>
  </si>
  <si>
    <t>Mathieu Kouame</t>
  </si>
  <si>
    <t>0064L000006hbCq</t>
  </si>
  <si>
    <t>Saratoga Benchmarking - TravelCenters</t>
  </si>
  <si>
    <t>0064L000009fYRB</t>
  </si>
  <si>
    <t>Finance Org Design / Finance Effectiveness Phase I (Assessment)</t>
  </si>
  <si>
    <t>0065800000jg8Ls</t>
  </si>
  <si>
    <t>PM Hospitality Strategies, Inc.</t>
  </si>
  <si>
    <t>IGP - Meadowland NJ Hilton Property</t>
  </si>
  <si>
    <t>29/9/2018</t>
  </si>
  <si>
    <t>0064L00000418BF</t>
  </si>
  <si>
    <t>RGM</t>
  </si>
  <si>
    <t>Gerardo Shibata</t>
  </si>
  <si>
    <t>0064L00000ApseA</t>
  </si>
  <si>
    <t>Saratoga Benchmarking - Equifax (EFX)</t>
  </si>
  <si>
    <t>0064L00000DJbFb</t>
  </si>
  <si>
    <t>T.D. Williamson Inc.</t>
  </si>
  <si>
    <t>0064L00000AqurI</t>
  </si>
  <si>
    <t>Saratoga Benchmarking - Solis Mammography</t>
  </si>
  <si>
    <t>0064L00000BoijC</t>
  </si>
  <si>
    <t>ProEdge - School of Workday</t>
  </si>
  <si>
    <t>Alexander White</t>
  </si>
  <si>
    <t>0064L00000BoijR</t>
  </si>
  <si>
    <t>ProEdge for Finance GBS</t>
  </si>
  <si>
    <t>0064L00000DLVwf</t>
  </si>
  <si>
    <t>Edison International</t>
  </si>
  <si>
    <t>Saratoga Benchmarking multiyear (2 of 3) - Southern California Edison</t>
  </si>
  <si>
    <t>0064L0000099rGl</t>
  </si>
  <si>
    <t>Pricing Excellence</t>
  </si>
  <si>
    <t>0064L00000Bf9kp</t>
  </si>
  <si>
    <t>Blue Cross Of Idaho - Project Manory - 2022 ProEdge Pilot #ProEdge</t>
  </si>
  <si>
    <t>0064L00000Bo3mY</t>
  </si>
  <si>
    <t>ProEdge @ US Bank - Analytics (Pilot)</t>
  </si>
  <si>
    <t>Richard Altham</t>
  </si>
  <si>
    <t>0064L00000Bmqs3</t>
  </si>
  <si>
    <t>Saratoga Benchmarking winback - CBRE</t>
  </si>
  <si>
    <t>0064L000007WrQ5</t>
  </si>
  <si>
    <t>UGI - ProEdge Phase 2 Expansion</t>
  </si>
  <si>
    <t>0064L00000BgMBc</t>
  </si>
  <si>
    <t>Volvo Payroll Change Webinar Dev and Delivery</t>
  </si>
  <si>
    <t>0064I000014M1Qy</t>
  </si>
  <si>
    <t>Astro for Adobe - Digital Concierge</t>
  </si>
  <si>
    <t>Nakul Uppal</t>
  </si>
  <si>
    <t>0064L00000CXZTF</t>
  </si>
  <si>
    <t>AGP SPV I, L.P</t>
  </si>
  <si>
    <t>Keystone Dental Group - Compensation Consulting</t>
  </si>
  <si>
    <t>0064L00000BlGXD</t>
  </si>
  <si>
    <t>Diversity Dashboard - Broward Health</t>
  </si>
  <si>
    <t>0064L0000069LCN</t>
  </si>
  <si>
    <t>LPL #ProEdge - STO</t>
  </si>
  <si>
    <t>0064L000001vY7s</t>
  </si>
  <si>
    <t>Beam - Global TPM Strategy #RGM</t>
  </si>
  <si>
    <t>0064L00000D8d4k</t>
  </si>
  <si>
    <t>Valley Health System Inc.</t>
  </si>
  <si>
    <t>Saratoga Benchmarking multiyear (2 of 3) - Valley Health System</t>
  </si>
  <si>
    <t>0064L00000D927A</t>
  </si>
  <si>
    <t>Cydecor, Inc.</t>
  </si>
  <si>
    <t>Saratoga Benchmarking - Cydecor</t>
  </si>
  <si>
    <t>0064L00000DLVtB</t>
  </si>
  <si>
    <t>Bon Secours Mercy Health, Inc.</t>
  </si>
  <si>
    <t>Saratoga Benchmarking multiyear (3 of 3) - Bon Secours Mercy Health</t>
  </si>
  <si>
    <t>0064L00000DLVvX</t>
  </si>
  <si>
    <t>Sanford</t>
  </si>
  <si>
    <t>Saratoga Benchmarking multiyear (5 of 5) - Sanford Health</t>
  </si>
  <si>
    <t>0064L00000DMEQL</t>
  </si>
  <si>
    <t>Saratoga Custom Benchmarking - Sanford Health</t>
  </si>
  <si>
    <t>0064L00000BlGWt</t>
  </si>
  <si>
    <t>KBR Inc.</t>
  </si>
  <si>
    <t>Saratoga Benchmarking - KBR Inc.</t>
  </si>
  <si>
    <t>0064L00000DLMuf</t>
  </si>
  <si>
    <t>CACI Inc.</t>
  </si>
  <si>
    <t>Saratoga Benchmarking renewal - CACI (Fed)</t>
  </si>
  <si>
    <t>0064I00000zRWVq</t>
  </si>
  <si>
    <t>New Mountain Capital I, L.L.C</t>
  </si>
  <si>
    <t>Saratoga Benchmarking - MAG Aerospace (Fed Contractor)</t>
  </si>
  <si>
    <t>28/7/2020 9:00 am</t>
  </si>
  <si>
    <t>0064L000009g4ud</t>
  </si>
  <si>
    <t>ABT Associates Inc.</t>
  </si>
  <si>
    <t>Saratoga Benchmarking (Fed Contractor) - Abt Associates</t>
  </si>
  <si>
    <t>0064L000009fvKT</t>
  </si>
  <si>
    <t>Elbit Systems Ltd.</t>
  </si>
  <si>
    <t>Saratoga Benchmarking (Fed Contractor) - Elbit Systems of America</t>
  </si>
  <si>
    <t>0064L00000DLVia</t>
  </si>
  <si>
    <t>Saratoga Benchmarking renewal - Jacob's Technology (Fed)</t>
  </si>
  <si>
    <t>0064L00000DLViv</t>
  </si>
  <si>
    <t>Saratoga Benchmarking renewal - Leonardo DRS (Fed)</t>
  </si>
  <si>
    <t>0064L000004vq3r</t>
  </si>
  <si>
    <t>ANALYTICAL MECHANICS ASSOCIATES Inc.</t>
  </si>
  <si>
    <t>Saratoga Benchmarking (Fed Contractor) - Analytical Mechanics Associates</t>
  </si>
  <si>
    <t>0064L00000DLVW0</t>
  </si>
  <si>
    <t>Saratoga Benchmarking renewal - General Dynamics IT (Fed)</t>
  </si>
  <si>
    <t>0064L00000DLVVI</t>
  </si>
  <si>
    <t>Icf International Inc.</t>
  </si>
  <si>
    <t>Saratoga Benchmarking renewal - ICF International (Fed)</t>
  </si>
  <si>
    <t>0064L00000DLVY2</t>
  </si>
  <si>
    <t>Saratoga Benchmarking renewal - Huntington Ingalls (Fed)</t>
  </si>
  <si>
    <t>0064L00000Aqu96</t>
  </si>
  <si>
    <t>Mission Support and Test Services LLC</t>
  </si>
  <si>
    <t>Saratoga Benchmarking (Fed) - Mission Support and Test Services (MSTS) (Fed)</t>
  </si>
  <si>
    <t>0064L00000Be7is</t>
  </si>
  <si>
    <t>Saratoga Benchmarking renewal - General Dynamics AIS/MS (Fed)</t>
  </si>
  <si>
    <t>0064L00000DG48Q</t>
  </si>
  <si>
    <t>HoldincCo 2016 Limited</t>
  </si>
  <si>
    <t>IAS 19 2021 Audit support</t>
  </si>
  <si>
    <t>0064L00000DG4BA</t>
  </si>
  <si>
    <t>ACCENTURE PUBLIC LIMITED COMPANY</t>
  </si>
  <si>
    <t>Saratoga Benchmarking renewal - Accenture (Fed)</t>
  </si>
  <si>
    <t>0064L00000BfX6C</t>
  </si>
  <si>
    <t>0064L00000DLVsr</t>
  </si>
  <si>
    <t>BAE Systems Plc</t>
  </si>
  <si>
    <t>Saratoga Benchmarking multiyear (3 of 3) - BAE Systems (Fed)</t>
  </si>
  <si>
    <t>0064L000009AUhp</t>
  </si>
  <si>
    <t>Carlson Capital L.P.</t>
  </si>
  <si>
    <t>2022 NDT &amp; Form 5500</t>
  </si>
  <si>
    <t>Benjamin Joseph</t>
  </si>
  <si>
    <t>0064L00000DLVta</t>
  </si>
  <si>
    <t>Saratoga Benchmarking multiyear (2 of 3) - Booz Allen (Fed)</t>
  </si>
  <si>
    <t>0064L00000D8tNv</t>
  </si>
  <si>
    <t>DoorDash - #ProEdge for Automation Training #CMRetail</t>
  </si>
  <si>
    <t>Katie Steensen</t>
  </si>
  <si>
    <t>Jeremy Whitmer</t>
  </si>
  <si>
    <t>0064L00000DLViA</t>
  </si>
  <si>
    <t>SALINI COSTRUTTORI SPA</t>
  </si>
  <si>
    <t>Saratoga Benchmarking renewal - Lane Construction (CPEG)</t>
  </si>
  <si>
    <t>0064L00000DLVi8</t>
  </si>
  <si>
    <t>J.e. Dunn Construction Company</t>
  </si>
  <si>
    <t>Saratoga Benchmarking renewal - JE Dunn Construction (CPEG)</t>
  </si>
  <si>
    <t>0064L00000DLVjE</t>
  </si>
  <si>
    <t>Peter Kiewit Sons INC.</t>
  </si>
  <si>
    <t>Saratoga Benchmarking renewal - Kiewit (CPEG)</t>
  </si>
  <si>
    <t>0064L00000DLVlA</t>
  </si>
  <si>
    <t>Mccarthy Holdings Inc.</t>
  </si>
  <si>
    <t>Saratoga Benchmarking Renewal - McCarthy Holdings (CPEG)</t>
  </si>
  <si>
    <t>0064L00000DLVmi</t>
  </si>
  <si>
    <t>M. A. Mortenson, Jr. 1984 Revocable Trust</t>
  </si>
  <si>
    <t>Saratoga Benchmarking renewal - M.A. Mortenson (CPEG)</t>
  </si>
  <si>
    <t>0064L00000DLVIX</t>
  </si>
  <si>
    <t>Zachry Holdings Inc.</t>
  </si>
  <si>
    <t>Saratoga Benchmarking renewal - Zachry (CPEG)</t>
  </si>
  <si>
    <t>0064L00000DLVPE</t>
  </si>
  <si>
    <t>ACS ACTIVIDADES DE CONSTRUCCION Y SERVICIOS, S.A.</t>
  </si>
  <si>
    <t>Saratoga Benchmarking renewal - Turner Construction (CPEG)</t>
  </si>
  <si>
    <t>0064L00000DLVRe</t>
  </si>
  <si>
    <t>Swinerton Inc.</t>
  </si>
  <si>
    <t>Saratoga Benchmarking - Swinerton (CPEG)</t>
  </si>
  <si>
    <t>0064L00000DLVPy</t>
  </si>
  <si>
    <t>Walsh Group, The</t>
  </si>
  <si>
    <t>Saratoga Benchmarking renewal - The Walsh Group (CPEG)</t>
  </si>
  <si>
    <t>0064L00000DLVRB</t>
  </si>
  <si>
    <t>Sundt Construction Inc.</t>
  </si>
  <si>
    <t>Saratoga Benchmarking Renewal - Sundt Construction (CPEG)</t>
  </si>
  <si>
    <t>0064L00000DLVWU</t>
  </si>
  <si>
    <t>Gilbane INC.</t>
  </si>
  <si>
    <t>Saratoga Benchmarking renewal - Gilbane Building Company (CPEG)</t>
  </si>
  <si>
    <t>0064L00000DG48q</t>
  </si>
  <si>
    <t>Allan Myers, Inc.</t>
  </si>
  <si>
    <t>Saratoga Benchmarking renewal - Allan Myers (CPEG)</t>
  </si>
  <si>
    <t>0064L00000DLMku</t>
  </si>
  <si>
    <t>Austin Industries Inc.</t>
  </si>
  <si>
    <t>Saratoga Benchmarking renewal - Austin Industries (CPEG)</t>
  </si>
  <si>
    <t>0064L00000DLNOH</t>
  </si>
  <si>
    <t>BOUYGUES</t>
  </si>
  <si>
    <t>Saratoga Benchmarking Renewal - Colas Inc. (CPEG)</t>
  </si>
  <si>
    <t>0064L00000D962J</t>
  </si>
  <si>
    <t>ADVANCED BUSINESS METRICS</t>
  </si>
  <si>
    <t>BIRM - US Compensation Benchmarking</t>
  </si>
  <si>
    <t>0064L00000D8cmB</t>
  </si>
  <si>
    <t>Mt. Sinai - FP&amp;A - AOP</t>
  </si>
  <si>
    <t>0064L00000CYToJ</t>
  </si>
  <si>
    <t>PricewaterhouseCoopers Oy</t>
  </si>
  <si>
    <t>Internal - 2022 GPS - Finland</t>
  </si>
  <si>
    <t>0064L0000069TDS</t>
  </si>
  <si>
    <t>IGP - Hilton Hawaiian Village Additional Scanned Locations</t>
  </si>
  <si>
    <t>0064L00000BdXXM</t>
  </si>
  <si>
    <t>New York University</t>
  </si>
  <si>
    <t>Medicare Discount Research - *Strategic Reimbursement*</t>
  </si>
  <si>
    <t>0064L00000ArckI</t>
  </si>
  <si>
    <t>ProEdge | NB</t>
  </si>
  <si>
    <t>0064L00000BeP9w</t>
  </si>
  <si>
    <t>Saratoga Custom Benchmarking - Verizon</t>
  </si>
  <si>
    <t>0064L00000CH35H</t>
  </si>
  <si>
    <t>Gensler - #Check-In - Mobile User License Add On - 500 (Jul-Dec2022)</t>
  </si>
  <si>
    <t>Gensler - #Check-In - Mobile User License Add On - 500 (3)</t>
  </si>
  <si>
    <t>Jaclyn Hebbar</t>
  </si>
  <si>
    <t>0064I000011o3SY</t>
  </si>
  <si>
    <t>City Of Chicago</t>
  </si>
  <si>
    <t>Hilton Chicago O'Hare Stationary Buttons</t>
  </si>
  <si>
    <t>0064L00000DLVn1</t>
  </si>
  <si>
    <t>Southwest Gas Holdings Inc.</t>
  </si>
  <si>
    <t>Saratoga Benchmarking renewal - Centuri Group (CPEG)</t>
  </si>
  <si>
    <t>0064L00000DLVne</t>
  </si>
  <si>
    <t>Pcl Employees Holdings LTD.</t>
  </si>
  <si>
    <t>Saratoga Benchmarking renewal - PCL Construction (CPEG)</t>
  </si>
  <si>
    <t>0064L00000AquD8</t>
  </si>
  <si>
    <t>Beck International, LLC</t>
  </si>
  <si>
    <t>Saratoga Benchmarking winback - Beck International (CPEG)</t>
  </si>
  <si>
    <t>0064L0000041yCP</t>
  </si>
  <si>
    <t>Saratoga Benchmarking - AECOM URS (CPEG) Winback</t>
  </si>
  <si>
    <t>18/11/2020</t>
  </si>
  <si>
    <t>0064L00000DLVHP</t>
  </si>
  <si>
    <t>ARCO CONSTRUCTION Co.</t>
  </si>
  <si>
    <t>Saratoga Benchmarking renewal - ARCO Construction (CPEG)</t>
  </si>
  <si>
    <t>0064L00000DLVLW</t>
  </si>
  <si>
    <t>Obayashi Corp</t>
  </si>
  <si>
    <t>Saratoga Benchmarking renewal - Webcor Builders (CPEG)</t>
  </si>
  <si>
    <t>0064L00000BcwAk</t>
  </si>
  <si>
    <t>The Walbridge Group INC.</t>
  </si>
  <si>
    <t>Saratoga Benchmarking Renewal - Walbridge (CPEG)</t>
  </si>
  <si>
    <t>0064L00000DLVYB</t>
  </si>
  <si>
    <t>Saratoga Benchmarking renewal - HITT Contracting Inc (CPEG)</t>
  </si>
  <si>
    <t>0064L00000Aqbjd</t>
  </si>
  <si>
    <t>Graham Group Ltd.</t>
  </si>
  <si>
    <t>Saratoga Benchmarking renewal - Graham Management Services (CPEG)</t>
  </si>
  <si>
    <t>0064L00000DLVkC</t>
  </si>
  <si>
    <t>The Mary Lanning Memorial Hospital Association</t>
  </si>
  <si>
    <t>Saratoga Benchmarking Renewal - Mary Lanning Healthcare (ASHHRA HR Metrics Tool)</t>
  </si>
  <si>
    <t>0064L00000DLVmN</t>
  </si>
  <si>
    <t>Natchitoches Regional Medical Center</t>
  </si>
  <si>
    <t>Saratoga Benchmarking renewal - Natchitoches Regional Medical (ASHHRA HR metrics tool)</t>
  </si>
  <si>
    <t>0064L00000DLMs5</t>
  </si>
  <si>
    <t>Bristol Hospital And Health Care Group Inc.</t>
  </si>
  <si>
    <t>Saratoga Benchmarking - Bristol Health (ASHHRA HR Metrics tool)</t>
  </si>
  <si>
    <t>0064L00000DLVQX</t>
  </si>
  <si>
    <t>Arlington Capital Partners</t>
  </si>
  <si>
    <t>Saratoga Benchmarking winback - Systems Planning &amp; Analysis (Fed)</t>
  </si>
  <si>
    <t>0064L00000CXZBI</t>
  </si>
  <si>
    <t>Computación en Acción S.A. de C.V.</t>
  </si>
  <si>
    <t>Cultura Centrada en el Cliente</t>
  </si>
  <si>
    <t>0064L00000BonDp</t>
  </si>
  <si>
    <t>Levain Bakery Inc.</t>
  </si>
  <si>
    <t>Anthony Moneta</t>
  </si>
  <si>
    <t>0064L00000BnkCF</t>
  </si>
  <si>
    <t>Sarah Bush Lincoln Health Center</t>
  </si>
  <si>
    <t>Saratoga Benchmarking renewal - Sarah Bush Lincoln Health (ASHHRA HR Metrics Tool) - FY22</t>
  </si>
  <si>
    <t>0064L00000D9049</t>
  </si>
  <si>
    <t>Grand View Hospital</t>
  </si>
  <si>
    <t>Saratoga Benchmarking - Grand View Health (ASHHRA HR Metrics Tool)</t>
  </si>
  <si>
    <t>0064L00000DLVi9</t>
  </si>
  <si>
    <t>Johnson Memorial Hospital Guild Inc.</t>
  </si>
  <si>
    <t>Saratoga Benchmarking renewal - Johnson Memorial Hospital (ASHHRA HR Metrics Tool)</t>
  </si>
  <si>
    <t>0064L00000DLVkR</t>
  </si>
  <si>
    <t>Maury Regional Health</t>
  </si>
  <si>
    <t>Saratoga Benchmarking renewal - Maury Regional Health (ASHHRA HR metrics tool)</t>
  </si>
  <si>
    <t>0064L00000DLViq</t>
  </si>
  <si>
    <t>Kern Medical Center</t>
  </si>
  <si>
    <t>Saratoga Benchmarking Renewal - Kern Medical Hospital Authority (ASHHRA HR Metrics Tool)</t>
  </si>
  <si>
    <t>0064L00000DLViw</t>
  </si>
  <si>
    <t>Mary Greeley Medical Center</t>
  </si>
  <si>
    <t>Saratoga Benchmarking renewal - Mary Greeley Medical Center (ASHHRA HR Metrics Tool)</t>
  </si>
  <si>
    <t>0064L00000DLVlC</t>
  </si>
  <si>
    <t>MEDICAL CENTER AT BOWLING GREEN THE</t>
  </si>
  <si>
    <t>Saratoga Benchmarking renewal - Med Center Health (ASHHRA HR metrics tool)</t>
  </si>
  <si>
    <t>0064L00000DLVlL</t>
  </si>
  <si>
    <t>Memorial Hospital and Health Care Center</t>
  </si>
  <si>
    <t>Saratoga Benchmarking renewal - Memorial Hospital and Health Care (Indiana) (ASHHRA HR metrics tool)</t>
  </si>
  <si>
    <t>0064L00000DLVnc</t>
  </si>
  <si>
    <t>Owensboro Health Inc.</t>
  </si>
  <si>
    <t>Saratoga Benchmarking renewal - Owensboro Health (ASHHRA HR metrics tool)</t>
  </si>
  <si>
    <t>0064L00000DLVnz</t>
  </si>
  <si>
    <t>Olmsted Medical Center</t>
  </si>
  <si>
    <t>Saratoga Benchmarking renewal - Olmsted Medical Center (ASHHRA HR metrics tool)</t>
  </si>
  <si>
    <t>0064L00000DLVmj</t>
  </si>
  <si>
    <t>Northfield Hospital</t>
  </si>
  <si>
    <t>Saratoga Benchmarking renewal - Northfield Hospital (ASHHRA HR metrics tool)</t>
  </si>
  <si>
    <t>0064L00000DLVo5</t>
  </si>
  <si>
    <t>Oss Health</t>
  </si>
  <si>
    <t>Saratoga Benchmarking renewal - OSS Health (ASHHRA HR metrics tool)</t>
  </si>
  <si>
    <t>0064L00000DLVr0</t>
  </si>
  <si>
    <t>Schneck Medical Center</t>
  </si>
  <si>
    <t>Saratoga Benchmarking renewal - Schneck Medical Center (ASHHRA HR Metrics Tool)</t>
  </si>
  <si>
    <t>0064L00000DLVr1</t>
  </si>
  <si>
    <t>SELF REGIONAL HEALTHCARE</t>
  </si>
  <si>
    <t>Saratoga Benchmarking renewal - Self Regional Healthcare (ASHHRA HR metrics tool)</t>
  </si>
  <si>
    <t>0064L00000DLVoz</t>
  </si>
  <si>
    <t>Signature Healthcare Corporation</t>
  </si>
  <si>
    <t>Saratoga Benchmarking renewal - Skagit Regional Health (ASHHRA HR metrics tool)</t>
  </si>
  <si>
    <t>0064L00000DLVqh</t>
  </si>
  <si>
    <t>Sauk Prairie Healthcare</t>
  </si>
  <si>
    <t>Saratoga Benchmarking renewal - Sauk Prairie Healthcare (ASHHRA HR metrics tool)</t>
  </si>
  <si>
    <t>0064L00000DLVqr</t>
  </si>
  <si>
    <t>Saratoga Benchmarking renewal - Signature Healthcare (ASHHRA HR metrics tool)</t>
  </si>
  <si>
    <t>0064L00000DLVrU</t>
  </si>
  <si>
    <t>South County Hospital Healthcare System</t>
  </si>
  <si>
    <t>Saratoga Benchmarking renewal - South County Health (ASHHRA HR metrics tool)</t>
  </si>
  <si>
    <t>0064L00000DLVH6</t>
  </si>
  <si>
    <t>Saratoga Benchmarking winback - Aspirus Medford Hospital (ASHHRA HR Metrics Tool)</t>
  </si>
  <si>
    <t>0064L00000DLVJk</t>
  </si>
  <si>
    <t>WOMAN'S HOSPITAL FOUNDATION INC.</t>
  </si>
  <si>
    <t>Saratoga Benchmarking renewal - Woman's Hospital (ASHHRA HR Metrics Tool)</t>
  </si>
  <si>
    <t>0064L00000DLVMV</t>
  </si>
  <si>
    <t>Valir Health LLC</t>
  </si>
  <si>
    <t>Saratoga Benchmarking renewal - Valir Health (ASHHRA HR Metrics Tool)</t>
  </si>
  <si>
    <t>0064L00000DLVMW</t>
  </si>
  <si>
    <t>White County Medical Center</t>
  </si>
  <si>
    <t>Saratoga Benchmarking renewal - Unity Health (ASHHRA HR Metrics Tool)</t>
  </si>
  <si>
    <t>0064L00000DLVOH</t>
  </si>
  <si>
    <t>Saratoga Benchmarking Renewal - Union Health (ASHHRA HR Metrics Tool)</t>
  </si>
  <si>
    <t>0064L00000DLVPn</t>
  </si>
  <si>
    <t>Georgetown Hospital Systems</t>
  </si>
  <si>
    <t>Saratoga Benchmarking renewal - Tidelands Health (ASHHRA HR Metrics Tool)</t>
  </si>
  <si>
    <t>0064L00000DLVRf</t>
  </si>
  <si>
    <t>Stamford Health System Inc.</t>
  </si>
  <si>
    <t>Saratoga Benchmarking renewal - Stamford Health System (ASHHRA HR Metrics Tool)</t>
  </si>
  <si>
    <t>0064L00000DLVVb</t>
  </si>
  <si>
    <t>Frederick Regional health System, Inc.</t>
  </si>
  <si>
    <t>Saratoga Benchmarking - Frederick Health (ASHHRA HR Metrics Tool)</t>
  </si>
  <si>
    <t>0064L00000DLVVH</t>
  </si>
  <si>
    <t>FREEPORT REGIONAL HEALTH CARE FOUNDATION</t>
  </si>
  <si>
    <t>Saratoga Benchmarking - Freeport Regional Health Care (ASHHRA HR Metrics Tool)</t>
  </si>
  <si>
    <t>0064L00000DLVXN</t>
  </si>
  <si>
    <t>Hendricks Regional Health Inc.</t>
  </si>
  <si>
    <t>Saratoga Benchmarking renewal - Hendricks Regional Health (ASHHRA HR Metrics Tool)</t>
  </si>
  <si>
    <t>0064L00000DLVXO</t>
  </si>
  <si>
    <t>Hennepin County</t>
  </si>
  <si>
    <t>Saratoga Benchmarking renewal - Hennepin Healthcare (ASHHRA HR Metrics Tool)</t>
  </si>
  <si>
    <t>0064L00000DLVWe</t>
  </si>
  <si>
    <t>Great River Medical Center</t>
  </si>
  <si>
    <t>Saratoga Benchmarking Renewal - Great River Health Systems (ASHHRA HR Metrics Tool)</t>
  </si>
  <si>
    <t>0064L00000DLMkB</t>
  </si>
  <si>
    <t>Augusta Health Care Inc.</t>
  </si>
  <si>
    <t>Saratoga Benchmarking renewal - Augusta Health (ASHHRA HR metrics tool)</t>
  </si>
  <si>
    <t>0064L00000DLNOV</t>
  </si>
  <si>
    <t>Children'S Health System Of Texas</t>
  </si>
  <si>
    <t>Saratoga Benchmarking renewal - Children's Hospital And Medical Center Of Omaha (ASHHRA HR metrics tool)</t>
  </si>
  <si>
    <t>0064L00000CH7Ip</t>
  </si>
  <si>
    <t>Adventist Healthcare Inc.</t>
  </si>
  <si>
    <t>Saratoga Benchmarking winback - Adventist HealthCare (ASHHRA HR metrics tool)</t>
  </si>
  <si>
    <t>0064L00000DLMpf</t>
  </si>
  <si>
    <t>Benefis Health System Inc.</t>
  </si>
  <si>
    <t>Saratoga Benchmarking renewal - Benefis Health System (ASHHRA HR Metrics Tool)</t>
  </si>
  <si>
    <t>0064L00000DLMqT</t>
  </si>
  <si>
    <t>BLACK RIVER MEMORIAL HOSPITAL Inc.</t>
  </si>
  <si>
    <t>Saratoga Benchmarking renewal - Black River Memorial (ASHHRA HR Metrics Tool)</t>
  </si>
  <si>
    <t>0064L00000DLNRS</t>
  </si>
  <si>
    <t>Covenant Healthcare</t>
  </si>
  <si>
    <t>Saratoga Benchmarking renewal - Covenant HealthCare (ASHHRA HR metrics tool)</t>
  </si>
  <si>
    <t>0064L00000DLMqx</t>
  </si>
  <si>
    <t>Blessing Corporate Services Inc.</t>
  </si>
  <si>
    <t>Saratoga Benchmarking renewal - Blessing Health System (ASHHRA HR metrics tool)</t>
  </si>
  <si>
    <t>0064L00000DLNHA</t>
  </si>
  <si>
    <t>Saratoga Benchmarking renewal - Catholic Health Services of LI (ASHHRA HR metrics tool)</t>
  </si>
  <si>
    <t>0064L000001wM2F</t>
  </si>
  <si>
    <t>State Of Illinois</t>
  </si>
  <si>
    <t>Saratoga Benchmarking Renewal - Memorial Health System (ASHHRA HR Metrics Tool)</t>
  </si>
  <si>
    <t>0064L00000DLVMU</t>
  </si>
  <si>
    <t>Valley Children's Healthcare</t>
  </si>
  <si>
    <t>Saratoga Benchmarking Renewal - Valley Children's Healthcare (ASHHRA HR Metrics Tool)</t>
  </si>
  <si>
    <t>0064L000002cGII</t>
  </si>
  <si>
    <t>Unilever - #RGM Campaign</t>
  </si>
  <si>
    <t>0064L000002cGFs</t>
  </si>
  <si>
    <t>Mohawk Industries Inc.</t>
  </si>
  <si>
    <t>Mohawk Industries - #RGM Campaign</t>
  </si>
  <si>
    <t>0064L000002cGB3</t>
  </si>
  <si>
    <t>ConAgra - #RGM Campaign</t>
  </si>
  <si>
    <t>0064L000002cGDo</t>
  </si>
  <si>
    <t>Land O'lakes Inc.</t>
  </si>
  <si>
    <t>Land O'Lakes - #RGM Campaign</t>
  </si>
  <si>
    <t>0064L000002cGDq</t>
  </si>
  <si>
    <t>Reckitt Benckiser - #RGM Campaign</t>
  </si>
  <si>
    <t>0064L000009B5WQ</t>
  </si>
  <si>
    <t>MSFT DLS HR FY22 Workforce Orchestrator View</t>
  </si>
  <si>
    <t>0064L000001wM9z</t>
  </si>
  <si>
    <t>Saratoga Benchmarking Renewal - OSS Health (ASHHRA HR Metrics Tool)</t>
  </si>
  <si>
    <t>0064L000001wMAX</t>
  </si>
  <si>
    <t>Ozarks Medical Center</t>
  </si>
  <si>
    <t>Saratoga Benchmarking Renewal - Ozarks Medical Center (ASHHRA HR Metrics Tool)</t>
  </si>
  <si>
    <t>0064L000001wMAD</t>
  </si>
  <si>
    <t>Vail Health.</t>
  </si>
  <si>
    <t>Saratoga Benchmarking Renewal - Vail Health (ASHHRA HR Metrics Tool)</t>
  </si>
  <si>
    <t>0064L000001wLTx</t>
  </si>
  <si>
    <t>St. Lawrence Health System, Inc.</t>
  </si>
  <si>
    <t>Saratoga Benchmarking Renewal - Canton Potsdam Hospital (ASHHRA HR Metrics Tool)</t>
  </si>
  <si>
    <t>0064L000001wM5a</t>
  </si>
  <si>
    <t>Riverside Medical Center</t>
  </si>
  <si>
    <t>Saratoga Benchmarking Renewal - Riverside Medical Center (ASHHRA HR Metrics Tool)</t>
  </si>
  <si>
    <t>0064L000001wM9y</t>
  </si>
  <si>
    <t>Wyoming Medical Center, Inc.</t>
  </si>
  <si>
    <t>Saratoga Benchmarking Renewal - Wyoming Medical Center (ASHHRA HR Metrics Tool)</t>
  </si>
  <si>
    <t>0064L00000CXRMc</t>
  </si>
  <si>
    <t>GRUPO PANTALEON GUATEMALA</t>
  </si>
  <si>
    <t>Pantaleon - Estrategia de Incidencia en su Fundación</t>
  </si>
  <si>
    <t>0064L00000B1doX</t>
  </si>
  <si>
    <t>Redox Inc.</t>
  </si>
  <si>
    <t>Redox - Global Expansion</t>
  </si>
  <si>
    <t>0064L00000DM4ZK</t>
  </si>
  <si>
    <t>VBC Collaboration</t>
  </si>
  <si>
    <t>0064L0000041B2a</t>
  </si>
  <si>
    <t>MACGREGOR PARTNERS LLC</t>
  </si>
  <si>
    <t>SYSTEM INTEGARTOR PARTNER OPPORTUNITY</t>
  </si>
  <si>
    <t>Arjun Mewara</t>
  </si>
  <si>
    <t>0064L00000DG7m9</t>
  </si>
  <si>
    <t>Test Opportunity 1 - multiple entry master</t>
  </si>
  <si>
    <t>0064L00000Bl0zu</t>
  </si>
  <si>
    <t>SAC Division-level Implementations</t>
  </si>
  <si>
    <t>0064L00000Bl0zv</t>
  </si>
  <si>
    <t>SAC - Additional Functionality and Enhancements</t>
  </si>
  <si>
    <t>0064L00000Bl10s</t>
  </si>
  <si>
    <t>SAC - Data Conversion</t>
  </si>
  <si>
    <t>0064L00000DG7mE</t>
  </si>
  <si>
    <t>Test Opportunity 2 - multiple entry sub</t>
  </si>
  <si>
    <t>0064L00000DFZss</t>
  </si>
  <si>
    <t>Centene - Job Descriptions and Compensation Benchmarking</t>
  </si>
  <si>
    <t>0064L00000BfeAm</t>
  </si>
  <si>
    <t>Automatic Data Processing, Inc. - Digital Value Creation #DVC</t>
  </si>
  <si>
    <t>0064L00000BfeEe</t>
  </si>
  <si>
    <t>Danaher Corporation - Digital Value Creation #DVC</t>
  </si>
  <si>
    <t>0064L00000BfeEf</t>
  </si>
  <si>
    <t>Dexcom, Inc. - Digital Value Creation #DVC</t>
  </si>
  <si>
    <t>0064L00000BfeGZ</t>
  </si>
  <si>
    <t>Cna Insurance. - Digital Value Creation #DVC</t>
  </si>
  <si>
    <t>0064L00000BfeH9</t>
  </si>
  <si>
    <t>Fiserv</t>
  </si>
  <si>
    <t>Fiserv Inc. - Digital Value Creation #DVC</t>
  </si>
  <si>
    <t>0064L00000BfeJ6</t>
  </si>
  <si>
    <t>Moody's Corporation - Digital Value Creation #DVC</t>
  </si>
  <si>
    <t>0064L00000BfeHr</t>
  </si>
  <si>
    <t>The Hartford Financial Services Group - Digital Value Creation #DVC</t>
  </si>
  <si>
    <t>0064L00000BfeJ4</t>
  </si>
  <si>
    <t>HPE Inc.</t>
  </si>
  <si>
    <t>HPE Inc. - Digital Value Creation #DVC</t>
  </si>
  <si>
    <t>0064L00000BfeJT</t>
  </si>
  <si>
    <t>Liberty Mutual Holding Company Inc. - Digital Value Creation #DVC</t>
  </si>
  <si>
    <t>0064L00000BfeJe</t>
  </si>
  <si>
    <t>Stryker Corporation - Digital Value Creation #DVC</t>
  </si>
  <si>
    <t>0064L00000BfeLe</t>
  </si>
  <si>
    <t>Synaptic Software Solutions Llc</t>
  </si>
  <si>
    <t>Synaptics Incorporated - Digital Value Creation #DVC</t>
  </si>
  <si>
    <t>0064L00000BfeLo</t>
  </si>
  <si>
    <t>The Western Union Company - Digital Value Creation #DVC</t>
  </si>
  <si>
    <t>0064L00000BfeNL</t>
  </si>
  <si>
    <t>Zoom Video Communications Inc. - Digital Value Creation #DVC</t>
  </si>
  <si>
    <t>0064L000002ZNdh</t>
  </si>
  <si>
    <t>PepsiCo USA Use Case Deployment</t>
  </si>
  <si>
    <t>0064L000007W1xO</t>
  </si>
  <si>
    <t>Kaiser Cognitive Scale Opportunity Exploration</t>
  </si>
  <si>
    <t>0064L00000B0sso</t>
  </si>
  <si>
    <t>Mitsui O.S.K. Lines, Ltd.</t>
  </si>
  <si>
    <t>Trapac,</t>
  </si>
  <si>
    <t>0064L00000B0ssA</t>
  </si>
  <si>
    <t>NGPL Holdings LLC</t>
  </si>
  <si>
    <t>0064L00000B0ssK</t>
  </si>
  <si>
    <t>Thayer Lodging</t>
  </si>
  <si>
    <t>0064L00000B0srC</t>
  </si>
  <si>
    <t>RHP Properties</t>
  </si>
  <si>
    <t>0064L00000CYeCp</t>
  </si>
  <si>
    <t>Innovaccer SI Opportunity - Fallon Health</t>
  </si>
  <si>
    <t>0064L00000CYeGS</t>
  </si>
  <si>
    <t>Innovaccer SI Opportunity - CareAbout</t>
  </si>
  <si>
    <t>0064L00000CYeGO</t>
  </si>
  <si>
    <t>Innovaccer SI Opportunity - Health Partners Plans Inc</t>
  </si>
  <si>
    <t>0064L00000CYeGD</t>
  </si>
  <si>
    <t>Innovaccer SI Opportunity - Rise Health</t>
  </si>
  <si>
    <t>0064L00000CYeGE</t>
  </si>
  <si>
    <t>Innovaccer SI Opportunity - MEDITECH</t>
  </si>
  <si>
    <t>0064L00000CYeGI</t>
  </si>
  <si>
    <t>Innovaccer SI Opportunity - Trinity Health</t>
  </si>
  <si>
    <t>0064L00000DLFYG</t>
  </si>
  <si>
    <t>Risk Management Portfolio</t>
  </si>
  <si>
    <t>0064L00000BoyNt</t>
  </si>
  <si>
    <t>Omnichannel in Aesthetics</t>
  </si>
  <si>
    <t>0064L00000BoyPC</t>
  </si>
  <si>
    <t>Analytics for Launch</t>
  </si>
  <si>
    <t>0064L00000BoyOJ</t>
  </si>
  <si>
    <t>Allergan Asset Mangement</t>
  </si>
  <si>
    <t>0064L00000BoyOK</t>
  </si>
  <si>
    <t>Aesthetics Customer Service</t>
  </si>
  <si>
    <t>0064L00000BoyOx</t>
  </si>
  <si>
    <t>Botox Model Shift</t>
  </si>
  <si>
    <t>0064L00000BoyRr</t>
  </si>
  <si>
    <t>Aesthetics GTM Strategy</t>
  </si>
  <si>
    <t>0064L00000BoyT4</t>
  </si>
  <si>
    <t>AI-enabled Automation in Commercial</t>
  </si>
  <si>
    <t>0064L00000CXpQp</t>
  </si>
  <si>
    <t>GLOBALSTAR INC</t>
  </si>
  <si>
    <t>GlobalStar / Growth Strategy</t>
  </si>
  <si>
    <t>0064L00000BdCjq</t>
  </si>
  <si>
    <t>Boeing - Oracle EPM Program Planning</t>
  </si>
  <si>
    <t>0064L00000CYpYd</t>
  </si>
  <si>
    <t>Growth Strategy and IoT</t>
  </si>
  <si>
    <t>0064L000009B3u0</t>
  </si>
  <si>
    <t>KK - Loyalty POC</t>
  </si>
  <si>
    <t>Austin Willett</t>
  </si>
  <si>
    <t>0064L000002LZKq</t>
  </si>
  <si>
    <t>Brookfield Property REIT</t>
  </si>
  <si>
    <t>0064L000002LZLt</t>
  </si>
  <si>
    <t>Sera Global</t>
  </si>
  <si>
    <t>0064L000002LZNG</t>
  </si>
  <si>
    <t>Poseidon Water</t>
  </si>
  <si>
    <t>0064L000002LZNH</t>
  </si>
  <si>
    <t>Evoque</t>
  </si>
  <si>
    <t>0064L00000Bcpqi</t>
  </si>
  <si>
    <t>Hitachi - Global Digital Holdings</t>
  </si>
  <si>
    <t>Kam Alborz</t>
  </si>
  <si>
    <t>0064L00000BkyO3</t>
  </si>
  <si>
    <t>Capital Spend/Returns #LumenCampaigns</t>
  </si>
  <si>
    <t>0064L00000CWwVO</t>
  </si>
  <si>
    <t>TERRAZERO TECHNOLOGIES INC</t>
  </si>
  <si>
    <t>Terrazero</t>
  </si>
  <si>
    <t>0064L00000Bmm9l</t>
  </si>
  <si>
    <t>BXT Product Strategy Session</t>
  </si>
  <si>
    <t>0064L00000BeRXg</t>
  </si>
  <si>
    <t>Vivid Seats NFT Perspective</t>
  </si>
  <si>
    <t>0064L0000041agI</t>
  </si>
  <si>
    <t>QRG Enterprise Performance Assessment</t>
  </si>
  <si>
    <t>ADV_CM_FFG_EP</t>
  </si>
  <si>
    <t>0064L00000CX7y9</t>
  </si>
  <si>
    <t>IFS Customer Centric Model #TMTPricing</t>
  </si>
  <si>
    <t>0064L00000CW5Xt</t>
  </si>
  <si>
    <t>Silicon Valley Urban Debate League</t>
  </si>
  <si>
    <t>SVUDL Skills for Society 2022</t>
  </si>
  <si>
    <t>Amit Adalti</t>
  </si>
  <si>
    <t>0064L00000DG1Sr</t>
  </si>
  <si>
    <t>Young Black Leadership Alliance</t>
  </si>
  <si>
    <t>Skills for Society - 2022 YBLA Workshop</t>
  </si>
  <si>
    <t>Chris Burke</t>
  </si>
  <si>
    <t>Priya Kamdar</t>
  </si>
  <si>
    <t>0064L00000CVwNi</t>
  </si>
  <si>
    <t>Sustainable1 Workshop - "Building Repeatable Integration Capabilities"</t>
  </si>
  <si>
    <t>0064L00000CVwOH</t>
  </si>
  <si>
    <t>Sustainable1 Workshop - "Innovation and Product Lifecycle Management"</t>
  </si>
  <si>
    <t>0064L00000DFrZE</t>
  </si>
  <si>
    <t>Lilly Costa Rica GBS Market Assessment</t>
  </si>
  <si>
    <t>0064L00000CVwOg</t>
  </si>
  <si>
    <t>Sustainable1 Workshop - "Model Risk Management and GRC Exploration"</t>
  </si>
  <si>
    <t>0064L00000DMAwI</t>
  </si>
  <si>
    <t>Lilly IT Systems Integration and Consulting (K61) Preferred Provider RFI</t>
  </si>
  <si>
    <t>0064L000002cKj4</t>
  </si>
  <si>
    <t>G&amp;A Benchmarking (Tool Enabled)</t>
  </si>
  <si>
    <t>0064L00000DLQ9V</t>
  </si>
  <si>
    <t>HITEC Foundation</t>
  </si>
  <si>
    <t>Skills for Society - 2022 - Shark Tank Product</t>
  </si>
  <si>
    <t>Raisa Cruz</t>
  </si>
  <si>
    <t>0064L00000BoB4K</t>
  </si>
  <si>
    <t>M&amp;A Playbook</t>
  </si>
  <si>
    <t>Kyle Robinson</t>
  </si>
  <si>
    <t>0064L00000B0kTP</t>
  </si>
  <si>
    <t>DIRECTV General Biz Dev - Mktg/Sales/Service</t>
  </si>
  <si>
    <t>0064L00000ArPk9</t>
  </si>
  <si>
    <t>PLS Hypergrowth #XPCGrowth</t>
  </si>
  <si>
    <t>0064L00000B0kTQ</t>
  </si>
  <si>
    <t>DIRECTV General Biz Dev - Finance</t>
  </si>
  <si>
    <t>0064L00000D8z6T</t>
  </si>
  <si>
    <t>Citi Wealth Management - #ProEdge for Digital Transformation</t>
  </si>
  <si>
    <t>0064L000006CWg4</t>
  </si>
  <si>
    <t>Capital One - Media Intelligence</t>
  </si>
  <si>
    <t>0064L000002b8nB</t>
  </si>
  <si>
    <t>RFP Operating Model Scalability Assessment</t>
  </si>
  <si>
    <t>Mary Benson</t>
  </si>
  <si>
    <t>0064L00000CGycL</t>
  </si>
  <si>
    <t>Walgreens Health Transformation Office Support (CCX)</t>
  </si>
  <si>
    <t>0064L00000CGycM</t>
  </si>
  <si>
    <t>Walgreens Health Transformation Office Support (Shields)</t>
  </si>
  <si>
    <t>0064L00000Bli6z</t>
  </si>
  <si>
    <t>Customer Link - Amazon</t>
  </si>
  <si>
    <t>Jordan Braun</t>
  </si>
  <si>
    <t>0064L00000DLMms</t>
  </si>
  <si>
    <t>Saratoga Benchmarking renewal - BayCare Health</t>
  </si>
  <si>
    <t>0064L00000DM08e</t>
  </si>
  <si>
    <t>PPG Access Analytics Service</t>
  </si>
  <si>
    <t>Ansley Enger</t>
  </si>
  <si>
    <t>0064L00000DM0DZ</t>
  </si>
  <si>
    <t>Preferred consulting supplier</t>
  </si>
  <si>
    <t>0064L00000DLNcy</t>
  </si>
  <si>
    <t>Link DQ Placeholder</t>
  </si>
  <si>
    <t>Brandon Glass</t>
  </si>
  <si>
    <t>0064L000001vzvG</t>
  </si>
  <si>
    <t>Vertex VX-2030 Transformation for Accounting Function</t>
  </si>
  <si>
    <t>0064L000009ezdz</t>
  </si>
  <si>
    <t>Paypal Holdings Inc.</t>
  </si>
  <si>
    <t>Paypal #ProEdge Trial</t>
  </si>
  <si>
    <t>30/6/2021</t>
  </si>
  <si>
    <t>0064L00000B1nFN</t>
  </si>
  <si>
    <t>EPM - Close &amp; Consolidations and Planning</t>
  </si>
  <si>
    <t>Tana Treearphorn</t>
  </si>
  <si>
    <t>0064L00000Bmjay</t>
  </si>
  <si>
    <t>MRM Consulting Inc</t>
  </si>
  <si>
    <t>Customer Link - MRM Consulting</t>
  </si>
  <si>
    <t>0064L00000BeQhq</t>
  </si>
  <si>
    <t>Business Transformation Strategy ADC Development and Supply</t>
  </si>
  <si>
    <t>0064L00000BnLEw</t>
  </si>
  <si>
    <t>Saratoga Benchmarking - Cielo Talent License - Amendment</t>
  </si>
  <si>
    <t>0064L00000BoOIv</t>
  </si>
  <si>
    <t>S1 - Media Stakeholder Analysis Assessment (Christina Twomey)</t>
  </si>
  <si>
    <t>0064L000009flUV</t>
  </si>
  <si>
    <t>Hyperion Upgrade / Cloud</t>
  </si>
  <si>
    <t>Paulo Gomes</t>
  </si>
  <si>
    <t>0064L000006CTS5</t>
  </si>
  <si>
    <t>Liberty Mutual - Media Intelligence</t>
  </si>
  <si>
    <t>0064L00000CWQnf</t>
  </si>
  <si>
    <t>Tides, Inc.</t>
  </si>
  <si>
    <t>Skills for Society - 2022 - Data Analysis and Visualization</t>
  </si>
  <si>
    <t>0064L00000CWtU6</t>
  </si>
  <si>
    <t>Coca-Cola ME&amp;E Phase 5 - Volume Prioritization / Commercial+</t>
  </si>
  <si>
    <t>0064L00000D8d4V</t>
  </si>
  <si>
    <t>Verisign Inc.</t>
  </si>
  <si>
    <t>Saratoga Benchmarking renewal multiyear (2 of 2) - Verisign</t>
  </si>
  <si>
    <t>0064L00000CH5Cy</t>
  </si>
  <si>
    <t>Signet - TaaS Assessment #TreasuryMSO</t>
  </si>
  <si>
    <t>0064L00000BmFwp</t>
  </si>
  <si>
    <t>ProMedica - ProEdge</t>
  </si>
  <si>
    <t>0064L00000D8tZX</t>
  </si>
  <si>
    <t>PSRA Remediation Execution Assistance</t>
  </si>
  <si>
    <t>Jacob Kindberg</t>
  </si>
  <si>
    <t>0064L00000AqHol</t>
  </si>
  <si>
    <t>Takeda HR Symposium</t>
  </si>
  <si>
    <t>0064L00000B0xXh</t>
  </si>
  <si>
    <t>BCBSNC Medicare Risk Adjustment Strategy</t>
  </si>
  <si>
    <t>0064L000006jx74</t>
  </si>
  <si>
    <t>Wayfair Inc.</t>
  </si>
  <si>
    <t>Wayfair - Media Intelligence</t>
  </si>
  <si>
    <t>0064L00000Boq00</t>
  </si>
  <si>
    <t>Present ABS Pricing findings to Andy Gillard</t>
  </si>
  <si>
    <t>0064L000006jg8E</t>
  </si>
  <si>
    <t>Dish Network Corporation</t>
  </si>
  <si>
    <t>Dish Network - Media Intelligence</t>
  </si>
  <si>
    <t>0064L000006jx78</t>
  </si>
  <si>
    <t>Visa - Media Intelligence</t>
  </si>
  <si>
    <t>0064L000006jx7N</t>
  </si>
  <si>
    <t>The Wendy's Company</t>
  </si>
  <si>
    <t>Wendy's Co. - Media Intelligence</t>
  </si>
  <si>
    <t>0064L000009ALtX</t>
  </si>
  <si>
    <t>0064L00000D92MU</t>
  </si>
  <si>
    <t>N/A</t>
  </si>
  <si>
    <t>AWM ISO</t>
  </si>
  <si>
    <t>David Kantrowitz</t>
  </si>
  <si>
    <t>0064L00000B0zEb</t>
  </si>
  <si>
    <t>BCBSNC Clinical Platform</t>
  </si>
  <si>
    <t>0064L0000099W9m</t>
  </si>
  <si>
    <t>manufacturing &amp; Supply Chain visibility proof of concept</t>
  </si>
  <si>
    <t>0064L00000Bl35k</t>
  </si>
  <si>
    <t>UiPath - Finance Modernization Program</t>
  </si>
  <si>
    <t>0064L00000CXBtX</t>
  </si>
  <si>
    <t>Coca-Cola ME&amp;E Phase 4 - M+ Transition OPS - Change Order #1</t>
  </si>
  <si>
    <t>Coca-Cola ME&amp;E Phase 4 - M+ Transition OPS</t>
  </si>
  <si>
    <t>0064L00000CWQTp</t>
  </si>
  <si>
    <t>FRB Commercial Bank Onboarding Blueprint #&gt;$50B #FOB - Phase 2</t>
  </si>
  <si>
    <t>0064L000009AoQt</t>
  </si>
  <si>
    <t>Inari Medical INC.</t>
  </si>
  <si>
    <t>#xpcGrowth - Hypergrowth Opportunity</t>
  </si>
  <si>
    <t>20/11/2021</t>
  </si>
  <si>
    <t>0064L000009AoSB</t>
  </si>
  <si>
    <t>Penumbra Inc.</t>
  </si>
  <si>
    <t>#xpcGrowth, Hypergrowth</t>
  </si>
  <si>
    <t>0064L000006jwwl</t>
  </si>
  <si>
    <t>TD Ameritrade - Media Intelligence</t>
  </si>
  <si>
    <t>0064L0000099W2q</t>
  </si>
  <si>
    <t>Manufacturing &amp; Supply Chain visibility proof of concept</t>
  </si>
  <si>
    <t>0064L000006jwx0</t>
  </si>
  <si>
    <t>TD Bank Financial Group</t>
  </si>
  <si>
    <t>TD Bank - Media Intelligence</t>
  </si>
  <si>
    <t>0064L000002aArS</t>
  </si>
  <si>
    <t>TCCC - Beacon Payroll Leakage Tool</t>
  </si>
  <si>
    <t>0064L000006jgNr</t>
  </si>
  <si>
    <t>Chewy - Media Intelligence</t>
  </si>
  <si>
    <t>0064I000011ob2X</t>
  </si>
  <si>
    <t>Fit-for-Growth in R&amp;D Campaign</t>
  </si>
  <si>
    <t>22/1/2020</t>
  </si>
  <si>
    <t>0064I000011ob3L</t>
  </si>
  <si>
    <t>Data &amp; Analytics Campaign</t>
  </si>
  <si>
    <t>0064L00000Bl0qi</t>
  </si>
  <si>
    <t>CVS Cognitive Scale P0 Investment #xPC:PayerAnalytics #Alliance:CognitiveScale #PayerAnalytics</t>
  </si>
  <si>
    <t>0064L000004yJFQ</t>
  </si>
  <si>
    <t>HR Biz Dev Opp</t>
  </si>
  <si>
    <t>Mauricio Gallardo</t>
  </si>
  <si>
    <t>Amber Batiste</t>
  </si>
  <si>
    <t>0064L000004yJFP</t>
  </si>
  <si>
    <t>Finance Biz Dev Opp</t>
  </si>
  <si>
    <t>0064L000007wSHi</t>
  </si>
  <si>
    <t>Twilio #ProEdge - Trial</t>
  </si>
  <si>
    <t>0064L000006juNB</t>
  </si>
  <si>
    <t>Expedia - Media Intelligence</t>
  </si>
  <si>
    <t>0064L000004yJKd</t>
  </si>
  <si>
    <t>Technology &amp; Network Biz Dev Opp</t>
  </si>
  <si>
    <t>0064L000002LUGU</t>
  </si>
  <si>
    <t>ManTech International Corporation</t>
  </si>
  <si>
    <t>Oracle Sourced Suspect Oppty - EPM and ERP</t>
  </si>
  <si>
    <t>0064L00000B175d</t>
  </si>
  <si>
    <t>Nokia #ProEdge2.0 - Trial</t>
  </si>
  <si>
    <t>0064L00000DJeMk</t>
  </si>
  <si>
    <t>Yext INC.</t>
  </si>
  <si>
    <t>Yext potential vendor or alliance relationship</t>
  </si>
  <si>
    <t>0064L00000AqWUD</t>
  </si>
  <si>
    <t>CVS: L&amp;D V/R Pilot</t>
  </si>
  <si>
    <t>0064L00000417ro</t>
  </si>
  <si>
    <t>Oracle Cloud EPM</t>
  </si>
  <si>
    <t>Susan Lynch</t>
  </si>
  <si>
    <t>0064L00000D8rIX</t>
  </si>
  <si>
    <t>SPGI External Labor</t>
  </si>
  <si>
    <t>Kristie Cameron</t>
  </si>
  <si>
    <t>0064L00000DFyRM</t>
  </si>
  <si>
    <t>Embright, LLC</t>
  </si>
  <si>
    <t>0064L00000B0tVl</t>
  </si>
  <si>
    <t>Stryker Quality Functional Benchmarking #QMS</t>
  </si>
  <si>
    <t>0064L00000BgC5f</t>
  </si>
  <si>
    <t>Molina VMO Support #GCOE</t>
  </si>
  <si>
    <t>0064L00000Bo9Jm</t>
  </si>
  <si>
    <t>CHS Empower -  Bio-med Operations</t>
  </si>
  <si>
    <t>0064L0000069QvF</t>
  </si>
  <si>
    <t>Future Cast Engagement Opportunity Proof of Concept</t>
  </si>
  <si>
    <t>0064L00000BoXw2</t>
  </si>
  <si>
    <t>Nova Ukraine</t>
  </si>
  <si>
    <t>Fee Waived - Vendor and volunteer onboarding process assessment</t>
  </si>
  <si>
    <t>0064L00000B14S4</t>
  </si>
  <si>
    <t>Energy - Palantir</t>
  </si>
  <si>
    <t>Jeffrey McAleer</t>
  </si>
  <si>
    <t>0064L000006ju7z</t>
  </si>
  <si>
    <t>CVS Health Corp. - Media Intelligence</t>
  </si>
  <si>
    <t>0064L00000CYeFK</t>
  </si>
  <si>
    <t>CareAbout</t>
  </si>
  <si>
    <t>0064L0000040Tnc</t>
  </si>
  <si>
    <t>Hershey Enterprise Performance Assessment</t>
  </si>
  <si>
    <t>0064L00000ArFL8</t>
  </si>
  <si>
    <t>Cresa Global, Inc.</t>
  </si>
  <si>
    <t>Customer Link - Cresa Global</t>
  </si>
  <si>
    <t>0064L00000DM8Os</t>
  </si>
  <si>
    <t>Trusted Research Environment for Data Collaborations - Phase 0</t>
  </si>
  <si>
    <t>0064L00000DLVml</t>
  </si>
  <si>
    <t>Saratoga Benchmarking renewal - PSEG</t>
  </si>
  <si>
    <t>0064L00000DLVqK</t>
  </si>
  <si>
    <t>Saratoga Benchmarking multiyear (2 of 2) - PeaceHealth</t>
  </si>
  <si>
    <t>0064L00000DLVrv</t>
  </si>
  <si>
    <t>Saratoga Benchmarking multiyear (3 of 3) - Northwestern Memorial Healthcare</t>
  </si>
  <si>
    <t>0064L00000DLVrb</t>
  </si>
  <si>
    <t>Saratoga Benchmarking multiyear (2 of 3) - BCBS of NC</t>
  </si>
  <si>
    <t>0064L00000DLVtl</t>
  </si>
  <si>
    <t>Saratoga Benchmarking multiyear (3 of 3) - Community Health Network</t>
  </si>
  <si>
    <t>0064L00000DLVtp</t>
  </si>
  <si>
    <t>Saratoga Benchmarking multiyear (2 of 3) - Cleveland Clinic</t>
  </si>
  <si>
    <t>0064L00000DLVtq</t>
  </si>
  <si>
    <t>Saratoga Benchmarking multiyear (2 of 3) - Common Spirit Health</t>
  </si>
  <si>
    <t>0064L00000DLVuU</t>
  </si>
  <si>
    <t>Saratoga Benchmarking multiyear (3 of 3) - General Dynamics Electric Boat (Fed)</t>
  </si>
  <si>
    <t>0064L00000DLVuY</t>
  </si>
  <si>
    <t>Gundersen Lutheran Health System, Inc.</t>
  </si>
  <si>
    <t>Saratoga Benchmarking multiyear (2 of 3) - Gundersen Health (ASHHRA upgrade)</t>
  </si>
  <si>
    <t>0064L00000DLVvl</t>
  </si>
  <si>
    <t>Saratoga Benchmarking multiyear (2 of 2) - Lincoln Financial Group</t>
  </si>
  <si>
    <t>0064L00000DLVvm</t>
  </si>
  <si>
    <t>SCP HEALTH</t>
  </si>
  <si>
    <t>Saratoga Benchmarking multiyear (3 of 3) - SCP Health</t>
  </si>
  <si>
    <t>0064L00000DLVvn</t>
  </si>
  <si>
    <t>Saratoga Benchmarking multiyear (2 of 2) - Serco (Fed)</t>
  </si>
  <si>
    <t>0064L00000DLVx3</t>
  </si>
  <si>
    <t>Saratoga Benchmarking multiyear (2 of 2) - Texas Health Resources</t>
  </si>
  <si>
    <t>0064L00000DLVvq</t>
  </si>
  <si>
    <t>Saratoga Benchmarking multiyear (2 of 2) - ManTech (Fed)</t>
  </si>
  <si>
    <t>0064L00000DLVx4</t>
  </si>
  <si>
    <t>University of Virginia Health System</t>
  </si>
  <si>
    <t>Saratoga Benchmarking multiyear (3 of 3) - University of Virginia (UVA) Health</t>
  </si>
  <si>
    <t>0064L00000DLVvr</t>
  </si>
  <si>
    <t>Saratoga Benchmarking multiyear (2 of 3) - Nemours Children's Health System</t>
  </si>
  <si>
    <t>0064L00000DLVwU</t>
  </si>
  <si>
    <t>Saratoga Benchmarking multiyear (3 of 3) - SAIC (Fed)</t>
  </si>
  <si>
    <t>0064L00000DLVvv</t>
  </si>
  <si>
    <t>New York Presbyterian Hospital</t>
  </si>
  <si>
    <t>Saratoga Benchmarking multiyear (3 of 3) - New York-Presbyterian Hospital</t>
  </si>
  <si>
    <t>0064L00000DLVwZ</t>
  </si>
  <si>
    <t>Saratoga Benchmarking multiyear (3 of 3) - Saint Luke's Health</t>
  </si>
  <si>
    <t>0064L00000DLVwe</t>
  </si>
  <si>
    <t>Southcentral Foundation</t>
  </si>
  <si>
    <t>Saratoga Benchmarking multiyear (3 of 3) - Southcentral Foundation</t>
  </si>
  <si>
    <t>0064L00000DLVuo</t>
  </si>
  <si>
    <t>Saratoga Benchmarking multiyear (3 of 3) - Hospital Sisters Health System</t>
  </si>
  <si>
    <t>0064L00000DLVvR</t>
  </si>
  <si>
    <t>Saratoga Benchmarking multiyear (2 of 3) - Keck Medical Center of USC</t>
  </si>
  <si>
    <t>0064L00000DLVus</t>
  </si>
  <si>
    <t>Saratoga Benchmarking multiyear (3 of 3) - Highmark Health</t>
  </si>
  <si>
    <t>0064L00000DLVvg</t>
  </si>
  <si>
    <t>Saratoga Benchmarking multiyear (2 of 2) - Leidos (Fed)</t>
  </si>
  <si>
    <t>0064L00000DLVvh</t>
  </si>
  <si>
    <t>NMG Parent LLC</t>
  </si>
  <si>
    <t>Saratoga Benchmarking multiyear (2 of 3) - Neiman Marcus</t>
  </si>
  <si>
    <t>0064L00000Bognl</t>
  </si>
  <si>
    <t>W.I. Cook Foundation Inc</t>
  </si>
  <si>
    <t>Saratoga Benchmarking - W.I. Cook Foundation (Access as an affiliate of Cook Children's)</t>
  </si>
  <si>
    <t>0064L00000DG4o7</t>
  </si>
  <si>
    <t>HP CS SSC MDM Governance CO#2 Zero Dollar</t>
  </si>
  <si>
    <t>HP CS SSC MDM Governance CO#2</t>
  </si>
  <si>
    <t>0064L00000Bn2Ll</t>
  </si>
  <si>
    <t>GPN Acquisitions and Enhancements (MT,ZEGO, Comercia)</t>
  </si>
  <si>
    <t>0064L00000DLDaZ</t>
  </si>
  <si>
    <t>Innovaccer SI Opportunity - Lee Health</t>
  </si>
  <si>
    <t>0064L00000DLDbS</t>
  </si>
  <si>
    <t>Catholic Medical Partners</t>
  </si>
  <si>
    <t>Innovaccer SI Opportunity - Catholic Medical Partners</t>
  </si>
  <si>
    <t>0064L00000BnU6j</t>
  </si>
  <si>
    <t>First State Community Bank Inc</t>
  </si>
  <si>
    <t>Customer Link - FSCB</t>
  </si>
  <si>
    <t>0064L00000DLDeb</t>
  </si>
  <si>
    <t>Children's Mercy Hospital The</t>
  </si>
  <si>
    <t>Innovaccer SI Opportunity - CMICS</t>
  </si>
  <si>
    <t>0064L00000DLDfj</t>
  </si>
  <si>
    <t>Curana Health</t>
  </si>
  <si>
    <t>Innovaccer SI Opportunity - Curana Health</t>
  </si>
  <si>
    <t>0064L00000CYbZW</t>
  </si>
  <si>
    <t>Target &amp; FIS | Premium Payback</t>
  </si>
  <si>
    <t>0064L00000DLDmQ</t>
  </si>
  <si>
    <t>San Mateo Health Commission</t>
  </si>
  <si>
    <t>Innovaccer SI Opportunity - Health Plan of San Mateo</t>
  </si>
  <si>
    <t>0064L00000DLDma</t>
  </si>
  <si>
    <t>Physicians of Southwest Washington, L.L.C.</t>
  </si>
  <si>
    <t>Innovaccer SI Opportunity - PSW</t>
  </si>
  <si>
    <t>0064L000001w0eV</t>
  </si>
  <si>
    <t>Key Customer Link #PRO</t>
  </si>
  <si>
    <t>0064L00000CYsad</t>
  </si>
  <si>
    <t>Operation BEST - Business Readiness &amp; IT Delivery Structure Support Amendment 1</t>
  </si>
  <si>
    <t>0064L00000DLDqr</t>
  </si>
  <si>
    <t>ST. Peter's Health</t>
  </si>
  <si>
    <t>Innovaccer SI Opportunity - St. Peter?s Health</t>
  </si>
  <si>
    <t>0064L000001w0g7</t>
  </si>
  <si>
    <t>Wintrust Financial Corp Customer Link #PRO</t>
  </si>
  <si>
    <t>0064L000001w0iD</t>
  </si>
  <si>
    <t>Morgan Stanley Customer Link #PRO</t>
  </si>
  <si>
    <t>0064L00000DFvfz</t>
  </si>
  <si>
    <t>Loyalty Workshop</t>
  </si>
  <si>
    <t>0064L00000DG4O4</t>
  </si>
  <si>
    <t>Value based planning Pursuit #FFG</t>
  </si>
  <si>
    <t>0064L00000DG4NV</t>
  </si>
  <si>
    <t>0064L00000DG4OT</t>
  </si>
  <si>
    <t>Value based planning pursuit #FFG</t>
  </si>
  <si>
    <t>0064L00000DG4P2</t>
  </si>
  <si>
    <t>0064L00000DMH0k</t>
  </si>
  <si>
    <t>Allegheny Conference On Community Development</t>
  </si>
  <si>
    <t>Workforce Strategy Skills for Society</t>
  </si>
  <si>
    <t>0064L00000Boeq2</t>
  </si>
  <si>
    <t>R&amp;D: Strengthening R&amp;D IT Partnerships</t>
  </si>
  <si>
    <t>0064L00000Boepn</t>
  </si>
  <si>
    <t>R&amp;D: Smart Budgeting</t>
  </si>
  <si>
    <t>0064L00000Boeoz</t>
  </si>
  <si>
    <t>R&amp;D: Centralized / Remote Monitoring</t>
  </si>
  <si>
    <t>0064L00000CVFA3</t>
  </si>
  <si>
    <t>WILDLANDS RESTORATION VOLUNTEERS</t>
  </si>
  <si>
    <t>Skills for Society - 2022 [Wildlands Restoration Project]</t>
  </si>
  <si>
    <t>23/3/2023</t>
  </si>
  <si>
    <t>Jack Schattner</t>
  </si>
  <si>
    <t>0064L00000DFS6J</t>
  </si>
  <si>
    <t>Cone Health Financial Performance Improvement</t>
  </si>
  <si>
    <t>0064L00000DM4oF</t>
  </si>
  <si>
    <t>Relex Solutions Inc.</t>
  </si>
  <si>
    <t>Relex / DoorDash Planning and Replenishment</t>
  </si>
  <si>
    <t>Retail_Merchandising_of_the_Future</t>
  </si>
  <si>
    <t>0064I000015TdM3</t>
  </si>
  <si>
    <t>Yum Brands - Media Intelligence</t>
  </si>
  <si>
    <t>0064L00000ArU8U</t>
  </si>
  <si>
    <t>Curemark LLC.</t>
  </si>
  <si>
    <t>0064L00000ArU8P</t>
  </si>
  <si>
    <t>0064L00000ArU8Z</t>
  </si>
  <si>
    <t>0064L00000DMDZW</t>
  </si>
  <si>
    <t>0064L00000DFPlS</t>
  </si>
  <si>
    <t>PANW Anaplan Foundations</t>
  </si>
  <si>
    <t>Anya Skvortsova</t>
  </si>
  <si>
    <t>0064L00000Bmq7f</t>
  </si>
  <si>
    <t>Careerspring Foundation</t>
  </si>
  <si>
    <t>Skills for Society - 2022 Current SIte Optimization</t>
  </si>
  <si>
    <t>Kellen McGriff</t>
  </si>
  <si>
    <t>0064L00000DMDkF</t>
  </si>
  <si>
    <t>AbbVie Value based planning Phase 2 DVC #FFG #DVC</t>
  </si>
  <si>
    <t>Team 1</t>
  </si>
  <si>
    <t>Team 2</t>
  </si>
  <si>
    <t>Team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</si>
</sst>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 h:mm am/pm"/>
    <numFmt numFmtId="166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3" xfId="0" applyAlignment="1" applyFont="1" applyNumberFormat="1">
      <alignment readingOrder="0"/>
    </xf>
    <xf borderId="0" fillId="2" fontId="1" numFmtId="164" xfId="0" applyAlignment="1" applyFont="1" applyNumberFormat="1">
      <alignment readingOrder="0"/>
    </xf>
    <xf borderId="0" fillId="2" fontId="1" numFmtId="0" xfId="0" applyFont="1"/>
    <xf borderId="0" fillId="2" fontId="1" numFmtId="165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3" xfId="0" applyFont="1" applyNumberFormat="1"/>
    <xf borderId="0" fillId="0" fontId="1" numFmtId="0" xfId="0" applyFont="1"/>
    <xf borderId="0" fillId="0" fontId="1" numFmtId="166" xfId="0" applyFont="1" applyNumberFormat="1"/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8.88"/>
    <col hidden="1" min="7" max="7" width="12.63"/>
    <col hidden="1" min="9" max="9" width="12.63"/>
    <col customWidth="1" min="13" max="13" width="16.38"/>
    <col customWidth="1" min="17" max="17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3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hidden="1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2">
        <v>8.5E7</v>
      </c>
      <c r="G2" s="4">
        <v>44359.0</v>
      </c>
      <c r="H2" s="4">
        <f>IFERROR(__xludf.DUMMYFUNCTION("DATE(INDEX(SPLIT(G2,""/""),,3),INDEX(SPLIT(G2,""/""),,2),INDEX(SPLIT(G2,""/""),,1))"),44536.0)</f>
        <v>44536</v>
      </c>
      <c r="I2" s="4">
        <v>44989.0</v>
      </c>
      <c r="J2" s="4">
        <f>IFERROR(__xludf.DUMMYFUNCTION("DATE(INDEX(SPLIT(I2,""/""),,3),INDEX(SPLIT(I2,""/""),,2),INDEX(SPLIT(I2,""/""),,1))"),45019.0)</f>
        <v>45019</v>
      </c>
      <c r="L2" s="1">
        <v>0.0</v>
      </c>
      <c r="M2" s="1" t="s">
        <v>29</v>
      </c>
      <c r="N2" s="1"/>
      <c r="O2" s="1" t="s">
        <v>30</v>
      </c>
      <c r="P2" s="1" t="s">
        <v>31</v>
      </c>
      <c r="Q2" s="1" t="s">
        <v>32</v>
      </c>
      <c r="R2" s="1" t="s">
        <v>32</v>
      </c>
      <c r="S2" s="1" t="s">
        <v>33</v>
      </c>
      <c r="T2" s="1" t="s">
        <v>34</v>
      </c>
      <c r="U2" s="1">
        <v>1.00660652E8</v>
      </c>
      <c r="X2" s="1" t="s">
        <v>35</v>
      </c>
      <c r="Y2" s="1" t="s">
        <v>36</v>
      </c>
      <c r="Z2" s="1" t="s">
        <v>37</v>
      </c>
    </row>
    <row r="3" hidden="1">
      <c r="A3" s="1" t="s">
        <v>38</v>
      </c>
      <c r="B3" s="1" t="s">
        <v>39</v>
      </c>
      <c r="C3" s="1" t="s">
        <v>40</v>
      </c>
      <c r="D3" s="1" t="s">
        <v>27</v>
      </c>
      <c r="E3" s="1" t="s">
        <v>28</v>
      </c>
      <c r="F3" s="2">
        <v>7.3770381E7</v>
      </c>
      <c r="G3" s="1" t="s">
        <v>41</v>
      </c>
      <c r="H3" s="4">
        <f>IFERROR(__xludf.DUMMYFUNCTION("DATE(INDEX(SPLIT(G3,""/""),,3),INDEX(SPLIT(G3,""/""),,2),INDEX(SPLIT(G3,""/""),,1))"),44607.0)</f>
        <v>44607</v>
      </c>
      <c r="I3" s="1" t="s">
        <v>42</v>
      </c>
      <c r="J3" s="4">
        <f>IFERROR(__xludf.DUMMYFUNCTION("DATE(INDEX(SPLIT(I3,""/""),,3),INDEX(SPLIT(I3,""/""),,2),INDEX(SPLIT(I3,""/""),,1))"),44926.0)</f>
        <v>44926</v>
      </c>
      <c r="L3" s="1">
        <v>0.0</v>
      </c>
      <c r="M3" s="1" t="s">
        <v>43</v>
      </c>
      <c r="N3" s="1"/>
      <c r="O3" s="1" t="s">
        <v>30</v>
      </c>
      <c r="P3" s="1" t="s">
        <v>31</v>
      </c>
      <c r="Q3" s="1" t="s">
        <v>32</v>
      </c>
      <c r="R3" s="1" t="s">
        <v>32</v>
      </c>
      <c r="S3" s="1" t="s">
        <v>33</v>
      </c>
      <c r="U3" s="1">
        <v>1.00587944E8</v>
      </c>
      <c r="V3" s="1" t="s">
        <v>44</v>
      </c>
      <c r="W3" s="1" t="s">
        <v>45</v>
      </c>
      <c r="X3" s="1" t="s">
        <v>46</v>
      </c>
      <c r="Y3" s="1" t="s">
        <v>43</v>
      </c>
      <c r="Z3" s="1" t="s">
        <v>37</v>
      </c>
    </row>
    <row r="4" hidden="1">
      <c r="A4" s="1" t="s">
        <v>47</v>
      </c>
      <c r="B4" s="1" t="s">
        <v>48</v>
      </c>
      <c r="C4" s="1" t="s">
        <v>49</v>
      </c>
      <c r="D4" s="1" t="s">
        <v>27</v>
      </c>
      <c r="E4" s="1" t="s">
        <v>28</v>
      </c>
      <c r="F4" s="2">
        <v>5.0E7</v>
      </c>
      <c r="G4" s="1" t="s">
        <v>50</v>
      </c>
      <c r="H4" s="4">
        <f>IFERROR(__xludf.DUMMYFUNCTION("DATE(INDEX(SPLIT(G4,""/""),,3),INDEX(SPLIT(G4,""/""),,2),INDEX(SPLIT(G4,""/""),,1))"),44547.0)</f>
        <v>44547</v>
      </c>
      <c r="I4" s="1" t="s">
        <v>51</v>
      </c>
      <c r="J4" s="4">
        <f>IFERROR(__xludf.DUMMYFUNCTION("DATE(INDEX(SPLIT(I4,""/""),,3),INDEX(SPLIT(I4,""/""),,2),INDEX(SPLIT(I4,""/""),,1))"),45068.0)</f>
        <v>45068</v>
      </c>
      <c r="L4" s="1">
        <v>0.0</v>
      </c>
      <c r="M4" s="1" t="s">
        <v>52</v>
      </c>
      <c r="N4" s="1"/>
      <c r="O4" s="1" t="s">
        <v>30</v>
      </c>
      <c r="P4" s="1" t="s">
        <v>31</v>
      </c>
      <c r="Q4" s="1" t="s">
        <v>53</v>
      </c>
      <c r="R4" s="1" t="s">
        <v>53</v>
      </c>
      <c r="S4" s="1" t="s">
        <v>54</v>
      </c>
      <c r="T4" s="1" t="s">
        <v>55</v>
      </c>
      <c r="U4" s="1">
        <v>1.01059432E8</v>
      </c>
      <c r="W4" s="1" t="s">
        <v>56</v>
      </c>
      <c r="X4" s="1" t="s">
        <v>46</v>
      </c>
      <c r="Y4" s="1" t="s">
        <v>57</v>
      </c>
      <c r="Z4" s="1" t="s">
        <v>37</v>
      </c>
    </row>
    <row r="5" hidden="1">
      <c r="A5" s="1" t="s">
        <v>58</v>
      </c>
      <c r="B5" s="1" t="s">
        <v>59</v>
      </c>
      <c r="C5" s="1" t="s">
        <v>60</v>
      </c>
      <c r="D5" s="1" t="s">
        <v>27</v>
      </c>
      <c r="E5" s="1" t="s">
        <v>28</v>
      </c>
      <c r="F5" s="2">
        <v>5.0E7</v>
      </c>
      <c r="G5" s="4">
        <v>43993.0</v>
      </c>
      <c r="H5" s="4">
        <f>IFERROR(__xludf.DUMMYFUNCTION("DATE(INDEX(SPLIT(G5,""/""),,3),INDEX(SPLIT(G5,""/""),,2),INDEX(SPLIT(G5,""/""),,1))"),44141.0)</f>
        <v>44141</v>
      </c>
      <c r="I5" s="4">
        <v>45298.0</v>
      </c>
      <c r="J5" s="4">
        <f>IFERROR(__xludf.DUMMYFUNCTION("DATE(INDEX(SPLIT(I5,""/""),,3),INDEX(SPLIT(I5,""/""),,2),INDEX(SPLIT(I5,""/""),,1))"),45474.0)</f>
        <v>45474</v>
      </c>
      <c r="L5" s="1">
        <v>0.0</v>
      </c>
      <c r="M5" s="1" t="s">
        <v>61</v>
      </c>
      <c r="N5" s="1"/>
      <c r="O5" s="1" t="s">
        <v>30</v>
      </c>
      <c r="P5" s="1" t="s">
        <v>31</v>
      </c>
      <c r="Q5" s="1" t="s">
        <v>32</v>
      </c>
      <c r="R5" s="1" t="s">
        <v>32</v>
      </c>
      <c r="S5" s="1" t="s">
        <v>33</v>
      </c>
      <c r="T5" s="1" t="s">
        <v>62</v>
      </c>
      <c r="U5" s="1">
        <v>1.0060843E8</v>
      </c>
      <c r="X5" s="1" t="s">
        <v>63</v>
      </c>
      <c r="Y5" s="1" t="s">
        <v>64</v>
      </c>
      <c r="Z5" s="1" t="s">
        <v>37</v>
      </c>
    </row>
    <row r="6">
      <c r="A6" s="3" t="s">
        <v>65</v>
      </c>
      <c r="B6" s="3" t="s">
        <v>66</v>
      </c>
      <c r="C6" s="3" t="s">
        <v>67</v>
      </c>
      <c r="D6" s="3" t="s">
        <v>68</v>
      </c>
      <c r="E6" s="3" t="s">
        <v>28</v>
      </c>
      <c r="F6" s="5">
        <v>5.0E7</v>
      </c>
      <c r="G6" s="6">
        <v>44899.0</v>
      </c>
      <c r="H6" s="6">
        <f>IFERROR(__xludf.DUMMYFUNCTION("DATE(INDEX(SPLIT(G6,""/""),,3),INDEX(SPLIT(G6,""/""),,2),INDEX(SPLIT(G6,""/""),,1))"),44663.0)</f>
        <v>44663</v>
      </c>
      <c r="I6" s="3" t="s">
        <v>69</v>
      </c>
      <c r="J6" s="6">
        <f>IFERROR(__xludf.DUMMYFUNCTION("DATE(INDEX(SPLIT(I6,""/""),,3),INDEX(SPLIT(I6,""/""),,2),INDEX(SPLIT(I6,""/""),,1))"),44773.0)</f>
        <v>44773</v>
      </c>
      <c r="K6" s="7"/>
      <c r="L6" s="3">
        <v>0.0</v>
      </c>
      <c r="M6" s="3" t="s">
        <v>70</v>
      </c>
      <c r="N6" s="3"/>
      <c r="O6" s="3" t="s">
        <v>30</v>
      </c>
      <c r="P6" s="3" t="s">
        <v>31</v>
      </c>
      <c r="Q6" s="3" t="s">
        <v>71</v>
      </c>
      <c r="R6" s="3" t="s">
        <v>71</v>
      </c>
      <c r="S6" s="3" t="s">
        <v>72</v>
      </c>
      <c r="T6" s="3" t="s">
        <v>73</v>
      </c>
      <c r="U6" s="3">
        <v>1.00640331E8</v>
      </c>
      <c r="V6" s="7"/>
      <c r="W6" s="7"/>
      <c r="X6" s="3" t="s">
        <v>74</v>
      </c>
      <c r="Y6" s="3" t="s">
        <v>70</v>
      </c>
      <c r="Z6" s="3" t="s">
        <v>37</v>
      </c>
      <c r="AA6" s="7"/>
      <c r="AB6" s="7"/>
    </row>
    <row r="7" hidden="1">
      <c r="A7" s="1" t="s">
        <v>75</v>
      </c>
      <c r="B7" s="1" t="s">
        <v>76</v>
      </c>
      <c r="C7" s="1" t="s">
        <v>77</v>
      </c>
      <c r="D7" s="1" t="s">
        <v>78</v>
      </c>
      <c r="E7" s="1" t="s">
        <v>28</v>
      </c>
      <c r="F7" s="2">
        <v>5.0E7</v>
      </c>
      <c r="G7" s="4">
        <v>44389.0</v>
      </c>
      <c r="H7" s="4">
        <f>IFERROR(__xludf.DUMMYFUNCTION("DATE(INDEX(SPLIT(G7,""/""),,3),INDEX(SPLIT(G7,""/""),,2),INDEX(SPLIT(G7,""/""),,1))"),44537.0)</f>
        <v>44537</v>
      </c>
      <c r="I7" s="1" t="s">
        <v>42</v>
      </c>
      <c r="J7" s="4">
        <f>IFERROR(__xludf.DUMMYFUNCTION("DATE(INDEX(SPLIT(I7,""/""),,3),INDEX(SPLIT(I7,""/""),,2),INDEX(SPLIT(I7,""/""),,1))"),44926.0)</f>
        <v>44926</v>
      </c>
      <c r="L7" s="1">
        <v>0.0</v>
      </c>
      <c r="M7" s="1" t="s">
        <v>79</v>
      </c>
      <c r="N7" s="1"/>
      <c r="O7" s="1" t="s">
        <v>30</v>
      </c>
      <c r="P7" s="1" t="s">
        <v>31</v>
      </c>
      <c r="Q7" s="1" t="s">
        <v>32</v>
      </c>
      <c r="R7" s="1" t="s">
        <v>32</v>
      </c>
      <c r="S7" s="1" t="s">
        <v>33</v>
      </c>
      <c r="T7" s="1" t="s">
        <v>80</v>
      </c>
      <c r="U7" s="1">
        <v>1.00609569E8</v>
      </c>
      <c r="X7" s="1" t="s">
        <v>81</v>
      </c>
      <c r="Y7" s="1" t="s">
        <v>79</v>
      </c>
      <c r="Z7" s="1" t="s">
        <v>37</v>
      </c>
    </row>
    <row r="8" hidden="1">
      <c r="A8" s="1" t="s">
        <v>82</v>
      </c>
      <c r="B8" s="1" t="s">
        <v>83</v>
      </c>
      <c r="C8" s="1" t="s">
        <v>84</v>
      </c>
      <c r="D8" s="1" t="s">
        <v>68</v>
      </c>
      <c r="E8" s="1" t="s">
        <v>28</v>
      </c>
      <c r="F8" s="2">
        <v>4.26E7</v>
      </c>
      <c r="G8" s="4">
        <v>44565.0</v>
      </c>
      <c r="H8" s="4">
        <f>IFERROR(__xludf.DUMMYFUNCTION("DATE(INDEX(SPLIT(G8,""/""),,3),INDEX(SPLIT(G8,""/""),,2),INDEX(SPLIT(G8,""/""),,1))"),44652.0)</f>
        <v>44652</v>
      </c>
      <c r="I8" s="1" t="s">
        <v>85</v>
      </c>
      <c r="J8" s="4">
        <f>IFERROR(__xludf.DUMMYFUNCTION("DATE(INDEX(SPLIT(I8,""/""),,3),INDEX(SPLIT(I8,""/""),,2),INDEX(SPLIT(I8,""/""),,1))"),44799.0)</f>
        <v>44799</v>
      </c>
      <c r="L8" s="1">
        <v>0.0</v>
      </c>
      <c r="M8" s="1" t="s">
        <v>86</v>
      </c>
      <c r="N8" s="1"/>
      <c r="O8" s="1" t="s">
        <v>30</v>
      </c>
      <c r="P8" s="1" t="s">
        <v>31</v>
      </c>
      <c r="Q8" s="1" t="s">
        <v>53</v>
      </c>
      <c r="R8" s="1" t="s">
        <v>53</v>
      </c>
      <c r="S8" s="1" t="s">
        <v>54</v>
      </c>
      <c r="T8" s="1" t="s">
        <v>87</v>
      </c>
      <c r="U8" s="1">
        <v>1.00653539E8</v>
      </c>
      <c r="X8" s="1" t="s">
        <v>88</v>
      </c>
      <c r="Y8" s="1" t="s">
        <v>89</v>
      </c>
      <c r="Z8" s="1" t="s">
        <v>37</v>
      </c>
    </row>
    <row r="9" hidden="1">
      <c r="A9" s="1" t="s">
        <v>90</v>
      </c>
      <c r="B9" s="1" t="s">
        <v>91</v>
      </c>
      <c r="C9" s="1" t="s">
        <v>92</v>
      </c>
      <c r="D9" s="1" t="s">
        <v>78</v>
      </c>
      <c r="E9" s="1" t="s">
        <v>28</v>
      </c>
      <c r="F9" s="2">
        <v>4.0E7</v>
      </c>
      <c r="G9" s="1" t="s">
        <v>93</v>
      </c>
      <c r="H9" s="4">
        <f>IFERROR(__xludf.DUMMYFUNCTION("DATE(INDEX(SPLIT(G9,""/""),,3),INDEX(SPLIT(G9,""/""),,2),INDEX(SPLIT(G9,""/""),,1))"),44671.0)</f>
        <v>44671</v>
      </c>
      <c r="I9" s="1" t="s">
        <v>42</v>
      </c>
      <c r="J9" s="4">
        <f>IFERROR(__xludf.DUMMYFUNCTION("DATE(INDEX(SPLIT(I9,""/""),,3),INDEX(SPLIT(I9,""/""),,2),INDEX(SPLIT(I9,""/""),,1))"),44926.0)</f>
        <v>44926</v>
      </c>
      <c r="L9" s="1">
        <v>0.0</v>
      </c>
      <c r="M9" s="1" t="s">
        <v>94</v>
      </c>
      <c r="N9" s="1"/>
      <c r="O9" s="1" t="s">
        <v>30</v>
      </c>
      <c r="P9" s="1" t="s">
        <v>31</v>
      </c>
      <c r="Q9" s="1" t="s">
        <v>95</v>
      </c>
      <c r="R9" s="1" t="s">
        <v>95</v>
      </c>
      <c r="S9" s="1" t="s">
        <v>96</v>
      </c>
      <c r="T9" s="1" t="s">
        <v>97</v>
      </c>
      <c r="U9" s="1">
        <v>1.00596941E8</v>
      </c>
      <c r="X9" s="1" t="s">
        <v>98</v>
      </c>
      <c r="Y9" s="1" t="s">
        <v>94</v>
      </c>
      <c r="Z9" s="1" t="s">
        <v>37</v>
      </c>
    </row>
    <row r="10" hidden="1">
      <c r="A10" s="1" t="s">
        <v>99</v>
      </c>
      <c r="B10" s="1" t="s">
        <v>39</v>
      </c>
      <c r="C10" s="1" t="s">
        <v>100</v>
      </c>
      <c r="D10" s="1" t="s">
        <v>78</v>
      </c>
      <c r="E10" s="1" t="s">
        <v>28</v>
      </c>
      <c r="F10" s="2">
        <v>3.0E7</v>
      </c>
      <c r="G10" s="1" t="s">
        <v>101</v>
      </c>
      <c r="H10" s="4">
        <f>IFERROR(__xludf.DUMMYFUNCTION("DATE(INDEX(SPLIT(G10,""/""),,3),INDEX(SPLIT(G10,""/""),,2),INDEX(SPLIT(G10,""/""),,1))"),44314.0)</f>
        <v>44314</v>
      </c>
      <c r="I10" s="1" t="s">
        <v>102</v>
      </c>
      <c r="J10" s="4">
        <f>IFERROR(__xludf.DUMMYFUNCTION("DATE(INDEX(SPLIT(I10,""/""),,3),INDEX(SPLIT(I10,""/""),,2),INDEX(SPLIT(I10,""/""),,1))"),45046.0)</f>
        <v>45046</v>
      </c>
      <c r="L10" s="1">
        <v>0.0</v>
      </c>
      <c r="M10" s="1" t="s">
        <v>43</v>
      </c>
      <c r="N10" s="1"/>
      <c r="O10" s="1" t="s">
        <v>30</v>
      </c>
      <c r="P10" s="1" t="s">
        <v>31</v>
      </c>
      <c r="Q10" s="1" t="s">
        <v>32</v>
      </c>
      <c r="R10" s="1" t="s">
        <v>32</v>
      </c>
      <c r="S10" s="1" t="s">
        <v>33</v>
      </c>
      <c r="T10" s="1" t="s">
        <v>103</v>
      </c>
      <c r="U10" s="1">
        <v>1.00587944E8</v>
      </c>
      <c r="X10" s="1" t="s">
        <v>46</v>
      </c>
      <c r="Y10" s="1" t="s">
        <v>104</v>
      </c>
      <c r="Z10" s="1" t="s">
        <v>37</v>
      </c>
    </row>
    <row r="11" hidden="1">
      <c r="A11" s="1" t="s">
        <v>105</v>
      </c>
      <c r="B11" s="1" t="s">
        <v>106</v>
      </c>
      <c r="C11" s="1" t="s">
        <v>107</v>
      </c>
      <c r="D11" s="1" t="s">
        <v>78</v>
      </c>
      <c r="E11" s="1" t="s">
        <v>28</v>
      </c>
      <c r="F11" s="2">
        <v>3.0E7</v>
      </c>
      <c r="G11" s="1" t="s">
        <v>108</v>
      </c>
      <c r="H11" s="4">
        <f>IFERROR(__xludf.DUMMYFUNCTION("DATE(INDEX(SPLIT(G11,""/""),,3),INDEX(SPLIT(G11,""/""),,2),INDEX(SPLIT(G11,""/""),,1))"),44725.0)</f>
        <v>44725</v>
      </c>
      <c r="I11" s="1" t="s">
        <v>109</v>
      </c>
      <c r="J11" s="4">
        <f>IFERROR(__xludf.DUMMYFUNCTION("DATE(INDEX(SPLIT(I11,""/""),,3),INDEX(SPLIT(I11,""/""),,2),INDEX(SPLIT(I11,""/""),,1))"),44834.0)</f>
        <v>44834</v>
      </c>
      <c r="L11" s="1">
        <v>0.0</v>
      </c>
      <c r="M11" s="1" t="s">
        <v>110</v>
      </c>
      <c r="N11" s="1"/>
      <c r="O11" s="1" t="s">
        <v>30</v>
      </c>
      <c r="P11" s="1" t="s">
        <v>31</v>
      </c>
      <c r="Q11" s="1" t="s">
        <v>95</v>
      </c>
      <c r="R11" s="1" t="s">
        <v>95</v>
      </c>
      <c r="S11" s="1" t="s">
        <v>96</v>
      </c>
      <c r="T11" s="1" t="s">
        <v>111</v>
      </c>
      <c r="U11" s="1">
        <v>1.01225952E8</v>
      </c>
      <c r="X11" s="1" t="s">
        <v>63</v>
      </c>
      <c r="Y11" s="1" t="s">
        <v>112</v>
      </c>
      <c r="Z11" s="1" t="s">
        <v>37</v>
      </c>
    </row>
    <row r="12" hidden="1">
      <c r="A12" s="1" t="s">
        <v>113</v>
      </c>
      <c r="B12" s="1" t="s">
        <v>114</v>
      </c>
      <c r="C12" s="1" t="s">
        <v>115</v>
      </c>
      <c r="D12" s="1" t="s">
        <v>78</v>
      </c>
      <c r="E12" s="1" t="s">
        <v>28</v>
      </c>
      <c r="F12" s="2">
        <v>2.9E7</v>
      </c>
      <c r="G12" s="4">
        <v>44266.0</v>
      </c>
      <c r="H12" s="4">
        <f>IFERROR(__xludf.DUMMYFUNCTION("DATE(INDEX(SPLIT(G12,""/""),,3),INDEX(SPLIT(G12,""/""),,2),INDEX(SPLIT(G12,""/""),,1))"),44503.0)</f>
        <v>44503</v>
      </c>
      <c r="I12" s="4">
        <v>44601.0</v>
      </c>
      <c r="J12" s="4">
        <f>IFERROR(__xludf.DUMMYFUNCTION("DATE(INDEX(SPLIT(I12,""/""),,3),INDEX(SPLIT(I12,""/""),,2),INDEX(SPLIT(I12,""/""),,1))"),44806.0)</f>
        <v>44806</v>
      </c>
      <c r="L12" s="1">
        <v>0.0</v>
      </c>
      <c r="M12" s="1" t="s">
        <v>116</v>
      </c>
      <c r="N12" s="1"/>
      <c r="O12" s="1" t="s">
        <v>30</v>
      </c>
      <c r="P12" s="1" t="s">
        <v>31</v>
      </c>
      <c r="Q12" s="1" t="s">
        <v>95</v>
      </c>
      <c r="R12" s="1" t="s">
        <v>95</v>
      </c>
      <c r="S12" s="1" t="s">
        <v>96</v>
      </c>
      <c r="T12" s="1" t="s">
        <v>97</v>
      </c>
      <c r="U12" s="1">
        <v>1.00592496E8</v>
      </c>
      <c r="X12" s="1" t="s">
        <v>117</v>
      </c>
      <c r="Y12" s="1" t="s">
        <v>118</v>
      </c>
      <c r="Z12" s="1" t="s">
        <v>37</v>
      </c>
    </row>
    <row r="13" hidden="1">
      <c r="A13" s="1" t="s">
        <v>119</v>
      </c>
      <c r="B13" s="1" t="s">
        <v>120</v>
      </c>
      <c r="C13" s="1" t="s">
        <v>121</v>
      </c>
      <c r="D13" s="1" t="s">
        <v>122</v>
      </c>
      <c r="E13" s="1" t="s">
        <v>28</v>
      </c>
      <c r="F13" s="2">
        <v>2.8E7</v>
      </c>
      <c r="G13" s="1" t="s">
        <v>123</v>
      </c>
      <c r="H13" s="4">
        <f>IFERROR(__xludf.DUMMYFUNCTION("DATE(INDEX(SPLIT(G13,""/""),,3),INDEX(SPLIT(G13,""/""),,2),INDEX(SPLIT(G13,""/""),,1))"),44368.0)</f>
        <v>44368</v>
      </c>
      <c r="I13" s="1" t="s">
        <v>85</v>
      </c>
      <c r="J13" s="4">
        <f>IFERROR(__xludf.DUMMYFUNCTION("DATE(INDEX(SPLIT(I13,""/""),,3),INDEX(SPLIT(I13,""/""),,2),INDEX(SPLIT(I13,""/""),,1))"),44799.0)</f>
        <v>44799</v>
      </c>
      <c r="L13" s="1">
        <v>0.0</v>
      </c>
      <c r="M13" s="1" t="s">
        <v>124</v>
      </c>
      <c r="N13" s="1"/>
      <c r="O13" s="1" t="s">
        <v>30</v>
      </c>
      <c r="P13" s="1" t="s">
        <v>31</v>
      </c>
      <c r="Q13" s="1" t="s">
        <v>53</v>
      </c>
      <c r="R13" s="1" t="s">
        <v>53</v>
      </c>
      <c r="S13" s="1" t="s">
        <v>54</v>
      </c>
      <c r="T13" s="1" t="s">
        <v>87</v>
      </c>
      <c r="U13" s="1">
        <v>1.00651441E8</v>
      </c>
      <c r="X13" s="1" t="s">
        <v>125</v>
      </c>
      <c r="Y13" s="1" t="s">
        <v>124</v>
      </c>
      <c r="Z13" s="1" t="s">
        <v>37</v>
      </c>
    </row>
    <row r="14" hidden="1">
      <c r="A14" s="1" t="s">
        <v>126</v>
      </c>
      <c r="B14" s="1" t="s">
        <v>127</v>
      </c>
      <c r="C14" s="1" t="s">
        <v>128</v>
      </c>
      <c r="D14" s="1" t="s">
        <v>78</v>
      </c>
      <c r="E14" s="1" t="s">
        <v>28</v>
      </c>
      <c r="F14" s="2">
        <v>2.7E7</v>
      </c>
      <c r="G14" s="1" t="s">
        <v>129</v>
      </c>
      <c r="H14" s="4">
        <f>IFERROR(__xludf.DUMMYFUNCTION("DATE(INDEX(SPLIT(G14,""/""),,3),INDEX(SPLIT(G14,""/""),,2),INDEX(SPLIT(G14,""/""),,1))"),44088.0)</f>
        <v>44088</v>
      </c>
      <c r="I14" s="1" t="s">
        <v>130</v>
      </c>
      <c r="J14" s="4">
        <f>IFERROR(__xludf.DUMMYFUNCTION("DATE(INDEX(SPLIT(I14,""/""),,3),INDEX(SPLIT(I14,""/""),,2),INDEX(SPLIT(I14,""/""),,1))"),44804.0)</f>
        <v>44804</v>
      </c>
      <c r="L14" s="1">
        <v>0.0</v>
      </c>
      <c r="M14" s="1" t="s">
        <v>79</v>
      </c>
      <c r="N14" s="1"/>
      <c r="O14" s="1" t="s">
        <v>30</v>
      </c>
      <c r="P14" s="1" t="s">
        <v>31</v>
      </c>
      <c r="Q14" s="1" t="s">
        <v>32</v>
      </c>
      <c r="R14" s="1" t="s">
        <v>32</v>
      </c>
      <c r="S14" s="1" t="s">
        <v>33</v>
      </c>
      <c r="T14" s="1" t="s">
        <v>34</v>
      </c>
      <c r="U14" s="1">
        <v>1.00609569E8</v>
      </c>
      <c r="X14" s="1" t="s">
        <v>81</v>
      </c>
      <c r="Y14" s="1" t="s">
        <v>79</v>
      </c>
      <c r="Z14" s="1" t="s">
        <v>37</v>
      </c>
    </row>
    <row r="15" hidden="1">
      <c r="A15" s="1" t="s">
        <v>131</v>
      </c>
      <c r="B15" s="1" t="s">
        <v>132</v>
      </c>
      <c r="C15" s="1" t="s">
        <v>133</v>
      </c>
      <c r="D15" s="1" t="s">
        <v>122</v>
      </c>
      <c r="E15" s="1" t="s">
        <v>28</v>
      </c>
      <c r="F15" s="2">
        <v>2.5922539E7</v>
      </c>
      <c r="G15" s="4">
        <v>44144.0</v>
      </c>
      <c r="H15" s="4">
        <f>IFERROR(__xludf.DUMMYFUNCTION("DATE(INDEX(SPLIT(G15,""/""),,3),INDEX(SPLIT(G15,""/""),,2),INDEX(SPLIT(G15,""/""),,1))"),44085.0)</f>
        <v>44085</v>
      </c>
      <c r="I15" s="1" t="s">
        <v>134</v>
      </c>
      <c r="J15" s="4">
        <f>IFERROR(__xludf.DUMMYFUNCTION("DATE(INDEX(SPLIT(I15,""/""),,3),INDEX(SPLIT(I15,""/""),,2),INDEX(SPLIT(I15,""/""),,1))"),44792.0)</f>
        <v>44792</v>
      </c>
      <c r="L15" s="1">
        <v>0.0</v>
      </c>
      <c r="M15" s="1" t="s">
        <v>135</v>
      </c>
      <c r="N15" s="1"/>
      <c r="O15" s="1" t="s">
        <v>30</v>
      </c>
      <c r="P15" s="1" t="s">
        <v>31</v>
      </c>
      <c r="Q15" s="1" t="s">
        <v>71</v>
      </c>
      <c r="R15" s="1" t="s">
        <v>71</v>
      </c>
      <c r="S15" s="1" t="s">
        <v>72</v>
      </c>
      <c r="T15" s="1" t="s">
        <v>136</v>
      </c>
      <c r="U15" s="1">
        <v>1.01068117E8</v>
      </c>
      <c r="X15" s="1" t="s">
        <v>74</v>
      </c>
      <c r="Y15" s="1" t="s">
        <v>137</v>
      </c>
      <c r="Z15" s="1" t="s">
        <v>37</v>
      </c>
    </row>
    <row r="16" hidden="1">
      <c r="A16" s="1" t="s">
        <v>138</v>
      </c>
      <c r="B16" s="1" t="s">
        <v>139</v>
      </c>
      <c r="C16" s="1" t="s">
        <v>140</v>
      </c>
      <c r="D16" s="1" t="s">
        <v>78</v>
      </c>
      <c r="E16" s="1" t="s">
        <v>28</v>
      </c>
      <c r="F16" s="2">
        <v>2.505E7</v>
      </c>
      <c r="G16" s="4">
        <v>43720.0</v>
      </c>
      <c r="H16" s="4">
        <f>IFERROR(__xludf.DUMMYFUNCTION("DATE(INDEX(SPLIT(G16,""/""),,3),INDEX(SPLIT(G16,""/""),,2),INDEX(SPLIT(G16,""/""),,1))"),43808.0)</f>
        <v>43808</v>
      </c>
      <c r="I16" s="4">
        <v>44690.0</v>
      </c>
      <c r="J16" s="4">
        <f>IFERROR(__xludf.DUMMYFUNCTION("DATE(INDEX(SPLIT(I16,""/""),,3),INDEX(SPLIT(I16,""/""),,2),INDEX(SPLIT(I16,""/""),,1))"),44809.0)</f>
        <v>44809</v>
      </c>
      <c r="L16" s="1">
        <v>0.0</v>
      </c>
      <c r="M16" s="1" t="s">
        <v>141</v>
      </c>
      <c r="N16" s="1"/>
      <c r="O16" s="1" t="s">
        <v>30</v>
      </c>
      <c r="P16" s="1" t="s">
        <v>31</v>
      </c>
      <c r="Q16" s="1" t="s">
        <v>95</v>
      </c>
      <c r="R16" s="1" t="s">
        <v>95</v>
      </c>
      <c r="S16" s="1" t="s">
        <v>96</v>
      </c>
      <c r="T16" s="1" t="s">
        <v>55</v>
      </c>
      <c r="U16" s="1">
        <v>1.00658522E8</v>
      </c>
      <c r="W16" s="1" t="s">
        <v>56</v>
      </c>
      <c r="X16" s="1" t="s">
        <v>81</v>
      </c>
      <c r="Y16" s="1" t="s">
        <v>142</v>
      </c>
      <c r="Z16" s="1" t="s">
        <v>37</v>
      </c>
    </row>
    <row r="17" hidden="1">
      <c r="A17" s="1" t="s">
        <v>143</v>
      </c>
      <c r="B17" s="1" t="s">
        <v>144</v>
      </c>
      <c r="C17" s="1" t="s">
        <v>145</v>
      </c>
      <c r="D17" s="1" t="s">
        <v>122</v>
      </c>
      <c r="E17" s="1" t="s">
        <v>28</v>
      </c>
      <c r="F17" s="2">
        <v>2.5E7</v>
      </c>
      <c r="G17" s="4">
        <v>44477.0</v>
      </c>
      <c r="H17" s="4">
        <f>IFERROR(__xludf.DUMMYFUNCTION("DATE(INDEX(SPLIT(G17,""/""),,3),INDEX(SPLIT(G17,""/""),,2),INDEX(SPLIT(G17,""/""),,1))"),44418.0)</f>
        <v>44418</v>
      </c>
      <c r="I17" s="1" t="s">
        <v>85</v>
      </c>
      <c r="J17" s="4">
        <f>IFERROR(__xludf.DUMMYFUNCTION("DATE(INDEX(SPLIT(I17,""/""),,3),INDEX(SPLIT(I17,""/""),,2),INDEX(SPLIT(I17,""/""),,1))"),44799.0)</f>
        <v>44799</v>
      </c>
      <c r="L17" s="1">
        <v>0.0</v>
      </c>
      <c r="M17" s="1" t="s">
        <v>146</v>
      </c>
      <c r="N17" s="1"/>
      <c r="O17" s="1" t="s">
        <v>30</v>
      </c>
      <c r="P17" s="1" t="s">
        <v>31</v>
      </c>
      <c r="Q17" s="1" t="s">
        <v>53</v>
      </c>
      <c r="R17" s="1" t="s">
        <v>53</v>
      </c>
      <c r="S17" s="1" t="s">
        <v>54</v>
      </c>
      <c r="T17" s="1" t="s">
        <v>87</v>
      </c>
      <c r="U17" s="1">
        <v>1.00652489E8</v>
      </c>
      <c r="X17" s="1" t="s">
        <v>88</v>
      </c>
      <c r="Y17" s="1" t="s">
        <v>146</v>
      </c>
      <c r="Z17" s="1" t="s">
        <v>37</v>
      </c>
    </row>
    <row r="18" hidden="1">
      <c r="A18" s="1" t="s">
        <v>147</v>
      </c>
      <c r="B18" s="1" t="s">
        <v>120</v>
      </c>
      <c r="C18" s="1" t="s">
        <v>148</v>
      </c>
      <c r="D18" s="1" t="s">
        <v>122</v>
      </c>
      <c r="E18" s="1" t="s">
        <v>28</v>
      </c>
      <c r="F18" s="2">
        <v>2.5E7</v>
      </c>
      <c r="G18" s="1" t="s">
        <v>149</v>
      </c>
      <c r="H18" s="4">
        <f>IFERROR(__xludf.DUMMYFUNCTION("DATE(INDEX(SPLIT(G18,""/""),,3),INDEX(SPLIT(G18,""/""),,2),INDEX(SPLIT(G18,""/""),,1))"),44590.0)</f>
        <v>44590</v>
      </c>
      <c r="I18" s="1" t="s">
        <v>150</v>
      </c>
      <c r="J18" s="4">
        <f>IFERROR(__xludf.DUMMYFUNCTION("DATE(INDEX(SPLIT(I18,""/""),,3),INDEX(SPLIT(I18,""/""),,2),INDEX(SPLIT(I18,""/""),,1))"),45198.0)</f>
        <v>45198</v>
      </c>
      <c r="L18" s="1">
        <v>0.0</v>
      </c>
      <c r="M18" s="1" t="s">
        <v>124</v>
      </c>
      <c r="N18" s="1"/>
      <c r="O18" s="1" t="s">
        <v>30</v>
      </c>
      <c r="P18" s="1" t="s">
        <v>31</v>
      </c>
      <c r="Q18" s="1" t="s">
        <v>53</v>
      </c>
      <c r="R18" s="1" t="s">
        <v>53</v>
      </c>
      <c r="S18" s="1" t="s">
        <v>54</v>
      </c>
      <c r="T18" s="1" t="s">
        <v>87</v>
      </c>
      <c r="U18" s="1">
        <v>1.00651441E8</v>
      </c>
      <c r="X18" s="1" t="s">
        <v>125</v>
      </c>
      <c r="Y18" s="1" t="s">
        <v>124</v>
      </c>
      <c r="Z18" s="1" t="s">
        <v>37</v>
      </c>
    </row>
    <row r="19" hidden="1">
      <c r="A19" s="1" t="s">
        <v>151</v>
      </c>
      <c r="B19" s="1" t="s">
        <v>152</v>
      </c>
      <c r="C19" s="1" t="s">
        <v>153</v>
      </c>
      <c r="D19" s="1" t="s">
        <v>27</v>
      </c>
      <c r="E19" s="1" t="s">
        <v>28</v>
      </c>
      <c r="F19" s="2">
        <v>2.5E7</v>
      </c>
      <c r="G19" s="1" t="s">
        <v>154</v>
      </c>
      <c r="H19" s="4">
        <f>IFERROR(__xludf.DUMMYFUNCTION("DATE(INDEX(SPLIT(G19,""/""),,3),INDEX(SPLIT(G19,""/""),,2),INDEX(SPLIT(G19,""/""),,1))"),44670.0)</f>
        <v>44670</v>
      </c>
      <c r="I19" s="1" t="s">
        <v>155</v>
      </c>
      <c r="J19" s="4">
        <f>IFERROR(__xludf.DUMMYFUNCTION("DATE(INDEX(SPLIT(I19,""/""),,3),INDEX(SPLIT(I19,""/""),,2),INDEX(SPLIT(I19,""/""),,1))"),45473.0)</f>
        <v>45473</v>
      </c>
      <c r="L19" s="1">
        <v>0.0</v>
      </c>
      <c r="M19" s="1" t="s">
        <v>156</v>
      </c>
      <c r="N19" s="1"/>
      <c r="O19" s="1" t="s">
        <v>30</v>
      </c>
      <c r="P19" s="1" t="s">
        <v>31</v>
      </c>
      <c r="Q19" s="1" t="s">
        <v>157</v>
      </c>
      <c r="R19" s="1" t="s">
        <v>157</v>
      </c>
      <c r="S19" s="1" t="s">
        <v>158</v>
      </c>
      <c r="T19" s="1" t="s">
        <v>159</v>
      </c>
      <c r="U19" s="1">
        <v>1.00619165E8</v>
      </c>
      <c r="X19" s="1" t="s">
        <v>35</v>
      </c>
      <c r="Y19" s="1" t="s">
        <v>160</v>
      </c>
      <c r="Z19" s="1" t="s">
        <v>37</v>
      </c>
    </row>
    <row r="20" hidden="1">
      <c r="A20" s="1" t="s">
        <v>161</v>
      </c>
      <c r="B20" s="1" t="s">
        <v>162</v>
      </c>
      <c r="C20" s="1" t="s">
        <v>163</v>
      </c>
      <c r="D20" s="1" t="s">
        <v>122</v>
      </c>
      <c r="E20" s="1" t="s">
        <v>28</v>
      </c>
      <c r="F20" s="2">
        <v>2.13E7</v>
      </c>
      <c r="G20" s="1" t="s">
        <v>164</v>
      </c>
      <c r="H20" s="4">
        <f>IFERROR(__xludf.DUMMYFUNCTION("DATE(INDEX(SPLIT(G20,""/""),,3),INDEX(SPLIT(G20,""/""),,2),INDEX(SPLIT(G20,""/""),,1))"),44706.0)</f>
        <v>44706</v>
      </c>
      <c r="I20" s="1" t="s">
        <v>165</v>
      </c>
      <c r="J20" s="4">
        <f>IFERROR(__xludf.DUMMYFUNCTION("DATE(INDEX(SPLIT(I20,""/""),,3),INDEX(SPLIT(I20,""/""),,2),INDEX(SPLIT(I20,""/""),,1))"),44803.0)</f>
        <v>44803</v>
      </c>
      <c r="L20" s="1">
        <v>0.0</v>
      </c>
      <c r="M20" s="1" t="s">
        <v>166</v>
      </c>
      <c r="N20" s="1"/>
      <c r="O20" s="1" t="s">
        <v>30</v>
      </c>
      <c r="P20" s="1" t="s">
        <v>31</v>
      </c>
      <c r="Q20" s="1" t="s">
        <v>53</v>
      </c>
      <c r="R20" s="1" t="s">
        <v>53</v>
      </c>
      <c r="S20" s="1" t="s">
        <v>54</v>
      </c>
      <c r="T20" s="1" t="s">
        <v>55</v>
      </c>
      <c r="U20" s="1">
        <v>1.00651094E8</v>
      </c>
      <c r="X20" s="1" t="s">
        <v>117</v>
      </c>
      <c r="Y20" s="1" t="s">
        <v>167</v>
      </c>
      <c r="Z20" s="1" t="s">
        <v>37</v>
      </c>
    </row>
    <row r="21" hidden="1">
      <c r="A21" s="1" t="s">
        <v>168</v>
      </c>
      <c r="B21" s="1" t="s">
        <v>169</v>
      </c>
      <c r="C21" s="1" t="s">
        <v>170</v>
      </c>
      <c r="D21" s="1" t="s">
        <v>27</v>
      </c>
      <c r="E21" s="1" t="s">
        <v>28</v>
      </c>
      <c r="F21" s="2">
        <v>2.1E7</v>
      </c>
      <c r="G21" s="4">
        <v>44238.0</v>
      </c>
      <c r="H21" s="4">
        <f>IFERROR(__xludf.DUMMYFUNCTION("DATE(INDEX(SPLIT(G21,""/""),,3),INDEX(SPLIT(G21,""/""),,2),INDEX(SPLIT(G21,""/""),,1))"),44502.0)</f>
        <v>44502</v>
      </c>
      <c r="I21" s="1" t="s">
        <v>171</v>
      </c>
      <c r="J21" s="4">
        <f>IFERROR(__xludf.DUMMYFUNCTION("DATE(INDEX(SPLIT(I21,""/""),,3),INDEX(SPLIT(I21,""/""),,2),INDEX(SPLIT(I21,""/""),,1))"),45077.0)</f>
        <v>45077</v>
      </c>
      <c r="L21" s="1">
        <v>0.0</v>
      </c>
      <c r="M21" s="1" t="s">
        <v>172</v>
      </c>
      <c r="N21" s="1"/>
      <c r="O21" s="1" t="s">
        <v>30</v>
      </c>
      <c r="P21" s="1" t="s">
        <v>31</v>
      </c>
      <c r="Q21" s="1" t="s">
        <v>95</v>
      </c>
      <c r="R21" s="1" t="s">
        <v>95</v>
      </c>
      <c r="S21" s="1" t="s">
        <v>96</v>
      </c>
      <c r="T21" s="1" t="s">
        <v>97</v>
      </c>
      <c r="U21" s="1">
        <v>1.00658519E8</v>
      </c>
      <c r="X21" s="1" t="s">
        <v>117</v>
      </c>
      <c r="Y21" s="1" t="s">
        <v>173</v>
      </c>
      <c r="Z21" s="1" t="s">
        <v>37</v>
      </c>
    </row>
    <row r="22" hidden="1">
      <c r="A22" s="1" t="s">
        <v>174</v>
      </c>
      <c r="B22" s="1" t="s">
        <v>169</v>
      </c>
      <c r="C22" s="1" t="s">
        <v>175</v>
      </c>
      <c r="D22" s="1" t="s">
        <v>78</v>
      </c>
      <c r="E22" s="1" t="s">
        <v>28</v>
      </c>
      <c r="F22" s="2">
        <v>2.1E7</v>
      </c>
      <c r="G22" s="4">
        <v>44511.0</v>
      </c>
      <c r="H22" s="4">
        <f>IFERROR(__xludf.DUMMYFUNCTION("DATE(INDEX(SPLIT(G22,""/""),,3),INDEX(SPLIT(G22,""/""),,2),INDEX(SPLIT(G22,""/""),,1))"),44511.0)</f>
        <v>44511</v>
      </c>
      <c r="I22" s="1" t="s">
        <v>109</v>
      </c>
      <c r="J22" s="4">
        <f>IFERROR(__xludf.DUMMYFUNCTION("DATE(INDEX(SPLIT(I22,""/""),,3),INDEX(SPLIT(I22,""/""),,2),INDEX(SPLIT(I22,""/""),,1))"),44834.0)</f>
        <v>44834</v>
      </c>
      <c r="L22" s="1">
        <v>0.0</v>
      </c>
      <c r="M22" s="1" t="s">
        <v>172</v>
      </c>
      <c r="N22" s="1"/>
      <c r="O22" s="1" t="s">
        <v>30</v>
      </c>
      <c r="P22" s="1" t="s">
        <v>31</v>
      </c>
      <c r="Q22" s="1" t="s">
        <v>95</v>
      </c>
      <c r="R22" s="1" t="s">
        <v>95</v>
      </c>
      <c r="S22" s="1" t="s">
        <v>96</v>
      </c>
      <c r="T22" s="1" t="s">
        <v>97</v>
      </c>
      <c r="U22" s="1">
        <v>1.00658519E8</v>
      </c>
      <c r="X22" s="1" t="s">
        <v>117</v>
      </c>
      <c r="Y22" s="1" t="s">
        <v>173</v>
      </c>
      <c r="Z22" s="1" t="s">
        <v>37</v>
      </c>
    </row>
    <row r="23" hidden="1">
      <c r="A23" s="1" t="s">
        <v>176</v>
      </c>
      <c r="B23" s="1" t="s">
        <v>177</v>
      </c>
      <c r="C23" s="1" t="s">
        <v>178</v>
      </c>
      <c r="D23" s="1" t="s">
        <v>27</v>
      </c>
      <c r="E23" s="1" t="s">
        <v>28</v>
      </c>
      <c r="F23" s="2">
        <v>2.0E7</v>
      </c>
      <c r="G23" s="4">
        <v>44808.0</v>
      </c>
      <c r="H23" s="4">
        <f>IFERROR(__xludf.DUMMYFUNCTION("DATE(INDEX(SPLIT(G23,""/""),,3),INDEX(SPLIT(G23,""/""),,2),INDEX(SPLIT(G23,""/""),,1))"),44660.0)</f>
        <v>44660</v>
      </c>
      <c r="I23" s="1" t="s">
        <v>179</v>
      </c>
      <c r="J23" s="4">
        <f>IFERROR(__xludf.DUMMYFUNCTION("DATE(INDEX(SPLIT(I23,""/""),,3),INDEX(SPLIT(I23,""/""),,2),INDEX(SPLIT(I23,""/""),,1))"),44890.0)</f>
        <v>44890</v>
      </c>
      <c r="L23" s="1">
        <v>0.0</v>
      </c>
      <c r="M23" s="1" t="s">
        <v>180</v>
      </c>
      <c r="N23" s="1"/>
      <c r="O23" s="1" t="s">
        <v>30</v>
      </c>
      <c r="P23" s="1" t="s">
        <v>31</v>
      </c>
      <c r="Q23" s="1" t="s">
        <v>53</v>
      </c>
      <c r="R23" s="1" t="s">
        <v>53</v>
      </c>
      <c r="S23" s="1" t="s">
        <v>54</v>
      </c>
      <c r="T23" s="1" t="s">
        <v>181</v>
      </c>
      <c r="U23" s="1">
        <v>1.00650619E8</v>
      </c>
      <c r="X23" s="1" t="s">
        <v>74</v>
      </c>
      <c r="Y23" s="1" t="s">
        <v>180</v>
      </c>
      <c r="Z23" s="1" t="s">
        <v>37</v>
      </c>
    </row>
    <row r="24" hidden="1">
      <c r="A24" s="1" t="s">
        <v>182</v>
      </c>
      <c r="B24" s="1" t="s">
        <v>183</v>
      </c>
      <c r="C24" s="1" t="s">
        <v>184</v>
      </c>
      <c r="D24" s="1" t="s">
        <v>27</v>
      </c>
      <c r="E24" s="1" t="s">
        <v>28</v>
      </c>
      <c r="F24" s="2">
        <v>2.0E7</v>
      </c>
      <c r="G24" s="1" t="s">
        <v>185</v>
      </c>
      <c r="H24" s="4">
        <f>IFERROR(__xludf.DUMMYFUNCTION("DATE(INDEX(SPLIT(G24,""/""),,3),INDEX(SPLIT(G24,""/""),,2),INDEX(SPLIT(G24,""/""),,1))"),44741.0)</f>
        <v>44741</v>
      </c>
      <c r="I24" s="1" t="s">
        <v>186</v>
      </c>
      <c r="J24" s="4">
        <f>IFERROR(__xludf.DUMMYFUNCTION("DATE(INDEX(SPLIT(I24,""/""),,3),INDEX(SPLIT(I24,""/""),,2),INDEX(SPLIT(I24,""/""),,1))"),44909.0)</f>
        <v>44909</v>
      </c>
      <c r="L24" s="1">
        <v>0.0</v>
      </c>
      <c r="M24" s="1" t="s">
        <v>187</v>
      </c>
      <c r="N24" s="1"/>
      <c r="O24" s="1" t="s">
        <v>30</v>
      </c>
      <c r="P24" s="1" t="s">
        <v>31</v>
      </c>
      <c r="Q24" s="1" t="s">
        <v>188</v>
      </c>
      <c r="R24" s="1" t="s">
        <v>188</v>
      </c>
      <c r="S24" s="1" t="s">
        <v>189</v>
      </c>
      <c r="U24" s="1">
        <v>1.00613095E8</v>
      </c>
      <c r="X24" s="1" t="s">
        <v>190</v>
      </c>
      <c r="Y24" s="1" t="s">
        <v>187</v>
      </c>
      <c r="Z24" s="1" t="s">
        <v>37</v>
      </c>
    </row>
    <row r="25" hidden="1">
      <c r="A25" s="1" t="s">
        <v>191</v>
      </c>
      <c r="B25" s="1" t="s">
        <v>83</v>
      </c>
      <c r="C25" s="1" t="s">
        <v>192</v>
      </c>
      <c r="D25" s="1" t="s">
        <v>27</v>
      </c>
      <c r="E25" s="1" t="s">
        <v>28</v>
      </c>
      <c r="F25" s="2">
        <v>2.0E7</v>
      </c>
      <c r="G25" s="4">
        <v>44448.0</v>
      </c>
      <c r="H25" s="4">
        <f>IFERROR(__xludf.DUMMYFUNCTION("DATE(INDEX(SPLIT(G25,""/""),,3),INDEX(SPLIT(G25,""/""),,2),INDEX(SPLIT(G25,""/""),,1))"),44448.0)</f>
        <v>44448</v>
      </c>
      <c r="I25" s="1" t="s">
        <v>130</v>
      </c>
      <c r="J25" s="4">
        <f>IFERROR(__xludf.DUMMYFUNCTION("DATE(INDEX(SPLIT(I25,""/""),,3),INDEX(SPLIT(I25,""/""),,2),INDEX(SPLIT(I25,""/""),,1))"),44804.0)</f>
        <v>44804</v>
      </c>
      <c r="L25" s="1">
        <v>0.0</v>
      </c>
      <c r="M25" s="1" t="s">
        <v>193</v>
      </c>
      <c r="N25" s="1"/>
      <c r="O25" s="1" t="s">
        <v>30</v>
      </c>
      <c r="P25" s="1" t="s">
        <v>31</v>
      </c>
      <c r="Q25" s="1" t="s">
        <v>53</v>
      </c>
      <c r="R25" s="1" t="s">
        <v>53</v>
      </c>
      <c r="S25" s="1" t="s">
        <v>54</v>
      </c>
      <c r="T25" s="1" t="s">
        <v>87</v>
      </c>
      <c r="U25" s="1">
        <v>1.00882501E8</v>
      </c>
      <c r="X25" s="1" t="s">
        <v>88</v>
      </c>
      <c r="Y25" s="1" t="s">
        <v>193</v>
      </c>
      <c r="Z25" s="1" t="s">
        <v>37</v>
      </c>
    </row>
    <row r="26" hidden="1">
      <c r="A26" s="1" t="s">
        <v>194</v>
      </c>
      <c r="B26" s="1" t="s">
        <v>59</v>
      </c>
      <c r="C26" s="1" t="s">
        <v>195</v>
      </c>
      <c r="D26" s="1" t="s">
        <v>27</v>
      </c>
      <c r="E26" s="1" t="s">
        <v>28</v>
      </c>
      <c r="F26" s="2">
        <v>2.0E7</v>
      </c>
      <c r="G26" s="4">
        <v>44840.0</v>
      </c>
      <c r="H26" s="4">
        <f>IFERROR(__xludf.DUMMYFUNCTION("DATE(INDEX(SPLIT(G26,""/""),,3),INDEX(SPLIT(G26,""/""),,2),INDEX(SPLIT(G26,""/""),,1))"),44722.0)</f>
        <v>44722</v>
      </c>
      <c r="I26" s="1" t="s">
        <v>130</v>
      </c>
      <c r="J26" s="4">
        <f>IFERROR(__xludf.DUMMYFUNCTION("DATE(INDEX(SPLIT(I26,""/""),,3),INDEX(SPLIT(I26,""/""),,2),INDEX(SPLIT(I26,""/""),,1))"),44804.0)</f>
        <v>44804</v>
      </c>
      <c r="L26" s="1">
        <v>0.0</v>
      </c>
      <c r="M26" s="1" t="s">
        <v>196</v>
      </c>
      <c r="N26" s="1"/>
      <c r="O26" s="1" t="s">
        <v>30</v>
      </c>
      <c r="P26" s="1" t="s">
        <v>31</v>
      </c>
      <c r="Q26" s="1" t="s">
        <v>53</v>
      </c>
      <c r="R26" s="1" t="s">
        <v>53</v>
      </c>
      <c r="S26" s="1" t="s">
        <v>54</v>
      </c>
      <c r="T26" s="1" t="s">
        <v>197</v>
      </c>
      <c r="U26" s="1">
        <v>1.00589741E8</v>
      </c>
      <c r="V26" s="1" t="s">
        <v>198</v>
      </c>
      <c r="W26" s="1" t="s">
        <v>199</v>
      </c>
      <c r="X26" s="1" t="s">
        <v>63</v>
      </c>
      <c r="Y26" s="1" t="s">
        <v>200</v>
      </c>
      <c r="Z26" s="1" t="s">
        <v>37</v>
      </c>
    </row>
    <row r="27" hidden="1">
      <c r="A27" s="1" t="s">
        <v>201</v>
      </c>
      <c r="B27" s="1" t="s">
        <v>66</v>
      </c>
      <c r="C27" s="1" t="s">
        <v>202</v>
      </c>
      <c r="D27" s="1" t="s">
        <v>27</v>
      </c>
      <c r="E27" s="1" t="s">
        <v>28</v>
      </c>
      <c r="F27" s="2">
        <v>2.0E7</v>
      </c>
      <c r="G27" s="4">
        <v>44899.0</v>
      </c>
      <c r="H27" s="4">
        <f>IFERROR(__xludf.DUMMYFUNCTION("DATE(INDEX(SPLIT(G27,""/""),,3),INDEX(SPLIT(G27,""/""),,2),INDEX(SPLIT(G27,""/""),,1))"),44663.0)</f>
        <v>44663</v>
      </c>
      <c r="I27" s="1" t="s">
        <v>203</v>
      </c>
      <c r="J27" s="4">
        <f>IFERROR(__xludf.DUMMYFUNCTION("DATE(INDEX(SPLIT(I27,""/""),,3),INDEX(SPLIT(I27,""/""),,2),INDEX(SPLIT(I27,""/""),,1))"),44925.0)</f>
        <v>44925</v>
      </c>
      <c r="L27" s="1">
        <v>0.0</v>
      </c>
      <c r="M27" s="1" t="s">
        <v>204</v>
      </c>
      <c r="N27" s="1"/>
      <c r="O27" s="1" t="s">
        <v>30</v>
      </c>
      <c r="P27" s="1" t="s">
        <v>31</v>
      </c>
      <c r="Q27" s="1" t="s">
        <v>71</v>
      </c>
      <c r="R27" s="1" t="s">
        <v>71</v>
      </c>
      <c r="S27" s="1" t="s">
        <v>72</v>
      </c>
      <c r="T27" s="1" t="s">
        <v>73</v>
      </c>
      <c r="U27" s="1">
        <v>1.00650575E8</v>
      </c>
      <c r="X27" s="1" t="s">
        <v>74</v>
      </c>
      <c r="Y27" s="1" t="s">
        <v>205</v>
      </c>
      <c r="Z27" s="1" t="s">
        <v>206</v>
      </c>
    </row>
    <row r="28" hidden="1">
      <c r="A28" s="1" t="s">
        <v>207</v>
      </c>
      <c r="B28" s="1" t="s">
        <v>208</v>
      </c>
      <c r="C28" s="1" t="s">
        <v>209</v>
      </c>
      <c r="D28" s="1" t="s">
        <v>27</v>
      </c>
      <c r="E28" s="1" t="s">
        <v>28</v>
      </c>
      <c r="F28" s="2">
        <v>2.0E7</v>
      </c>
      <c r="G28" s="1" t="s">
        <v>210</v>
      </c>
      <c r="H28" s="4">
        <f>IFERROR(__xludf.DUMMYFUNCTION("DATE(INDEX(SPLIT(G28,""/""),,3),INDEX(SPLIT(G28,""/""),,2),INDEX(SPLIT(G28,""/""),,1))"),44329.0)</f>
        <v>44329</v>
      </c>
      <c r="I28" s="1" t="s">
        <v>130</v>
      </c>
      <c r="J28" s="4">
        <f>IFERROR(__xludf.DUMMYFUNCTION("DATE(INDEX(SPLIT(I28,""/""),,3),INDEX(SPLIT(I28,""/""),,2),INDEX(SPLIT(I28,""/""),,1))"),44804.0)</f>
        <v>44804</v>
      </c>
      <c r="L28" s="1">
        <v>0.0</v>
      </c>
      <c r="M28" s="1" t="s">
        <v>211</v>
      </c>
      <c r="N28" s="1"/>
      <c r="O28" s="1" t="s">
        <v>30</v>
      </c>
      <c r="P28" s="1" t="s">
        <v>31</v>
      </c>
      <c r="Q28" s="1" t="s">
        <v>71</v>
      </c>
      <c r="R28" s="1" t="s">
        <v>71</v>
      </c>
      <c r="S28" s="1" t="s">
        <v>72</v>
      </c>
      <c r="T28" s="1" t="s">
        <v>136</v>
      </c>
      <c r="U28" s="1">
        <v>1.00590896E8</v>
      </c>
      <c r="X28" s="1" t="s">
        <v>74</v>
      </c>
      <c r="Y28" s="1" t="s">
        <v>212</v>
      </c>
      <c r="Z28" s="1" t="s">
        <v>37</v>
      </c>
    </row>
    <row r="29" hidden="1">
      <c r="A29" s="1" t="s">
        <v>213</v>
      </c>
      <c r="B29" s="1" t="s">
        <v>76</v>
      </c>
      <c r="C29" s="1" t="s">
        <v>214</v>
      </c>
      <c r="D29" s="1" t="s">
        <v>27</v>
      </c>
      <c r="E29" s="1" t="s">
        <v>28</v>
      </c>
      <c r="F29" s="2">
        <v>2.0E7</v>
      </c>
      <c r="G29" s="4">
        <v>44686.0</v>
      </c>
      <c r="H29" s="4">
        <f>IFERROR(__xludf.DUMMYFUNCTION("DATE(INDEX(SPLIT(G29,""/""),,3),INDEX(SPLIT(G29,""/""),,2),INDEX(SPLIT(G29,""/""),,1))"),44686.0)</f>
        <v>44686</v>
      </c>
      <c r="I29" s="1" t="s">
        <v>215</v>
      </c>
      <c r="J29" s="4">
        <f>IFERROR(__xludf.DUMMYFUNCTION("DATE(INDEX(SPLIT(I29,""/""),,3),INDEX(SPLIT(I29,""/""),,2),INDEX(SPLIT(I29,""/""),,1))"),45093.0)</f>
        <v>45093</v>
      </c>
      <c r="L29" s="1">
        <v>0.0</v>
      </c>
      <c r="M29" s="1" t="s">
        <v>216</v>
      </c>
      <c r="N29" s="1"/>
      <c r="O29" s="1" t="s">
        <v>30</v>
      </c>
      <c r="P29" s="1" t="s">
        <v>31</v>
      </c>
      <c r="Q29" s="1" t="s">
        <v>95</v>
      </c>
      <c r="R29" s="1" t="s">
        <v>95</v>
      </c>
      <c r="S29" s="1" t="s">
        <v>96</v>
      </c>
      <c r="T29" s="1" t="s">
        <v>217</v>
      </c>
      <c r="U29" s="1">
        <v>1.01200292E8</v>
      </c>
      <c r="X29" s="1" t="s">
        <v>81</v>
      </c>
      <c r="Y29" s="1" t="s">
        <v>218</v>
      </c>
      <c r="Z29" s="1" t="s">
        <v>37</v>
      </c>
    </row>
    <row r="30" hidden="1">
      <c r="A30" s="1" t="s">
        <v>219</v>
      </c>
      <c r="B30" s="1" t="s">
        <v>139</v>
      </c>
      <c r="C30" s="1" t="s">
        <v>220</v>
      </c>
      <c r="D30" s="1" t="s">
        <v>27</v>
      </c>
      <c r="E30" s="1" t="s">
        <v>28</v>
      </c>
      <c r="F30" s="2">
        <v>2.0E7</v>
      </c>
      <c r="G30" s="4">
        <v>44289.0</v>
      </c>
      <c r="H30" s="4">
        <f>IFERROR(__xludf.DUMMYFUNCTION("DATE(INDEX(SPLIT(G30,""/""),,3),INDEX(SPLIT(G30,""/""),,2),INDEX(SPLIT(G30,""/""),,1))"),44259.0)</f>
        <v>44259</v>
      </c>
      <c r="I30" s="1" t="s">
        <v>221</v>
      </c>
      <c r="J30" s="4">
        <f>IFERROR(__xludf.DUMMYFUNCTION("DATE(INDEX(SPLIT(I30,""/""),,3),INDEX(SPLIT(I30,""/""),,2),INDEX(SPLIT(I30,""/""),,1))"),45230.0)</f>
        <v>45230</v>
      </c>
      <c r="L30" s="1">
        <v>0.0</v>
      </c>
      <c r="M30" s="1" t="s">
        <v>141</v>
      </c>
      <c r="N30" s="1"/>
      <c r="O30" s="1" t="s">
        <v>30</v>
      </c>
      <c r="P30" s="1" t="s">
        <v>31</v>
      </c>
      <c r="Q30" s="1" t="s">
        <v>95</v>
      </c>
      <c r="R30" s="1" t="s">
        <v>95</v>
      </c>
      <c r="S30" s="1" t="s">
        <v>96</v>
      </c>
      <c r="T30" s="1" t="s">
        <v>55</v>
      </c>
      <c r="U30" s="1">
        <v>1.00658522E8</v>
      </c>
      <c r="V30" s="1" t="s">
        <v>140</v>
      </c>
      <c r="W30" s="1" t="s">
        <v>199</v>
      </c>
      <c r="X30" s="1" t="s">
        <v>81</v>
      </c>
      <c r="Y30" s="1" t="s">
        <v>141</v>
      </c>
      <c r="Z30" s="1" t="s">
        <v>37</v>
      </c>
    </row>
    <row r="31">
      <c r="A31" s="3" t="s">
        <v>222</v>
      </c>
      <c r="B31" s="3" t="s">
        <v>223</v>
      </c>
      <c r="C31" s="3" t="s">
        <v>224</v>
      </c>
      <c r="D31" s="3" t="s">
        <v>27</v>
      </c>
      <c r="E31" s="3" t="s">
        <v>28</v>
      </c>
      <c r="F31" s="5">
        <v>2.0E7</v>
      </c>
      <c r="G31" s="3" t="s">
        <v>225</v>
      </c>
      <c r="H31" s="6">
        <f>IFERROR(__xludf.DUMMYFUNCTION("DATE(INDEX(SPLIT(G31,""/""),,3),INDEX(SPLIT(G31,""/""),,2),INDEX(SPLIT(G31,""/""),,1))"),44518.0)</f>
        <v>44518</v>
      </c>
      <c r="I31" s="3" t="s">
        <v>226</v>
      </c>
      <c r="J31" s="6">
        <f>IFERROR(__xludf.DUMMYFUNCTION("DATE(INDEX(SPLIT(I31,""/""),,3),INDEX(SPLIT(I31,""/""),,2),INDEX(SPLIT(I31,""/""),,1))"),44771.0)</f>
        <v>44771</v>
      </c>
      <c r="K31" s="7"/>
      <c r="L31" s="3">
        <v>0.0</v>
      </c>
      <c r="M31" s="3" t="s">
        <v>227</v>
      </c>
      <c r="N31" s="3"/>
      <c r="O31" s="3" t="s">
        <v>30</v>
      </c>
      <c r="P31" s="3" t="s">
        <v>31</v>
      </c>
      <c r="Q31" s="3" t="s">
        <v>228</v>
      </c>
      <c r="R31" s="3" t="s">
        <v>228</v>
      </c>
      <c r="S31" s="3" t="s">
        <v>229</v>
      </c>
      <c r="T31" s="7"/>
      <c r="U31" s="3">
        <v>1.00660017E8</v>
      </c>
      <c r="V31" s="7"/>
      <c r="W31" s="7"/>
      <c r="X31" s="3" t="s">
        <v>81</v>
      </c>
      <c r="Y31" s="3" t="s">
        <v>227</v>
      </c>
      <c r="Z31" s="3" t="s">
        <v>37</v>
      </c>
      <c r="AA31" s="7"/>
      <c r="AB31" s="7"/>
    </row>
    <row r="32" hidden="1">
      <c r="A32" s="1" t="s">
        <v>230</v>
      </c>
      <c r="B32" s="1" t="s">
        <v>231</v>
      </c>
      <c r="C32" s="1" t="s">
        <v>232</v>
      </c>
      <c r="D32" s="1" t="s">
        <v>27</v>
      </c>
      <c r="E32" s="1" t="s">
        <v>28</v>
      </c>
      <c r="F32" s="2">
        <v>2.0E7</v>
      </c>
      <c r="G32" s="1" t="s">
        <v>233</v>
      </c>
      <c r="H32" s="4">
        <f>IFERROR(__xludf.DUMMYFUNCTION("DATE(INDEX(SPLIT(G32,""/""),,3),INDEX(SPLIT(G32,""/""),,2),INDEX(SPLIT(G32,""/""),,1))"),44729.0)</f>
        <v>44729</v>
      </c>
      <c r="I32" s="4">
        <v>45292.0</v>
      </c>
      <c r="J32" s="4">
        <f>IFERROR(__xludf.DUMMYFUNCTION("DATE(INDEX(SPLIT(I32,""/""),,3),INDEX(SPLIT(I32,""/""),,2),INDEX(SPLIT(I32,""/""),,1))"),45292.0)</f>
        <v>45292</v>
      </c>
      <c r="L32" s="1">
        <v>0.0</v>
      </c>
      <c r="M32" s="1" t="s">
        <v>234</v>
      </c>
      <c r="N32" s="1"/>
      <c r="O32" s="1" t="s">
        <v>30</v>
      </c>
      <c r="P32" s="1" t="s">
        <v>31</v>
      </c>
      <c r="Q32" s="1" t="s">
        <v>235</v>
      </c>
      <c r="R32" s="1" t="s">
        <v>235</v>
      </c>
      <c r="S32" s="1" t="s">
        <v>236</v>
      </c>
      <c r="T32" s="1" t="s">
        <v>237</v>
      </c>
      <c r="U32" s="1">
        <v>1.00658132E8</v>
      </c>
      <c r="V32" s="1" t="s">
        <v>238</v>
      </c>
      <c r="W32" s="1" t="s">
        <v>199</v>
      </c>
      <c r="X32" s="1" t="s">
        <v>239</v>
      </c>
      <c r="Y32" s="1" t="s">
        <v>234</v>
      </c>
      <c r="Z32" s="1" t="s">
        <v>37</v>
      </c>
    </row>
    <row r="33">
      <c r="A33" s="3" t="s">
        <v>240</v>
      </c>
      <c r="B33" s="3" t="s">
        <v>241</v>
      </c>
      <c r="C33" s="3" t="s">
        <v>242</v>
      </c>
      <c r="D33" s="3" t="s">
        <v>122</v>
      </c>
      <c r="E33" s="3" t="s">
        <v>28</v>
      </c>
      <c r="F33" s="5">
        <v>1.925E7</v>
      </c>
      <c r="G33" s="6">
        <v>44321.0</v>
      </c>
      <c r="H33" s="6">
        <f>IFERROR(__xludf.DUMMYFUNCTION("DATE(INDEX(SPLIT(G33,""/""),,3),INDEX(SPLIT(G33,""/""),,2),INDEX(SPLIT(G33,""/""),,1))"),44321.0)</f>
        <v>44321</v>
      </c>
      <c r="I33" s="3" t="s">
        <v>226</v>
      </c>
      <c r="J33" s="6">
        <f>IFERROR(__xludf.DUMMYFUNCTION("DATE(INDEX(SPLIT(I33,""/""),,3),INDEX(SPLIT(I33,""/""),,2),INDEX(SPLIT(I33,""/""),,1))"),44771.0)</f>
        <v>44771</v>
      </c>
      <c r="K33" s="7"/>
      <c r="L33" s="3">
        <v>0.0</v>
      </c>
      <c r="M33" s="3" t="s">
        <v>243</v>
      </c>
      <c r="N33" s="3"/>
      <c r="O33" s="3" t="s">
        <v>30</v>
      </c>
      <c r="P33" s="3" t="s">
        <v>31</v>
      </c>
      <c r="Q33" s="3" t="s">
        <v>32</v>
      </c>
      <c r="R33" s="3" t="s">
        <v>32</v>
      </c>
      <c r="S33" s="3" t="s">
        <v>33</v>
      </c>
      <c r="T33" s="3" t="s">
        <v>34</v>
      </c>
      <c r="U33" s="3">
        <v>1.00651722E8</v>
      </c>
      <c r="V33" s="7"/>
      <c r="W33" s="3" t="s">
        <v>56</v>
      </c>
      <c r="X33" s="3" t="s">
        <v>35</v>
      </c>
      <c r="Y33" s="3" t="s">
        <v>244</v>
      </c>
      <c r="Z33" s="3" t="s">
        <v>37</v>
      </c>
      <c r="AA33" s="7"/>
      <c r="AB33" s="7"/>
    </row>
    <row r="34" hidden="1">
      <c r="A34" s="1" t="s">
        <v>245</v>
      </c>
      <c r="B34" s="1" t="s">
        <v>246</v>
      </c>
      <c r="C34" s="1" t="s">
        <v>247</v>
      </c>
      <c r="D34" s="1" t="s">
        <v>27</v>
      </c>
      <c r="E34" s="1" t="s">
        <v>28</v>
      </c>
      <c r="F34" s="2">
        <v>1.85E7</v>
      </c>
      <c r="G34" s="1" t="s">
        <v>248</v>
      </c>
      <c r="H34" s="4">
        <f>IFERROR(__xludf.DUMMYFUNCTION("DATE(INDEX(SPLIT(G34,""/""),,3),INDEX(SPLIT(G34,""/""),,2),INDEX(SPLIT(G34,""/""),,1))"),44483.0)</f>
        <v>44483</v>
      </c>
      <c r="I34" s="1" t="s">
        <v>203</v>
      </c>
      <c r="J34" s="4">
        <f>IFERROR(__xludf.DUMMYFUNCTION("DATE(INDEX(SPLIT(I34,""/""),,3),INDEX(SPLIT(I34,""/""),,2),INDEX(SPLIT(I34,""/""),,1))"),44925.0)</f>
        <v>44925</v>
      </c>
      <c r="L34" s="1">
        <v>0.0</v>
      </c>
      <c r="M34" s="1" t="s">
        <v>249</v>
      </c>
      <c r="N34" s="1"/>
      <c r="O34" s="1" t="s">
        <v>30</v>
      </c>
      <c r="P34" s="1" t="s">
        <v>31</v>
      </c>
      <c r="Q34" s="1" t="s">
        <v>32</v>
      </c>
      <c r="R34" s="1" t="s">
        <v>32</v>
      </c>
      <c r="S34" s="1" t="s">
        <v>33</v>
      </c>
      <c r="T34" s="1" t="s">
        <v>34</v>
      </c>
      <c r="U34" s="1">
        <v>1.00617853E8</v>
      </c>
      <c r="X34" s="1" t="s">
        <v>35</v>
      </c>
      <c r="Y34" s="1" t="s">
        <v>249</v>
      </c>
      <c r="Z34" s="1" t="s">
        <v>37</v>
      </c>
    </row>
    <row r="35">
      <c r="A35" s="3" t="s">
        <v>250</v>
      </c>
      <c r="B35" s="3" t="s">
        <v>251</v>
      </c>
      <c r="C35" s="3" t="s">
        <v>252</v>
      </c>
      <c r="D35" s="3" t="s">
        <v>122</v>
      </c>
      <c r="E35" s="3" t="s">
        <v>28</v>
      </c>
      <c r="F35" s="5">
        <v>1.65E7</v>
      </c>
      <c r="G35" s="6">
        <v>44810.0</v>
      </c>
      <c r="H35" s="6">
        <f>IFERROR(__xludf.DUMMYFUNCTION("DATE(INDEX(SPLIT(G35,""/""),,3),INDEX(SPLIT(G35,""/""),,2),INDEX(SPLIT(G35,""/""),,1))"),44721.0)</f>
        <v>44721</v>
      </c>
      <c r="I35" s="3" t="s">
        <v>226</v>
      </c>
      <c r="J35" s="6">
        <f>IFERROR(__xludf.DUMMYFUNCTION("DATE(INDEX(SPLIT(I35,""/""),,3),INDEX(SPLIT(I35,""/""),,2),INDEX(SPLIT(I35,""/""),,1))"),44771.0)</f>
        <v>44771</v>
      </c>
      <c r="K35" s="7"/>
      <c r="L35" s="3">
        <v>0.0</v>
      </c>
      <c r="M35" s="3" t="s">
        <v>253</v>
      </c>
      <c r="N35" s="3"/>
      <c r="O35" s="3" t="s">
        <v>30</v>
      </c>
      <c r="P35" s="3" t="s">
        <v>31</v>
      </c>
      <c r="Q35" s="3" t="s">
        <v>95</v>
      </c>
      <c r="R35" s="3" t="s">
        <v>95</v>
      </c>
      <c r="S35" s="3" t="s">
        <v>96</v>
      </c>
      <c r="T35" s="3" t="s">
        <v>111</v>
      </c>
      <c r="U35" s="3">
        <v>1.00640433E8</v>
      </c>
      <c r="V35" s="7"/>
      <c r="W35" s="7"/>
      <c r="X35" s="3" t="s">
        <v>254</v>
      </c>
      <c r="Y35" s="3" t="s">
        <v>255</v>
      </c>
      <c r="Z35" s="3" t="s">
        <v>37</v>
      </c>
      <c r="AA35" s="7"/>
      <c r="AB35" s="7"/>
    </row>
    <row r="36" hidden="1">
      <c r="A36" s="1" t="s">
        <v>256</v>
      </c>
      <c r="B36" s="1" t="s">
        <v>257</v>
      </c>
      <c r="C36" s="1" t="s">
        <v>258</v>
      </c>
      <c r="D36" s="1" t="s">
        <v>68</v>
      </c>
      <c r="E36" s="1" t="s">
        <v>28</v>
      </c>
      <c r="F36" s="2">
        <v>1.5091712E7</v>
      </c>
      <c r="G36" s="4">
        <v>44296.0</v>
      </c>
      <c r="H36" s="4">
        <f>IFERROR(__xludf.DUMMYFUNCTION("DATE(INDEX(SPLIT(G36,""/""),,3),INDEX(SPLIT(G36,""/""),,2),INDEX(SPLIT(G36,""/""),,1))"),44473.0)</f>
        <v>44473</v>
      </c>
      <c r="I36" s="1" t="s">
        <v>203</v>
      </c>
      <c r="J36" s="4">
        <f>IFERROR(__xludf.DUMMYFUNCTION("DATE(INDEX(SPLIT(I36,""/""),,3),INDEX(SPLIT(I36,""/""),,2),INDEX(SPLIT(I36,""/""),,1))"),44925.0)</f>
        <v>44925</v>
      </c>
      <c r="L36" s="1">
        <v>0.0</v>
      </c>
      <c r="M36" s="1" t="s">
        <v>259</v>
      </c>
      <c r="N36" s="1"/>
      <c r="O36" s="1" t="s">
        <v>30</v>
      </c>
      <c r="P36" s="1" t="s">
        <v>31</v>
      </c>
      <c r="Q36" s="1" t="s">
        <v>95</v>
      </c>
      <c r="R36" s="1" t="s">
        <v>95</v>
      </c>
      <c r="S36" s="1" t="s">
        <v>96</v>
      </c>
      <c r="T36" s="1" t="s">
        <v>260</v>
      </c>
      <c r="U36" s="1">
        <v>1.00659114E8</v>
      </c>
      <c r="W36" s="1" t="s">
        <v>261</v>
      </c>
      <c r="X36" s="1" t="s">
        <v>239</v>
      </c>
      <c r="Y36" s="1" t="s">
        <v>262</v>
      </c>
      <c r="Z36" s="1" t="s">
        <v>37</v>
      </c>
    </row>
    <row r="37" hidden="1">
      <c r="A37" s="1" t="s">
        <v>263</v>
      </c>
      <c r="B37" s="1" t="s">
        <v>264</v>
      </c>
      <c r="C37" s="1" t="s">
        <v>265</v>
      </c>
      <c r="D37" s="1" t="s">
        <v>122</v>
      </c>
      <c r="E37" s="1" t="s">
        <v>28</v>
      </c>
      <c r="F37" s="2">
        <v>1.5E7</v>
      </c>
      <c r="G37" s="4">
        <v>44324.0</v>
      </c>
      <c r="H37" s="4">
        <f>IFERROR(__xludf.DUMMYFUNCTION("DATE(INDEX(SPLIT(G37,""/""),,3),INDEX(SPLIT(G37,""/""),,2),INDEX(SPLIT(G37,""/""),,1))"),44413.0)</f>
        <v>44413</v>
      </c>
      <c r="I37" s="4">
        <v>44569.0</v>
      </c>
      <c r="J37" s="4">
        <f>IFERROR(__xludf.DUMMYFUNCTION("DATE(INDEX(SPLIT(I37,""/""),,3),INDEX(SPLIT(I37,""/""),,2),INDEX(SPLIT(I37,""/""),,1))"),44774.0)</f>
        <v>44774</v>
      </c>
      <c r="L37" s="1">
        <v>0.0</v>
      </c>
      <c r="M37" s="1" t="s">
        <v>266</v>
      </c>
      <c r="N37" s="1"/>
      <c r="O37" s="1" t="s">
        <v>30</v>
      </c>
      <c r="P37" s="1" t="s">
        <v>31</v>
      </c>
      <c r="Q37" s="1" t="s">
        <v>32</v>
      </c>
      <c r="R37" s="1" t="s">
        <v>32</v>
      </c>
      <c r="S37" s="1" t="s">
        <v>33</v>
      </c>
      <c r="T37" s="1" t="s">
        <v>267</v>
      </c>
      <c r="U37" s="1">
        <v>1.00597826E8</v>
      </c>
      <c r="X37" s="1" t="s">
        <v>117</v>
      </c>
      <c r="Y37" s="1" t="s">
        <v>266</v>
      </c>
      <c r="Z37" s="1" t="s">
        <v>37</v>
      </c>
    </row>
    <row r="38" hidden="1">
      <c r="A38" s="1" t="s">
        <v>268</v>
      </c>
      <c r="B38" s="1" t="s">
        <v>269</v>
      </c>
      <c r="C38" s="1" t="s">
        <v>270</v>
      </c>
      <c r="D38" s="1" t="s">
        <v>78</v>
      </c>
      <c r="E38" s="1" t="s">
        <v>28</v>
      </c>
      <c r="F38" s="2">
        <v>1.5E7</v>
      </c>
      <c r="G38" s="1" t="s">
        <v>271</v>
      </c>
      <c r="H38" s="4">
        <f>IFERROR(__xludf.DUMMYFUNCTION("DATE(INDEX(SPLIT(G38,""/""),,3),INDEX(SPLIT(G38,""/""),,2),INDEX(SPLIT(G38,""/""),,1))"),44680.0)</f>
        <v>44680</v>
      </c>
      <c r="I38" s="1" t="s">
        <v>109</v>
      </c>
      <c r="J38" s="4">
        <f>IFERROR(__xludf.DUMMYFUNCTION("DATE(INDEX(SPLIT(I38,""/""),,3),INDEX(SPLIT(I38,""/""),,2),INDEX(SPLIT(I38,""/""),,1))"),44834.0)</f>
        <v>44834</v>
      </c>
      <c r="L38" s="1">
        <v>0.0</v>
      </c>
      <c r="M38" s="1" t="s">
        <v>272</v>
      </c>
      <c r="N38" s="1"/>
      <c r="O38" s="1" t="s">
        <v>30</v>
      </c>
      <c r="P38" s="1" t="s">
        <v>31</v>
      </c>
      <c r="Q38" s="1" t="s">
        <v>95</v>
      </c>
      <c r="R38" s="1" t="s">
        <v>95</v>
      </c>
      <c r="S38" s="1" t="s">
        <v>96</v>
      </c>
      <c r="T38" s="1" t="s">
        <v>34</v>
      </c>
      <c r="U38" s="1">
        <v>1.00633579E8</v>
      </c>
      <c r="W38" s="1" t="s">
        <v>56</v>
      </c>
      <c r="X38" s="1" t="s">
        <v>35</v>
      </c>
      <c r="Y38" s="1" t="s">
        <v>243</v>
      </c>
      <c r="Z38" s="1" t="s">
        <v>37</v>
      </c>
    </row>
    <row r="39" hidden="1">
      <c r="A39" s="1" t="s">
        <v>273</v>
      </c>
      <c r="B39" s="1" t="s">
        <v>39</v>
      </c>
      <c r="C39" s="1" t="s">
        <v>274</v>
      </c>
      <c r="D39" s="1" t="s">
        <v>78</v>
      </c>
      <c r="E39" s="1" t="s">
        <v>28</v>
      </c>
      <c r="F39" s="2">
        <v>1.5E7</v>
      </c>
      <c r="G39" s="1" t="s">
        <v>275</v>
      </c>
      <c r="H39" s="4">
        <f>IFERROR(__xludf.DUMMYFUNCTION("DATE(INDEX(SPLIT(G39,""/""),,3),INDEX(SPLIT(G39,""/""),,2),INDEX(SPLIT(G39,""/""),,1))"),44462.0)</f>
        <v>44462</v>
      </c>
      <c r="I39" s="1" t="s">
        <v>276</v>
      </c>
      <c r="J39" s="4">
        <f>IFERROR(__xludf.DUMMYFUNCTION("DATE(INDEX(SPLIT(I39,""/""),,3),INDEX(SPLIT(I39,""/""),,2),INDEX(SPLIT(I39,""/""),,1))"),44922.0)</f>
        <v>44922</v>
      </c>
      <c r="L39" s="1">
        <v>0.0</v>
      </c>
      <c r="M39" s="1" t="s">
        <v>277</v>
      </c>
      <c r="N39" s="1"/>
      <c r="O39" s="1" t="s">
        <v>30</v>
      </c>
      <c r="P39" s="1" t="s">
        <v>31</v>
      </c>
      <c r="Q39" s="1" t="s">
        <v>32</v>
      </c>
      <c r="R39" s="1" t="s">
        <v>32</v>
      </c>
      <c r="S39" s="1" t="s">
        <v>33</v>
      </c>
      <c r="T39" s="1" t="s">
        <v>55</v>
      </c>
      <c r="U39" s="1">
        <v>1.00608828E8</v>
      </c>
      <c r="X39" s="1" t="s">
        <v>46</v>
      </c>
      <c r="Y39" s="1" t="s">
        <v>104</v>
      </c>
      <c r="Z39" s="1" t="s">
        <v>37</v>
      </c>
    </row>
    <row r="40" hidden="1">
      <c r="A40" s="1" t="s">
        <v>278</v>
      </c>
      <c r="B40" s="1" t="s">
        <v>264</v>
      </c>
      <c r="C40" s="1" t="s">
        <v>279</v>
      </c>
      <c r="D40" s="1" t="s">
        <v>68</v>
      </c>
      <c r="E40" s="1" t="s">
        <v>28</v>
      </c>
      <c r="F40" s="2">
        <v>1.5E7</v>
      </c>
      <c r="G40" s="1" t="s">
        <v>280</v>
      </c>
      <c r="H40" s="4">
        <f>IFERROR(__xludf.DUMMYFUNCTION("DATE(INDEX(SPLIT(G40,""/""),,3),INDEX(SPLIT(G40,""/""),,2),INDEX(SPLIT(G40,""/""),,1))"),44613.0)</f>
        <v>44613</v>
      </c>
      <c r="I40" s="1" t="s">
        <v>281</v>
      </c>
      <c r="J40" s="4">
        <f>IFERROR(__xludf.DUMMYFUNCTION("DATE(INDEX(SPLIT(I40,""/""),,3),INDEX(SPLIT(I40,""/""),,2),INDEX(SPLIT(I40,""/""),,1))"),44865.0)</f>
        <v>44865</v>
      </c>
      <c r="L40" s="1">
        <v>0.0</v>
      </c>
      <c r="M40" s="1" t="s">
        <v>266</v>
      </c>
      <c r="N40" s="1"/>
      <c r="O40" s="1" t="s">
        <v>30</v>
      </c>
      <c r="P40" s="1" t="s">
        <v>31</v>
      </c>
      <c r="Q40" s="1" t="s">
        <v>32</v>
      </c>
      <c r="R40" s="1" t="s">
        <v>32</v>
      </c>
      <c r="S40" s="1" t="s">
        <v>33</v>
      </c>
      <c r="T40" s="1" t="s">
        <v>267</v>
      </c>
      <c r="U40" s="1">
        <v>1.00597826E8</v>
      </c>
      <c r="X40" s="1" t="s">
        <v>117</v>
      </c>
      <c r="Y40" s="1" t="s">
        <v>282</v>
      </c>
      <c r="Z40" s="1" t="s">
        <v>37</v>
      </c>
    </row>
    <row r="41" hidden="1">
      <c r="A41" s="1" t="s">
        <v>283</v>
      </c>
      <c r="B41" s="1" t="s">
        <v>284</v>
      </c>
      <c r="C41" s="1" t="s">
        <v>285</v>
      </c>
      <c r="D41" s="1" t="s">
        <v>122</v>
      </c>
      <c r="E41" s="1" t="s">
        <v>28</v>
      </c>
      <c r="F41" s="2">
        <v>1.5E7</v>
      </c>
      <c r="G41" s="1" t="s">
        <v>286</v>
      </c>
      <c r="H41" s="4">
        <f>IFERROR(__xludf.DUMMYFUNCTION("DATE(INDEX(SPLIT(G41,""/""),,3),INDEX(SPLIT(G41,""/""),,2),INDEX(SPLIT(G41,""/""),,1))"),44609.0)</f>
        <v>44609</v>
      </c>
      <c r="I41" s="4">
        <v>44927.0</v>
      </c>
      <c r="J41" s="4">
        <f>IFERROR(__xludf.DUMMYFUNCTION("DATE(INDEX(SPLIT(I41,""/""),,3),INDEX(SPLIT(I41,""/""),,2),INDEX(SPLIT(I41,""/""),,1))"),44927.0)</f>
        <v>44927</v>
      </c>
      <c r="L41" s="1">
        <v>0.0</v>
      </c>
      <c r="M41" s="1" t="s">
        <v>187</v>
      </c>
      <c r="N41" s="1"/>
      <c r="O41" s="1" t="s">
        <v>30</v>
      </c>
      <c r="P41" s="1" t="s">
        <v>31</v>
      </c>
      <c r="Q41" s="1" t="s">
        <v>188</v>
      </c>
      <c r="R41" s="1" t="s">
        <v>188</v>
      </c>
      <c r="S41" s="1" t="s">
        <v>189</v>
      </c>
      <c r="T41" s="1" t="s">
        <v>287</v>
      </c>
      <c r="U41" s="1">
        <v>1.00613095E8</v>
      </c>
      <c r="V41" s="1" t="s">
        <v>288</v>
      </c>
      <c r="W41" s="1" t="s">
        <v>45</v>
      </c>
      <c r="X41" s="1" t="s">
        <v>289</v>
      </c>
      <c r="Y41" s="1" t="s">
        <v>187</v>
      </c>
      <c r="Z41" s="1" t="s">
        <v>37</v>
      </c>
    </row>
    <row r="42" hidden="1">
      <c r="A42" s="1" t="s">
        <v>290</v>
      </c>
      <c r="B42" s="1" t="s">
        <v>291</v>
      </c>
      <c r="C42" s="1" t="s">
        <v>292</v>
      </c>
      <c r="D42" s="1" t="s">
        <v>27</v>
      </c>
      <c r="E42" s="1" t="s">
        <v>28</v>
      </c>
      <c r="F42" s="2">
        <v>1.4E7</v>
      </c>
      <c r="G42" s="4">
        <v>44656.0</v>
      </c>
      <c r="H42" s="4">
        <f>IFERROR(__xludf.DUMMYFUNCTION("DATE(INDEX(SPLIT(G42,""/""),,3),INDEX(SPLIT(G42,""/""),,2),INDEX(SPLIT(G42,""/""),,1))"),44685.0)</f>
        <v>44685</v>
      </c>
      <c r="I42" s="1" t="s">
        <v>293</v>
      </c>
      <c r="J42" s="4">
        <f>IFERROR(__xludf.DUMMYFUNCTION("DATE(INDEX(SPLIT(I42,""/""),,3),INDEX(SPLIT(I42,""/""),,2),INDEX(SPLIT(I42,""/""),,1))"),44918.0)</f>
        <v>44918</v>
      </c>
      <c r="L42" s="1">
        <v>0.0</v>
      </c>
      <c r="M42" s="1" t="s">
        <v>294</v>
      </c>
      <c r="N42" s="1"/>
      <c r="O42" s="1" t="s">
        <v>30</v>
      </c>
      <c r="P42" s="1" t="s">
        <v>31</v>
      </c>
      <c r="Q42" s="1" t="s">
        <v>157</v>
      </c>
      <c r="R42" s="1" t="s">
        <v>157</v>
      </c>
      <c r="S42" s="1" t="s">
        <v>158</v>
      </c>
      <c r="T42" s="1" t="s">
        <v>237</v>
      </c>
      <c r="U42" s="1">
        <v>1.00642806E8</v>
      </c>
      <c r="X42" s="1" t="s">
        <v>239</v>
      </c>
      <c r="Y42" s="1" t="s">
        <v>294</v>
      </c>
      <c r="Z42" s="1" t="s">
        <v>37</v>
      </c>
    </row>
    <row r="43" hidden="1">
      <c r="A43" s="1" t="s">
        <v>295</v>
      </c>
      <c r="B43" s="1" t="s">
        <v>296</v>
      </c>
      <c r="C43" s="1" t="s">
        <v>297</v>
      </c>
      <c r="D43" s="1" t="s">
        <v>122</v>
      </c>
      <c r="E43" s="1" t="s">
        <v>28</v>
      </c>
      <c r="F43" s="2">
        <v>1.3E7</v>
      </c>
      <c r="G43" s="1" t="s">
        <v>298</v>
      </c>
      <c r="H43" s="4">
        <f>IFERROR(__xludf.DUMMYFUNCTION("DATE(INDEX(SPLIT(G43,""/""),,3),INDEX(SPLIT(G43,""/""),,2),INDEX(SPLIT(G43,""/""),,1))"),44762.0)</f>
        <v>44762</v>
      </c>
      <c r="I43" s="1" t="s">
        <v>165</v>
      </c>
      <c r="J43" s="4">
        <f>IFERROR(__xludf.DUMMYFUNCTION("DATE(INDEX(SPLIT(I43,""/""),,3),INDEX(SPLIT(I43,""/""),,2),INDEX(SPLIT(I43,""/""),,1))"),44803.0)</f>
        <v>44803</v>
      </c>
      <c r="L43" s="1">
        <v>0.0</v>
      </c>
      <c r="M43" s="1" t="s">
        <v>299</v>
      </c>
      <c r="N43" s="1"/>
      <c r="O43" s="1" t="s">
        <v>30</v>
      </c>
      <c r="P43" s="1" t="s">
        <v>31</v>
      </c>
      <c r="Q43" s="1" t="s">
        <v>71</v>
      </c>
      <c r="R43" s="1" t="s">
        <v>71</v>
      </c>
      <c r="S43" s="1" t="s">
        <v>72</v>
      </c>
      <c r="T43" s="1" t="s">
        <v>136</v>
      </c>
      <c r="U43" s="1">
        <v>1.00610483E8</v>
      </c>
      <c r="X43" s="1" t="s">
        <v>74</v>
      </c>
      <c r="Y43" s="1" t="s">
        <v>299</v>
      </c>
      <c r="Z43" s="1" t="s">
        <v>37</v>
      </c>
    </row>
    <row r="44" hidden="1">
      <c r="A44" s="1" t="s">
        <v>300</v>
      </c>
      <c r="B44" s="1" t="s">
        <v>301</v>
      </c>
      <c r="C44" s="1" t="s">
        <v>302</v>
      </c>
      <c r="D44" s="1" t="s">
        <v>68</v>
      </c>
      <c r="E44" s="1" t="s">
        <v>28</v>
      </c>
      <c r="F44" s="2">
        <v>1.276E7</v>
      </c>
      <c r="G44" s="4">
        <v>44686.0</v>
      </c>
      <c r="H44" s="4">
        <f>IFERROR(__xludf.DUMMYFUNCTION("DATE(INDEX(SPLIT(G44,""/""),,3),INDEX(SPLIT(G44,""/""),,2),INDEX(SPLIT(G44,""/""),,1))"),44686.0)</f>
        <v>44686</v>
      </c>
      <c r="I44" s="1" t="s">
        <v>109</v>
      </c>
      <c r="J44" s="4">
        <f>IFERROR(__xludf.DUMMYFUNCTION("DATE(INDEX(SPLIT(I44,""/""),,3),INDEX(SPLIT(I44,""/""),,2),INDEX(SPLIT(I44,""/""),,1))"),44834.0)</f>
        <v>44834</v>
      </c>
      <c r="L44" s="1">
        <v>0.0</v>
      </c>
      <c r="M44" s="1" t="s">
        <v>303</v>
      </c>
      <c r="N44" s="1"/>
      <c r="O44" s="1" t="s">
        <v>30</v>
      </c>
      <c r="P44" s="1" t="s">
        <v>31</v>
      </c>
      <c r="Q44" s="1" t="s">
        <v>95</v>
      </c>
      <c r="R44" s="1" t="s">
        <v>95</v>
      </c>
      <c r="S44" s="1" t="s">
        <v>96</v>
      </c>
      <c r="T44" s="1" t="s">
        <v>304</v>
      </c>
      <c r="U44" s="1">
        <v>1.00623914E8</v>
      </c>
      <c r="X44" s="1" t="s">
        <v>305</v>
      </c>
      <c r="Y44" s="1" t="s">
        <v>306</v>
      </c>
      <c r="Z44" s="1" t="s">
        <v>37</v>
      </c>
    </row>
    <row r="45" hidden="1">
      <c r="A45" s="1" t="s">
        <v>307</v>
      </c>
      <c r="B45" s="1" t="s">
        <v>308</v>
      </c>
      <c r="C45" s="1" t="s">
        <v>309</v>
      </c>
      <c r="D45" s="1" t="s">
        <v>27</v>
      </c>
      <c r="E45" s="1" t="s">
        <v>28</v>
      </c>
      <c r="F45" s="2">
        <v>1.25E7</v>
      </c>
      <c r="G45" s="1" t="s">
        <v>310</v>
      </c>
      <c r="H45" s="4">
        <f>IFERROR(__xludf.DUMMYFUNCTION("DATE(INDEX(SPLIT(G45,""/""),,3),INDEX(SPLIT(G45,""/""),,2),INDEX(SPLIT(G45,""/""),,1))"),43791.0)</f>
        <v>43791</v>
      </c>
      <c r="I45" s="4">
        <v>45383.0</v>
      </c>
      <c r="J45" s="4">
        <f>IFERROR(__xludf.DUMMYFUNCTION("DATE(INDEX(SPLIT(I45,""/""),,3),INDEX(SPLIT(I45,""/""),,2),INDEX(SPLIT(I45,""/""),,1))"),45295.0)</f>
        <v>45295</v>
      </c>
      <c r="L45" s="1">
        <v>0.0</v>
      </c>
      <c r="M45" s="1" t="s">
        <v>43</v>
      </c>
      <c r="N45" s="1"/>
      <c r="O45" s="1" t="s">
        <v>30</v>
      </c>
      <c r="P45" s="1" t="s">
        <v>31</v>
      </c>
      <c r="Q45" s="1" t="s">
        <v>32</v>
      </c>
      <c r="R45" s="1" t="s">
        <v>32</v>
      </c>
      <c r="S45" s="1" t="s">
        <v>33</v>
      </c>
      <c r="T45" s="1" t="s">
        <v>311</v>
      </c>
      <c r="U45" s="1">
        <v>1.00587944E8</v>
      </c>
      <c r="X45" s="1" t="s">
        <v>312</v>
      </c>
      <c r="Y45" s="1" t="s">
        <v>313</v>
      </c>
      <c r="Z45" s="1" t="s">
        <v>37</v>
      </c>
    </row>
    <row r="46" hidden="1">
      <c r="A46" s="1" t="s">
        <v>314</v>
      </c>
      <c r="B46" s="1" t="s">
        <v>315</v>
      </c>
      <c r="C46" s="1" t="s">
        <v>316</v>
      </c>
      <c r="D46" s="1" t="s">
        <v>27</v>
      </c>
      <c r="E46" s="1" t="s">
        <v>28</v>
      </c>
      <c r="F46" s="2">
        <v>1.2E7</v>
      </c>
      <c r="G46" s="1" t="s">
        <v>154</v>
      </c>
      <c r="H46" s="4">
        <f>IFERROR(__xludf.DUMMYFUNCTION("DATE(INDEX(SPLIT(G46,""/""),,3),INDEX(SPLIT(G46,""/""),,2),INDEX(SPLIT(G46,""/""),,1))"),44670.0)</f>
        <v>44670</v>
      </c>
      <c r="I46" s="1" t="s">
        <v>317</v>
      </c>
      <c r="J46" s="4">
        <f>IFERROR(__xludf.DUMMYFUNCTION("DATE(INDEX(SPLIT(I46,""/""),,3),INDEX(SPLIT(I46,""/""),,2),INDEX(SPLIT(I46,""/""),,1))"),44862.0)</f>
        <v>44862</v>
      </c>
      <c r="L46" s="1">
        <v>0.0</v>
      </c>
      <c r="M46" s="1" t="s">
        <v>318</v>
      </c>
      <c r="N46" s="1"/>
      <c r="O46" s="1" t="s">
        <v>30</v>
      </c>
      <c r="P46" s="1" t="s">
        <v>31</v>
      </c>
      <c r="Q46" s="1" t="s">
        <v>71</v>
      </c>
      <c r="R46" s="1" t="s">
        <v>71</v>
      </c>
      <c r="S46" s="1" t="s">
        <v>72</v>
      </c>
      <c r="T46" s="1" t="s">
        <v>73</v>
      </c>
      <c r="U46" s="1">
        <v>1.00654705E8</v>
      </c>
      <c r="X46" s="1" t="s">
        <v>74</v>
      </c>
      <c r="Y46" s="1" t="s">
        <v>318</v>
      </c>
      <c r="Z46" s="1" t="s">
        <v>37</v>
      </c>
    </row>
    <row r="47" hidden="1">
      <c r="A47" s="1" t="s">
        <v>319</v>
      </c>
      <c r="B47" s="1" t="s">
        <v>320</v>
      </c>
      <c r="C47" s="1" t="s">
        <v>209</v>
      </c>
      <c r="D47" s="1" t="s">
        <v>122</v>
      </c>
      <c r="E47" s="1" t="s">
        <v>28</v>
      </c>
      <c r="F47" s="2">
        <v>1.2E7</v>
      </c>
      <c r="G47" s="1" t="s">
        <v>321</v>
      </c>
      <c r="H47" s="4">
        <f>IFERROR(__xludf.DUMMYFUNCTION("DATE(INDEX(SPLIT(G47,""/""),,3),INDEX(SPLIT(G47,""/""),,2),INDEX(SPLIT(G47,""/""),,1))"),44586.0)</f>
        <v>44586</v>
      </c>
      <c r="I47" s="1" t="s">
        <v>130</v>
      </c>
      <c r="J47" s="4">
        <f>IFERROR(__xludf.DUMMYFUNCTION("DATE(INDEX(SPLIT(I47,""/""),,3),INDEX(SPLIT(I47,""/""),,2),INDEX(SPLIT(I47,""/""),,1))"),44804.0)</f>
        <v>44804</v>
      </c>
      <c r="L47" s="1">
        <v>0.0</v>
      </c>
      <c r="M47" s="1" t="s">
        <v>211</v>
      </c>
      <c r="N47" s="1"/>
      <c r="O47" s="1" t="s">
        <v>30</v>
      </c>
      <c r="P47" s="1" t="s">
        <v>31</v>
      </c>
      <c r="Q47" s="1" t="s">
        <v>71</v>
      </c>
      <c r="R47" s="1" t="s">
        <v>71</v>
      </c>
      <c r="S47" s="1" t="s">
        <v>72</v>
      </c>
      <c r="T47" s="1" t="s">
        <v>136</v>
      </c>
      <c r="U47" s="1">
        <v>1.00590896E8</v>
      </c>
      <c r="X47" s="1" t="s">
        <v>74</v>
      </c>
      <c r="Y47" s="1" t="s">
        <v>211</v>
      </c>
      <c r="Z47" s="1" t="s">
        <v>37</v>
      </c>
    </row>
    <row r="48" hidden="1">
      <c r="A48" s="1" t="s">
        <v>322</v>
      </c>
      <c r="B48" s="1" t="s">
        <v>39</v>
      </c>
      <c r="C48" s="1" t="s">
        <v>323</v>
      </c>
      <c r="D48" s="1" t="s">
        <v>122</v>
      </c>
      <c r="E48" s="1" t="s">
        <v>28</v>
      </c>
      <c r="F48" s="2">
        <v>1.2E7</v>
      </c>
      <c r="G48" s="1" t="s">
        <v>324</v>
      </c>
      <c r="H48" s="4">
        <f>IFERROR(__xludf.DUMMYFUNCTION("DATE(INDEX(SPLIT(G48,""/""),,3),INDEX(SPLIT(G48,""/""),,2),INDEX(SPLIT(G48,""/""),,1))"),44636.0)</f>
        <v>44636</v>
      </c>
      <c r="I48" s="1" t="s">
        <v>165</v>
      </c>
      <c r="J48" s="4">
        <f>IFERROR(__xludf.DUMMYFUNCTION("DATE(INDEX(SPLIT(I48,""/""),,3),INDEX(SPLIT(I48,""/""),,2),INDEX(SPLIT(I48,""/""),,1))"),44803.0)</f>
        <v>44803</v>
      </c>
      <c r="L48" s="1">
        <v>0.0</v>
      </c>
      <c r="M48" s="1" t="s">
        <v>325</v>
      </c>
      <c r="N48" s="1"/>
      <c r="O48" s="1" t="s">
        <v>30</v>
      </c>
      <c r="P48" s="1" t="s">
        <v>31</v>
      </c>
      <c r="Q48" s="1" t="s">
        <v>188</v>
      </c>
      <c r="R48" s="1" t="s">
        <v>188</v>
      </c>
      <c r="S48" s="1" t="s">
        <v>189</v>
      </c>
      <c r="T48" s="1" t="s">
        <v>287</v>
      </c>
      <c r="U48" s="1">
        <v>1.00599669E8</v>
      </c>
      <c r="V48" s="1" t="s">
        <v>326</v>
      </c>
      <c r="W48" s="1" t="s">
        <v>45</v>
      </c>
      <c r="X48" s="1" t="s">
        <v>46</v>
      </c>
      <c r="Y48" s="1" t="s">
        <v>327</v>
      </c>
      <c r="Z48" s="1" t="s">
        <v>37</v>
      </c>
    </row>
    <row r="49" hidden="1">
      <c r="A49" s="1" t="s">
        <v>328</v>
      </c>
      <c r="B49" s="1" t="s">
        <v>231</v>
      </c>
      <c r="C49" s="1" t="s">
        <v>329</v>
      </c>
      <c r="D49" s="1" t="s">
        <v>78</v>
      </c>
      <c r="E49" s="1" t="s">
        <v>28</v>
      </c>
      <c r="F49" s="2">
        <v>1.2E7</v>
      </c>
      <c r="G49" s="1" t="s">
        <v>330</v>
      </c>
      <c r="H49" s="4">
        <f>IFERROR(__xludf.DUMMYFUNCTION("DATE(INDEX(SPLIT(G49,""/""),,3),INDEX(SPLIT(G49,""/""),,2),INDEX(SPLIT(G49,""/""),,1))"),44728.0)</f>
        <v>44728</v>
      </c>
      <c r="I49" s="4">
        <v>44571.0</v>
      </c>
      <c r="J49" s="4">
        <f>IFERROR(__xludf.DUMMYFUNCTION("DATE(INDEX(SPLIT(I49,""/""),,3),INDEX(SPLIT(I49,""/""),,2),INDEX(SPLIT(I49,""/""),,1))"),44835.0)</f>
        <v>44835</v>
      </c>
      <c r="L49" s="1">
        <v>0.0</v>
      </c>
      <c r="M49" s="1" t="s">
        <v>234</v>
      </c>
      <c r="N49" s="1"/>
      <c r="O49" s="1" t="s">
        <v>30</v>
      </c>
      <c r="P49" s="1" t="s">
        <v>31</v>
      </c>
      <c r="Q49" s="1" t="s">
        <v>235</v>
      </c>
      <c r="R49" s="1" t="s">
        <v>235</v>
      </c>
      <c r="S49" s="1" t="s">
        <v>236</v>
      </c>
      <c r="T49" s="1" t="s">
        <v>237</v>
      </c>
      <c r="U49" s="1">
        <v>1.00658132E8</v>
      </c>
      <c r="V49" s="1" t="s">
        <v>238</v>
      </c>
      <c r="W49" s="1" t="s">
        <v>199</v>
      </c>
      <c r="X49" s="1" t="s">
        <v>239</v>
      </c>
      <c r="Y49" s="1" t="s">
        <v>234</v>
      </c>
      <c r="Z49" s="1" t="s">
        <v>37</v>
      </c>
    </row>
    <row r="50" hidden="1">
      <c r="A50" s="1" t="s">
        <v>331</v>
      </c>
      <c r="B50" s="1" t="s">
        <v>39</v>
      </c>
      <c r="C50" s="1" t="s">
        <v>332</v>
      </c>
      <c r="D50" s="1" t="s">
        <v>78</v>
      </c>
      <c r="E50" s="1" t="s">
        <v>28</v>
      </c>
      <c r="F50" s="2">
        <v>1.12E7</v>
      </c>
      <c r="G50" s="1" t="s">
        <v>333</v>
      </c>
      <c r="H50" s="4">
        <f>IFERROR(__xludf.DUMMYFUNCTION("DATE(INDEX(SPLIT(G50,""/""),,3),INDEX(SPLIT(G50,""/""),,2),INDEX(SPLIT(G50,""/""),,1))"),44669.0)</f>
        <v>44669</v>
      </c>
      <c r="I50" s="1" t="s">
        <v>130</v>
      </c>
      <c r="J50" s="4">
        <f>IFERROR(__xludf.DUMMYFUNCTION("DATE(INDEX(SPLIT(I50,""/""),,3),INDEX(SPLIT(I50,""/""),,2),INDEX(SPLIT(I50,""/""),,1))"),44804.0)</f>
        <v>44804</v>
      </c>
      <c r="L50" s="1">
        <v>0.0</v>
      </c>
      <c r="M50" s="1" t="s">
        <v>334</v>
      </c>
      <c r="N50" s="1"/>
      <c r="O50" s="1" t="s">
        <v>30</v>
      </c>
      <c r="P50" s="1" t="s">
        <v>31</v>
      </c>
      <c r="Q50" s="1" t="s">
        <v>188</v>
      </c>
      <c r="R50" s="1" t="s">
        <v>188</v>
      </c>
      <c r="S50" s="1" t="s">
        <v>189</v>
      </c>
      <c r="T50" s="1" t="s">
        <v>287</v>
      </c>
      <c r="U50" s="1">
        <v>1.01077909E8</v>
      </c>
      <c r="V50" s="1" t="s">
        <v>335</v>
      </c>
      <c r="W50" s="1" t="s">
        <v>45</v>
      </c>
      <c r="X50" s="1" t="s">
        <v>46</v>
      </c>
      <c r="Y50" s="1" t="s">
        <v>334</v>
      </c>
      <c r="Z50" s="1" t="s">
        <v>37</v>
      </c>
    </row>
    <row r="51" hidden="1">
      <c r="A51" s="1" t="s">
        <v>336</v>
      </c>
      <c r="B51" s="1" t="s">
        <v>337</v>
      </c>
      <c r="C51" s="1" t="s">
        <v>338</v>
      </c>
      <c r="D51" s="1" t="s">
        <v>27</v>
      </c>
      <c r="E51" s="1" t="s">
        <v>28</v>
      </c>
      <c r="F51" s="2">
        <v>1.07E7</v>
      </c>
      <c r="G51" s="4">
        <v>44237.0</v>
      </c>
      <c r="H51" s="4">
        <f>IFERROR(__xludf.DUMMYFUNCTION("DATE(INDEX(SPLIT(G51,""/""),,3),INDEX(SPLIT(G51,""/""),,2),INDEX(SPLIT(G51,""/""),,1))"),44471.0)</f>
        <v>44471</v>
      </c>
      <c r="I51" s="4">
        <v>44571.0</v>
      </c>
      <c r="J51" s="4">
        <f>IFERROR(__xludf.DUMMYFUNCTION("DATE(INDEX(SPLIT(I51,""/""),,3),INDEX(SPLIT(I51,""/""),,2),INDEX(SPLIT(I51,""/""),,1))"),44835.0)</f>
        <v>44835</v>
      </c>
      <c r="L51" s="1">
        <v>0.0</v>
      </c>
      <c r="M51" s="1" t="s">
        <v>339</v>
      </c>
      <c r="N51" s="1"/>
      <c r="O51" s="1" t="s">
        <v>30</v>
      </c>
      <c r="P51" s="1" t="s">
        <v>31</v>
      </c>
      <c r="Q51" s="1" t="s">
        <v>235</v>
      </c>
      <c r="R51" s="1" t="s">
        <v>235</v>
      </c>
      <c r="S51" s="1" t="s">
        <v>236</v>
      </c>
      <c r="T51" s="1" t="s">
        <v>237</v>
      </c>
      <c r="U51" s="1">
        <v>1.00588753E8</v>
      </c>
      <c r="X51" s="1" t="s">
        <v>239</v>
      </c>
      <c r="Y51" s="1" t="s">
        <v>339</v>
      </c>
      <c r="Z51" s="1" t="s">
        <v>37</v>
      </c>
    </row>
    <row r="52" hidden="1">
      <c r="A52" s="1" t="s">
        <v>340</v>
      </c>
      <c r="B52" s="1" t="s">
        <v>341</v>
      </c>
      <c r="C52" s="1" t="s">
        <v>342</v>
      </c>
      <c r="D52" s="1" t="s">
        <v>27</v>
      </c>
      <c r="E52" s="1" t="s">
        <v>28</v>
      </c>
      <c r="F52" s="2">
        <v>1.07E7</v>
      </c>
      <c r="G52" s="1" t="s">
        <v>343</v>
      </c>
      <c r="H52" s="4">
        <f>IFERROR(__xludf.DUMMYFUNCTION("DATE(INDEX(SPLIT(G52,""/""),,3),INDEX(SPLIT(G52,""/""),,2),INDEX(SPLIT(G52,""/""),,1))"),44761.0)</f>
        <v>44761</v>
      </c>
      <c r="I52" s="1" t="s">
        <v>179</v>
      </c>
      <c r="J52" s="4">
        <f>IFERROR(__xludf.DUMMYFUNCTION("DATE(INDEX(SPLIT(I52,""/""),,3),INDEX(SPLIT(I52,""/""),,2),INDEX(SPLIT(I52,""/""),,1))"),44890.0)</f>
        <v>44890</v>
      </c>
      <c r="L52" s="1">
        <v>0.0</v>
      </c>
      <c r="M52" s="1" t="s">
        <v>344</v>
      </c>
      <c r="N52" s="1"/>
      <c r="O52" s="1" t="s">
        <v>30</v>
      </c>
      <c r="P52" s="1" t="s">
        <v>31</v>
      </c>
      <c r="Q52" s="1" t="s">
        <v>188</v>
      </c>
      <c r="R52" s="1" t="s">
        <v>188</v>
      </c>
      <c r="S52" s="1" t="s">
        <v>189</v>
      </c>
      <c r="T52" s="1" t="s">
        <v>345</v>
      </c>
      <c r="U52" s="1">
        <v>1.00646804E8</v>
      </c>
      <c r="X52" s="1" t="s">
        <v>239</v>
      </c>
      <c r="Y52" s="1" t="s">
        <v>346</v>
      </c>
      <c r="Z52" s="1" t="s">
        <v>37</v>
      </c>
    </row>
    <row r="53" hidden="1">
      <c r="A53" s="1" t="s">
        <v>347</v>
      </c>
      <c r="B53" s="1" t="s">
        <v>348</v>
      </c>
      <c r="C53" s="1" t="s">
        <v>349</v>
      </c>
      <c r="D53" s="1" t="s">
        <v>27</v>
      </c>
      <c r="E53" s="1" t="s">
        <v>28</v>
      </c>
      <c r="F53" s="2">
        <v>1.005E7</v>
      </c>
      <c r="G53" s="4">
        <v>44713.0</v>
      </c>
      <c r="H53" s="4">
        <f>IFERROR(__xludf.DUMMYFUNCTION("DATE(INDEX(SPLIT(G53,""/""),,3),INDEX(SPLIT(G53,""/""),,2),INDEX(SPLIT(G53,""/""),,1))"),44567.0)</f>
        <v>44567</v>
      </c>
      <c r="I53" s="1" t="s">
        <v>203</v>
      </c>
      <c r="J53" s="4">
        <f>IFERROR(__xludf.DUMMYFUNCTION("DATE(INDEX(SPLIT(I53,""/""),,3),INDEX(SPLIT(I53,""/""),,2),INDEX(SPLIT(I53,""/""),,1))"),44925.0)</f>
        <v>44925</v>
      </c>
      <c r="L53" s="1">
        <v>0.0</v>
      </c>
      <c r="M53" s="1" t="s">
        <v>259</v>
      </c>
      <c r="N53" s="1"/>
      <c r="O53" s="1" t="s">
        <v>30</v>
      </c>
      <c r="P53" s="1" t="s">
        <v>31</v>
      </c>
      <c r="Q53" s="1" t="s">
        <v>95</v>
      </c>
      <c r="R53" s="1" t="s">
        <v>95</v>
      </c>
      <c r="S53" s="1" t="s">
        <v>96</v>
      </c>
      <c r="T53" s="1" t="s">
        <v>260</v>
      </c>
      <c r="U53" s="1">
        <v>1.00659114E8</v>
      </c>
      <c r="X53" s="1" t="s">
        <v>239</v>
      </c>
      <c r="Y53" s="1" t="s">
        <v>350</v>
      </c>
      <c r="Z53" s="1" t="s">
        <v>37</v>
      </c>
    </row>
    <row r="54" hidden="1">
      <c r="A54" s="1" t="s">
        <v>351</v>
      </c>
      <c r="B54" s="1" t="s">
        <v>352</v>
      </c>
      <c r="C54" s="1" t="s">
        <v>353</v>
      </c>
      <c r="D54" s="1" t="s">
        <v>122</v>
      </c>
      <c r="E54" s="1" t="s">
        <v>28</v>
      </c>
      <c r="F54" s="2">
        <v>1.0E7</v>
      </c>
      <c r="G54" s="1" t="s">
        <v>354</v>
      </c>
      <c r="H54" s="4">
        <f>IFERROR(__xludf.DUMMYFUNCTION("DATE(INDEX(SPLIT(G54,""/""),,3),INDEX(SPLIT(G54,""/""),,2),INDEX(SPLIT(G54,""/""),,1))"),44673.0)</f>
        <v>44673</v>
      </c>
      <c r="I54" s="4">
        <v>44571.0</v>
      </c>
      <c r="J54" s="4">
        <f>IFERROR(__xludf.DUMMYFUNCTION("DATE(INDEX(SPLIT(I54,""/""),,3),INDEX(SPLIT(I54,""/""),,2),INDEX(SPLIT(I54,""/""),,1))"),44835.0)</f>
        <v>44835</v>
      </c>
      <c r="L54" s="1">
        <v>0.0</v>
      </c>
      <c r="M54" s="1" t="s">
        <v>355</v>
      </c>
      <c r="N54" s="1"/>
      <c r="O54" s="1" t="s">
        <v>30</v>
      </c>
      <c r="P54" s="1" t="s">
        <v>31</v>
      </c>
      <c r="Q54" s="1" t="s">
        <v>53</v>
      </c>
      <c r="R54" s="1" t="s">
        <v>53</v>
      </c>
      <c r="S54" s="1" t="s">
        <v>54</v>
      </c>
      <c r="T54" s="1" t="s">
        <v>87</v>
      </c>
      <c r="U54" s="1">
        <v>1.01170594E8</v>
      </c>
      <c r="X54" s="1" t="s">
        <v>88</v>
      </c>
      <c r="Y54" s="1" t="s">
        <v>355</v>
      </c>
      <c r="Z54" s="1" t="s">
        <v>37</v>
      </c>
    </row>
    <row r="55" hidden="1">
      <c r="A55" s="1" t="s">
        <v>356</v>
      </c>
      <c r="B55" s="1" t="s">
        <v>357</v>
      </c>
      <c r="C55" s="1" t="s">
        <v>358</v>
      </c>
      <c r="D55" s="1" t="s">
        <v>78</v>
      </c>
      <c r="E55" s="1" t="s">
        <v>28</v>
      </c>
      <c r="F55" s="2">
        <v>1.0E7</v>
      </c>
      <c r="G55" s="1" t="s">
        <v>359</v>
      </c>
      <c r="H55" s="4">
        <f>IFERROR(__xludf.DUMMYFUNCTION("DATE(INDEX(SPLIT(G55,""/""),,3),INDEX(SPLIT(G55,""/""),,2),INDEX(SPLIT(G55,""/""),,1))"),44740.0)</f>
        <v>44740</v>
      </c>
      <c r="I55" s="1" t="s">
        <v>360</v>
      </c>
      <c r="J55" s="4">
        <f>IFERROR(__xludf.DUMMYFUNCTION("DATE(INDEX(SPLIT(I55,""/""),,3),INDEX(SPLIT(I55,""/""),,2),INDEX(SPLIT(I55,""/""),,1))"),44895.0)</f>
        <v>44895</v>
      </c>
      <c r="L55" s="1">
        <v>0.0</v>
      </c>
      <c r="M55" s="1" t="s">
        <v>187</v>
      </c>
      <c r="N55" s="1"/>
      <c r="O55" s="1" t="s">
        <v>30</v>
      </c>
      <c r="P55" s="1" t="s">
        <v>31</v>
      </c>
      <c r="Q55" s="1" t="s">
        <v>188</v>
      </c>
      <c r="R55" s="1" t="s">
        <v>188</v>
      </c>
      <c r="S55" s="1" t="s">
        <v>189</v>
      </c>
      <c r="U55" s="1">
        <v>1.00613095E8</v>
      </c>
      <c r="X55" s="1" t="s">
        <v>361</v>
      </c>
      <c r="Y55" s="1" t="s">
        <v>187</v>
      </c>
      <c r="Z55" s="1" t="s">
        <v>37</v>
      </c>
    </row>
    <row r="56" hidden="1">
      <c r="A56" s="1" t="s">
        <v>362</v>
      </c>
      <c r="B56" s="1" t="s">
        <v>363</v>
      </c>
      <c r="C56" s="1" t="s">
        <v>364</v>
      </c>
      <c r="D56" s="1" t="s">
        <v>27</v>
      </c>
      <c r="E56" s="1" t="s">
        <v>28</v>
      </c>
      <c r="F56" s="2">
        <v>1.0E7</v>
      </c>
      <c r="G56" s="1" t="s">
        <v>365</v>
      </c>
      <c r="H56" s="4">
        <f>IFERROR(__xludf.DUMMYFUNCTION("DATE(INDEX(SPLIT(G56,""/""),,3),INDEX(SPLIT(G56,""/""),,2),INDEX(SPLIT(G56,""/""),,1))"),44431.0)</f>
        <v>44431</v>
      </c>
      <c r="I56" s="1" t="s">
        <v>366</v>
      </c>
      <c r="J56" s="4">
        <f>IFERROR(__xludf.DUMMYFUNCTION("DATE(INDEX(SPLIT(I56,""/""),,3),INDEX(SPLIT(I56,""/""),,2),INDEX(SPLIT(I56,""/""),,1))"),45289.0)</f>
        <v>45289</v>
      </c>
      <c r="L56" s="1">
        <v>0.0</v>
      </c>
      <c r="M56" s="1" t="s">
        <v>367</v>
      </c>
      <c r="N56" s="1"/>
      <c r="O56" s="1" t="s">
        <v>30</v>
      </c>
      <c r="P56" s="1" t="s">
        <v>31</v>
      </c>
      <c r="Q56" s="1" t="s">
        <v>235</v>
      </c>
      <c r="R56" s="1" t="s">
        <v>235</v>
      </c>
      <c r="S56" s="1" t="s">
        <v>236</v>
      </c>
      <c r="T56" s="1" t="s">
        <v>237</v>
      </c>
      <c r="U56" s="1">
        <v>1.01072617E8</v>
      </c>
      <c r="X56" s="1" t="s">
        <v>239</v>
      </c>
      <c r="Y56" s="1" t="s">
        <v>368</v>
      </c>
      <c r="Z56" s="1" t="s">
        <v>206</v>
      </c>
    </row>
    <row r="57" hidden="1">
      <c r="A57" s="1" t="s">
        <v>369</v>
      </c>
      <c r="B57" s="1" t="s">
        <v>370</v>
      </c>
      <c r="C57" s="1" t="s">
        <v>371</v>
      </c>
      <c r="D57" s="1" t="s">
        <v>27</v>
      </c>
      <c r="E57" s="1" t="s">
        <v>28</v>
      </c>
      <c r="F57" s="2">
        <v>1.0E7</v>
      </c>
      <c r="G57" s="1" t="s">
        <v>185</v>
      </c>
      <c r="H57" s="4">
        <f>IFERROR(__xludf.DUMMYFUNCTION("DATE(INDEX(SPLIT(G57,""/""),,3),INDEX(SPLIT(G57,""/""),,2),INDEX(SPLIT(G57,""/""),,1))"),44741.0)</f>
        <v>44741</v>
      </c>
      <c r="I57" s="1" t="s">
        <v>203</v>
      </c>
      <c r="J57" s="4">
        <f>IFERROR(__xludf.DUMMYFUNCTION("DATE(INDEX(SPLIT(I57,""/""),,3),INDEX(SPLIT(I57,""/""),,2),INDEX(SPLIT(I57,""/""),,1))"),44925.0)</f>
        <v>44925</v>
      </c>
      <c r="L57" s="1">
        <v>0.0</v>
      </c>
      <c r="M57" s="1" t="s">
        <v>234</v>
      </c>
      <c r="N57" s="1"/>
      <c r="O57" s="1" t="s">
        <v>30</v>
      </c>
      <c r="P57" s="1" t="s">
        <v>31</v>
      </c>
      <c r="Q57" s="1" t="s">
        <v>235</v>
      </c>
      <c r="R57" s="1" t="s">
        <v>235</v>
      </c>
      <c r="S57" s="1" t="s">
        <v>236</v>
      </c>
      <c r="T57" s="1" t="s">
        <v>237</v>
      </c>
      <c r="U57" s="1">
        <v>1.00658132E8</v>
      </c>
      <c r="X57" s="1" t="s">
        <v>239</v>
      </c>
      <c r="Y57" s="1" t="s">
        <v>234</v>
      </c>
      <c r="Z57" s="1" t="s">
        <v>37</v>
      </c>
    </row>
    <row r="58" hidden="1">
      <c r="A58" s="1" t="s">
        <v>372</v>
      </c>
      <c r="B58" s="1" t="s">
        <v>373</v>
      </c>
      <c r="C58" s="1" t="s">
        <v>374</v>
      </c>
      <c r="D58" s="1" t="s">
        <v>27</v>
      </c>
      <c r="E58" s="1" t="s">
        <v>28</v>
      </c>
      <c r="F58" s="2">
        <v>1.0E7</v>
      </c>
      <c r="G58" s="1" t="s">
        <v>185</v>
      </c>
      <c r="H58" s="4">
        <f>IFERROR(__xludf.DUMMYFUNCTION("DATE(INDEX(SPLIT(G58,""/""),,3),INDEX(SPLIT(G58,""/""),,2),INDEX(SPLIT(G58,""/""),,1))"),44741.0)</f>
        <v>44741</v>
      </c>
      <c r="I58" s="1" t="s">
        <v>109</v>
      </c>
      <c r="J58" s="4">
        <f>IFERROR(__xludf.DUMMYFUNCTION("DATE(INDEX(SPLIT(I58,""/""),,3),INDEX(SPLIT(I58,""/""),,2),INDEX(SPLIT(I58,""/""),,1))"),44834.0)</f>
        <v>44834</v>
      </c>
      <c r="L58" s="1">
        <v>0.0</v>
      </c>
      <c r="M58" s="1" t="s">
        <v>339</v>
      </c>
      <c r="N58" s="1"/>
      <c r="O58" s="1" t="s">
        <v>30</v>
      </c>
      <c r="P58" s="1" t="s">
        <v>31</v>
      </c>
      <c r="Q58" s="1" t="s">
        <v>235</v>
      </c>
      <c r="R58" s="1" t="s">
        <v>235</v>
      </c>
      <c r="S58" s="1" t="s">
        <v>236</v>
      </c>
      <c r="T58" s="1" t="s">
        <v>237</v>
      </c>
      <c r="U58" s="1">
        <v>1.00588753E8</v>
      </c>
      <c r="X58" s="1" t="s">
        <v>375</v>
      </c>
      <c r="Y58" s="1" t="s">
        <v>234</v>
      </c>
      <c r="Z58" s="1" t="s">
        <v>37</v>
      </c>
    </row>
    <row r="59" hidden="1">
      <c r="A59" s="1" t="s">
        <v>376</v>
      </c>
      <c r="B59" s="1" t="s">
        <v>377</v>
      </c>
      <c r="C59" s="1" t="s">
        <v>378</v>
      </c>
      <c r="D59" s="1" t="s">
        <v>78</v>
      </c>
      <c r="E59" s="1" t="s">
        <v>28</v>
      </c>
      <c r="F59" s="2">
        <v>1.0E7</v>
      </c>
      <c r="G59" s="1" t="s">
        <v>365</v>
      </c>
      <c r="H59" s="4">
        <f>IFERROR(__xludf.DUMMYFUNCTION("DATE(INDEX(SPLIT(G59,""/""),,3),INDEX(SPLIT(G59,""/""),,2),INDEX(SPLIT(G59,""/""),,1))"),44431.0)</f>
        <v>44431</v>
      </c>
      <c r="I59" s="4">
        <v>44601.0</v>
      </c>
      <c r="J59" s="4">
        <f>IFERROR(__xludf.DUMMYFUNCTION("DATE(INDEX(SPLIT(I59,""/""),,3),INDEX(SPLIT(I59,""/""),,2),INDEX(SPLIT(I59,""/""),,1))"),44806.0)</f>
        <v>44806</v>
      </c>
      <c r="L59" s="1">
        <v>0.0</v>
      </c>
      <c r="M59" s="1" t="s">
        <v>234</v>
      </c>
      <c r="N59" s="1"/>
      <c r="O59" s="1" t="s">
        <v>30</v>
      </c>
      <c r="P59" s="1" t="s">
        <v>31</v>
      </c>
      <c r="Q59" s="1" t="s">
        <v>235</v>
      </c>
      <c r="R59" s="1" t="s">
        <v>235</v>
      </c>
      <c r="S59" s="1" t="s">
        <v>236</v>
      </c>
      <c r="T59" s="1" t="s">
        <v>237</v>
      </c>
      <c r="U59" s="1">
        <v>1.00658132E8</v>
      </c>
      <c r="V59" s="1" t="s">
        <v>379</v>
      </c>
      <c r="W59" s="1" t="s">
        <v>45</v>
      </c>
      <c r="X59" s="1" t="s">
        <v>239</v>
      </c>
      <c r="Y59" s="1" t="s">
        <v>234</v>
      </c>
      <c r="Z59" s="1" t="s">
        <v>37</v>
      </c>
    </row>
    <row r="60" hidden="1">
      <c r="A60" s="1" t="s">
        <v>380</v>
      </c>
      <c r="B60" s="1" t="s">
        <v>144</v>
      </c>
      <c r="C60" s="1" t="s">
        <v>381</v>
      </c>
      <c r="D60" s="1" t="s">
        <v>78</v>
      </c>
      <c r="E60" s="1" t="s">
        <v>28</v>
      </c>
      <c r="F60" s="2">
        <v>1.0E7</v>
      </c>
      <c r="G60" s="1" t="s">
        <v>382</v>
      </c>
      <c r="H60" s="4">
        <f>IFERROR(__xludf.DUMMYFUNCTION("DATE(INDEX(SPLIT(G60,""/""),,3),INDEX(SPLIT(G60,""/""),,2),INDEX(SPLIT(G60,""/""),,1))"),44758.0)</f>
        <v>44758</v>
      </c>
      <c r="I60" s="1" t="s">
        <v>130</v>
      </c>
      <c r="J60" s="4">
        <f>IFERROR(__xludf.DUMMYFUNCTION("DATE(INDEX(SPLIT(I60,""/""),,3),INDEX(SPLIT(I60,""/""),,2),INDEX(SPLIT(I60,""/""),,1))"),44804.0)</f>
        <v>44804</v>
      </c>
      <c r="L60" s="1">
        <v>0.0</v>
      </c>
      <c r="M60" s="1" t="s">
        <v>166</v>
      </c>
      <c r="N60" s="1"/>
      <c r="O60" s="1" t="s">
        <v>30</v>
      </c>
      <c r="P60" s="1" t="s">
        <v>31</v>
      </c>
      <c r="Q60" s="1" t="s">
        <v>53</v>
      </c>
      <c r="R60" s="1" t="s">
        <v>53</v>
      </c>
      <c r="S60" s="1" t="s">
        <v>54</v>
      </c>
      <c r="T60" s="1" t="s">
        <v>87</v>
      </c>
      <c r="U60" s="1">
        <v>1.00651094E8</v>
      </c>
      <c r="X60" s="1" t="s">
        <v>88</v>
      </c>
      <c r="Y60" s="1" t="s">
        <v>383</v>
      </c>
      <c r="Z60" s="1" t="s">
        <v>37</v>
      </c>
    </row>
    <row r="61" hidden="1">
      <c r="A61" s="1" t="s">
        <v>384</v>
      </c>
      <c r="B61" s="1" t="s">
        <v>385</v>
      </c>
      <c r="C61" s="1" t="s">
        <v>386</v>
      </c>
      <c r="D61" s="1" t="s">
        <v>27</v>
      </c>
      <c r="E61" s="1" t="s">
        <v>28</v>
      </c>
      <c r="F61" s="2">
        <v>1.0E7</v>
      </c>
      <c r="G61" s="1" t="s">
        <v>185</v>
      </c>
      <c r="H61" s="4">
        <f>IFERROR(__xludf.DUMMYFUNCTION("DATE(INDEX(SPLIT(G61,""/""),,3),INDEX(SPLIT(G61,""/""),,2),INDEX(SPLIT(G61,""/""),,1))"),44741.0)</f>
        <v>44741</v>
      </c>
      <c r="I61" s="1" t="s">
        <v>109</v>
      </c>
      <c r="J61" s="4">
        <f>IFERROR(__xludf.DUMMYFUNCTION("DATE(INDEX(SPLIT(I61,""/""),,3),INDEX(SPLIT(I61,""/""),,2),INDEX(SPLIT(I61,""/""),,1))"),44834.0)</f>
        <v>44834</v>
      </c>
      <c r="L61" s="1">
        <v>0.0</v>
      </c>
      <c r="M61" s="1" t="s">
        <v>339</v>
      </c>
      <c r="N61" s="1"/>
      <c r="O61" s="1" t="s">
        <v>30</v>
      </c>
      <c r="P61" s="1" t="s">
        <v>31</v>
      </c>
      <c r="Q61" s="1" t="s">
        <v>235</v>
      </c>
      <c r="R61" s="1" t="s">
        <v>235</v>
      </c>
      <c r="S61" s="1" t="s">
        <v>236</v>
      </c>
      <c r="T61" s="1" t="s">
        <v>237</v>
      </c>
      <c r="U61" s="1">
        <v>1.00588753E8</v>
      </c>
      <c r="X61" s="1" t="s">
        <v>239</v>
      </c>
      <c r="Y61" s="1" t="s">
        <v>234</v>
      </c>
      <c r="Z61" s="1" t="s">
        <v>37</v>
      </c>
    </row>
    <row r="62" hidden="1">
      <c r="A62" s="1" t="s">
        <v>387</v>
      </c>
      <c r="B62" s="1" t="s">
        <v>76</v>
      </c>
      <c r="C62" s="1" t="s">
        <v>388</v>
      </c>
      <c r="D62" s="1" t="s">
        <v>78</v>
      </c>
      <c r="E62" s="1" t="s">
        <v>28</v>
      </c>
      <c r="F62" s="2">
        <v>1.0E7</v>
      </c>
      <c r="G62" s="4">
        <v>44777.0</v>
      </c>
      <c r="H62" s="4">
        <f>IFERROR(__xludf.DUMMYFUNCTION("DATE(INDEX(SPLIT(G62,""/""),,3),INDEX(SPLIT(G62,""/""),,2),INDEX(SPLIT(G62,""/""),,1))"),44659.0)</f>
        <v>44659</v>
      </c>
      <c r="I62" s="1" t="s">
        <v>42</v>
      </c>
      <c r="J62" s="4">
        <f>IFERROR(__xludf.DUMMYFUNCTION("DATE(INDEX(SPLIT(I62,""/""),,3),INDEX(SPLIT(I62,""/""),,2),INDEX(SPLIT(I62,""/""),,1))"),44926.0)</f>
        <v>44926</v>
      </c>
      <c r="L62" s="1">
        <v>0.0</v>
      </c>
      <c r="M62" s="1" t="s">
        <v>79</v>
      </c>
      <c r="N62" s="1"/>
      <c r="O62" s="1" t="s">
        <v>30</v>
      </c>
      <c r="P62" s="1" t="s">
        <v>31</v>
      </c>
      <c r="Q62" s="1" t="s">
        <v>32</v>
      </c>
      <c r="R62" s="1" t="s">
        <v>32</v>
      </c>
      <c r="S62" s="1" t="s">
        <v>33</v>
      </c>
      <c r="T62" s="1" t="s">
        <v>34</v>
      </c>
      <c r="U62" s="1">
        <v>1.00609569E8</v>
      </c>
      <c r="W62" s="1" t="s">
        <v>389</v>
      </c>
      <c r="X62" s="1" t="s">
        <v>81</v>
      </c>
      <c r="Y62" s="1" t="s">
        <v>390</v>
      </c>
      <c r="Z62" s="1" t="s">
        <v>37</v>
      </c>
    </row>
    <row r="63" hidden="1">
      <c r="A63" s="1" t="s">
        <v>391</v>
      </c>
      <c r="B63" s="1" t="s">
        <v>392</v>
      </c>
      <c r="C63" s="1" t="s">
        <v>393</v>
      </c>
      <c r="D63" s="1" t="s">
        <v>78</v>
      </c>
      <c r="E63" s="1" t="s">
        <v>28</v>
      </c>
      <c r="F63" s="2">
        <v>1.0E7</v>
      </c>
      <c r="G63" s="1" t="s">
        <v>394</v>
      </c>
      <c r="H63" s="4">
        <f>IFERROR(__xludf.DUMMYFUNCTION("DATE(INDEX(SPLIT(G63,""/""),,3),INDEX(SPLIT(G63,""/""),,2),INDEX(SPLIT(G63,""/""),,1))"),44677.0)</f>
        <v>44677</v>
      </c>
      <c r="I63" s="1" t="s">
        <v>203</v>
      </c>
      <c r="J63" s="4">
        <f>IFERROR(__xludf.DUMMYFUNCTION("DATE(INDEX(SPLIT(I63,""/""),,3),INDEX(SPLIT(I63,""/""),,2),INDEX(SPLIT(I63,""/""),,1))"),44925.0)</f>
        <v>44925</v>
      </c>
      <c r="L63" s="1">
        <v>0.0</v>
      </c>
      <c r="M63" s="1" t="s">
        <v>234</v>
      </c>
      <c r="N63" s="1"/>
      <c r="O63" s="1" t="s">
        <v>30</v>
      </c>
      <c r="P63" s="1" t="s">
        <v>31</v>
      </c>
      <c r="Q63" s="1" t="s">
        <v>235</v>
      </c>
      <c r="R63" s="1" t="s">
        <v>235</v>
      </c>
      <c r="S63" s="1" t="s">
        <v>236</v>
      </c>
      <c r="T63" s="1" t="s">
        <v>237</v>
      </c>
      <c r="U63" s="1">
        <v>1.00658132E8</v>
      </c>
      <c r="X63" s="1" t="s">
        <v>239</v>
      </c>
      <c r="Y63" s="1" t="s">
        <v>234</v>
      </c>
      <c r="Z63" s="1" t="s">
        <v>37</v>
      </c>
    </row>
    <row r="64" hidden="1">
      <c r="A64" s="1" t="s">
        <v>395</v>
      </c>
      <c r="B64" s="1" t="s">
        <v>396</v>
      </c>
      <c r="C64" s="1" t="s">
        <v>397</v>
      </c>
      <c r="D64" s="1" t="s">
        <v>27</v>
      </c>
      <c r="E64" s="1" t="s">
        <v>28</v>
      </c>
      <c r="F64" s="2">
        <v>1.0E7</v>
      </c>
      <c r="G64" s="4">
        <v>43956.0</v>
      </c>
      <c r="H64" s="4">
        <f>IFERROR(__xludf.DUMMYFUNCTION("DATE(INDEX(SPLIT(G64,""/""),,3),INDEX(SPLIT(G64,""/""),,2),INDEX(SPLIT(G64,""/""),,1))"),43956.0)</f>
        <v>43956</v>
      </c>
      <c r="I64" s="1" t="s">
        <v>42</v>
      </c>
      <c r="J64" s="4">
        <f>IFERROR(__xludf.DUMMYFUNCTION("DATE(INDEX(SPLIT(I64,""/""),,3),INDEX(SPLIT(I64,""/""),,2),INDEX(SPLIT(I64,""/""),,1))"),44926.0)</f>
        <v>44926</v>
      </c>
      <c r="L64" s="1">
        <v>0.0</v>
      </c>
      <c r="M64" s="1" t="s">
        <v>94</v>
      </c>
      <c r="N64" s="1"/>
      <c r="O64" s="1" t="s">
        <v>30</v>
      </c>
      <c r="P64" s="1" t="s">
        <v>31</v>
      </c>
      <c r="Q64" s="1" t="s">
        <v>95</v>
      </c>
      <c r="R64" s="1" t="s">
        <v>95</v>
      </c>
      <c r="S64" s="1" t="s">
        <v>96</v>
      </c>
      <c r="T64" s="1" t="s">
        <v>311</v>
      </c>
      <c r="U64" s="1">
        <v>1.00596941E8</v>
      </c>
      <c r="X64" s="1" t="s">
        <v>46</v>
      </c>
      <c r="Y64" s="1" t="s">
        <v>94</v>
      </c>
      <c r="Z64" s="1" t="s">
        <v>37</v>
      </c>
    </row>
    <row r="65" hidden="1">
      <c r="A65" s="1" t="s">
        <v>398</v>
      </c>
      <c r="B65" s="1" t="s">
        <v>399</v>
      </c>
      <c r="C65" s="1" t="s">
        <v>400</v>
      </c>
      <c r="D65" s="1" t="s">
        <v>27</v>
      </c>
      <c r="E65" s="1" t="s">
        <v>28</v>
      </c>
      <c r="F65" s="2">
        <v>1.0E7</v>
      </c>
      <c r="G65" s="4">
        <v>44623.0</v>
      </c>
      <c r="H65" s="4">
        <f>IFERROR(__xludf.DUMMYFUNCTION("DATE(INDEX(SPLIT(G65,""/""),,3),INDEX(SPLIT(G65,""/""),,2),INDEX(SPLIT(G65,""/""),,1))"),44623.0)</f>
        <v>44623</v>
      </c>
      <c r="I65" s="1" t="s">
        <v>203</v>
      </c>
      <c r="J65" s="4">
        <f>IFERROR(__xludf.DUMMYFUNCTION("DATE(INDEX(SPLIT(I65,""/""),,3),INDEX(SPLIT(I65,""/""),,2),INDEX(SPLIT(I65,""/""),,1))"),44925.0)</f>
        <v>44925</v>
      </c>
      <c r="L65" s="1">
        <v>0.0</v>
      </c>
      <c r="M65" s="1" t="s">
        <v>401</v>
      </c>
      <c r="N65" s="1"/>
      <c r="O65" s="1" t="s">
        <v>30</v>
      </c>
      <c r="P65" s="1" t="s">
        <v>31</v>
      </c>
      <c r="Q65" s="1" t="s">
        <v>32</v>
      </c>
      <c r="R65" s="1" t="s">
        <v>32</v>
      </c>
      <c r="S65" s="1" t="s">
        <v>33</v>
      </c>
      <c r="T65" s="1" t="s">
        <v>402</v>
      </c>
      <c r="U65" s="1">
        <v>1.0059112E8</v>
      </c>
      <c r="X65" s="1" t="s">
        <v>117</v>
      </c>
      <c r="Y65" s="1" t="s">
        <v>403</v>
      </c>
      <c r="Z65" s="1" t="s">
        <v>37</v>
      </c>
    </row>
    <row r="66" hidden="1">
      <c r="A66" s="1" t="s">
        <v>404</v>
      </c>
      <c r="B66" s="1" t="s">
        <v>114</v>
      </c>
      <c r="C66" s="1" t="s">
        <v>405</v>
      </c>
      <c r="D66" s="1" t="s">
        <v>122</v>
      </c>
      <c r="E66" s="1" t="s">
        <v>28</v>
      </c>
      <c r="F66" s="2">
        <v>1.0E7</v>
      </c>
      <c r="G66" s="4">
        <v>44623.0</v>
      </c>
      <c r="H66" s="4">
        <f>IFERROR(__xludf.DUMMYFUNCTION("DATE(INDEX(SPLIT(G66,""/""),,3),INDEX(SPLIT(G66,""/""),,2),INDEX(SPLIT(G66,""/""),,1))"),44623.0)</f>
        <v>44623</v>
      </c>
      <c r="I66" s="1" t="s">
        <v>109</v>
      </c>
      <c r="J66" s="4">
        <f>IFERROR(__xludf.DUMMYFUNCTION("DATE(INDEX(SPLIT(I66,""/""),,3),INDEX(SPLIT(I66,""/""),,2),INDEX(SPLIT(I66,""/""),,1))"),44834.0)</f>
        <v>44834</v>
      </c>
      <c r="L66" s="1">
        <v>0.0</v>
      </c>
      <c r="M66" s="1" t="s">
        <v>406</v>
      </c>
      <c r="N66" s="1"/>
      <c r="O66" s="1" t="s">
        <v>30</v>
      </c>
      <c r="P66" s="1" t="s">
        <v>31</v>
      </c>
      <c r="Q66" s="1" t="s">
        <v>32</v>
      </c>
      <c r="R66" s="1" t="s">
        <v>32</v>
      </c>
      <c r="S66" s="1" t="s">
        <v>33</v>
      </c>
      <c r="T66" s="1" t="s">
        <v>402</v>
      </c>
      <c r="U66" s="1">
        <v>1.00642129E8</v>
      </c>
      <c r="X66" s="1" t="s">
        <v>117</v>
      </c>
      <c r="Y66" s="1" t="s">
        <v>403</v>
      </c>
      <c r="Z66" s="1" t="s">
        <v>37</v>
      </c>
    </row>
    <row r="67" hidden="1">
      <c r="A67" s="1" t="s">
        <v>407</v>
      </c>
      <c r="B67" s="1" t="s">
        <v>408</v>
      </c>
      <c r="C67" s="1" t="s">
        <v>409</v>
      </c>
      <c r="D67" s="1" t="s">
        <v>27</v>
      </c>
      <c r="E67" s="1" t="s">
        <v>28</v>
      </c>
      <c r="F67" s="2">
        <v>1.0E7</v>
      </c>
      <c r="G67" s="4">
        <v>44717.0</v>
      </c>
      <c r="H67" s="4">
        <f>IFERROR(__xludf.DUMMYFUNCTION("DATE(INDEX(SPLIT(G67,""/""),,3),INDEX(SPLIT(G67,""/""),,2),INDEX(SPLIT(G67,""/""),,1))"),44687.0)</f>
        <v>44687</v>
      </c>
      <c r="I67" s="1" t="s">
        <v>203</v>
      </c>
      <c r="J67" s="4">
        <f>IFERROR(__xludf.DUMMYFUNCTION("DATE(INDEX(SPLIT(I67,""/""),,3),INDEX(SPLIT(I67,""/""),,2),INDEX(SPLIT(I67,""/""),,1))"),44925.0)</f>
        <v>44925</v>
      </c>
      <c r="L67" s="1">
        <v>0.0</v>
      </c>
      <c r="M67" s="1" t="s">
        <v>277</v>
      </c>
      <c r="N67" s="1"/>
      <c r="O67" s="1" t="s">
        <v>30</v>
      </c>
      <c r="P67" s="1" t="s">
        <v>31</v>
      </c>
      <c r="Q67" s="1" t="s">
        <v>32</v>
      </c>
      <c r="R67" s="1" t="s">
        <v>32</v>
      </c>
      <c r="S67" s="1" t="s">
        <v>33</v>
      </c>
      <c r="T67" s="1" t="s">
        <v>103</v>
      </c>
      <c r="U67" s="1">
        <v>1.00608828E8</v>
      </c>
      <c r="X67" s="1" t="s">
        <v>410</v>
      </c>
      <c r="Y67" s="1" t="s">
        <v>411</v>
      </c>
      <c r="Z67" s="1" t="s">
        <v>37</v>
      </c>
    </row>
    <row r="68">
      <c r="A68" s="3" t="s">
        <v>412</v>
      </c>
      <c r="B68" s="3" t="s">
        <v>341</v>
      </c>
      <c r="C68" s="3" t="s">
        <v>413</v>
      </c>
      <c r="D68" s="3" t="s">
        <v>122</v>
      </c>
      <c r="E68" s="3" t="s">
        <v>28</v>
      </c>
      <c r="F68" s="5">
        <v>1.0E7</v>
      </c>
      <c r="G68" s="3" t="s">
        <v>164</v>
      </c>
      <c r="H68" s="6">
        <f>IFERROR(__xludf.DUMMYFUNCTION("DATE(INDEX(SPLIT(G68,""/""),,3),INDEX(SPLIT(G68,""/""),,2),INDEX(SPLIT(G68,""/""),,1))"),44706.0)</f>
        <v>44706</v>
      </c>
      <c r="I68" s="3" t="s">
        <v>414</v>
      </c>
      <c r="J68" s="6">
        <f>IFERROR(__xludf.DUMMYFUNCTION("DATE(INDEX(SPLIT(I68,""/""),,3),INDEX(SPLIT(I68,""/""),,2),INDEX(SPLIT(I68,""/""),,1))"),44772.0)</f>
        <v>44772</v>
      </c>
      <c r="K68" s="7"/>
      <c r="L68" s="3">
        <v>0.0</v>
      </c>
      <c r="M68" s="3" t="s">
        <v>344</v>
      </c>
      <c r="N68" s="3"/>
      <c r="O68" s="3" t="s">
        <v>30</v>
      </c>
      <c r="P68" s="3" t="s">
        <v>31</v>
      </c>
      <c r="Q68" s="3" t="s">
        <v>188</v>
      </c>
      <c r="R68" s="3" t="s">
        <v>188</v>
      </c>
      <c r="S68" s="3" t="s">
        <v>189</v>
      </c>
      <c r="T68" s="3" t="s">
        <v>345</v>
      </c>
      <c r="U68" s="3">
        <v>1.00646804E8</v>
      </c>
      <c r="V68" s="7"/>
      <c r="W68" s="7"/>
      <c r="X68" s="3" t="s">
        <v>239</v>
      </c>
      <c r="Y68" s="3" t="s">
        <v>346</v>
      </c>
      <c r="Z68" s="3" t="s">
        <v>37</v>
      </c>
      <c r="AA68" s="7"/>
      <c r="AB68" s="7"/>
    </row>
    <row r="69" hidden="1">
      <c r="A69" s="1" t="s">
        <v>415</v>
      </c>
      <c r="B69" s="1" t="s">
        <v>416</v>
      </c>
      <c r="C69" s="1" t="s">
        <v>417</v>
      </c>
      <c r="D69" s="1" t="s">
        <v>78</v>
      </c>
      <c r="E69" s="1" t="s">
        <v>28</v>
      </c>
      <c r="F69" s="2">
        <v>1.0E7</v>
      </c>
      <c r="G69" s="1" t="s">
        <v>418</v>
      </c>
      <c r="H69" s="4">
        <f>IFERROR(__xludf.DUMMYFUNCTION("DATE(INDEX(SPLIT(G69,""/""),,3),INDEX(SPLIT(G69,""/""),,2),INDEX(SPLIT(G69,""/""),,1))"),44755.0)</f>
        <v>44755</v>
      </c>
      <c r="I69" s="4">
        <v>44933.0</v>
      </c>
      <c r="J69" s="4">
        <f>IFERROR(__xludf.DUMMYFUNCTION("DATE(INDEX(SPLIT(I69,""/""),,3),INDEX(SPLIT(I69,""/""),,2),INDEX(SPLIT(I69,""/""),,1))"),45108.0)</f>
        <v>45108</v>
      </c>
      <c r="L69" s="1">
        <v>0.0</v>
      </c>
      <c r="M69" s="1" t="s">
        <v>419</v>
      </c>
      <c r="N69" s="1"/>
      <c r="O69" s="1" t="s">
        <v>30</v>
      </c>
      <c r="P69" s="1" t="s">
        <v>31</v>
      </c>
      <c r="Q69" s="1" t="s">
        <v>71</v>
      </c>
      <c r="R69" s="1" t="s">
        <v>71</v>
      </c>
      <c r="S69" s="1" t="s">
        <v>72</v>
      </c>
      <c r="T69" s="1" t="s">
        <v>136</v>
      </c>
      <c r="U69" s="1">
        <v>1.0061032E8</v>
      </c>
      <c r="X69" s="1" t="s">
        <v>74</v>
      </c>
      <c r="Y69" s="1" t="s">
        <v>419</v>
      </c>
      <c r="Z69" s="1" t="s">
        <v>37</v>
      </c>
    </row>
    <row r="70" hidden="1">
      <c r="A70" s="1" t="s">
        <v>420</v>
      </c>
      <c r="B70" s="1" t="s">
        <v>66</v>
      </c>
      <c r="C70" s="1" t="s">
        <v>421</v>
      </c>
      <c r="D70" s="1" t="s">
        <v>27</v>
      </c>
      <c r="E70" s="1" t="s">
        <v>28</v>
      </c>
      <c r="F70" s="2">
        <v>1.0E7</v>
      </c>
      <c r="G70" s="4">
        <v>44899.0</v>
      </c>
      <c r="H70" s="4">
        <f>IFERROR(__xludf.DUMMYFUNCTION("DATE(INDEX(SPLIT(G70,""/""),,3),INDEX(SPLIT(G70,""/""),,2),INDEX(SPLIT(G70,""/""),,1))"),44663.0)</f>
        <v>44663</v>
      </c>
      <c r="I70" s="1" t="s">
        <v>366</v>
      </c>
      <c r="J70" s="4">
        <f>IFERROR(__xludf.DUMMYFUNCTION("DATE(INDEX(SPLIT(I70,""/""),,3),INDEX(SPLIT(I70,""/""),,2),INDEX(SPLIT(I70,""/""),,1))"),45289.0)</f>
        <v>45289</v>
      </c>
      <c r="L70" s="1">
        <v>0.0</v>
      </c>
      <c r="M70" s="1" t="s">
        <v>204</v>
      </c>
      <c r="N70" s="1"/>
      <c r="O70" s="1" t="s">
        <v>30</v>
      </c>
      <c r="P70" s="1" t="s">
        <v>31</v>
      </c>
      <c r="Q70" s="1" t="s">
        <v>71</v>
      </c>
      <c r="R70" s="1" t="s">
        <v>71</v>
      </c>
      <c r="S70" s="1" t="s">
        <v>72</v>
      </c>
      <c r="T70" s="1" t="s">
        <v>73</v>
      </c>
      <c r="U70" s="1">
        <v>1.00650575E8</v>
      </c>
      <c r="X70" s="1" t="s">
        <v>74</v>
      </c>
      <c r="Y70" s="1" t="s">
        <v>205</v>
      </c>
      <c r="Z70" s="1" t="s">
        <v>206</v>
      </c>
    </row>
    <row r="71" hidden="1">
      <c r="A71" s="1" t="s">
        <v>422</v>
      </c>
      <c r="B71" s="1" t="s">
        <v>76</v>
      </c>
      <c r="C71" s="1" t="s">
        <v>423</v>
      </c>
      <c r="D71" s="1" t="s">
        <v>27</v>
      </c>
      <c r="E71" s="1" t="s">
        <v>28</v>
      </c>
      <c r="F71" s="2">
        <v>1.0E7</v>
      </c>
      <c r="G71" s="1" t="s">
        <v>424</v>
      </c>
      <c r="H71" s="4">
        <f>IFERROR(__xludf.DUMMYFUNCTION("DATE(INDEX(SPLIT(G71,""/""),,3),INDEX(SPLIT(G71,""/""),,2),INDEX(SPLIT(G71,""/""),,1))"),44405.0)</f>
        <v>44405</v>
      </c>
      <c r="I71" s="1" t="s">
        <v>425</v>
      </c>
      <c r="J71" s="4">
        <f>IFERROR(__xludf.DUMMYFUNCTION("DATE(INDEX(SPLIT(I71,""/""),,3),INDEX(SPLIT(I71,""/""),,2),INDEX(SPLIT(I71,""/""),,1))"),44911.0)</f>
        <v>44911</v>
      </c>
      <c r="L71" s="1">
        <v>0.0</v>
      </c>
      <c r="M71" s="1" t="s">
        <v>79</v>
      </c>
      <c r="N71" s="1"/>
      <c r="O71" s="1" t="s">
        <v>30</v>
      </c>
      <c r="P71" s="1" t="s">
        <v>31</v>
      </c>
      <c r="Q71" s="1" t="s">
        <v>32</v>
      </c>
      <c r="R71" s="1" t="s">
        <v>32</v>
      </c>
      <c r="S71" s="1" t="s">
        <v>33</v>
      </c>
      <c r="T71" s="1" t="s">
        <v>159</v>
      </c>
      <c r="U71" s="1">
        <v>1.00609569E8</v>
      </c>
      <c r="X71" s="1" t="s">
        <v>81</v>
      </c>
      <c r="Y71" s="1" t="s">
        <v>390</v>
      </c>
      <c r="Z71" s="1" t="s">
        <v>37</v>
      </c>
    </row>
    <row r="72" hidden="1">
      <c r="A72" s="1" t="s">
        <v>426</v>
      </c>
      <c r="B72" s="1" t="s">
        <v>427</v>
      </c>
      <c r="C72" s="1" t="s">
        <v>428</v>
      </c>
      <c r="D72" s="1" t="s">
        <v>27</v>
      </c>
      <c r="E72" s="1" t="s">
        <v>28</v>
      </c>
      <c r="F72" s="2">
        <v>1.0E7</v>
      </c>
      <c r="G72" s="1" t="s">
        <v>429</v>
      </c>
      <c r="H72" s="4">
        <f>IFERROR(__xludf.DUMMYFUNCTION("DATE(INDEX(SPLIT(G72,""/""),,3),INDEX(SPLIT(G72,""/""),,2),INDEX(SPLIT(G72,""/""),,1))"),44739.0)</f>
        <v>44739</v>
      </c>
      <c r="I72" s="1" t="s">
        <v>430</v>
      </c>
      <c r="J72" s="4">
        <f>IFERROR(__xludf.DUMMYFUNCTION("DATE(INDEX(SPLIT(I72,""/""),,3),INDEX(SPLIT(I72,""/""),,2),INDEX(SPLIT(I72,""/""),,1))"),44985.0)</f>
        <v>44985</v>
      </c>
      <c r="L72" s="1">
        <v>0.0</v>
      </c>
      <c r="M72" s="1" t="s">
        <v>431</v>
      </c>
      <c r="N72" s="1"/>
      <c r="O72" s="1" t="s">
        <v>30</v>
      </c>
      <c r="P72" s="1" t="s">
        <v>31</v>
      </c>
      <c r="Q72" s="1" t="s">
        <v>157</v>
      </c>
      <c r="R72" s="1" t="s">
        <v>157</v>
      </c>
      <c r="S72" s="1" t="s">
        <v>158</v>
      </c>
      <c r="T72" s="1" t="s">
        <v>159</v>
      </c>
      <c r="U72" s="1">
        <v>1.00650064E8</v>
      </c>
      <c r="X72" s="1" t="s">
        <v>125</v>
      </c>
      <c r="Y72" s="1" t="s">
        <v>432</v>
      </c>
      <c r="Z72" s="1" t="s">
        <v>37</v>
      </c>
    </row>
    <row r="73" hidden="1">
      <c r="A73" s="1" t="s">
        <v>433</v>
      </c>
      <c r="B73" s="1" t="s">
        <v>434</v>
      </c>
      <c r="C73" s="1" t="s">
        <v>435</v>
      </c>
      <c r="D73" s="1" t="s">
        <v>78</v>
      </c>
      <c r="E73" s="1" t="s">
        <v>28</v>
      </c>
      <c r="F73" s="2">
        <v>1.0E7</v>
      </c>
      <c r="G73" s="1" t="s">
        <v>436</v>
      </c>
      <c r="H73" s="4">
        <f>IFERROR(__xludf.DUMMYFUNCTION("DATE(INDEX(SPLIT(G73,""/""),,3),INDEX(SPLIT(G73,""/""),,2),INDEX(SPLIT(G73,""/""),,1))"),44434.0)</f>
        <v>44434</v>
      </c>
      <c r="I73" s="1" t="s">
        <v>85</v>
      </c>
      <c r="J73" s="4">
        <f>IFERROR(__xludf.DUMMYFUNCTION("DATE(INDEX(SPLIT(I73,""/""),,3),INDEX(SPLIT(I73,""/""),,2),INDEX(SPLIT(I73,""/""),,1))"),44799.0)</f>
        <v>44799</v>
      </c>
      <c r="L73" s="1">
        <v>0.0</v>
      </c>
      <c r="M73" s="1" t="s">
        <v>437</v>
      </c>
      <c r="N73" s="1"/>
      <c r="O73" s="1" t="s">
        <v>30</v>
      </c>
      <c r="P73" s="1" t="s">
        <v>31</v>
      </c>
      <c r="Q73" s="1" t="s">
        <v>235</v>
      </c>
      <c r="R73" s="1" t="s">
        <v>235</v>
      </c>
      <c r="S73" s="1" t="s">
        <v>236</v>
      </c>
      <c r="T73" s="1" t="s">
        <v>438</v>
      </c>
      <c r="U73" s="1">
        <v>1.00650375E8</v>
      </c>
      <c r="X73" s="1" t="s">
        <v>88</v>
      </c>
      <c r="Y73" s="1" t="s">
        <v>437</v>
      </c>
      <c r="Z73" s="1" t="s">
        <v>37</v>
      </c>
    </row>
    <row r="74" hidden="1">
      <c r="A74" s="1" t="s">
        <v>439</v>
      </c>
      <c r="B74" s="1" t="s">
        <v>120</v>
      </c>
      <c r="C74" s="1" t="s">
        <v>440</v>
      </c>
      <c r="D74" s="1" t="s">
        <v>27</v>
      </c>
      <c r="E74" s="1" t="s">
        <v>28</v>
      </c>
      <c r="F74" s="2">
        <v>1.0E7</v>
      </c>
      <c r="G74" s="1" t="s">
        <v>359</v>
      </c>
      <c r="H74" s="4">
        <f>IFERROR(__xludf.DUMMYFUNCTION("DATE(INDEX(SPLIT(G74,""/""),,3),INDEX(SPLIT(G74,""/""),,2),INDEX(SPLIT(G74,""/""),,1))"),44740.0)</f>
        <v>44740</v>
      </c>
      <c r="I74" s="4">
        <v>44988.0</v>
      </c>
      <c r="J74" s="4">
        <f>IFERROR(__xludf.DUMMYFUNCTION("DATE(INDEX(SPLIT(I74,""/""),,3),INDEX(SPLIT(I74,""/""),,2),INDEX(SPLIT(I74,""/""),,1))"),44988.0)</f>
        <v>44988</v>
      </c>
      <c r="L74" s="1">
        <v>0.0</v>
      </c>
      <c r="M74" s="1" t="s">
        <v>441</v>
      </c>
      <c r="N74" s="1"/>
      <c r="O74" s="1" t="s">
        <v>30</v>
      </c>
      <c r="P74" s="1" t="s">
        <v>31</v>
      </c>
      <c r="Q74" s="1" t="s">
        <v>157</v>
      </c>
      <c r="R74" s="1" t="s">
        <v>157</v>
      </c>
      <c r="S74" s="1" t="s">
        <v>158</v>
      </c>
      <c r="T74" s="1" t="s">
        <v>442</v>
      </c>
      <c r="U74" s="1">
        <v>1.00581784E8</v>
      </c>
      <c r="X74" s="1" t="s">
        <v>125</v>
      </c>
      <c r="Y74" s="1" t="s">
        <v>441</v>
      </c>
      <c r="Z74" s="1" t="s">
        <v>37</v>
      </c>
    </row>
    <row r="75" hidden="1">
      <c r="A75" s="1" t="s">
        <v>443</v>
      </c>
      <c r="B75" s="1" t="s">
        <v>444</v>
      </c>
      <c r="C75" s="1" t="s">
        <v>445</v>
      </c>
      <c r="D75" s="1" t="s">
        <v>78</v>
      </c>
      <c r="E75" s="1" t="s">
        <v>28</v>
      </c>
      <c r="F75" s="2">
        <v>1.0E7</v>
      </c>
      <c r="G75" s="1" t="s">
        <v>446</v>
      </c>
      <c r="H75" s="4">
        <f>IFERROR(__xludf.DUMMYFUNCTION("DATE(INDEX(SPLIT(G75,""/""),,3),INDEX(SPLIT(G75,""/""),,2),INDEX(SPLIT(G75,""/""),,1))"),44210.0)</f>
        <v>44210</v>
      </c>
      <c r="I75" s="1" t="s">
        <v>447</v>
      </c>
      <c r="J75" s="4">
        <f>IFERROR(__xludf.DUMMYFUNCTION("DATE(INDEX(SPLIT(I75,""/""),,3),INDEX(SPLIT(I75,""/""),,2),INDEX(SPLIT(I75,""/""),,1))"),44910.0)</f>
        <v>44910</v>
      </c>
      <c r="L75" s="1">
        <v>0.0</v>
      </c>
      <c r="M75" s="1" t="s">
        <v>259</v>
      </c>
      <c r="N75" s="1"/>
      <c r="O75" s="1" t="s">
        <v>30</v>
      </c>
      <c r="P75" s="1" t="s">
        <v>31</v>
      </c>
      <c r="Q75" s="1" t="s">
        <v>95</v>
      </c>
      <c r="R75" s="1" t="s">
        <v>95</v>
      </c>
      <c r="S75" s="1" t="s">
        <v>96</v>
      </c>
      <c r="T75" s="1" t="s">
        <v>62</v>
      </c>
      <c r="U75" s="1">
        <v>1.00659114E8</v>
      </c>
      <c r="W75" s="1" t="s">
        <v>389</v>
      </c>
      <c r="X75" s="1" t="s">
        <v>239</v>
      </c>
      <c r="Y75" s="1" t="s">
        <v>448</v>
      </c>
      <c r="Z75" s="1" t="s">
        <v>37</v>
      </c>
    </row>
    <row r="76" hidden="1">
      <c r="A76" s="1" t="s">
        <v>449</v>
      </c>
      <c r="B76" s="1" t="s">
        <v>450</v>
      </c>
      <c r="C76" s="1" t="s">
        <v>209</v>
      </c>
      <c r="D76" s="1" t="s">
        <v>27</v>
      </c>
      <c r="E76" s="1" t="s">
        <v>28</v>
      </c>
      <c r="F76" s="2">
        <v>1.0E7</v>
      </c>
      <c r="G76" s="1" t="s">
        <v>210</v>
      </c>
      <c r="H76" s="4">
        <f>IFERROR(__xludf.DUMMYFUNCTION("DATE(INDEX(SPLIT(G76,""/""),,3),INDEX(SPLIT(G76,""/""),,2),INDEX(SPLIT(G76,""/""),,1))"),44329.0)</f>
        <v>44329</v>
      </c>
      <c r="I76" s="1" t="s">
        <v>317</v>
      </c>
      <c r="J76" s="4">
        <f>IFERROR(__xludf.DUMMYFUNCTION("DATE(INDEX(SPLIT(I76,""/""),,3),INDEX(SPLIT(I76,""/""),,2),INDEX(SPLIT(I76,""/""),,1))"),44862.0)</f>
        <v>44862</v>
      </c>
      <c r="L76" s="1">
        <v>0.0</v>
      </c>
      <c r="M76" s="1" t="s">
        <v>211</v>
      </c>
      <c r="N76" s="1"/>
      <c r="O76" s="1" t="s">
        <v>30</v>
      </c>
      <c r="P76" s="1" t="s">
        <v>31</v>
      </c>
      <c r="Q76" s="1" t="s">
        <v>71</v>
      </c>
      <c r="R76" s="1" t="s">
        <v>71</v>
      </c>
      <c r="S76" s="1" t="s">
        <v>72</v>
      </c>
      <c r="T76" s="1" t="s">
        <v>136</v>
      </c>
      <c r="U76" s="1">
        <v>1.00590896E8</v>
      </c>
      <c r="X76" s="1" t="s">
        <v>74</v>
      </c>
      <c r="Y76" s="1" t="s">
        <v>212</v>
      </c>
      <c r="Z76" s="1" t="s">
        <v>37</v>
      </c>
    </row>
    <row r="77" hidden="1">
      <c r="A77" s="1" t="s">
        <v>451</v>
      </c>
      <c r="B77" s="1" t="s">
        <v>370</v>
      </c>
      <c r="C77" s="1" t="s">
        <v>452</v>
      </c>
      <c r="D77" s="1" t="s">
        <v>78</v>
      </c>
      <c r="E77" s="1" t="s">
        <v>28</v>
      </c>
      <c r="F77" s="2">
        <v>1.0E7</v>
      </c>
      <c r="G77" s="1" t="s">
        <v>453</v>
      </c>
      <c r="H77" s="4">
        <f>IFERROR(__xludf.DUMMYFUNCTION("DATE(INDEX(SPLIT(G77,""/""),,3),INDEX(SPLIT(G77,""/""),,2),INDEX(SPLIT(G77,""/""),,1))"),44029.0)</f>
        <v>44029</v>
      </c>
      <c r="I77" s="1" t="s">
        <v>109</v>
      </c>
      <c r="J77" s="4">
        <f>IFERROR(__xludf.DUMMYFUNCTION("DATE(INDEX(SPLIT(I77,""/""),,3),INDEX(SPLIT(I77,""/""),,2),INDEX(SPLIT(I77,""/""),,1))"),44834.0)</f>
        <v>44834</v>
      </c>
      <c r="K77" s="1" t="s">
        <v>454</v>
      </c>
      <c r="L77" s="1">
        <v>0.0</v>
      </c>
      <c r="M77" s="1" t="s">
        <v>234</v>
      </c>
      <c r="N77" s="1"/>
      <c r="O77" s="1" t="s">
        <v>30</v>
      </c>
      <c r="P77" s="1" t="s">
        <v>31</v>
      </c>
      <c r="Q77" s="1" t="s">
        <v>235</v>
      </c>
      <c r="R77" s="1" t="s">
        <v>235</v>
      </c>
      <c r="S77" s="1" t="s">
        <v>236</v>
      </c>
      <c r="T77" s="1" t="s">
        <v>237</v>
      </c>
      <c r="U77" s="1">
        <v>1.00658132E8</v>
      </c>
      <c r="X77" s="1" t="s">
        <v>239</v>
      </c>
      <c r="Y77" s="1" t="s">
        <v>234</v>
      </c>
      <c r="Z77" s="1" t="s">
        <v>37</v>
      </c>
    </row>
    <row r="78" hidden="1">
      <c r="A78" s="1" t="s">
        <v>455</v>
      </c>
      <c r="B78" s="1" t="s">
        <v>456</v>
      </c>
      <c r="C78" s="1" t="s">
        <v>457</v>
      </c>
      <c r="D78" s="1" t="s">
        <v>78</v>
      </c>
      <c r="E78" s="1" t="s">
        <v>28</v>
      </c>
      <c r="F78" s="2">
        <v>1.0E7</v>
      </c>
      <c r="G78" s="1" t="s">
        <v>458</v>
      </c>
      <c r="H78" s="4">
        <f>IFERROR(__xludf.DUMMYFUNCTION("DATE(INDEX(SPLIT(G78,""/""),,3),INDEX(SPLIT(G78,""/""),,2),INDEX(SPLIT(G78,""/""),,1))"),44649.0)</f>
        <v>44649</v>
      </c>
      <c r="I78" s="4">
        <v>44933.0</v>
      </c>
      <c r="J78" s="4">
        <f>IFERROR(__xludf.DUMMYFUNCTION("DATE(INDEX(SPLIT(I78,""/""),,3),INDEX(SPLIT(I78,""/""),,2),INDEX(SPLIT(I78,""/""),,1))"),45108.0)</f>
        <v>45108</v>
      </c>
      <c r="L78" s="1">
        <v>0.0</v>
      </c>
      <c r="M78" s="1" t="s">
        <v>459</v>
      </c>
      <c r="N78" s="1"/>
      <c r="O78" s="1" t="s">
        <v>30</v>
      </c>
      <c r="P78" s="1" t="s">
        <v>31</v>
      </c>
      <c r="Q78" s="1" t="s">
        <v>53</v>
      </c>
      <c r="R78" s="1" t="s">
        <v>53</v>
      </c>
      <c r="S78" s="1" t="s">
        <v>54</v>
      </c>
      <c r="T78" s="1" t="s">
        <v>87</v>
      </c>
      <c r="U78" s="1">
        <v>1.00653756E8</v>
      </c>
      <c r="X78" s="1" t="s">
        <v>375</v>
      </c>
      <c r="Y78" s="1" t="s">
        <v>460</v>
      </c>
      <c r="Z78" s="1" t="s">
        <v>37</v>
      </c>
    </row>
    <row r="79" hidden="1">
      <c r="A79" s="1" t="s">
        <v>461</v>
      </c>
      <c r="B79" s="1" t="s">
        <v>456</v>
      </c>
      <c r="C79" s="1" t="s">
        <v>462</v>
      </c>
      <c r="D79" s="1" t="s">
        <v>78</v>
      </c>
      <c r="E79" s="1" t="s">
        <v>28</v>
      </c>
      <c r="F79" s="2">
        <v>1.0E7</v>
      </c>
      <c r="G79" s="1" t="s">
        <v>458</v>
      </c>
      <c r="H79" s="4">
        <f>IFERROR(__xludf.DUMMYFUNCTION("DATE(INDEX(SPLIT(G79,""/""),,3),INDEX(SPLIT(G79,""/""),,2),INDEX(SPLIT(G79,""/""),,1))"),44649.0)</f>
        <v>44649</v>
      </c>
      <c r="I79" s="4">
        <v>44933.0</v>
      </c>
      <c r="J79" s="4">
        <f>IFERROR(__xludf.DUMMYFUNCTION("DATE(INDEX(SPLIT(I79,""/""),,3),INDEX(SPLIT(I79,""/""),,2),INDEX(SPLIT(I79,""/""),,1))"),45108.0)</f>
        <v>45108</v>
      </c>
      <c r="L79" s="1">
        <v>0.0</v>
      </c>
      <c r="M79" s="1" t="s">
        <v>459</v>
      </c>
      <c r="N79" s="1"/>
      <c r="O79" s="1" t="s">
        <v>30</v>
      </c>
      <c r="P79" s="1" t="s">
        <v>31</v>
      </c>
      <c r="Q79" s="1" t="s">
        <v>53</v>
      </c>
      <c r="R79" s="1" t="s">
        <v>53</v>
      </c>
      <c r="S79" s="1" t="s">
        <v>54</v>
      </c>
      <c r="T79" s="1" t="s">
        <v>87</v>
      </c>
      <c r="U79" s="1">
        <v>1.00653756E8</v>
      </c>
      <c r="X79" s="1" t="s">
        <v>375</v>
      </c>
      <c r="Y79" s="1" t="s">
        <v>460</v>
      </c>
      <c r="Z79" s="1" t="s">
        <v>37</v>
      </c>
    </row>
    <row r="80">
      <c r="A80" s="3" t="s">
        <v>463</v>
      </c>
      <c r="B80" s="3" t="s">
        <v>464</v>
      </c>
      <c r="C80" s="3" t="s">
        <v>465</v>
      </c>
      <c r="D80" s="3" t="s">
        <v>122</v>
      </c>
      <c r="E80" s="3" t="s">
        <v>28</v>
      </c>
      <c r="F80" s="5">
        <v>1.0E7</v>
      </c>
      <c r="G80" s="6">
        <v>44324.0</v>
      </c>
      <c r="H80" s="6">
        <f>IFERROR(__xludf.DUMMYFUNCTION("DATE(INDEX(SPLIT(G80,""/""),,3),INDEX(SPLIT(G80,""/""),,2),INDEX(SPLIT(G80,""/""),,1))"),44413.0)</f>
        <v>44413</v>
      </c>
      <c r="I80" s="3" t="s">
        <v>226</v>
      </c>
      <c r="J80" s="6">
        <f>IFERROR(__xludf.DUMMYFUNCTION("DATE(INDEX(SPLIT(I80,""/""),,3),INDEX(SPLIT(I80,""/""),,2),INDEX(SPLIT(I80,""/""),,1))"),44771.0)</f>
        <v>44771</v>
      </c>
      <c r="K80" s="3" t="s">
        <v>466</v>
      </c>
      <c r="L80" s="3">
        <v>0.0</v>
      </c>
      <c r="M80" s="3" t="s">
        <v>467</v>
      </c>
      <c r="N80" s="3"/>
      <c r="O80" s="3" t="s">
        <v>30</v>
      </c>
      <c r="P80" s="3" t="s">
        <v>31</v>
      </c>
      <c r="Q80" s="3" t="s">
        <v>32</v>
      </c>
      <c r="R80" s="3" t="s">
        <v>32</v>
      </c>
      <c r="S80" s="3" t="s">
        <v>33</v>
      </c>
      <c r="T80" s="3" t="s">
        <v>103</v>
      </c>
      <c r="U80" s="3">
        <v>1.00619817E8</v>
      </c>
      <c r="V80" s="7"/>
      <c r="W80" s="7"/>
      <c r="X80" s="3" t="s">
        <v>468</v>
      </c>
      <c r="Y80" s="3" t="s">
        <v>467</v>
      </c>
      <c r="Z80" s="3" t="s">
        <v>37</v>
      </c>
      <c r="AA80" s="7"/>
      <c r="AB80" s="7"/>
    </row>
    <row r="81" hidden="1">
      <c r="A81" s="1" t="s">
        <v>469</v>
      </c>
      <c r="B81" s="1" t="s">
        <v>470</v>
      </c>
      <c r="C81" s="1" t="s">
        <v>471</v>
      </c>
      <c r="D81" s="1" t="s">
        <v>78</v>
      </c>
      <c r="E81" s="1" t="s">
        <v>28</v>
      </c>
      <c r="F81" s="2">
        <v>1.0E7</v>
      </c>
      <c r="G81" s="1" t="s">
        <v>472</v>
      </c>
      <c r="H81" s="4">
        <f>IFERROR(__xludf.DUMMYFUNCTION("DATE(INDEX(SPLIT(G81,""/""),,3),INDEX(SPLIT(G81,""/""),,2),INDEX(SPLIT(G81,""/""),,1))"),44760.0)</f>
        <v>44760</v>
      </c>
      <c r="I81" s="1" t="s">
        <v>473</v>
      </c>
      <c r="J81" s="4">
        <f>IFERROR(__xludf.DUMMYFUNCTION("DATE(INDEX(SPLIT(I81,""/""),,3),INDEX(SPLIT(I81,""/""),,2),INDEX(SPLIT(I81,""/""),,1))"),45044.0)</f>
        <v>45044</v>
      </c>
      <c r="L81" s="1">
        <v>0.0</v>
      </c>
      <c r="M81" s="1" t="s">
        <v>172</v>
      </c>
      <c r="N81" s="1"/>
      <c r="O81" s="1" t="s">
        <v>30</v>
      </c>
      <c r="P81" s="1" t="s">
        <v>31</v>
      </c>
      <c r="Q81" s="1" t="s">
        <v>95</v>
      </c>
      <c r="R81" s="1" t="s">
        <v>95</v>
      </c>
      <c r="S81" s="1" t="s">
        <v>96</v>
      </c>
      <c r="T81" s="1" t="s">
        <v>97</v>
      </c>
      <c r="U81" s="1">
        <v>1.00658519E8</v>
      </c>
      <c r="X81" s="1" t="s">
        <v>254</v>
      </c>
      <c r="Y81" s="1" t="s">
        <v>172</v>
      </c>
      <c r="Z81" s="1" t="s">
        <v>37</v>
      </c>
    </row>
    <row r="82" hidden="1">
      <c r="A82" s="1" t="s">
        <v>474</v>
      </c>
      <c r="B82" s="1" t="s">
        <v>456</v>
      </c>
      <c r="C82" s="1" t="s">
        <v>475</v>
      </c>
      <c r="D82" s="1" t="s">
        <v>68</v>
      </c>
      <c r="E82" s="1" t="s">
        <v>28</v>
      </c>
      <c r="F82" s="2">
        <v>1.0E7</v>
      </c>
      <c r="G82" s="4">
        <v>44296.0</v>
      </c>
      <c r="H82" s="4">
        <f>IFERROR(__xludf.DUMMYFUNCTION("DATE(INDEX(SPLIT(G82,""/""),,3),INDEX(SPLIT(G82,""/""),,2),INDEX(SPLIT(G82,""/""),,1))"),44473.0)</f>
        <v>44473</v>
      </c>
      <c r="I82" s="1" t="s">
        <v>476</v>
      </c>
      <c r="J82" s="4">
        <f>IFERROR(__xludf.DUMMYFUNCTION("DATE(INDEX(SPLIT(I82,""/""),,3),INDEX(SPLIT(I82,""/""),,2),INDEX(SPLIT(I82,""/""),,1))"),44833.0)</f>
        <v>44833</v>
      </c>
      <c r="L82" s="1">
        <v>0.0</v>
      </c>
      <c r="M82" s="1" t="s">
        <v>459</v>
      </c>
      <c r="N82" s="1"/>
      <c r="O82" s="1" t="s">
        <v>30</v>
      </c>
      <c r="P82" s="1" t="s">
        <v>31</v>
      </c>
      <c r="Q82" s="1" t="s">
        <v>53</v>
      </c>
      <c r="R82" s="1" t="s">
        <v>53</v>
      </c>
      <c r="S82" s="1" t="s">
        <v>54</v>
      </c>
      <c r="T82" s="1" t="s">
        <v>87</v>
      </c>
      <c r="U82" s="1">
        <v>1.00653756E8</v>
      </c>
      <c r="X82" s="1" t="s">
        <v>375</v>
      </c>
      <c r="Y82" s="1" t="s">
        <v>477</v>
      </c>
      <c r="Z82" s="1" t="s">
        <v>37</v>
      </c>
    </row>
    <row r="83">
      <c r="A83" s="3" t="s">
        <v>478</v>
      </c>
      <c r="B83" s="3" t="s">
        <v>479</v>
      </c>
      <c r="C83" s="3" t="s">
        <v>480</v>
      </c>
      <c r="D83" s="3" t="s">
        <v>122</v>
      </c>
      <c r="E83" s="3" t="s">
        <v>28</v>
      </c>
      <c r="F83" s="5">
        <v>1.0E7</v>
      </c>
      <c r="G83" s="6">
        <v>44565.0</v>
      </c>
      <c r="H83" s="6">
        <f>IFERROR(__xludf.DUMMYFUNCTION("DATE(INDEX(SPLIT(G83,""/""),,3),INDEX(SPLIT(G83,""/""),,2),INDEX(SPLIT(G83,""/""),,1))"),44652.0)</f>
        <v>44652</v>
      </c>
      <c r="I83" s="3" t="s">
        <v>226</v>
      </c>
      <c r="J83" s="6">
        <f>IFERROR(__xludf.DUMMYFUNCTION("DATE(INDEX(SPLIT(I83,""/""),,3),INDEX(SPLIT(I83,""/""),,2),INDEX(SPLIT(I83,""/""),,1))"),44771.0)</f>
        <v>44771</v>
      </c>
      <c r="K83" s="7"/>
      <c r="L83" s="3">
        <v>0.0</v>
      </c>
      <c r="M83" s="3" t="s">
        <v>277</v>
      </c>
      <c r="N83" s="3"/>
      <c r="O83" s="3" t="s">
        <v>30</v>
      </c>
      <c r="P83" s="3" t="s">
        <v>31</v>
      </c>
      <c r="Q83" s="3" t="s">
        <v>32</v>
      </c>
      <c r="R83" s="3" t="s">
        <v>32</v>
      </c>
      <c r="S83" s="3" t="s">
        <v>33</v>
      </c>
      <c r="T83" s="3" t="s">
        <v>103</v>
      </c>
      <c r="U83" s="3">
        <v>1.00608828E8</v>
      </c>
      <c r="V83" s="3" t="s">
        <v>481</v>
      </c>
      <c r="W83" s="3" t="s">
        <v>45</v>
      </c>
      <c r="X83" s="3" t="s">
        <v>312</v>
      </c>
      <c r="Y83" s="3" t="s">
        <v>482</v>
      </c>
      <c r="Z83" s="3" t="s">
        <v>37</v>
      </c>
      <c r="AA83" s="7"/>
      <c r="AB83" s="7"/>
    </row>
    <row r="84" hidden="1">
      <c r="A84" s="1" t="s">
        <v>483</v>
      </c>
      <c r="B84" s="1" t="s">
        <v>484</v>
      </c>
      <c r="C84" s="1" t="s">
        <v>485</v>
      </c>
      <c r="D84" s="1" t="s">
        <v>78</v>
      </c>
      <c r="E84" s="1" t="s">
        <v>28</v>
      </c>
      <c r="F84" s="2">
        <v>1.0E7</v>
      </c>
      <c r="G84" s="1" t="s">
        <v>486</v>
      </c>
      <c r="H84" s="4">
        <f>IFERROR(__xludf.DUMMYFUNCTION("DATE(INDEX(SPLIT(G84,""/""),,3),INDEX(SPLIT(G84,""/""),,2),INDEX(SPLIT(G84,""/""),,1))"),44209.0)</f>
        <v>44209</v>
      </c>
      <c r="I84" s="1" t="s">
        <v>487</v>
      </c>
      <c r="J84" s="4">
        <f>IFERROR(__xludf.DUMMYFUNCTION("DATE(INDEX(SPLIT(I84,""/""),,3),INDEX(SPLIT(I84,""/""),,2),INDEX(SPLIT(I84,""/""),,1))"),44855.0)</f>
        <v>44855</v>
      </c>
      <c r="L84" s="1">
        <v>0.0</v>
      </c>
      <c r="M84" s="1" t="s">
        <v>488</v>
      </c>
      <c r="N84" s="1"/>
      <c r="O84" s="1" t="s">
        <v>30</v>
      </c>
      <c r="P84" s="1" t="s">
        <v>31</v>
      </c>
      <c r="Q84" s="1" t="s">
        <v>95</v>
      </c>
      <c r="R84" s="1" t="s">
        <v>95</v>
      </c>
      <c r="S84" s="1" t="s">
        <v>96</v>
      </c>
      <c r="T84" s="1" t="s">
        <v>489</v>
      </c>
      <c r="U84" s="1">
        <v>1.00611486E8</v>
      </c>
      <c r="X84" s="1" t="s">
        <v>490</v>
      </c>
      <c r="Y84" s="1" t="s">
        <v>488</v>
      </c>
      <c r="Z84" s="1" t="s">
        <v>37</v>
      </c>
    </row>
    <row r="85">
      <c r="A85" s="3" t="s">
        <v>491</v>
      </c>
      <c r="B85" s="3" t="s">
        <v>492</v>
      </c>
      <c r="C85" s="3" t="s">
        <v>493</v>
      </c>
      <c r="D85" s="3" t="s">
        <v>78</v>
      </c>
      <c r="E85" s="3" t="s">
        <v>28</v>
      </c>
      <c r="F85" s="5">
        <v>1.0E7</v>
      </c>
      <c r="G85" s="3" t="s">
        <v>359</v>
      </c>
      <c r="H85" s="6">
        <f>IFERROR(__xludf.DUMMYFUNCTION("DATE(INDEX(SPLIT(G85,""/""),,3),INDEX(SPLIT(G85,""/""),,2),INDEX(SPLIT(G85,""/""),,1))"),44740.0)</f>
        <v>44740</v>
      </c>
      <c r="I85" s="3" t="s">
        <v>226</v>
      </c>
      <c r="J85" s="6">
        <f>IFERROR(__xludf.DUMMYFUNCTION("DATE(INDEX(SPLIT(I85,""/""),,3),INDEX(SPLIT(I85,""/""),,2),INDEX(SPLIT(I85,""/""),,1))"),44771.0)</f>
        <v>44771</v>
      </c>
      <c r="K85" s="7"/>
      <c r="L85" s="3">
        <v>0.0</v>
      </c>
      <c r="M85" s="3" t="s">
        <v>494</v>
      </c>
      <c r="N85" s="3"/>
      <c r="O85" s="3" t="s">
        <v>30</v>
      </c>
      <c r="P85" s="3" t="s">
        <v>31</v>
      </c>
      <c r="Q85" s="3" t="s">
        <v>95</v>
      </c>
      <c r="R85" s="3" t="s">
        <v>95</v>
      </c>
      <c r="S85" s="3" t="s">
        <v>96</v>
      </c>
      <c r="T85" s="3" t="s">
        <v>62</v>
      </c>
      <c r="U85" s="3">
        <v>1.0062347E8</v>
      </c>
      <c r="V85" s="7"/>
      <c r="W85" s="7"/>
      <c r="X85" s="3" t="s">
        <v>46</v>
      </c>
      <c r="Y85" s="3" t="s">
        <v>495</v>
      </c>
      <c r="Z85" s="3" t="s">
        <v>37</v>
      </c>
      <c r="AA85" s="7"/>
      <c r="AB85" s="7"/>
    </row>
    <row r="86" hidden="1">
      <c r="A86" s="1" t="s">
        <v>496</v>
      </c>
      <c r="B86" s="1" t="s">
        <v>497</v>
      </c>
      <c r="C86" s="1" t="s">
        <v>498</v>
      </c>
      <c r="D86" s="1" t="s">
        <v>78</v>
      </c>
      <c r="E86" s="1" t="s">
        <v>28</v>
      </c>
      <c r="F86" s="2">
        <v>1.0E7</v>
      </c>
      <c r="G86" s="1" t="s">
        <v>472</v>
      </c>
      <c r="H86" s="4">
        <f>IFERROR(__xludf.DUMMYFUNCTION("DATE(INDEX(SPLIT(G86,""/""),,3),INDEX(SPLIT(G86,""/""),,2),INDEX(SPLIT(G86,""/""),,1))"),44760.0)</f>
        <v>44760</v>
      </c>
      <c r="I86" s="1" t="s">
        <v>360</v>
      </c>
      <c r="J86" s="4">
        <f>IFERROR(__xludf.DUMMYFUNCTION("DATE(INDEX(SPLIT(I86,""/""),,3),INDEX(SPLIT(I86,""/""),,2),INDEX(SPLIT(I86,""/""),,1))"),44895.0)</f>
        <v>44895</v>
      </c>
      <c r="L86" s="1">
        <v>0.0</v>
      </c>
      <c r="M86" s="1" t="s">
        <v>499</v>
      </c>
      <c r="N86" s="1"/>
      <c r="O86" s="1" t="s">
        <v>30</v>
      </c>
      <c r="P86" s="1" t="s">
        <v>31</v>
      </c>
      <c r="Q86" s="1" t="s">
        <v>32</v>
      </c>
      <c r="R86" s="1" t="s">
        <v>32</v>
      </c>
      <c r="S86" s="1" t="s">
        <v>33</v>
      </c>
      <c r="T86" s="1" t="s">
        <v>34</v>
      </c>
      <c r="U86" s="1">
        <v>1.00615044E8</v>
      </c>
      <c r="X86" s="1" t="s">
        <v>35</v>
      </c>
      <c r="Y86" s="1" t="s">
        <v>499</v>
      </c>
      <c r="Z86" s="1" t="s">
        <v>37</v>
      </c>
    </row>
    <row r="87">
      <c r="A87" s="3" t="s">
        <v>500</v>
      </c>
      <c r="B87" s="3" t="s">
        <v>501</v>
      </c>
      <c r="C87" s="3" t="s">
        <v>502</v>
      </c>
      <c r="D87" s="3" t="s">
        <v>122</v>
      </c>
      <c r="E87" s="3" t="s">
        <v>28</v>
      </c>
      <c r="F87" s="5">
        <v>9600000.0</v>
      </c>
      <c r="G87" s="3" t="s">
        <v>503</v>
      </c>
      <c r="H87" s="6">
        <f>IFERROR(__xludf.DUMMYFUNCTION("DATE(INDEX(SPLIT(G87,""/""),,3),INDEX(SPLIT(G87,""/""),,2),INDEX(SPLIT(G87,""/""),,1))"),44736.0)</f>
        <v>44736</v>
      </c>
      <c r="I87" s="3" t="s">
        <v>226</v>
      </c>
      <c r="J87" s="6">
        <f>IFERROR(__xludf.DUMMYFUNCTION("DATE(INDEX(SPLIT(I87,""/""),,3),INDEX(SPLIT(I87,""/""),,2),INDEX(SPLIT(I87,""/""),,1))"),44771.0)</f>
        <v>44771</v>
      </c>
      <c r="K87" s="7"/>
      <c r="L87" s="3">
        <v>0.0</v>
      </c>
      <c r="M87" s="3" t="s">
        <v>504</v>
      </c>
      <c r="N87" s="3"/>
      <c r="O87" s="3" t="s">
        <v>30</v>
      </c>
      <c r="P87" s="3" t="s">
        <v>31</v>
      </c>
      <c r="Q87" s="3" t="s">
        <v>228</v>
      </c>
      <c r="R87" s="3" t="s">
        <v>228</v>
      </c>
      <c r="S87" s="3" t="s">
        <v>229</v>
      </c>
      <c r="T87" s="3" t="s">
        <v>505</v>
      </c>
      <c r="U87" s="3">
        <v>1.00901211E8</v>
      </c>
      <c r="V87" s="3" t="s">
        <v>506</v>
      </c>
      <c r="W87" s="3" t="s">
        <v>199</v>
      </c>
      <c r="X87" s="3" t="s">
        <v>410</v>
      </c>
      <c r="Y87" s="3" t="s">
        <v>507</v>
      </c>
      <c r="Z87" s="3" t="s">
        <v>37</v>
      </c>
      <c r="AA87" s="7"/>
      <c r="AB87" s="7"/>
    </row>
    <row r="88" hidden="1">
      <c r="A88" s="1" t="s">
        <v>508</v>
      </c>
      <c r="B88" s="1" t="s">
        <v>509</v>
      </c>
      <c r="C88" s="1" t="s">
        <v>510</v>
      </c>
      <c r="D88" s="1" t="s">
        <v>78</v>
      </c>
      <c r="E88" s="1" t="s">
        <v>28</v>
      </c>
      <c r="F88" s="2">
        <v>9400000.0</v>
      </c>
      <c r="G88" s="1" t="s">
        <v>511</v>
      </c>
      <c r="H88" s="4">
        <f>IFERROR(__xludf.DUMMYFUNCTION("DATE(INDEX(SPLIT(G88,""/""),,3),INDEX(SPLIT(G88,""/""),,2),INDEX(SPLIT(G88,""/""),,1))"),44400.0)</f>
        <v>44400</v>
      </c>
      <c r="I88" s="1" t="s">
        <v>281</v>
      </c>
      <c r="J88" s="4">
        <f>IFERROR(__xludf.DUMMYFUNCTION("DATE(INDEX(SPLIT(I88,""/""),,3),INDEX(SPLIT(I88,""/""),,2),INDEX(SPLIT(I88,""/""),,1))"),44865.0)</f>
        <v>44865</v>
      </c>
      <c r="L88" s="1">
        <v>0.0</v>
      </c>
      <c r="M88" s="1" t="s">
        <v>512</v>
      </c>
      <c r="N88" s="1"/>
      <c r="O88" s="1" t="s">
        <v>30</v>
      </c>
      <c r="P88" s="1" t="s">
        <v>31</v>
      </c>
      <c r="Q88" s="1" t="s">
        <v>228</v>
      </c>
      <c r="R88" s="1" t="s">
        <v>228</v>
      </c>
      <c r="S88" s="1" t="s">
        <v>229</v>
      </c>
      <c r="T88" s="1" t="s">
        <v>513</v>
      </c>
      <c r="U88" s="1">
        <v>1.00654864E8</v>
      </c>
      <c r="X88" s="1" t="s">
        <v>410</v>
      </c>
      <c r="Y88" s="1" t="s">
        <v>514</v>
      </c>
      <c r="Z88" s="1" t="s">
        <v>37</v>
      </c>
    </row>
    <row r="89">
      <c r="A89" s="3" t="s">
        <v>515</v>
      </c>
      <c r="B89" s="3" t="s">
        <v>516</v>
      </c>
      <c r="C89" s="3" t="s">
        <v>517</v>
      </c>
      <c r="D89" s="3" t="s">
        <v>122</v>
      </c>
      <c r="E89" s="3" t="s">
        <v>28</v>
      </c>
      <c r="F89" s="5">
        <v>9400000.0</v>
      </c>
      <c r="G89" s="6">
        <v>44567.0</v>
      </c>
      <c r="H89" s="6">
        <f>IFERROR(__xludf.DUMMYFUNCTION("DATE(INDEX(SPLIT(G89,""/""),,3),INDEX(SPLIT(G89,""/""),,2),INDEX(SPLIT(G89,""/""),,1))"),44713.0)</f>
        <v>44713</v>
      </c>
      <c r="I89" s="3" t="s">
        <v>518</v>
      </c>
      <c r="J89" s="6">
        <f>IFERROR(__xludf.DUMMYFUNCTION("DATE(INDEX(SPLIT(I89,""/""),,3),INDEX(SPLIT(I89,""/""),,2),INDEX(SPLIT(I89,""/""),,1))"),44757.0)</f>
        <v>44757</v>
      </c>
      <c r="K89" s="7"/>
      <c r="L89" s="3">
        <v>0.0</v>
      </c>
      <c r="M89" s="3" t="s">
        <v>187</v>
      </c>
      <c r="N89" s="3"/>
      <c r="O89" s="3" t="s">
        <v>30</v>
      </c>
      <c r="P89" s="3" t="s">
        <v>31</v>
      </c>
      <c r="Q89" s="3" t="s">
        <v>188</v>
      </c>
      <c r="R89" s="3" t="s">
        <v>188</v>
      </c>
      <c r="S89" s="3" t="s">
        <v>189</v>
      </c>
      <c r="T89" s="7"/>
      <c r="U89" s="3">
        <v>1.00613095E8</v>
      </c>
      <c r="V89" s="7"/>
      <c r="W89" s="7"/>
      <c r="X89" s="7"/>
      <c r="Y89" s="3" t="s">
        <v>519</v>
      </c>
      <c r="Z89" s="3" t="s">
        <v>37</v>
      </c>
      <c r="AA89" s="7"/>
      <c r="AB89" s="7"/>
    </row>
    <row r="90" hidden="1">
      <c r="A90" s="1" t="s">
        <v>520</v>
      </c>
      <c r="B90" s="1" t="s">
        <v>521</v>
      </c>
      <c r="C90" s="1" t="s">
        <v>522</v>
      </c>
      <c r="D90" s="1" t="s">
        <v>122</v>
      </c>
      <c r="E90" s="1" t="s">
        <v>28</v>
      </c>
      <c r="F90" s="2">
        <v>9250000.0</v>
      </c>
      <c r="G90" s="1" t="s">
        <v>523</v>
      </c>
      <c r="H90" s="4">
        <f>IFERROR(__xludf.DUMMYFUNCTION("DATE(INDEX(SPLIT(G90,""/""),,3),INDEX(SPLIT(G90,""/""),,2),INDEX(SPLIT(G90,""/""),,1))"),44517.0)</f>
        <v>44517</v>
      </c>
      <c r="I90" s="1" t="s">
        <v>130</v>
      </c>
      <c r="J90" s="4">
        <f>IFERROR(__xludf.DUMMYFUNCTION("DATE(INDEX(SPLIT(I90,""/""),,3),INDEX(SPLIT(I90,""/""),,2),INDEX(SPLIT(I90,""/""),,1))"),44804.0)</f>
        <v>44804</v>
      </c>
      <c r="L90" s="1">
        <v>0.0</v>
      </c>
      <c r="M90" s="1" t="s">
        <v>524</v>
      </c>
      <c r="N90" s="1"/>
      <c r="O90" s="1" t="s">
        <v>30</v>
      </c>
      <c r="P90" s="1" t="s">
        <v>31</v>
      </c>
      <c r="Q90" s="1" t="s">
        <v>32</v>
      </c>
      <c r="R90" s="1" t="s">
        <v>32</v>
      </c>
      <c r="S90" s="1" t="s">
        <v>33</v>
      </c>
      <c r="U90" s="1">
        <v>1.00627768E8</v>
      </c>
      <c r="V90" s="1" t="s">
        <v>525</v>
      </c>
      <c r="W90" s="1" t="s">
        <v>199</v>
      </c>
      <c r="X90" s="1" t="s">
        <v>81</v>
      </c>
      <c r="Y90" s="1" t="s">
        <v>526</v>
      </c>
      <c r="Z90" s="1" t="s">
        <v>527</v>
      </c>
    </row>
    <row r="91" hidden="1">
      <c r="A91" s="1" t="s">
        <v>528</v>
      </c>
      <c r="B91" s="1" t="s">
        <v>529</v>
      </c>
      <c r="C91" s="1" t="s">
        <v>530</v>
      </c>
      <c r="D91" s="1" t="s">
        <v>122</v>
      </c>
      <c r="E91" s="1" t="s">
        <v>28</v>
      </c>
      <c r="F91" s="2">
        <v>9200000.0</v>
      </c>
      <c r="G91" s="4">
        <v>44075.0</v>
      </c>
      <c r="H91" s="4">
        <f>IFERROR(__xludf.DUMMYFUNCTION("DATE(INDEX(SPLIT(G91,""/""),,3),INDEX(SPLIT(G91,""/""),,2),INDEX(SPLIT(G91,""/""),,1))"),43839.0)</f>
        <v>43839</v>
      </c>
      <c r="I91" s="1" t="s">
        <v>109</v>
      </c>
      <c r="J91" s="4">
        <f>IFERROR(__xludf.DUMMYFUNCTION("DATE(INDEX(SPLIT(I91,""/""),,3),INDEX(SPLIT(I91,""/""),,2),INDEX(SPLIT(I91,""/""),,1))"),44834.0)</f>
        <v>44834</v>
      </c>
      <c r="L91" s="1">
        <v>0.0</v>
      </c>
      <c r="M91" s="1" t="s">
        <v>494</v>
      </c>
      <c r="N91" s="1"/>
      <c r="O91" s="1" t="s">
        <v>30</v>
      </c>
      <c r="P91" s="1" t="s">
        <v>31</v>
      </c>
      <c r="Q91" s="1" t="s">
        <v>95</v>
      </c>
      <c r="R91" s="1" t="s">
        <v>95</v>
      </c>
      <c r="S91" s="1" t="s">
        <v>96</v>
      </c>
      <c r="T91" s="1" t="s">
        <v>311</v>
      </c>
      <c r="U91" s="1">
        <v>1.0062347E8</v>
      </c>
      <c r="X91" s="1" t="s">
        <v>410</v>
      </c>
      <c r="Y91" s="1" t="s">
        <v>494</v>
      </c>
      <c r="Z91" s="1" t="s">
        <v>37</v>
      </c>
    </row>
    <row r="92" hidden="1">
      <c r="A92" s="1" t="s">
        <v>531</v>
      </c>
      <c r="B92" s="1" t="s">
        <v>532</v>
      </c>
      <c r="C92" s="1" t="s">
        <v>533</v>
      </c>
      <c r="D92" s="1" t="s">
        <v>27</v>
      </c>
      <c r="E92" s="1" t="s">
        <v>28</v>
      </c>
      <c r="F92" s="2">
        <v>9050000.0</v>
      </c>
      <c r="G92" s="1" t="s">
        <v>534</v>
      </c>
      <c r="H92" s="4">
        <f>IFERROR(__xludf.DUMMYFUNCTION("DATE(INDEX(SPLIT(G92,""/""),,3),INDEX(SPLIT(G92,""/""),,2),INDEX(SPLIT(G92,""/""),,1))"),44704.0)</f>
        <v>44704</v>
      </c>
      <c r="I92" s="1" t="s">
        <v>535</v>
      </c>
      <c r="J92" s="4">
        <f>IFERROR(__xludf.DUMMYFUNCTION("DATE(INDEX(SPLIT(I92,""/""),,3),INDEX(SPLIT(I92,""/""),,2),INDEX(SPLIT(I92,""/""),,1))"),44957.0)</f>
        <v>44957</v>
      </c>
      <c r="L92" s="1">
        <v>0.0</v>
      </c>
      <c r="M92" s="1" t="s">
        <v>536</v>
      </c>
      <c r="N92" s="1"/>
      <c r="O92" s="1" t="s">
        <v>30</v>
      </c>
      <c r="P92" s="1" t="s">
        <v>31</v>
      </c>
      <c r="Q92" s="1" t="s">
        <v>188</v>
      </c>
      <c r="R92" s="1" t="s">
        <v>188</v>
      </c>
      <c r="S92" s="1" t="s">
        <v>189</v>
      </c>
      <c r="T92" s="1" t="s">
        <v>537</v>
      </c>
      <c r="U92" s="1">
        <v>1.00620711E8</v>
      </c>
      <c r="X92" s="1" t="s">
        <v>490</v>
      </c>
      <c r="Y92" s="1" t="s">
        <v>538</v>
      </c>
      <c r="Z92" s="1" t="s">
        <v>37</v>
      </c>
    </row>
    <row r="93" hidden="1">
      <c r="A93" s="1" t="s">
        <v>539</v>
      </c>
      <c r="B93" s="1" t="s">
        <v>540</v>
      </c>
      <c r="C93" s="1" t="s">
        <v>541</v>
      </c>
      <c r="D93" s="1" t="s">
        <v>27</v>
      </c>
      <c r="E93" s="1" t="s">
        <v>28</v>
      </c>
      <c r="F93" s="2">
        <v>9000000.0</v>
      </c>
      <c r="G93" s="1" t="s">
        <v>271</v>
      </c>
      <c r="H93" s="4">
        <f>IFERROR(__xludf.DUMMYFUNCTION("DATE(INDEX(SPLIT(G93,""/""),,3),INDEX(SPLIT(G93,""/""),,2),INDEX(SPLIT(G93,""/""),,1))"),44680.0)</f>
        <v>44680</v>
      </c>
      <c r="I93" s="1" t="s">
        <v>42</v>
      </c>
      <c r="J93" s="4">
        <f>IFERROR(__xludf.DUMMYFUNCTION("DATE(INDEX(SPLIT(I93,""/""),,3),INDEX(SPLIT(I93,""/""),,2),INDEX(SPLIT(I93,""/""),,1))"),44926.0)</f>
        <v>44926</v>
      </c>
      <c r="L93" s="1">
        <v>0.0</v>
      </c>
      <c r="M93" s="1" t="s">
        <v>542</v>
      </c>
      <c r="N93" s="1"/>
      <c r="O93" s="1" t="s">
        <v>30</v>
      </c>
      <c r="P93" s="1" t="s">
        <v>31</v>
      </c>
      <c r="Q93" s="1" t="s">
        <v>53</v>
      </c>
      <c r="R93" s="1" t="s">
        <v>53</v>
      </c>
      <c r="S93" s="1" t="s">
        <v>54</v>
      </c>
      <c r="T93" s="1" t="s">
        <v>181</v>
      </c>
      <c r="U93" s="1">
        <v>1.01001596E8</v>
      </c>
      <c r="V93" s="1" t="s">
        <v>543</v>
      </c>
      <c r="W93" s="1" t="s">
        <v>199</v>
      </c>
      <c r="X93" s="1" t="s">
        <v>74</v>
      </c>
      <c r="Y93" s="1" t="s">
        <v>544</v>
      </c>
      <c r="Z93" s="1" t="s">
        <v>37</v>
      </c>
    </row>
    <row r="94" hidden="1">
      <c r="A94" s="1" t="s">
        <v>545</v>
      </c>
      <c r="B94" s="1" t="s">
        <v>546</v>
      </c>
      <c r="C94" s="1" t="s">
        <v>547</v>
      </c>
      <c r="D94" s="1" t="s">
        <v>78</v>
      </c>
      <c r="E94" s="1" t="s">
        <v>28</v>
      </c>
      <c r="F94" s="2">
        <v>9000000.0</v>
      </c>
      <c r="G94" s="1" t="s">
        <v>324</v>
      </c>
      <c r="H94" s="4">
        <f>IFERROR(__xludf.DUMMYFUNCTION("DATE(INDEX(SPLIT(G94,""/""),,3),INDEX(SPLIT(G94,""/""),,2),INDEX(SPLIT(G94,""/""),,1))"),44636.0)</f>
        <v>44636</v>
      </c>
      <c r="I94" s="1" t="s">
        <v>548</v>
      </c>
      <c r="J94" s="4">
        <f>IFERROR(__xludf.DUMMYFUNCTION("DATE(INDEX(SPLIT(I94,""/""),,3),INDEX(SPLIT(I94,""/""),,2),INDEX(SPLIT(I94,""/""),,1))"),44946.0)</f>
        <v>44946</v>
      </c>
      <c r="L94" s="1">
        <v>0.0</v>
      </c>
      <c r="M94" s="1" t="s">
        <v>318</v>
      </c>
      <c r="N94" s="1"/>
      <c r="O94" s="1" t="s">
        <v>30</v>
      </c>
      <c r="P94" s="1" t="s">
        <v>31</v>
      </c>
      <c r="Q94" s="1" t="s">
        <v>71</v>
      </c>
      <c r="R94" s="1" t="s">
        <v>71</v>
      </c>
      <c r="S94" s="1" t="s">
        <v>72</v>
      </c>
      <c r="T94" s="1" t="s">
        <v>73</v>
      </c>
      <c r="U94" s="1">
        <v>1.00654705E8</v>
      </c>
      <c r="X94" s="1" t="s">
        <v>74</v>
      </c>
      <c r="Y94" s="1" t="s">
        <v>318</v>
      </c>
      <c r="Z94" s="1" t="s">
        <v>37</v>
      </c>
    </row>
    <row r="95" hidden="1">
      <c r="A95" s="1" t="s">
        <v>549</v>
      </c>
      <c r="B95" s="1" t="s">
        <v>39</v>
      </c>
      <c r="C95" s="1" t="s">
        <v>550</v>
      </c>
      <c r="D95" s="1" t="s">
        <v>122</v>
      </c>
      <c r="E95" s="1" t="s">
        <v>28</v>
      </c>
      <c r="F95" s="2">
        <v>9000000.0</v>
      </c>
      <c r="G95" s="1" t="s">
        <v>551</v>
      </c>
      <c r="H95" s="4">
        <f>IFERROR(__xludf.DUMMYFUNCTION("DATE(INDEX(SPLIT(G95,""/""),,3),INDEX(SPLIT(G95,""/""),,2),INDEX(SPLIT(G95,""/""),,1))"),44701.0)</f>
        <v>44701</v>
      </c>
      <c r="I95" s="1" t="s">
        <v>109</v>
      </c>
      <c r="J95" s="4">
        <f>IFERROR(__xludf.DUMMYFUNCTION("DATE(INDEX(SPLIT(I95,""/""),,3),INDEX(SPLIT(I95,""/""),,2),INDEX(SPLIT(I95,""/""),,1))"),44834.0)</f>
        <v>44834</v>
      </c>
      <c r="L95" s="1">
        <v>0.0</v>
      </c>
      <c r="M95" s="1" t="s">
        <v>552</v>
      </c>
      <c r="N95" s="1"/>
      <c r="O95" s="1" t="s">
        <v>30</v>
      </c>
      <c r="P95" s="1" t="s">
        <v>31</v>
      </c>
      <c r="Q95" s="1" t="s">
        <v>188</v>
      </c>
      <c r="R95" s="1" t="s">
        <v>188</v>
      </c>
      <c r="S95" s="1" t="s">
        <v>189</v>
      </c>
      <c r="T95" s="1" t="s">
        <v>287</v>
      </c>
      <c r="U95" s="1">
        <v>1.00662144E8</v>
      </c>
      <c r="V95" s="1" t="s">
        <v>553</v>
      </c>
      <c r="W95" s="1" t="s">
        <v>199</v>
      </c>
      <c r="X95" s="1" t="s">
        <v>46</v>
      </c>
      <c r="Y95" s="1" t="s">
        <v>327</v>
      </c>
      <c r="Z95" s="1" t="s">
        <v>37</v>
      </c>
    </row>
    <row r="96" hidden="1">
      <c r="A96" s="1" t="s">
        <v>554</v>
      </c>
      <c r="B96" s="1" t="s">
        <v>555</v>
      </c>
      <c r="C96" s="1" t="s">
        <v>556</v>
      </c>
      <c r="D96" s="1" t="s">
        <v>122</v>
      </c>
      <c r="E96" s="1" t="s">
        <v>28</v>
      </c>
      <c r="F96" s="2">
        <v>8500000.0</v>
      </c>
      <c r="G96" s="1" t="s">
        <v>557</v>
      </c>
      <c r="H96" s="4">
        <f>IFERROR(__xludf.DUMMYFUNCTION("DATE(INDEX(SPLIT(G96,""/""),,3),INDEX(SPLIT(G96,""/""),,2),INDEX(SPLIT(G96,""/""),,1))"),44439.0)</f>
        <v>44439</v>
      </c>
      <c r="I96" s="4">
        <v>44569.0</v>
      </c>
      <c r="J96" s="4">
        <f>IFERROR(__xludf.DUMMYFUNCTION("DATE(INDEX(SPLIT(I96,""/""),,3),INDEX(SPLIT(I96,""/""),,2),INDEX(SPLIT(I96,""/""),,1))"),44774.0)</f>
        <v>44774</v>
      </c>
      <c r="L96" s="1">
        <v>0.0</v>
      </c>
      <c r="M96" s="1" t="s">
        <v>558</v>
      </c>
      <c r="N96" s="1"/>
      <c r="O96" s="1" t="s">
        <v>30</v>
      </c>
      <c r="P96" s="1" t="s">
        <v>31</v>
      </c>
      <c r="Q96" s="1" t="s">
        <v>53</v>
      </c>
      <c r="R96" s="1" t="s">
        <v>53</v>
      </c>
      <c r="S96" s="1" t="s">
        <v>54</v>
      </c>
      <c r="T96" s="1" t="s">
        <v>505</v>
      </c>
      <c r="U96" s="1">
        <v>1.00653597E8</v>
      </c>
      <c r="X96" s="1" t="s">
        <v>88</v>
      </c>
      <c r="Y96" s="1" t="s">
        <v>559</v>
      </c>
      <c r="Z96" s="1" t="s">
        <v>37</v>
      </c>
    </row>
    <row r="97" hidden="1">
      <c r="A97" s="1" t="s">
        <v>560</v>
      </c>
      <c r="B97" s="1" t="s">
        <v>561</v>
      </c>
      <c r="C97" s="1" t="s">
        <v>562</v>
      </c>
      <c r="D97" s="1" t="s">
        <v>27</v>
      </c>
      <c r="E97" s="1" t="s">
        <v>28</v>
      </c>
      <c r="F97" s="2">
        <v>8500000.0</v>
      </c>
      <c r="G97" s="4">
        <v>44055.0</v>
      </c>
      <c r="H97" s="4">
        <f>IFERROR(__xludf.DUMMYFUNCTION("DATE(INDEX(SPLIT(G97,""/""),,3),INDEX(SPLIT(G97,""/""),,2),INDEX(SPLIT(G97,""/""),,1))"),44173.0)</f>
        <v>44173</v>
      </c>
      <c r="I97" s="4">
        <v>44932.0</v>
      </c>
      <c r="J97" s="4">
        <f>IFERROR(__xludf.DUMMYFUNCTION("DATE(INDEX(SPLIT(I97,""/""),,3),INDEX(SPLIT(I97,""/""),,2),INDEX(SPLIT(I97,""/""),,1))"),45078.0)</f>
        <v>45078</v>
      </c>
      <c r="L97" s="1">
        <v>0.0</v>
      </c>
      <c r="M97" s="1" t="s">
        <v>563</v>
      </c>
      <c r="N97" s="1"/>
      <c r="O97" s="1" t="s">
        <v>30</v>
      </c>
      <c r="P97" s="1" t="s">
        <v>31</v>
      </c>
      <c r="Q97" s="1" t="s">
        <v>95</v>
      </c>
      <c r="R97" s="1" t="s">
        <v>95</v>
      </c>
      <c r="S97" s="1" t="s">
        <v>96</v>
      </c>
      <c r="T97" s="1" t="s">
        <v>311</v>
      </c>
      <c r="U97" s="1">
        <v>1.00646702E8</v>
      </c>
      <c r="X97" s="1" t="s">
        <v>361</v>
      </c>
      <c r="Y97" s="1" t="s">
        <v>564</v>
      </c>
      <c r="Z97" s="1" t="s">
        <v>37</v>
      </c>
    </row>
    <row r="98" hidden="1">
      <c r="A98" s="1" t="s">
        <v>565</v>
      </c>
      <c r="B98" s="1" t="s">
        <v>566</v>
      </c>
      <c r="C98" s="1" t="s">
        <v>567</v>
      </c>
      <c r="D98" s="1" t="s">
        <v>122</v>
      </c>
      <c r="E98" s="1" t="s">
        <v>28</v>
      </c>
      <c r="F98" s="2">
        <v>8100000.0</v>
      </c>
      <c r="G98" s="1" t="s">
        <v>568</v>
      </c>
      <c r="H98" s="4">
        <f>IFERROR(__xludf.DUMMYFUNCTION("DATE(INDEX(SPLIT(G98,""/""),,3),INDEX(SPLIT(G98,""/""),,2),INDEX(SPLIT(G98,""/""),,1))"),44587.0)</f>
        <v>44587</v>
      </c>
      <c r="I98" s="1" t="s">
        <v>569</v>
      </c>
      <c r="J98" s="4">
        <f>IFERROR(__xludf.DUMMYFUNCTION("DATE(INDEX(SPLIT(I98,""/""),,3),INDEX(SPLIT(I98,""/""),,2),INDEX(SPLIT(I98,""/""),,1))"),45016.0)</f>
        <v>45016</v>
      </c>
      <c r="L98" s="1">
        <v>0.0</v>
      </c>
      <c r="M98" s="1" t="s">
        <v>570</v>
      </c>
      <c r="N98" s="1"/>
      <c r="O98" s="1" t="s">
        <v>30</v>
      </c>
      <c r="P98" s="1" t="s">
        <v>31</v>
      </c>
      <c r="Q98" s="1" t="s">
        <v>157</v>
      </c>
      <c r="R98" s="1" t="s">
        <v>157</v>
      </c>
      <c r="S98" s="1" t="s">
        <v>158</v>
      </c>
      <c r="T98" s="1" t="s">
        <v>571</v>
      </c>
      <c r="U98" s="1">
        <v>1.00586314E8</v>
      </c>
      <c r="V98" s="1" t="s">
        <v>572</v>
      </c>
      <c r="W98" s="1" t="s">
        <v>199</v>
      </c>
      <c r="X98" s="1" t="s">
        <v>63</v>
      </c>
      <c r="Y98" s="1" t="s">
        <v>573</v>
      </c>
      <c r="Z98" s="1" t="s">
        <v>37</v>
      </c>
    </row>
    <row r="99">
      <c r="A99" s="3" t="s">
        <v>574</v>
      </c>
      <c r="B99" s="3" t="s">
        <v>162</v>
      </c>
      <c r="C99" s="3" t="s">
        <v>575</v>
      </c>
      <c r="D99" s="3" t="s">
        <v>68</v>
      </c>
      <c r="E99" s="3" t="s">
        <v>28</v>
      </c>
      <c r="F99" s="5">
        <v>8000000.0</v>
      </c>
      <c r="G99" s="3" t="s">
        <v>576</v>
      </c>
      <c r="H99" s="6">
        <f>IFERROR(__xludf.DUMMYFUNCTION("DATE(INDEX(SPLIT(G99,""/""),,3),INDEX(SPLIT(G99,""/""),,2),INDEX(SPLIT(G99,""/""),,1))"),44614.0)</f>
        <v>44614</v>
      </c>
      <c r="I99" s="3" t="s">
        <v>226</v>
      </c>
      <c r="J99" s="6">
        <f>IFERROR(__xludf.DUMMYFUNCTION("DATE(INDEX(SPLIT(I99,""/""),,3),INDEX(SPLIT(I99,""/""),,2),INDEX(SPLIT(I99,""/""),,1))"),44771.0)</f>
        <v>44771</v>
      </c>
      <c r="K99" s="7"/>
      <c r="L99" s="3">
        <v>0.0</v>
      </c>
      <c r="M99" s="3" t="s">
        <v>577</v>
      </c>
      <c r="N99" s="3"/>
      <c r="O99" s="3" t="s">
        <v>30</v>
      </c>
      <c r="P99" s="3" t="s">
        <v>31</v>
      </c>
      <c r="Q99" s="3" t="s">
        <v>53</v>
      </c>
      <c r="R99" s="3" t="s">
        <v>53</v>
      </c>
      <c r="S99" s="3" t="s">
        <v>54</v>
      </c>
      <c r="T99" s="3" t="s">
        <v>73</v>
      </c>
      <c r="U99" s="3">
        <v>1.00579505E8</v>
      </c>
      <c r="V99" s="7"/>
      <c r="W99" s="7"/>
      <c r="X99" s="3" t="s">
        <v>117</v>
      </c>
      <c r="Y99" s="3" t="s">
        <v>578</v>
      </c>
      <c r="Z99" s="3" t="s">
        <v>37</v>
      </c>
      <c r="AA99" s="7"/>
      <c r="AB99" s="7"/>
    </row>
    <row r="100" hidden="1">
      <c r="A100" s="1" t="s">
        <v>579</v>
      </c>
      <c r="B100" s="1" t="s">
        <v>580</v>
      </c>
      <c r="C100" s="1" t="s">
        <v>581</v>
      </c>
      <c r="D100" s="1" t="s">
        <v>78</v>
      </c>
      <c r="E100" s="1" t="s">
        <v>28</v>
      </c>
      <c r="F100" s="2">
        <v>8000000.0</v>
      </c>
      <c r="G100" s="1" t="s">
        <v>582</v>
      </c>
      <c r="H100" s="4">
        <f>IFERROR(__xludf.DUMMYFUNCTION("DATE(INDEX(SPLIT(G100,""/""),,3),INDEX(SPLIT(G100,""/""),,2),INDEX(SPLIT(G100,""/""),,1))"),43539.0)</f>
        <v>43539</v>
      </c>
      <c r="I100" s="4">
        <v>44932.0</v>
      </c>
      <c r="J100" s="4">
        <f>IFERROR(__xludf.DUMMYFUNCTION("DATE(INDEX(SPLIT(I100,""/""),,3),INDEX(SPLIT(I100,""/""),,2),INDEX(SPLIT(I100,""/""),,1))"),45078.0)</f>
        <v>45078</v>
      </c>
      <c r="L100" s="1">
        <v>0.0</v>
      </c>
      <c r="M100" s="1" t="s">
        <v>467</v>
      </c>
      <c r="N100" s="1"/>
      <c r="O100" s="1" t="s">
        <v>30</v>
      </c>
      <c r="P100" s="1" t="s">
        <v>31</v>
      </c>
      <c r="Q100" s="1" t="s">
        <v>32</v>
      </c>
      <c r="R100" s="1" t="s">
        <v>32</v>
      </c>
      <c r="S100" s="1" t="s">
        <v>33</v>
      </c>
      <c r="T100" s="1" t="s">
        <v>34</v>
      </c>
      <c r="U100" s="1">
        <v>1.00619817E8</v>
      </c>
      <c r="X100" s="1" t="s">
        <v>81</v>
      </c>
      <c r="Y100" s="1" t="s">
        <v>583</v>
      </c>
      <c r="Z100" s="1" t="s">
        <v>37</v>
      </c>
    </row>
    <row r="101" hidden="1">
      <c r="A101" s="1" t="s">
        <v>584</v>
      </c>
      <c r="B101" s="1" t="s">
        <v>373</v>
      </c>
      <c r="C101" s="1" t="s">
        <v>585</v>
      </c>
      <c r="D101" s="1" t="s">
        <v>27</v>
      </c>
      <c r="E101" s="1" t="s">
        <v>28</v>
      </c>
      <c r="F101" s="2">
        <v>8000000.0</v>
      </c>
      <c r="G101" s="1" t="s">
        <v>586</v>
      </c>
      <c r="H101" s="4">
        <f>IFERROR(__xludf.DUMMYFUNCTION("DATE(INDEX(SPLIT(G101,""/""),,3),INDEX(SPLIT(G101,""/""),,2),INDEX(SPLIT(G101,""/""),,1))"),44726.0)</f>
        <v>44726</v>
      </c>
      <c r="I101" s="1" t="s">
        <v>360</v>
      </c>
      <c r="J101" s="4">
        <f>IFERROR(__xludf.DUMMYFUNCTION("DATE(INDEX(SPLIT(I101,""/""),,3),INDEX(SPLIT(I101,""/""),,2),INDEX(SPLIT(I101,""/""),,1))"),44895.0)</f>
        <v>44895</v>
      </c>
      <c r="L101" s="1">
        <v>0.0</v>
      </c>
      <c r="M101" s="1" t="s">
        <v>587</v>
      </c>
      <c r="N101" s="1"/>
      <c r="O101" s="1" t="s">
        <v>30</v>
      </c>
      <c r="P101" s="1" t="s">
        <v>31</v>
      </c>
      <c r="Q101" s="1" t="s">
        <v>157</v>
      </c>
      <c r="R101" s="1" t="s">
        <v>157</v>
      </c>
      <c r="S101" s="1" t="s">
        <v>158</v>
      </c>
      <c r="T101" s="1" t="s">
        <v>159</v>
      </c>
      <c r="U101" s="1">
        <v>1.00700761E8</v>
      </c>
      <c r="V101" s="1" t="s">
        <v>588</v>
      </c>
      <c r="W101" s="1" t="s">
        <v>199</v>
      </c>
      <c r="X101" s="1" t="s">
        <v>125</v>
      </c>
      <c r="Y101" s="1" t="s">
        <v>589</v>
      </c>
      <c r="Z101" s="1" t="s">
        <v>37</v>
      </c>
    </row>
    <row r="102" hidden="1">
      <c r="A102" s="1" t="s">
        <v>590</v>
      </c>
      <c r="B102" s="1" t="s">
        <v>591</v>
      </c>
      <c r="C102" s="1" t="s">
        <v>592</v>
      </c>
      <c r="D102" s="1" t="s">
        <v>27</v>
      </c>
      <c r="E102" s="1" t="s">
        <v>28</v>
      </c>
      <c r="F102" s="2">
        <v>8000000.0</v>
      </c>
      <c r="G102" s="1" t="s">
        <v>593</v>
      </c>
      <c r="H102" s="4">
        <f>IFERROR(__xludf.DUMMYFUNCTION("DATE(INDEX(SPLIT(G102,""/""),,3),INDEX(SPLIT(G102,""/""),,2),INDEX(SPLIT(G102,""/""),,1))"),44330.0)</f>
        <v>44330</v>
      </c>
      <c r="I102" s="4">
        <v>44929.0</v>
      </c>
      <c r="J102" s="4">
        <f>IFERROR(__xludf.DUMMYFUNCTION("DATE(INDEX(SPLIT(I102,""/""),,3),INDEX(SPLIT(I102,""/""),,2),INDEX(SPLIT(I102,""/""),,1))"),44986.0)</f>
        <v>44986</v>
      </c>
      <c r="L102" s="1">
        <v>0.0</v>
      </c>
      <c r="M102" s="1" t="s">
        <v>594</v>
      </c>
      <c r="N102" s="1"/>
      <c r="O102" s="1" t="s">
        <v>30</v>
      </c>
      <c r="P102" s="1" t="s">
        <v>31</v>
      </c>
      <c r="Q102" s="1" t="s">
        <v>95</v>
      </c>
      <c r="R102" s="1" t="s">
        <v>95</v>
      </c>
      <c r="S102" s="1" t="s">
        <v>96</v>
      </c>
      <c r="T102" s="1" t="s">
        <v>217</v>
      </c>
      <c r="U102" s="1">
        <v>1.005886E8</v>
      </c>
      <c r="X102" s="1" t="s">
        <v>35</v>
      </c>
      <c r="Y102" s="1" t="s">
        <v>594</v>
      </c>
      <c r="Z102" s="1" t="s">
        <v>37</v>
      </c>
    </row>
    <row r="103" hidden="1">
      <c r="A103" s="1" t="s">
        <v>595</v>
      </c>
      <c r="B103" s="1" t="s">
        <v>25</v>
      </c>
      <c r="C103" s="1" t="s">
        <v>596</v>
      </c>
      <c r="D103" s="1" t="s">
        <v>27</v>
      </c>
      <c r="E103" s="1" t="s">
        <v>28</v>
      </c>
      <c r="F103" s="2">
        <v>8000000.0</v>
      </c>
      <c r="G103" s="4">
        <v>44359.0</v>
      </c>
      <c r="H103" s="4">
        <f>IFERROR(__xludf.DUMMYFUNCTION("DATE(INDEX(SPLIT(G103,""/""),,3),INDEX(SPLIT(G103,""/""),,2),INDEX(SPLIT(G103,""/""),,1))"),44536.0)</f>
        <v>44536</v>
      </c>
      <c r="I103" s="4">
        <v>45078.0</v>
      </c>
      <c r="J103" s="4">
        <f>IFERROR(__xludf.DUMMYFUNCTION("DATE(INDEX(SPLIT(I103,""/""),,3),INDEX(SPLIT(I103,""/""),,2),INDEX(SPLIT(I103,""/""),,1))"),44932.0)</f>
        <v>44932</v>
      </c>
      <c r="L103" s="1">
        <v>0.0</v>
      </c>
      <c r="M103" s="1" t="s">
        <v>597</v>
      </c>
      <c r="N103" s="1"/>
      <c r="O103" s="1" t="s">
        <v>30</v>
      </c>
      <c r="P103" s="1" t="s">
        <v>31</v>
      </c>
      <c r="Q103" s="1" t="s">
        <v>32</v>
      </c>
      <c r="R103" s="1" t="s">
        <v>32</v>
      </c>
      <c r="S103" s="1" t="s">
        <v>33</v>
      </c>
      <c r="T103" s="1" t="s">
        <v>34</v>
      </c>
      <c r="U103" s="1">
        <v>1.0064407E8</v>
      </c>
      <c r="X103" s="1" t="s">
        <v>35</v>
      </c>
      <c r="Y103" s="1" t="s">
        <v>36</v>
      </c>
      <c r="Z103" s="1" t="s">
        <v>37</v>
      </c>
    </row>
    <row r="104" hidden="1">
      <c r="A104" s="1" t="s">
        <v>598</v>
      </c>
      <c r="B104" s="1" t="s">
        <v>144</v>
      </c>
      <c r="C104" s="1" t="s">
        <v>599</v>
      </c>
      <c r="D104" s="1" t="s">
        <v>27</v>
      </c>
      <c r="E104" s="1" t="s">
        <v>28</v>
      </c>
      <c r="F104" s="2">
        <v>8000000.0</v>
      </c>
      <c r="G104" s="1" t="s">
        <v>600</v>
      </c>
      <c r="H104" s="4">
        <f>IFERROR(__xludf.DUMMYFUNCTION("DATE(INDEX(SPLIT(G104,""/""),,3),INDEX(SPLIT(G104,""/""),,2),INDEX(SPLIT(G104,""/""),,1))"),44665.0)</f>
        <v>44665</v>
      </c>
      <c r="I104" s="4">
        <v>44906.0</v>
      </c>
      <c r="J104" s="4">
        <f>IFERROR(__xludf.DUMMYFUNCTION("DATE(INDEX(SPLIT(I104,""/""),,3),INDEX(SPLIT(I104,""/""),,2),INDEX(SPLIT(I104,""/""),,1))"),44877.0)</f>
        <v>44877</v>
      </c>
      <c r="L104" s="1">
        <v>0.0</v>
      </c>
      <c r="M104" s="1" t="s">
        <v>601</v>
      </c>
      <c r="N104" s="1"/>
      <c r="O104" s="1" t="s">
        <v>30</v>
      </c>
      <c r="P104" s="1" t="s">
        <v>31</v>
      </c>
      <c r="Q104" s="1" t="s">
        <v>95</v>
      </c>
      <c r="R104" s="1" t="s">
        <v>95</v>
      </c>
      <c r="S104" s="1" t="s">
        <v>96</v>
      </c>
      <c r="T104" s="1" t="s">
        <v>602</v>
      </c>
      <c r="U104" s="1">
        <v>1.00625415E8</v>
      </c>
      <c r="X104" s="1" t="s">
        <v>88</v>
      </c>
      <c r="Y104" s="1" t="s">
        <v>603</v>
      </c>
      <c r="Z104" s="1" t="s">
        <v>37</v>
      </c>
    </row>
    <row r="105">
      <c r="A105" s="3" t="s">
        <v>604</v>
      </c>
      <c r="B105" s="3" t="s">
        <v>605</v>
      </c>
      <c r="C105" s="3" t="s">
        <v>606</v>
      </c>
      <c r="D105" s="3" t="s">
        <v>78</v>
      </c>
      <c r="E105" s="3" t="s">
        <v>28</v>
      </c>
      <c r="F105" s="5">
        <v>8000000.0</v>
      </c>
      <c r="G105" s="6">
        <v>44685.0</v>
      </c>
      <c r="H105" s="6">
        <f>IFERROR(__xludf.DUMMYFUNCTION("DATE(INDEX(SPLIT(G105,""/""),,3),INDEX(SPLIT(G105,""/""),,2),INDEX(SPLIT(G105,""/""),,1))"),44656.0)</f>
        <v>44656</v>
      </c>
      <c r="I105" s="3" t="s">
        <v>607</v>
      </c>
      <c r="J105" s="6">
        <f>IFERROR(__xludf.DUMMYFUNCTION("DATE(INDEX(SPLIT(I105,""/""),,3),INDEX(SPLIT(I105,""/""),,2),INDEX(SPLIT(I105,""/""),,1))"),44770.0)</f>
        <v>44770</v>
      </c>
      <c r="K105" s="7"/>
      <c r="L105" s="3">
        <v>0.0</v>
      </c>
      <c r="M105" s="3" t="s">
        <v>608</v>
      </c>
      <c r="N105" s="3"/>
      <c r="O105" s="3" t="s">
        <v>30</v>
      </c>
      <c r="P105" s="3" t="s">
        <v>31</v>
      </c>
      <c r="Q105" s="3" t="s">
        <v>235</v>
      </c>
      <c r="R105" s="3" t="s">
        <v>235</v>
      </c>
      <c r="S105" s="3" t="s">
        <v>236</v>
      </c>
      <c r="T105" s="3" t="s">
        <v>237</v>
      </c>
      <c r="U105" s="3">
        <v>1.00660495E8</v>
      </c>
      <c r="V105" s="7"/>
      <c r="W105" s="7"/>
      <c r="X105" s="3" t="s">
        <v>609</v>
      </c>
      <c r="Y105" s="3" t="s">
        <v>610</v>
      </c>
      <c r="Z105" s="3" t="s">
        <v>37</v>
      </c>
      <c r="AA105" s="7"/>
      <c r="AB105" s="7"/>
    </row>
    <row r="106" hidden="1">
      <c r="A106" s="1" t="s">
        <v>611</v>
      </c>
      <c r="B106" s="1" t="s">
        <v>612</v>
      </c>
      <c r="C106" s="1" t="s">
        <v>613</v>
      </c>
      <c r="D106" s="1" t="s">
        <v>27</v>
      </c>
      <c r="E106" s="1" t="s">
        <v>28</v>
      </c>
      <c r="F106" s="2">
        <v>8000000.0</v>
      </c>
      <c r="G106" s="1" t="s">
        <v>436</v>
      </c>
      <c r="H106" s="4">
        <f>IFERROR(__xludf.DUMMYFUNCTION("DATE(INDEX(SPLIT(G106,""/""),,3),INDEX(SPLIT(G106,""/""),,2),INDEX(SPLIT(G106,""/""),,1))"),44434.0)</f>
        <v>44434</v>
      </c>
      <c r="I106" s="4">
        <v>45019.0</v>
      </c>
      <c r="J106" s="4">
        <f>IFERROR(__xludf.DUMMYFUNCTION("DATE(INDEX(SPLIT(I106,""/""),,3),INDEX(SPLIT(I106,""/""),,2),INDEX(SPLIT(I106,""/""),,1))"),44989.0)</f>
        <v>44989</v>
      </c>
      <c r="L106" s="1">
        <v>0.0</v>
      </c>
      <c r="M106" s="1" t="s">
        <v>614</v>
      </c>
      <c r="N106" s="1"/>
      <c r="O106" s="1" t="s">
        <v>30</v>
      </c>
      <c r="P106" s="1" t="s">
        <v>31</v>
      </c>
      <c r="Q106" s="1" t="s">
        <v>71</v>
      </c>
      <c r="R106" s="1" t="s">
        <v>71</v>
      </c>
      <c r="S106" s="1" t="s">
        <v>72</v>
      </c>
      <c r="T106" s="1" t="s">
        <v>615</v>
      </c>
      <c r="U106" s="1">
        <v>1.00869732E8</v>
      </c>
      <c r="X106" s="1" t="s">
        <v>490</v>
      </c>
      <c r="Y106" s="1" t="s">
        <v>614</v>
      </c>
      <c r="Z106" s="1" t="s">
        <v>37</v>
      </c>
    </row>
    <row r="107" hidden="1">
      <c r="A107" s="1" t="s">
        <v>616</v>
      </c>
      <c r="B107" s="1" t="s">
        <v>617</v>
      </c>
      <c r="C107" s="1" t="s">
        <v>618</v>
      </c>
      <c r="D107" s="1" t="s">
        <v>78</v>
      </c>
      <c r="E107" s="1" t="s">
        <v>28</v>
      </c>
      <c r="F107" s="2">
        <v>8000000.0</v>
      </c>
      <c r="G107" s="1" t="s">
        <v>619</v>
      </c>
      <c r="H107" s="4">
        <f>IFERROR(__xludf.DUMMYFUNCTION("DATE(INDEX(SPLIT(G107,""/""),,3),INDEX(SPLIT(G107,""/""),,2),INDEX(SPLIT(G107,""/""),,1))"),44490.0)</f>
        <v>44490</v>
      </c>
      <c r="I107" s="1" t="s">
        <v>281</v>
      </c>
      <c r="J107" s="4">
        <f>IFERROR(__xludf.DUMMYFUNCTION("DATE(INDEX(SPLIT(I107,""/""),,3),INDEX(SPLIT(I107,""/""),,2),INDEX(SPLIT(I107,""/""),,1))"),44865.0)</f>
        <v>44865</v>
      </c>
      <c r="L107" s="1">
        <v>0.0</v>
      </c>
      <c r="M107" s="1" t="s">
        <v>620</v>
      </c>
      <c r="N107" s="1"/>
      <c r="O107" s="1" t="s">
        <v>30</v>
      </c>
      <c r="P107" s="1" t="s">
        <v>31</v>
      </c>
      <c r="Q107" s="1" t="s">
        <v>32</v>
      </c>
      <c r="R107" s="1" t="s">
        <v>32</v>
      </c>
      <c r="S107" s="1" t="s">
        <v>33</v>
      </c>
      <c r="T107" s="1" t="s">
        <v>159</v>
      </c>
      <c r="U107" s="1">
        <v>1.00609607E8</v>
      </c>
      <c r="X107" s="1" t="s">
        <v>81</v>
      </c>
      <c r="Y107" s="1" t="s">
        <v>621</v>
      </c>
      <c r="Z107" s="1" t="s">
        <v>37</v>
      </c>
    </row>
    <row r="108" hidden="1">
      <c r="A108" s="1" t="s">
        <v>622</v>
      </c>
      <c r="B108" s="1" t="s">
        <v>66</v>
      </c>
      <c r="C108" s="1" t="s">
        <v>623</v>
      </c>
      <c r="D108" s="1" t="s">
        <v>27</v>
      </c>
      <c r="E108" s="1" t="s">
        <v>28</v>
      </c>
      <c r="F108" s="2">
        <v>8000000.0</v>
      </c>
      <c r="G108" s="1" t="s">
        <v>624</v>
      </c>
      <c r="H108" s="4">
        <f>IFERROR(__xludf.DUMMYFUNCTION("DATE(INDEX(SPLIT(G108,""/""),,3),INDEX(SPLIT(G108,""/""),,2),INDEX(SPLIT(G108,""/""),,1))"),44642.0)</f>
        <v>44642</v>
      </c>
      <c r="I108" s="1" t="s">
        <v>625</v>
      </c>
      <c r="J108" s="4">
        <f>IFERROR(__xludf.DUMMYFUNCTION("DATE(INDEX(SPLIT(I108,""/""),,3),INDEX(SPLIT(I108,""/""),,2),INDEX(SPLIT(I108,""/""),,1))"),44848.0)</f>
        <v>44848</v>
      </c>
      <c r="L108" s="1">
        <v>0.0</v>
      </c>
      <c r="M108" s="1" t="s">
        <v>318</v>
      </c>
      <c r="N108" s="1"/>
      <c r="O108" s="1" t="s">
        <v>30</v>
      </c>
      <c r="P108" s="1" t="s">
        <v>31</v>
      </c>
      <c r="Q108" s="1" t="s">
        <v>71</v>
      </c>
      <c r="R108" s="1" t="s">
        <v>71</v>
      </c>
      <c r="S108" s="1" t="s">
        <v>72</v>
      </c>
      <c r="T108" s="1" t="s">
        <v>73</v>
      </c>
      <c r="U108" s="1">
        <v>1.00654705E8</v>
      </c>
      <c r="X108" s="1" t="s">
        <v>74</v>
      </c>
      <c r="Y108" s="1" t="s">
        <v>318</v>
      </c>
      <c r="Z108" s="1" t="s">
        <v>37</v>
      </c>
    </row>
    <row r="109" hidden="1">
      <c r="A109" s="1" t="s">
        <v>626</v>
      </c>
      <c r="B109" s="1" t="s">
        <v>546</v>
      </c>
      <c r="C109" s="1" t="s">
        <v>627</v>
      </c>
      <c r="D109" s="1" t="s">
        <v>27</v>
      </c>
      <c r="E109" s="1" t="s">
        <v>28</v>
      </c>
      <c r="F109" s="2">
        <v>8000000.0</v>
      </c>
      <c r="G109" s="1" t="s">
        <v>324</v>
      </c>
      <c r="H109" s="4">
        <f>IFERROR(__xludf.DUMMYFUNCTION("DATE(INDEX(SPLIT(G109,""/""),,3),INDEX(SPLIT(G109,""/""),,2),INDEX(SPLIT(G109,""/""),,1))"),44636.0)</f>
        <v>44636</v>
      </c>
      <c r="I109" s="1" t="s">
        <v>628</v>
      </c>
      <c r="J109" s="4">
        <f>IFERROR(__xludf.DUMMYFUNCTION("DATE(INDEX(SPLIT(I109,""/""),,3),INDEX(SPLIT(I109,""/""),,2),INDEX(SPLIT(I109,""/""),,1))"),45310.0)</f>
        <v>45310</v>
      </c>
      <c r="L109" s="1">
        <v>0.0</v>
      </c>
      <c r="M109" s="1" t="s">
        <v>318</v>
      </c>
      <c r="N109" s="1"/>
      <c r="O109" s="1" t="s">
        <v>30</v>
      </c>
      <c r="P109" s="1" t="s">
        <v>31</v>
      </c>
      <c r="Q109" s="1" t="s">
        <v>71</v>
      </c>
      <c r="R109" s="1" t="s">
        <v>71</v>
      </c>
      <c r="S109" s="1" t="s">
        <v>72</v>
      </c>
      <c r="T109" s="1" t="s">
        <v>73</v>
      </c>
      <c r="U109" s="1">
        <v>1.00654705E8</v>
      </c>
      <c r="X109" s="1" t="s">
        <v>74</v>
      </c>
      <c r="Y109" s="1" t="s">
        <v>318</v>
      </c>
      <c r="Z109" s="1" t="s">
        <v>37</v>
      </c>
    </row>
    <row r="110" hidden="1">
      <c r="A110" s="1" t="s">
        <v>629</v>
      </c>
      <c r="B110" s="1" t="s">
        <v>630</v>
      </c>
      <c r="C110" s="1" t="s">
        <v>631</v>
      </c>
      <c r="D110" s="1" t="s">
        <v>27</v>
      </c>
      <c r="E110" s="1" t="s">
        <v>28</v>
      </c>
      <c r="F110" s="2">
        <v>8000000.0</v>
      </c>
      <c r="G110" s="1" t="s">
        <v>632</v>
      </c>
      <c r="H110" s="4">
        <f>IFERROR(__xludf.DUMMYFUNCTION("DATE(INDEX(SPLIT(G110,""/""),,3),INDEX(SPLIT(G110,""/""),,2),INDEX(SPLIT(G110,""/""),,1))"),44484.0)</f>
        <v>44484</v>
      </c>
      <c r="I110" s="4">
        <v>44752.0</v>
      </c>
      <c r="J110" s="4">
        <f>IFERROR(__xludf.DUMMYFUNCTION("DATE(INDEX(SPLIT(I110,""/""),,3),INDEX(SPLIT(I110,""/""),,2),INDEX(SPLIT(I110,""/""),,1))"),44841.0)</f>
        <v>44841</v>
      </c>
      <c r="L110" s="1">
        <v>0.0</v>
      </c>
      <c r="M110" s="1" t="s">
        <v>633</v>
      </c>
      <c r="N110" s="1"/>
      <c r="O110" s="1" t="s">
        <v>30</v>
      </c>
      <c r="P110" s="1" t="s">
        <v>31</v>
      </c>
      <c r="Q110" s="1" t="s">
        <v>53</v>
      </c>
      <c r="R110" s="1" t="s">
        <v>53</v>
      </c>
      <c r="S110" s="1" t="s">
        <v>54</v>
      </c>
      <c r="T110" s="1" t="s">
        <v>634</v>
      </c>
      <c r="U110" s="1">
        <v>1.00997154E8</v>
      </c>
      <c r="V110" s="1" t="s">
        <v>635</v>
      </c>
      <c r="W110" s="1" t="s">
        <v>199</v>
      </c>
      <c r="X110" s="1" t="s">
        <v>490</v>
      </c>
      <c r="Y110" s="1" t="s">
        <v>633</v>
      </c>
      <c r="Z110" s="1" t="s">
        <v>37</v>
      </c>
    </row>
    <row r="111" hidden="1">
      <c r="A111" s="1" t="s">
        <v>636</v>
      </c>
      <c r="B111" s="1" t="s">
        <v>637</v>
      </c>
      <c r="C111" s="1" t="s">
        <v>638</v>
      </c>
      <c r="D111" s="1" t="s">
        <v>27</v>
      </c>
      <c r="E111" s="1" t="s">
        <v>28</v>
      </c>
      <c r="F111" s="2">
        <v>8000000.0</v>
      </c>
      <c r="G111" s="4">
        <v>44389.0</v>
      </c>
      <c r="H111" s="4">
        <f>IFERROR(__xludf.DUMMYFUNCTION("DATE(INDEX(SPLIT(G111,""/""),,3),INDEX(SPLIT(G111,""/""),,2),INDEX(SPLIT(G111,""/""),,1))"),44537.0)</f>
        <v>44537</v>
      </c>
      <c r="I111" s="4">
        <v>44930.0</v>
      </c>
      <c r="J111" s="4">
        <f>IFERROR(__xludf.DUMMYFUNCTION("DATE(INDEX(SPLIT(I111,""/""),,3),INDEX(SPLIT(I111,""/""),,2),INDEX(SPLIT(I111,""/""),,1))"),45017.0)</f>
        <v>45017</v>
      </c>
      <c r="L111" s="1">
        <v>0.0</v>
      </c>
      <c r="M111" s="1" t="s">
        <v>639</v>
      </c>
      <c r="N111" s="1"/>
      <c r="O111" s="1" t="s">
        <v>30</v>
      </c>
      <c r="P111" s="1" t="s">
        <v>31</v>
      </c>
      <c r="Q111" s="1" t="s">
        <v>228</v>
      </c>
      <c r="R111" s="1" t="s">
        <v>228</v>
      </c>
      <c r="S111" s="1" t="s">
        <v>229</v>
      </c>
      <c r="T111" s="1" t="s">
        <v>640</v>
      </c>
      <c r="U111" s="1">
        <v>1.00646519E8</v>
      </c>
      <c r="X111" s="1" t="s">
        <v>35</v>
      </c>
      <c r="Y111" s="1" t="s">
        <v>641</v>
      </c>
      <c r="Z111" s="1" t="s">
        <v>37</v>
      </c>
    </row>
    <row r="112" hidden="1">
      <c r="A112" s="1" t="s">
        <v>642</v>
      </c>
      <c r="B112" s="1" t="s">
        <v>637</v>
      </c>
      <c r="C112" s="1" t="s">
        <v>643</v>
      </c>
      <c r="D112" s="1" t="s">
        <v>27</v>
      </c>
      <c r="E112" s="1" t="s">
        <v>28</v>
      </c>
      <c r="F112" s="2">
        <v>8000000.0</v>
      </c>
      <c r="G112" s="4">
        <v>44389.0</v>
      </c>
      <c r="H112" s="4">
        <f>IFERROR(__xludf.DUMMYFUNCTION("DATE(INDEX(SPLIT(G112,""/""),,3),INDEX(SPLIT(G112,""/""),,2),INDEX(SPLIT(G112,""/""),,1))"),44537.0)</f>
        <v>44537</v>
      </c>
      <c r="I112" s="4">
        <v>44930.0</v>
      </c>
      <c r="J112" s="4">
        <f>IFERROR(__xludf.DUMMYFUNCTION("DATE(INDEX(SPLIT(I112,""/""),,3),INDEX(SPLIT(I112,""/""),,2),INDEX(SPLIT(I112,""/""),,1))"),45017.0)</f>
        <v>45017</v>
      </c>
      <c r="L112" s="1">
        <v>0.0</v>
      </c>
      <c r="M112" s="1" t="s">
        <v>243</v>
      </c>
      <c r="N112" s="1"/>
      <c r="O112" s="1" t="s">
        <v>30</v>
      </c>
      <c r="P112" s="1" t="s">
        <v>31</v>
      </c>
      <c r="Q112" s="1" t="s">
        <v>32</v>
      </c>
      <c r="R112" s="1" t="s">
        <v>32</v>
      </c>
      <c r="S112" s="1" t="s">
        <v>33</v>
      </c>
      <c r="T112" s="1" t="s">
        <v>34</v>
      </c>
      <c r="U112" s="1">
        <v>1.00651722E8</v>
      </c>
      <c r="X112" s="1" t="s">
        <v>35</v>
      </c>
      <c r="Y112" s="1" t="s">
        <v>641</v>
      </c>
      <c r="Z112" s="1" t="s">
        <v>37</v>
      </c>
    </row>
    <row r="113" hidden="1">
      <c r="A113" s="1" t="s">
        <v>644</v>
      </c>
      <c r="B113" s="1" t="s">
        <v>645</v>
      </c>
      <c r="C113" s="1" t="s">
        <v>646</v>
      </c>
      <c r="D113" s="1" t="s">
        <v>68</v>
      </c>
      <c r="E113" s="1" t="s">
        <v>28</v>
      </c>
      <c r="F113" s="2">
        <v>8000000.0</v>
      </c>
      <c r="G113" s="4">
        <v>44807.0</v>
      </c>
      <c r="H113" s="4">
        <f>IFERROR(__xludf.DUMMYFUNCTION("DATE(INDEX(SPLIT(G113,""/""),,3),INDEX(SPLIT(G113,""/""),,2),INDEX(SPLIT(G113,""/""),,1))"),44629.0)</f>
        <v>44629</v>
      </c>
      <c r="I113" s="1" t="s">
        <v>134</v>
      </c>
      <c r="J113" s="4">
        <f>IFERROR(__xludf.DUMMYFUNCTION("DATE(INDEX(SPLIT(I113,""/""),,3),INDEX(SPLIT(I113,""/""),,2),INDEX(SPLIT(I113,""/""),,1))"),44792.0)</f>
        <v>44792</v>
      </c>
      <c r="L113" s="1">
        <v>0.0</v>
      </c>
      <c r="M113" s="1" t="s">
        <v>587</v>
      </c>
      <c r="N113" s="1"/>
      <c r="O113" s="1" t="s">
        <v>30</v>
      </c>
      <c r="P113" s="1" t="s">
        <v>31</v>
      </c>
      <c r="Q113" s="1" t="s">
        <v>157</v>
      </c>
      <c r="R113" s="1" t="s">
        <v>157</v>
      </c>
      <c r="S113" s="1" t="s">
        <v>158</v>
      </c>
      <c r="T113" s="1" t="s">
        <v>647</v>
      </c>
      <c r="U113" s="1">
        <v>1.00700761E8</v>
      </c>
      <c r="V113" s="1" t="s">
        <v>648</v>
      </c>
      <c r="W113" s="1" t="s">
        <v>45</v>
      </c>
      <c r="X113" s="1" t="s">
        <v>46</v>
      </c>
      <c r="Y113" s="1" t="s">
        <v>587</v>
      </c>
      <c r="Z113" s="1" t="s">
        <v>37</v>
      </c>
    </row>
    <row r="114" hidden="1">
      <c r="A114" s="1" t="s">
        <v>649</v>
      </c>
      <c r="B114" s="1" t="s">
        <v>650</v>
      </c>
      <c r="C114" s="1" t="s">
        <v>651</v>
      </c>
      <c r="D114" s="1" t="s">
        <v>122</v>
      </c>
      <c r="E114" s="1" t="s">
        <v>28</v>
      </c>
      <c r="F114" s="2">
        <v>8000000.0</v>
      </c>
      <c r="G114" s="4">
        <v>43932.0</v>
      </c>
      <c r="H114" s="4">
        <f>IFERROR(__xludf.DUMMYFUNCTION("DATE(INDEX(SPLIT(G114,""/""),,3),INDEX(SPLIT(G114,""/""),,2),INDEX(SPLIT(G114,""/""),,1))"),44139.0)</f>
        <v>44139</v>
      </c>
      <c r="I114" s="1" t="s">
        <v>652</v>
      </c>
      <c r="J114" s="4">
        <f>IFERROR(__xludf.DUMMYFUNCTION("DATE(INDEX(SPLIT(I114,""/""),,3),INDEX(SPLIT(I114,""/""),,2),INDEX(SPLIT(I114,""/""),,1))"),44863.0)</f>
        <v>44863</v>
      </c>
      <c r="L114" s="1">
        <v>0.0</v>
      </c>
      <c r="M114" s="1" t="s">
        <v>653</v>
      </c>
      <c r="N114" s="1"/>
      <c r="O114" s="1" t="s">
        <v>30</v>
      </c>
      <c r="P114" s="1" t="s">
        <v>31</v>
      </c>
      <c r="Q114" s="1" t="s">
        <v>157</v>
      </c>
      <c r="R114" s="1" t="s">
        <v>157</v>
      </c>
      <c r="S114" s="1" t="s">
        <v>158</v>
      </c>
      <c r="T114" s="1" t="s">
        <v>571</v>
      </c>
      <c r="U114" s="1">
        <v>1.00591141E8</v>
      </c>
      <c r="X114" s="1" t="s">
        <v>63</v>
      </c>
      <c r="Y114" s="1" t="s">
        <v>653</v>
      </c>
      <c r="Z114" s="1" t="s">
        <v>37</v>
      </c>
    </row>
    <row r="115" hidden="1">
      <c r="A115" s="1" t="s">
        <v>654</v>
      </c>
      <c r="B115" s="1" t="s">
        <v>655</v>
      </c>
      <c r="C115" s="1" t="s">
        <v>656</v>
      </c>
      <c r="D115" s="1" t="s">
        <v>27</v>
      </c>
      <c r="E115" s="1" t="s">
        <v>28</v>
      </c>
      <c r="F115" s="2">
        <v>8000000.0</v>
      </c>
      <c r="G115" s="4">
        <v>44623.0</v>
      </c>
      <c r="H115" s="4">
        <f>IFERROR(__xludf.DUMMYFUNCTION("DATE(INDEX(SPLIT(G115,""/""),,3),INDEX(SPLIT(G115,""/""),,2),INDEX(SPLIT(G115,""/""),,1))"),44623.0)</f>
        <v>44623</v>
      </c>
      <c r="I115" s="1" t="s">
        <v>203</v>
      </c>
      <c r="J115" s="4">
        <f>IFERROR(__xludf.DUMMYFUNCTION("DATE(INDEX(SPLIT(I115,""/""),,3),INDEX(SPLIT(I115,""/""),,2),INDEX(SPLIT(I115,""/""),,1))"),44925.0)</f>
        <v>44925</v>
      </c>
      <c r="L115" s="1">
        <v>0.0</v>
      </c>
      <c r="M115" s="1" t="s">
        <v>401</v>
      </c>
      <c r="N115" s="1"/>
      <c r="O115" s="1" t="s">
        <v>30</v>
      </c>
      <c r="P115" s="1" t="s">
        <v>31</v>
      </c>
      <c r="Q115" s="1" t="s">
        <v>32</v>
      </c>
      <c r="R115" s="1" t="s">
        <v>32</v>
      </c>
      <c r="S115" s="1" t="s">
        <v>33</v>
      </c>
      <c r="T115" s="1" t="s">
        <v>402</v>
      </c>
      <c r="U115" s="1">
        <v>1.0059112E8</v>
      </c>
      <c r="X115" s="1" t="s">
        <v>117</v>
      </c>
      <c r="Y115" s="1" t="s">
        <v>403</v>
      </c>
      <c r="Z115" s="1" t="s">
        <v>37</v>
      </c>
    </row>
    <row r="116" hidden="1">
      <c r="A116" s="1" t="s">
        <v>657</v>
      </c>
      <c r="B116" s="1" t="s">
        <v>658</v>
      </c>
      <c r="C116" s="1" t="s">
        <v>659</v>
      </c>
      <c r="D116" s="1" t="s">
        <v>78</v>
      </c>
      <c r="E116" s="1" t="s">
        <v>28</v>
      </c>
      <c r="F116" s="2">
        <v>7500000.0</v>
      </c>
      <c r="G116" s="1" t="s">
        <v>210</v>
      </c>
      <c r="H116" s="4">
        <f>IFERROR(__xludf.DUMMYFUNCTION("DATE(INDEX(SPLIT(G116,""/""),,3),INDEX(SPLIT(G116,""/""),,2),INDEX(SPLIT(G116,""/""),,1))"),44329.0)</f>
        <v>44329</v>
      </c>
      <c r="I116" s="1" t="s">
        <v>660</v>
      </c>
      <c r="J116" s="4">
        <f>IFERROR(__xludf.DUMMYFUNCTION("DATE(INDEX(SPLIT(I116,""/""),,3),INDEX(SPLIT(I116,""/""),,2),INDEX(SPLIT(I116,""/""),,1))"),44832.0)</f>
        <v>44832</v>
      </c>
      <c r="L116" s="1">
        <v>0.0</v>
      </c>
      <c r="M116" s="1" t="s">
        <v>211</v>
      </c>
      <c r="N116" s="1"/>
      <c r="O116" s="1" t="s">
        <v>30</v>
      </c>
      <c r="P116" s="1" t="s">
        <v>31</v>
      </c>
      <c r="Q116" s="1" t="s">
        <v>71</v>
      </c>
      <c r="R116" s="1" t="s">
        <v>71</v>
      </c>
      <c r="S116" s="1" t="s">
        <v>72</v>
      </c>
      <c r="T116" s="1" t="s">
        <v>136</v>
      </c>
      <c r="U116" s="1">
        <v>1.00590896E8</v>
      </c>
      <c r="X116" s="1" t="s">
        <v>74</v>
      </c>
      <c r="Y116" s="1" t="s">
        <v>212</v>
      </c>
      <c r="Z116" s="1" t="s">
        <v>37</v>
      </c>
    </row>
    <row r="117" hidden="1">
      <c r="A117" s="1" t="s">
        <v>661</v>
      </c>
      <c r="B117" s="1" t="s">
        <v>662</v>
      </c>
      <c r="C117" s="1" t="s">
        <v>663</v>
      </c>
      <c r="D117" s="1" t="s">
        <v>78</v>
      </c>
      <c r="E117" s="1" t="s">
        <v>28</v>
      </c>
      <c r="F117" s="2">
        <v>7500000.0</v>
      </c>
      <c r="G117" s="1" t="s">
        <v>600</v>
      </c>
      <c r="H117" s="4">
        <f>IFERROR(__xludf.DUMMYFUNCTION("DATE(INDEX(SPLIT(G117,""/""),,3),INDEX(SPLIT(G117,""/""),,2),INDEX(SPLIT(G117,""/""),,1))"),44665.0)</f>
        <v>44665</v>
      </c>
      <c r="I117" s="1" t="s">
        <v>130</v>
      </c>
      <c r="J117" s="4">
        <f>IFERROR(__xludf.DUMMYFUNCTION("DATE(INDEX(SPLIT(I117,""/""),,3),INDEX(SPLIT(I117,""/""),,2),INDEX(SPLIT(I117,""/""),,1))"),44804.0)</f>
        <v>44804</v>
      </c>
      <c r="L117" s="1">
        <v>0.0</v>
      </c>
      <c r="M117" s="1" t="s">
        <v>277</v>
      </c>
      <c r="N117" s="1"/>
      <c r="O117" s="1" t="s">
        <v>30</v>
      </c>
      <c r="P117" s="1" t="s">
        <v>31</v>
      </c>
      <c r="Q117" s="1" t="s">
        <v>32</v>
      </c>
      <c r="R117" s="1" t="s">
        <v>32</v>
      </c>
      <c r="S117" s="1" t="s">
        <v>33</v>
      </c>
      <c r="T117" s="1" t="s">
        <v>103</v>
      </c>
      <c r="U117" s="1">
        <v>1.00608828E8</v>
      </c>
      <c r="X117" s="1" t="s">
        <v>46</v>
      </c>
      <c r="Y117" s="1" t="s">
        <v>664</v>
      </c>
      <c r="Z117" s="1" t="s">
        <v>37</v>
      </c>
    </row>
    <row r="118" hidden="1">
      <c r="A118" s="1" t="s">
        <v>665</v>
      </c>
      <c r="B118" s="1" t="s">
        <v>666</v>
      </c>
      <c r="C118" s="1" t="s">
        <v>667</v>
      </c>
      <c r="D118" s="1" t="s">
        <v>78</v>
      </c>
      <c r="E118" s="1" t="s">
        <v>28</v>
      </c>
      <c r="F118" s="2">
        <v>7500000.0</v>
      </c>
      <c r="G118" s="4">
        <v>44441.0</v>
      </c>
      <c r="H118" s="4">
        <f>IFERROR(__xludf.DUMMYFUNCTION("DATE(INDEX(SPLIT(G118,""/""),,3),INDEX(SPLIT(G118,""/""),,2),INDEX(SPLIT(G118,""/""),,1))"),44236.0)</f>
        <v>44236</v>
      </c>
      <c r="I118" s="1" t="s">
        <v>668</v>
      </c>
      <c r="J118" s="4">
        <f>IFERROR(__xludf.DUMMYFUNCTION("DATE(INDEX(SPLIT(I118,""/""),,3),INDEX(SPLIT(I118,""/""),,2),INDEX(SPLIT(I118,""/""),,1))"),45199.0)</f>
        <v>45199</v>
      </c>
      <c r="L118" s="1">
        <v>0.0</v>
      </c>
      <c r="M118" s="1" t="s">
        <v>597</v>
      </c>
      <c r="N118" s="1"/>
      <c r="O118" s="1" t="s">
        <v>30</v>
      </c>
      <c r="P118" s="1" t="s">
        <v>31</v>
      </c>
      <c r="Q118" s="1" t="s">
        <v>32</v>
      </c>
      <c r="R118" s="1" t="s">
        <v>32</v>
      </c>
      <c r="S118" s="1" t="s">
        <v>33</v>
      </c>
      <c r="T118" s="1" t="s">
        <v>34</v>
      </c>
      <c r="U118" s="1">
        <v>1.0064407E8</v>
      </c>
      <c r="V118" s="1" t="s">
        <v>669</v>
      </c>
      <c r="W118" s="1" t="s">
        <v>199</v>
      </c>
      <c r="X118" s="1" t="s">
        <v>35</v>
      </c>
      <c r="Y118" s="1" t="s">
        <v>670</v>
      </c>
      <c r="Z118" s="1" t="s">
        <v>37</v>
      </c>
    </row>
    <row r="119" hidden="1">
      <c r="A119" s="1" t="s">
        <v>671</v>
      </c>
      <c r="B119" s="1" t="s">
        <v>672</v>
      </c>
      <c r="C119" s="1" t="s">
        <v>673</v>
      </c>
      <c r="D119" s="1" t="s">
        <v>78</v>
      </c>
      <c r="E119" s="1" t="s">
        <v>28</v>
      </c>
      <c r="F119" s="2">
        <v>7300000.0</v>
      </c>
      <c r="G119" s="4">
        <v>44409.0</v>
      </c>
      <c r="H119" s="4">
        <f>IFERROR(__xludf.DUMMYFUNCTION("DATE(INDEX(SPLIT(G119,""/""),,3),INDEX(SPLIT(G119,""/""),,2),INDEX(SPLIT(G119,""/""),,1))"),44204.0)</f>
        <v>44204</v>
      </c>
      <c r="I119" s="1" t="s">
        <v>360</v>
      </c>
      <c r="J119" s="4">
        <f>IFERROR(__xludf.DUMMYFUNCTION("DATE(INDEX(SPLIT(I119,""/""),,3),INDEX(SPLIT(I119,""/""),,2),INDEX(SPLIT(I119,""/""),,1))"),44895.0)</f>
        <v>44895</v>
      </c>
      <c r="L119" s="1">
        <v>0.0</v>
      </c>
      <c r="M119" s="1" t="s">
        <v>674</v>
      </c>
      <c r="N119" s="1"/>
      <c r="O119" s="1" t="s">
        <v>30</v>
      </c>
      <c r="P119" s="1" t="s">
        <v>31</v>
      </c>
      <c r="Q119" s="1" t="s">
        <v>228</v>
      </c>
      <c r="R119" s="1" t="s">
        <v>228</v>
      </c>
      <c r="S119" s="1" t="s">
        <v>229</v>
      </c>
      <c r="T119" s="1" t="s">
        <v>640</v>
      </c>
      <c r="U119" s="1">
        <v>1.0089503E8</v>
      </c>
      <c r="X119" s="1" t="s">
        <v>88</v>
      </c>
      <c r="Y119" s="1" t="s">
        <v>675</v>
      </c>
      <c r="Z119" s="1" t="s">
        <v>37</v>
      </c>
    </row>
    <row r="120" hidden="1">
      <c r="A120" s="1" t="s">
        <v>676</v>
      </c>
      <c r="B120" s="1" t="s">
        <v>39</v>
      </c>
      <c r="C120" s="1" t="s">
        <v>677</v>
      </c>
      <c r="D120" s="1" t="s">
        <v>122</v>
      </c>
      <c r="E120" s="1" t="s">
        <v>28</v>
      </c>
      <c r="F120" s="2">
        <v>7200000.0</v>
      </c>
      <c r="G120" s="4">
        <v>44899.0</v>
      </c>
      <c r="H120" s="4">
        <f>IFERROR(__xludf.DUMMYFUNCTION("DATE(INDEX(SPLIT(G120,""/""),,3),INDEX(SPLIT(G120,""/""),,2),INDEX(SPLIT(G120,""/""),,1))"),44663.0)</f>
        <v>44663</v>
      </c>
      <c r="I120" s="1" t="s">
        <v>109</v>
      </c>
      <c r="J120" s="4">
        <f>IFERROR(__xludf.DUMMYFUNCTION("DATE(INDEX(SPLIT(I120,""/""),,3),INDEX(SPLIT(I120,""/""),,2),INDEX(SPLIT(I120,""/""),,1))"),44834.0)</f>
        <v>44834</v>
      </c>
      <c r="L120" s="1">
        <v>0.0</v>
      </c>
      <c r="M120" s="1" t="s">
        <v>678</v>
      </c>
      <c r="N120" s="1"/>
      <c r="O120" s="1" t="s">
        <v>30</v>
      </c>
      <c r="P120" s="1" t="s">
        <v>31</v>
      </c>
      <c r="Q120" s="1" t="s">
        <v>188</v>
      </c>
      <c r="R120" s="1" t="s">
        <v>188</v>
      </c>
      <c r="S120" s="1" t="s">
        <v>189</v>
      </c>
      <c r="T120" s="1" t="s">
        <v>287</v>
      </c>
      <c r="U120" s="1">
        <v>1.00904601E8</v>
      </c>
      <c r="V120" s="1" t="s">
        <v>326</v>
      </c>
      <c r="W120" s="1" t="s">
        <v>45</v>
      </c>
      <c r="X120" s="1" t="s">
        <v>46</v>
      </c>
      <c r="Y120" s="1" t="s">
        <v>679</v>
      </c>
      <c r="Z120" s="1" t="s">
        <v>37</v>
      </c>
    </row>
    <row r="121" hidden="1">
      <c r="A121" s="1" t="s">
        <v>680</v>
      </c>
      <c r="B121" s="1" t="s">
        <v>497</v>
      </c>
      <c r="C121" s="1" t="s">
        <v>681</v>
      </c>
      <c r="D121" s="1" t="s">
        <v>78</v>
      </c>
      <c r="E121" s="1" t="s">
        <v>28</v>
      </c>
      <c r="F121" s="2">
        <v>7000000.0</v>
      </c>
      <c r="G121" s="1" t="s">
        <v>682</v>
      </c>
      <c r="H121" s="4">
        <f>IFERROR(__xludf.DUMMYFUNCTION("DATE(INDEX(SPLIT(G121,""/""),,3),INDEX(SPLIT(G121,""/""),,2),INDEX(SPLIT(G121,""/""),,1))"),44406.0)</f>
        <v>44406</v>
      </c>
      <c r="I121" s="1" t="s">
        <v>683</v>
      </c>
      <c r="J121" s="4">
        <f>IFERROR(__xludf.DUMMYFUNCTION("DATE(INDEX(SPLIT(I121,""/""),,3),INDEX(SPLIT(I121,""/""),,2),INDEX(SPLIT(I121,""/""),,1))"),45015.0)</f>
        <v>45015</v>
      </c>
      <c r="L121" s="1">
        <v>0.0</v>
      </c>
      <c r="M121" s="1" t="s">
        <v>597</v>
      </c>
      <c r="N121" s="1"/>
      <c r="O121" s="1" t="s">
        <v>30</v>
      </c>
      <c r="P121" s="1" t="s">
        <v>31</v>
      </c>
      <c r="Q121" s="1" t="s">
        <v>32</v>
      </c>
      <c r="R121" s="1" t="s">
        <v>32</v>
      </c>
      <c r="S121" s="1" t="s">
        <v>33</v>
      </c>
      <c r="T121" s="1" t="s">
        <v>34</v>
      </c>
      <c r="U121" s="1">
        <v>1.0064407E8</v>
      </c>
      <c r="V121" s="1" t="s">
        <v>684</v>
      </c>
      <c r="W121" s="1" t="s">
        <v>199</v>
      </c>
      <c r="X121" s="1" t="s">
        <v>35</v>
      </c>
      <c r="Y121" s="1" t="s">
        <v>685</v>
      </c>
      <c r="Z121" s="1" t="s">
        <v>37</v>
      </c>
    </row>
    <row r="122" hidden="1">
      <c r="A122" s="1" t="s">
        <v>686</v>
      </c>
      <c r="B122" s="1" t="s">
        <v>152</v>
      </c>
      <c r="C122" s="1" t="s">
        <v>687</v>
      </c>
      <c r="D122" s="1" t="s">
        <v>68</v>
      </c>
      <c r="E122" s="1" t="s">
        <v>28</v>
      </c>
      <c r="F122" s="2">
        <v>7000000.0</v>
      </c>
      <c r="G122" s="4">
        <v>44387.0</v>
      </c>
      <c r="H122" s="4">
        <f>IFERROR(__xludf.DUMMYFUNCTION("DATE(INDEX(SPLIT(G122,""/""),,3),INDEX(SPLIT(G122,""/""),,2),INDEX(SPLIT(G122,""/""),,1))"),44476.0)</f>
        <v>44476</v>
      </c>
      <c r="I122" s="1" t="s">
        <v>688</v>
      </c>
      <c r="J122" s="4">
        <f>IFERROR(__xludf.DUMMYFUNCTION("DATE(INDEX(SPLIT(I122,""/""),,3),INDEX(SPLIT(I122,""/""),,2),INDEX(SPLIT(I122,""/""),,1))"),44893.0)</f>
        <v>44893</v>
      </c>
      <c r="L122" s="1">
        <v>0.0</v>
      </c>
      <c r="M122" s="1" t="s">
        <v>594</v>
      </c>
      <c r="N122" s="1"/>
      <c r="O122" s="1" t="s">
        <v>30</v>
      </c>
      <c r="P122" s="1" t="s">
        <v>31</v>
      </c>
      <c r="Q122" s="1" t="s">
        <v>95</v>
      </c>
      <c r="R122" s="1" t="s">
        <v>95</v>
      </c>
      <c r="S122" s="1" t="s">
        <v>96</v>
      </c>
      <c r="T122" s="1" t="s">
        <v>217</v>
      </c>
      <c r="U122" s="1">
        <v>1.005886E8</v>
      </c>
      <c r="X122" s="1" t="s">
        <v>35</v>
      </c>
      <c r="Y122" s="1" t="s">
        <v>594</v>
      </c>
      <c r="Z122" s="1" t="s">
        <v>37</v>
      </c>
    </row>
    <row r="123">
      <c r="A123" s="3" t="s">
        <v>689</v>
      </c>
      <c r="B123" s="3" t="s">
        <v>690</v>
      </c>
      <c r="C123" s="3" t="s">
        <v>691</v>
      </c>
      <c r="D123" s="3" t="s">
        <v>78</v>
      </c>
      <c r="E123" s="3" t="s">
        <v>28</v>
      </c>
      <c r="F123" s="5">
        <v>7000000.0</v>
      </c>
      <c r="G123" s="3" t="s">
        <v>271</v>
      </c>
      <c r="H123" s="6">
        <f>IFERROR(__xludf.DUMMYFUNCTION("DATE(INDEX(SPLIT(G123,""/""),,3),INDEX(SPLIT(G123,""/""),,2),INDEX(SPLIT(G123,""/""),,1))"),44680.0)</f>
        <v>44680</v>
      </c>
      <c r="I123" s="3" t="s">
        <v>226</v>
      </c>
      <c r="J123" s="6">
        <f>IFERROR(__xludf.DUMMYFUNCTION("DATE(INDEX(SPLIT(I123,""/""),,3),INDEX(SPLIT(I123,""/""),,2),INDEX(SPLIT(I123,""/""),,1))"),44771.0)</f>
        <v>44771</v>
      </c>
      <c r="K123" s="7"/>
      <c r="L123" s="3">
        <v>0.0</v>
      </c>
      <c r="M123" s="3" t="s">
        <v>692</v>
      </c>
      <c r="N123" s="3"/>
      <c r="O123" s="3" t="s">
        <v>30</v>
      </c>
      <c r="P123" s="3" t="s">
        <v>31</v>
      </c>
      <c r="Q123" s="3" t="s">
        <v>188</v>
      </c>
      <c r="R123" s="3" t="s">
        <v>188</v>
      </c>
      <c r="S123" s="3" t="s">
        <v>189</v>
      </c>
      <c r="T123" s="3" t="s">
        <v>345</v>
      </c>
      <c r="U123" s="3">
        <v>1.00904602E8</v>
      </c>
      <c r="V123" s="7"/>
      <c r="W123" s="7"/>
      <c r="X123" s="3" t="s">
        <v>88</v>
      </c>
      <c r="Y123" s="3" t="s">
        <v>693</v>
      </c>
      <c r="Z123" s="3" t="s">
        <v>37</v>
      </c>
      <c r="AA123" s="7"/>
      <c r="AB123" s="7"/>
    </row>
    <row r="124">
      <c r="A124" s="3" t="s">
        <v>694</v>
      </c>
      <c r="B124" s="3" t="s">
        <v>695</v>
      </c>
      <c r="C124" s="3" t="s">
        <v>209</v>
      </c>
      <c r="D124" s="3" t="s">
        <v>27</v>
      </c>
      <c r="E124" s="3" t="s">
        <v>28</v>
      </c>
      <c r="F124" s="5">
        <v>7000000.0</v>
      </c>
      <c r="G124" s="3" t="s">
        <v>210</v>
      </c>
      <c r="H124" s="6">
        <f>IFERROR(__xludf.DUMMYFUNCTION("DATE(INDEX(SPLIT(G124,""/""),,3),INDEX(SPLIT(G124,""/""),,2),INDEX(SPLIT(G124,""/""),,1))"),44329.0)</f>
        <v>44329</v>
      </c>
      <c r="I124" s="3" t="s">
        <v>226</v>
      </c>
      <c r="J124" s="6">
        <f>IFERROR(__xludf.DUMMYFUNCTION("DATE(INDEX(SPLIT(I124,""/""),,3),INDEX(SPLIT(I124,""/""),,2),INDEX(SPLIT(I124,""/""),,1))"),44771.0)</f>
        <v>44771</v>
      </c>
      <c r="K124" s="7"/>
      <c r="L124" s="3">
        <v>0.0</v>
      </c>
      <c r="M124" s="3" t="s">
        <v>211</v>
      </c>
      <c r="N124" s="3"/>
      <c r="O124" s="3" t="s">
        <v>30</v>
      </c>
      <c r="P124" s="3" t="s">
        <v>31</v>
      </c>
      <c r="Q124" s="3" t="s">
        <v>71</v>
      </c>
      <c r="R124" s="3" t="s">
        <v>71</v>
      </c>
      <c r="S124" s="3" t="s">
        <v>72</v>
      </c>
      <c r="T124" s="3" t="s">
        <v>136</v>
      </c>
      <c r="U124" s="3">
        <v>1.00590896E8</v>
      </c>
      <c r="V124" s="7"/>
      <c r="W124" s="7"/>
      <c r="X124" s="3" t="s">
        <v>74</v>
      </c>
      <c r="Y124" s="3" t="s">
        <v>212</v>
      </c>
      <c r="Z124" s="3" t="s">
        <v>37</v>
      </c>
      <c r="AA124" s="7"/>
      <c r="AB124" s="7"/>
    </row>
    <row r="125">
      <c r="A125" s="3" t="s">
        <v>696</v>
      </c>
      <c r="B125" s="3" t="s">
        <v>492</v>
      </c>
      <c r="C125" s="3" t="s">
        <v>697</v>
      </c>
      <c r="D125" s="3" t="s">
        <v>68</v>
      </c>
      <c r="E125" s="3" t="s">
        <v>28</v>
      </c>
      <c r="F125" s="5">
        <v>6700000.0</v>
      </c>
      <c r="G125" s="3" t="s">
        <v>321</v>
      </c>
      <c r="H125" s="6">
        <f>IFERROR(__xludf.DUMMYFUNCTION("DATE(INDEX(SPLIT(G125,""/""),,3),INDEX(SPLIT(G125,""/""),,2),INDEX(SPLIT(G125,""/""),,1))"),44586.0)</f>
        <v>44586</v>
      </c>
      <c r="I125" s="3" t="s">
        <v>226</v>
      </c>
      <c r="J125" s="6">
        <f>IFERROR(__xludf.DUMMYFUNCTION("DATE(INDEX(SPLIT(I125,""/""),,3),INDEX(SPLIT(I125,""/""),,2),INDEX(SPLIT(I125,""/""),,1))"),44771.0)</f>
        <v>44771</v>
      </c>
      <c r="K125" s="7"/>
      <c r="L125" s="3">
        <v>0.0</v>
      </c>
      <c r="M125" s="3" t="s">
        <v>303</v>
      </c>
      <c r="N125" s="3"/>
      <c r="O125" s="3" t="s">
        <v>30</v>
      </c>
      <c r="P125" s="3" t="s">
        <v>31</v>
      </c>
      <c r="Q125" s="3" t="s">
        <v>95</v>
      </c>
      <c r="R125" s="3" t="s">
        <v>95</v>
      </c>
      <c r="S125" s="3" t="s">
        <v>96</v>
      </c>
      <c r="T125" s="3" t="s">
        <v>304</v>
      </c>
      <c r="U125" s="3">
        <v>1.00623914E8</v>
      </c>
      <c r="V125" s="7"/>
      <c r="W125" s="7"/>
      <c r="X125" s="3" t="s">
        <v>46</v>
      </c>
      <c r="Y125" s="3" t="s">
        <v>698</v>
      </c>
      <c r="Z125" s="3" t="s">
        <v>37</v>
      </c>
      <c r="AA125" s="7"/>
      <c r="AB125" s="7"/>
    </row>
    <row r="126" hidden="1">
      <c r="A126" s="1" t="s">
        <v>699</v>
      </c>
      <c r="B126" s="1" t="s">
        <v>700</v>
      </c>
      <c r="C126" s="1" t="s">
        <v>701</v>
      </c>
      <c r="D126" s="1" t="s">
        <v>27</v>
      </c>
      <c r="E126" s="1" t="s">
        <v>28</v>
      </c>
      <c r="F126" s="2">
        <v>7000000.0</v>
      </c>
      <c r="G126" s="4">
        <v>44809.0</v>
      </c>
      <c r="H126" s="4">
        <f>IFERROR(__xludf.DUMMYFUNCTION("DATE(INDEX(SPLIT(G126,""/""),,3),INDEX(SPLIT(G126,""/""),,2),INDEX(SPLIT(G126,""/""),,1))"),44690.0)</f>
        <v>44690</v>
      </c>
      <c r="I126" s="1" t="s">
        <v>668</v>
      </c>
      <c r="J126" s="4">
        <f>IFERROR(__xludf.DUMMYFUNCTION("DATE(INDEX(SPLIT(I126,""/""),,3),INDEX(SPLIT(I126,""/""),,2),INDEX(SPLIT(I126,""/""),,1))"),45199.0)</f>
        <v>45199</v>
      </c>
      <c r="L126" s="1">
        <v>0.0</v>
      </c>
      <c r="M126" s="1" t="s">
        <v>702</v>
      </c>
      <c r="N126" s="1"/>
      <c r="O126" s="1" t="s">
        <v>30</v>
      </c>
      <c r="P126" s="1" t="s">
        <v>31</v>
      </c>
      <c r="Q126" s="1" t="s">
        <v>95</v>
      </c>
      <c r="R126" s="1" t="s">
        <v>95</v>
      </c>
      <c r="S126" s="1" t="s">
        <v>96</v>
      </c>
      <c r="T126" s="1" t="s">
        <v>311</v>
      </c>
      <c r="U126" s="1">
        <v>1.00616804E8</v>
      </c>
      <c r="X126" s="1" t="s">
        <v>98</v>
      </c>
      <c r="Y126" s="1" t="s">
        <v>702</v>
      </c>
      <c r="Z126" s="1" t="s">
        <v>37</v>
      </c>
    </row>
    <row r="127" hidden="1">
      <c r="A127" s="1" t="s">
        <v>703</v>
      </c>
      <c r="B127" s="1" t="s">
        <v>704</v>
      </c>
      <c r="C127" s="1" t="s">
        <v>705</v>
      </c>
      <c r="D127" s="1" t="s">
        <v>122</v>
      </c>
      <c r="E127" s="1" t="s">
        <v>28</v>
      </c>
      <c r="F127" s="2">
        <v>7000000.0</v>
      </c>
      <c r="G127" s="1" t="s">
        <v>418</v>
      </c>
      <c r="H127" s="4">
        <f>IFERROR(__xludf.DUMMYFUNCTION("DATE(INDEX(SPLIT(G127,""/""),,3),INDEX(SPLIT(G127,""/""),,2),INDEX(SPLIT(G127,""/""),,1))"),44755.0)</f>
        <v>44755</v>
      </c>
      <c r="I127" s="1" t="s">
        <v>109</v>
      </c>
      <c r="J127" s="4">
        <f>IFERROR(__xludf.DUMMYFUNCTION("DATE(INDEX(SPLIT(I127,""/""),,3),INDEX(SPLIT(I127,""/""),,2),INDEX(SPLIT(I127,""/""),,1))"),44834.0)</f>
        <v>44834</v>
      </c>
      <c r="L127" s="1">
        <v>0.0</v>
      </c>
      <c r="M127" s="1" t="s">
        <v>706</v>
      </c>
      <c r="N127" s="1"/>
      <c r="O127" s="1" t="s">
        <v>30</v>
      </c>
      <c r="P127" s="1" t="s">
        <v>31</v>
      </c>
      <c r="Q127" s="1" t="s">
        <v>53</v>
      </c>
      <c r="R127" s="1" t="s">
        <v>53</v>
      </c>
      <c r="S127" s="1" t="s">
        <v>54</v>
      </c>
      <c r="U127" s="1">
        <v>1.00651901E8</v>
      </c>
      <c r="X127" s="1" t="s">
        <v>35</v>
      </c>
      <c r="Y127" s="1" t="s">
        <v>707</v>
      </c>
      <c r="Z127" s="1" t="s">
        <v>37</v>
      </c>
    </row>
    <row r="128" hidden="1">
      <c r="A128" s="1" t="s">
        <v>708</v>
      </c>
      <c r="B128" s="1" t="s">
        <v>709</v>
      </c>
      <c r="C128" s="1" t="s">
        <v>710</v>
      </c>
      <c r="D128" s="1" t="s">
        <v>122</v>
      </c>
      <c r="E128" s="1" t="s">
        <v>28</v>
      </c>
      <c r="F128" s="2">
        <v>7000000.0</v>
      </c>
      <c r="G128" s="1" t="s">
        <v>711</v>
      </c>
      <c r="H128" s="4">
        <f>IFERROR(__xludf.DUMMYFUNCTION("DATE(INDEX(SPLIT(G128,""/""),,3),INDEX(SPLIT(G128,""/""),,2),INDEX(SPLIT(G128,""/""),,1))"),44279.0)</f>
        <v>44279</v>
      </c>
      <c r="I128" s="4">
        <v>44570.0</v>
      </c>
      <c r="J128" s="4">
        <f>IFERROR(__xludf.DUMMYFUNCTION("DATE(INDEX(SPLIT(I128,""/""),,3),INDEX(SPLIT(I128,""/""),,2),INDEX(SPLIT(I128,""/""),,1))"),44805.0)</f>
        <v>44805</v>
      </c>
      <c r="L128" s="1">
        <v>0.0</v>
      </c>
      <c r="M128" s="1" t="s">
        <v>437</v>
      </c>
      <c r="N128" s="1"/>
      <c r="O128" s="1" t="s">
        <v>30</v>
      </c>
      <c r="P128" s="1" t="s">
        <v>31</v>
      </c>
      <c r="Q128" s="1" t="s">
        <v>235</v>
      </c>
      <c r="R128" s="1" t="s">
        <v>235</v>
      </c>
      <c r="S128" s="1" t="s">
        <v>236</v>
      </c>
      <c r="T128" s="1" t="s">
        <v>62</v>
      </c>
      <c r="U128" s="1">
        <v>1.00650375E8</v>
      </c>
      <c r="X128" s="1" t="s">
        <v>35</v>
      </c>
      <c r="Y128" s="1" t="s">
        <v>437</v>
      </c>
      <c r="Z128" s="1" t="s">
        <v>37</v>
      </c>
    </row>
    <row r="129" hidden="1">
      <c r="A129" s="1" t="s">
        <v>712</v>
      </c>
      <c r="B129" s="1" t="s">
        <v>666</v>
      </c>
      <c r="C129" s="1" t="s">
        <v>713</v>
      </c>
      <c r="D129" s="1" t="s">
        <v>122</v>
      </c>
      <c r="E129" s="1" t="s">
        <v>28</v>
      </c>
      <c r="F129" s="2">
        <v>7000000.0</v>
      </c>
      <c r="G129" s="1" t="s">
        <v>714</v>
      </c>
      <c r="H129" s="4">
        <f>IFERROR(__xludf.DUMMYFUNCTION("DATE(INDEX(SPLIT(G129,""/""),,3),INDEX(SPLIT(G129,""/""),,2),INDEX(SPLIT(G129,""/""),,1))"),44546.0)</f>
        <v>44546</v>
      </c>
      <c r="I129" s="1" t="s">
        <v>109</v>
      </c>
      <c r="J129" s="4">
        <f>IFERROR(__xludf.DUMMYFUNCTION("DATE(INDEX(SPLIT(I129,""/""),,3),INDEX(SPLIT(I129,""/""),,2),INDEX(SPLIT(I129,""/""),,1))"),44834.0)</f>
        <v>44834</v>
      </c>
      <c r="L129" s="1">
        <v>0.0</v>
      </c>
      <c r="M129" s="1" t="s">
        <v>715</v>
      </c>
      <c r="N129" s="1"/>
      <c r="O129" s="1" t="s">
        <v>30</v>
      </c>
      <c r="P129" s="1" t="s">
        <v>31</v>
      </c>
      <c r="Q129" s="1" t="s">
        <v>32</v>
      </c>
      <c r="R129" s="1" t="s">
        <v>32</v>
      </c>
      <c r="S129" s="1" t="s">
        <v>33</v>
      </c>
      <c r="T129" s="1" t="s">
        <v>34</v>
      </c>
      <c r="U129" s="1">
        <v>1.00592741E8</v>
      </c>
      <c r="V129" s="1" t="s">
        <v>716</v>
      </c>
      <c r="W129" s="1" t="s">
        <v>717</v>
      </c>
      <c r="X129" s="1" t="s">
        <v>35</v>
      </c>
      <c r="Y129" s="1" t="s">
        <v>718</v>
      </c>
      <c r="Z129" s="1" t="s">
        <v>37</v>
      </c>
    </row>
    <row r="130" hidden="1">
      <c r="A130" s="1" t="s">
        <v>719</v>
      </c>
      <c r="B130" s="1" t="s">
        <v>720</v>
      </c>
      <c r="C130" s="1" t="s">
        <v>721</v>
      </c>
      <c r="D130" s="1" t="s">
        <v>78</v>
      </c>
      <c r="E130" s="1" t="s">
        <v>28</v>
      </c>
      <c r="F130" s="2">
        <v>6900000.0</v>
      </c>
      <c r="G130" s="1" t="s">
        <v>722</v>
      </c>
      <c r="H130" s="4">
        <f>IFERROR(__xludf.DUMMYFUNCTION("DATE(INDEX(SPLIT(G130,""/""),,3),INDEX(SPLIT(G130,""/""),,2),INDEX(SPLIT(G130,""/""),,1))"),43216.0)</f>
        <v>43216</v>
      </c>
      <c r="I130" s="4">
        <v>44659.0</v>
      </c>
      <c r="J130" s="4">
        <f>IFERROR(__xludf.DUMMYFUNCTION("DATE(INDEX(SPLIT(I130,""/""),,3),INDEX(SPLIT(I130,""/""),,2),INDEX(SPLIT(I130,""/""),,1))"),44777.0)</f>
        <v>44777</v>
      </c>
      <c r="L130" s="1">
        <v>0.0</v>
      </c>
      <c r="M130" s="1" t="s">
        <v>243</v>
      </c>
      <c r="N130" s="1"/>
      <c r="O130" s="1" t="s">
        <v>30</v>
      </c>
      <c r="P130" s="1" t="s">
        <v>31</v>
      </c>
      <c r="Q130" s="1" t="s">
        <v>32</v>
      </c>
      <c r="R130" s="1" t="s">
        <v>32</v>
      </c>
      <c r="S130" s="1" t="s">
        <v>33</v>
      </c>
      <c r="T130" s="1" t="s">
        <v>34</v>
      </c>
      <c r="U130" s="1">
        <v>1.00651722E8</v>
      </c>
      <c r="X130" s="1" t="s">
        <v>35</v>
      </c>
      <c r="Y130" s="1" t="s">
        <v>243</v>
      </c>
      <c r="Z130" s="1" t="s">
        <v>37</v>
      </c>
    </row>
    <row r="131">
      <c r="A131" s="3" t="s">
        <v>723</v>
      </c>
      <c r="B131" s="3" t="s">
        <v>48</v>
      </c>
      <c r="C131" s="3" t="s">
        <v>724</v>
      </c>
      <c r="D131" s="3" t="s">
        <v>122</v>
      </c>
      <c r="E131" s="3" t="s">
        <v>28</v>
      </c>
      <c r="F131" s="5">
        <v>6582000.0</v>
      </c>
      <c r="G131" s="6">
        <v>44595.0</v>
      </c>
      <c r="H131" s="6">
        <f>IFERROR(__xludf.DUMMYFUNCTION("DATE(INDEX(SPLIT(G131,""/""),,3),INDEX(SPLIT(G131,""/""),,2),INDEX(SPLIT(G131,""/""),,1))"),44622.0)</f>
        <v>44622</v>
      </c>
      <c r="I131" s="6">
        <v>44780.0</v>
      </c>
      <c r="J131" s="6">
        <f>IFERROR(__xludf.DUMMYFUNCTION("DATE(INDEX(SPLIT(I131,""/""),,3),INDEX(SPLIT(I131,""/""),,2),INDEX(SPLIT(I131,""/""),,1))"),44750.0)</f>
        <v>44750</v>
      </c>
      <c r="K131" s="7"/>
      <c r="L131" s="3">
        <v>0.0</v>
      </c>
      <c r="M131" s="3" t="s">
        <v>52</v>
      </c>
      <c r="N131" s="3"/>
      <c r="O131" s="3" t="s">
        <v>30</v>
      </c>
      <c r="P131" s="3" t="s">
        <v>31</v>
      </c>
      <c r="Q131" s="3" t="s">
        <v>53</v>
      </c>
      <c r="R131" s="3" t="s">
        <v>53</v>
      </c>
      <c r="S131" s="3" t="s">
        <v>54</v>
      </c>
      <c r="T131" s="3" t="s">
        <v>55</v>
      </c>
      <c r="U131" s="3">
        <v>1.01059432E8</v>
      </c>
      <c r="V131" s="3" t="s">
        <v>49</v>
      </c>
      <c r="W131" s="3" t="s">
        <v>199</v>
      </c>
      <c r="X131" s="3" t="s">
        <v>46</v>
      </c>
      <c r="Y131" s="3" t="s">
        <v>57</v>
      </c>
      <c r="Z131" s="3" t="s">
        <v>37</v>
      </c>
      <c r="AA131" s="7"/>
      <c r="AB131" s="7"/>
    </row>
    <row r="132">
      <c r="A132" s="3" t="s">
        <v>725</v>
      </c>
      <c r="B132" s="3" t="s">
        <v>726</v>
      </c>
      <c r="C132" s="3" t="s">
        <v>209</v>
      </c>
      <c r="D132" s="3" t="s">
        <v>27</v>
      </c>
      <c r="E132" s="3" t="s">
        <v>28</v>
      </c>
      <c r="F132" s="5">
        <v>6000000.0</v>
      </c>
      <c r="G132" s="3" t="s">
        <v>210</v>
      </c>
      <c r="H132" s="6">
        <f>IFERROR(__xludf.DUMMYFUNCTION("DATE(INDEX(SPLIT(G132,""/""),,3),INDEX(SPLIT(G132,""/""),,2),INDEX(SPLIT(G132,""/""),,1))"),44329.0)</f>
        <v>44329</v>
      </c>
      <c r="I132" s="3" t="s">
        <v>226</v>
      </c>
      <c r="J132" s="6">
        <f>IFERROR(__xludf.DUMMYFUNCTION("DATE(INDEX(SPLIT(I132,""/""),,3),INDEX(SPLIT(I132,""/""),,2),INDEX(SPLIT(I132,""/""),,1))"),44771.0)</f>
        <v>44771</v>
      </c>
      <c r="K132" s="7"/>
      <c r="L132" s="3">
        <v>0.0</v>
      </c>
      <c r="M132" s="3" t="s">
        <v>211</v>
      </c>
      <c r="N132" s="3"/>
      <c r="O132" s="3" t="s">
        <v>30</v>
      </c>
      <c r="P132" s="3" t="s">
        <v>31</v>
      </c>
      <c r="Q132" s="3" t="s">
        <v>71</v>
      </c>
      <c r="R132" s="3" t="s">
        <v>71</v>
      </c>
      <c r="S132" s="3" t="s">
        <v>72</v>
      </c>
      <c r="T132" s="3" t="s">
        <v>136</v>
      </c>
      <c r="U132" s="3">
        <v>1.00590896E8</v>
      </c>
      <c r="V132" s="7"/>
      <c r="W132" s="7"/>
      <c r="X132" s="3" t="s">
        <v>74</v>
      </c>
      <c r="Y132" s="3" t="s">
        <v>212</v>
      </c>
      <c r="Z132" s="3" t="s">
        <v>37</v>
      </c>
      <c r="AA132" s="7"/>
      <c r="AB132" s="7"/>
    </row>
    <row r="133" hidden="1">
      <c r="A133" s="1" t="s">
        <v>727</v>
      </c>
      <c r="B133" s="1" t="s">
        <v>492</v>
      </c>
      <c r="C133" s="1" t="s">
        <v>728</v>
      </c>
      <c r="D133" s="1" t="s">
        <v>122</v>
      </c>
      <c r="E133" s="1" t="s">
        <v>28</v>
      </c>
      <c r="F133" s="2">
        <v>6500000.0</v>
      </c>
      <c r="G133" s="1" t="s">
        <v>729</v>
      </c>
      <c r="H133" s="4">
        <f>IFERROR(__xludf.DUMMYFUNCTION("DATE(INDEX(SPLIT(G133,""/""),,3),INDEX(SPLIT(G133,""/""),,2),INDEX(SPLIT(G133,""/""),,1))"),44098.0)</f>
        <v>44098</v>
      </c>
      <c r="I133" s="1" t="s">
        <v>85</v>
      </c>
      <c r="J133" s="4">
        <f>IFERROR(__xludf.DUMMYFUNCTION("DATE(INDEX(SPLIT(I133,""/""),,3),INDEX(SPLIT(I133,""/""),,2),INDEX(SPLIT(I133,""/""),,1))"),44799.0)</f>
        <v>44799</v>
      </c>
      <c r="L133" s="1">
        <v>0.0</v>
      </c>
      <c r="M133" s="1" t="s">
        <v>730</v>
      </c>
      <c r="N133" s="1"/>
      <c r="O133" s="1" t="s">
        <v>30</v>
      </c>
      <c r="P133" s="1" t="s">
        <v>31</v>
      </c>
      <c r="Q133" s="1" t="s">
        <v>95</v>
      </c>
      <c r="R133" s="1" t="s">
        <v>95</v>
      </c>
      <c r="S133" s="1" t="s">
        <v>96</v>
      </c>
      <c r="T133" s="1" t="s">
        <v>311</v>
      </c>
      <c r="U133" s="1">
        <v>1.00629293E8</v>
      </c>
      <c r="X133" s="1" t="s">
        <v>46</v>
      </c>
      <c r="Y133" s="1" t="s">
        <v>730</v>
      </c>
      <c r="Z133" s="1" t="s">
        <v>37</v>
      </c>
    </row>
    <row r="134" hidden="1">
      <c r="A134" s="1" t="s">
        <v>731</v>
      </c>
      <c r="B134" s="1" t="s">
        <v>492</v>
      </c>
      <c r="C134" s="1" t="s">
        <v>732</v>
      </c>
      <c r="D134" s="1" t="s">
        <v>122</v>
      </c>
      <c r="E134" s="1" t="s">
        <v>28</v>
      </c>
      <c r="F134" s="2">
        <v>6500000.0</v>
      </c>
      <c r="G134" s="1" t="s">
        <v>298</v>
      </c>
      <c r="H134" s="4">
        <f>IFERROR(__xludf.DUMMYFUNCTION("DATE(INDEX(SPLIT(G134,""/""),,3),INDEX(SPLIT(G134,""/""),,2),INDEX(SPLIT(G134,""/""),,1))"),44762.0)</f>
        <v>44762</v>
      </c>
      <c r="I134" s="1" t="s">
        <v>85</v>
      </c>
      <c r="J134" s="4">
        <f>IFERROR(__xludf.DUMMYFUNCTION("DATE(INDEX(SPLIT(I134,""/""),,3),INDEX(SPLIT(I134,""/""),,2),INDEX(SPLIT(I134,""/""),,1))"),44799.0)</f>
        <v>44799</v>
      </c>
      <c r="L134" s="1">
        <v>0.0</v>
      </c>
      <c r="M134" s="1" t="s">
        <v>730</v>
      </c>
      <c r="N134" s="1"/>
      <c r="O134" s="1" t="s">
        <v>30</v>
      </c>
      <c r="P134" s="1" t="s">
        <v>31</v>
      </c>
      <c r="Q134" s="1" t="s">
        <v>95</v>
      </c>
      <c r="R134" s="1" t="s">
        <v>95</v>
      </c>
      <c r="S134" s="1" t="s">
        <v>96</v>
      </c>
      <c r="T134" s="1" t="s">
        <v>311</v>
      </c>
      <c r="U134" s="1">
        <v>1.00629293E8</v>
      </c>
      <c r="X134" s="1" t="s">
        <v>46</v>
      </c>
      <c r="Y134" s="1" t="s">
        <v>733</v>
      </c>
      <c r="Z134" s="1" t="s">
        <v>37</v>
      </c>
    </row>
    <row r="135" hidden="1">
      <c r="A135" s="1" t="s">
        <v>734</v>
      </c>
      <c r="B135" s="1" t="s">
        <v>735</v>
      </c>
      <c r="C135" s="1" t="s">
        <v>736</v>
      </c>
      <c r="D135" s="1" t="s">
        <v>27</v>
      </c>
      <c r="E135" s="1" t="s">
        <v>28</v>
      </c>
      <c r="F135" s="2">
        <v>6250000.0</v>
      </c>
      <c r="G135" s="1" t="s">
        <v>737</v>
      </c>
      <c r="H135" s="4">
        <f>IFERROR(__xludf.DUMMYFUNCTION("DATE(INDEX(SPLIT(G135,""/""),,3),INDEX(SPLIT(G135,""/""),,2),INDEX(SPLIT(G135,""/""),,1))"),44544.0)</f>
        <v>44544</v>
      </c>
      <c r="I135" s="4">
        <v>44662.0</v>
      </c>
      <c r="J135" s="4">
        <f>IFERROR(__xludf.DUMMYFUNCTION("DATE(INDEX(SPLIT(I135,""/""),,3),INDEX(SPLIT(I135,""/""),,2),INDEX(SPLIT(I135,""/""),,1))"),44869.0)</f>
        <v>44869</v>
      </c>
      <c r="L135" s="1">
        <v>0.0</v>
      </c>
      <c r="M135" s="1" t="s">
        <v>494</v>
      </c>
      <c r="N135" s="1"/>
      <c r="O135" s="1" t="s">
        <v>30</v>
      </c>
      <c r="P135" s="1" t="s">
        <v>31</v>
      </c>
      <c r="Q135" s="1" t="s">
        <v>95</v>
      </c>
      <c r="R135" s="1" t="s">
        <v>95</v>
      </c>
      <c r="S135" s="1" t="s">
        <v>96</v>
      </c>
      <c r="T135" s="1" t="s">
        <v>311</v>
      </c>
      <c r="U135" s="1">
        <v>1.0062347E8</v>
      </c>
      <c r="X135" s="1" t="s">
        <v>410</v>
      </c>
      <c r="Y135" s="1" t="s">
        <v>494</v>
      </c>
      <c r="Z135" s="1" t="s">
        <v>37</v>
      </c>
    </row>
    <row r="136" hidden="1">
      <c r="A136" s="1" t="s">
        <v>738</v>
      </c>
      <c r="B136" s="1" t="s">
        <v>76</v>
      </c>
      <c r="C136" s="1" t="s">
        <v>739</v>
      </c>
      <c r="D136" s="1" t="s">
        <v>27</v>
      </c>
      <c r="E136" s="1" t="s">
        <v>28</v>
      </c>
      <c r="F136" s="2">
        <v>6200000.0</v>
      </c>
      <c r="G136" s="1" t="s">
        <v>446</v>
      </c>
      <c r="H136" s="4">
        <f>IFERROR(__xludf.DUMMYFUNCTION("DATE(INDEX(SPLIT(G136,""/""),,3),INDEX(SPLIT(G136,""/""),,2),INDEX(SPLIT(G136,""/""),,1))"),44210.0)</f>
        <v>44210</v>
      </c>
      <c r="I136" s="4">
        <v>44752.0</v>
      </c>
      <c r="J136" s="4">
        <f>IFERROR(__xludf.DUMMYFUNCTION("DATE(INDEX(SPLIT(I136,""/""),,3),INDEX(SPLIT(I136,""/""),,2),INDEX(SPLIT(I136,""/""),,1))"),44841.0)</f>
        <v>44841</v>
      </c>
      <c r="L136" s="1">
        <v>0.0</v>
      </c>
      <c r="M136" s="1" t="s">
        <v>79</v>
      </c>
      <c r="N136" s="1"/>
      <c r="O136" s="1" t="s">
        <v>30</v>
      </c>
      <c r="P136" s="1" t="s">
        <v>31</v>
      </c>
      <c r="Q136" s="1" t="s">
        <v>32</v>
      </c>
      <c r="R136" s="1" t="s">
        <v>32</v>
      </c>
      <c r="S136" s="1" t="s">
        <v>33</v>
      </c>
      <c r="T136" s="1" t="s">
        <v>159</v>
      </c>
      <c r="U136" s="1">
        <v>1.00609569E8</v>
      </c>
      <c r="X136" s="1" t="s">
        <v>81</v>
      </c>
      <c r="Y136" s="1" t="s">
        <v>740</v>
      </c>
      <c r="Z136" s="1" t="s">
        <v>37</v>
      </c>
    </row>
    <row r="137" hidden="1">
      <c r="A137" s="1" t="s">
        <v>741</v>
      </c>
      <c r="B137" s="1" t="s">
        <v>742</v>
      </c>
      <c r="C137" s="1" t="s">
        <v>743</v>
      </c>
      <c r="D137" s="1" t="s">
        <v>78</v>
      </c>
      <c r="E137" s="1" t="s">
        <v>28</v>
      </c>
      <c r="F137" s="2">
        <v>6000000.0</v>
      </c>
      <c r="G137" s="4">
        <v>44686.0</v>
      </c>
      <c r="H137" s="4">
        <f>IFERROR(__xludf.DUMMYFUNCTION("DATE(INDEX(SPLIT(G137,""/""),,3),INDEX(SPLIT(G137,""/""),,2),INDEX(SPLIT(G137,""/""),,1))"),44686.0)</f>
        <v>44686</v>
      </c>
      <c r="I137" s="1" t="s">
        <v>85</v>
      </c>
      <c r="J137" s="4">
        <f>IFERROR(__xludf.DUMMYFUNCTION("DATE(INDEX(SPLIT(I137,""/""),,3),INDEX(SPLIT(I137,""/""),,2),INDEX(SPLIT(I137,""/""),,1))"),44799.0)</f>
        <v>44799</v>
      </c>
      <c r="L137" s="1">
        <v>0.0</v>
      </c>
      <c r="M137" s="1" t="s">
        <v>558</v>
      </c>
      <c r="N137" s="1"/>
      <c r="O137" s="1" t="s">
        <v>30</v>
      </c>
      <c r="P137" s="1" t="s">
        <v>31</v>
      </c>
      <c r="Q137" s="1" t="s">
        <v>53</v>
      </c>
      <c r="R137" s="1" t="s">
        <v>53</v>
      </c>
      <c r="S137" s="1" t="s">
        <v>54</v>
      </c>
      <c r="T137" s="1" t="s">
        <v>87</v>
      </c>
      <c r="U137" s="1">
        <v>1.00653597E8</v>
      </c>
      <c r="X137" s="1" t="s">
        <v>63</v>
      </c>
      <c r="Y137" s="1" t="s">
        <v>558</v>
      </c>
      <c r="Z137" s="1" t="s">
        <v>37</v>
      </c>
    </row>
    <row r="138">
      <c r="A138" s="3" t="s">
        <v>744</v>
      </c>
      <c r="B138" s="3" t="s">
        <v>301</v>
      </c>
      <c r="C138" s="3" t="s">
        <v>745</v>
      </c>
      <c r="D138" s="3" t="s">
        <v>27</v>
      </c>
      <c r="E138" s="3" t="s">
        <v>28</v>
      </c>
      <c r="F138" s="5">
        <v>6000000.0</v>
      </c>
      <c r="G138" s="6">
        <v>44806.0</v>
      </c>
      <c r="H138" s="6">
        <f>IFERROR(__xludf.DUMMYFUNCTION("DATE(INDEX(SPLIT(G138,""/""),,3),INDEX(SPLIT(G138,""/""),,2),INDEX(SPLIT(G138,""/""),,1))"),44601.0)</f>
        <v>44601</v>
      </c>
      <c r="I138" s="3" t="s">
        <v>226</v>
      </c>
      <c r="J138" s="6">
        <f>IFERROR(__xludf.DUMMYFUNCTION("DATE(INDEX(SPLIT(I138,""/""),,3),INDEX(SPLIT(I138,""/""),,2),INDEX(SPLIT(I138,""/""),,1))"),44771.0)</f>
        <v>44771</v>
      </c>
      <c r="K138" s="7"/>
      <c r="L138" s="3">
        <v>0.0</v>
      </c>
      <c r="M138" s="3" t="s">
        <v>746</v>
      </c>
      <c r="N138" s="3"/>
      <c r="O138" s="3" t="s">
        <v>30</v>
      </c>
      <c r="P138" s="3" t="s">
        <v>31</v>
      </c>
      <c r="Q138" s="3" t="s">
        <v>235</v>
      </c>
      <c r="R138" s="3" t="s">
        <v>235</v>
      </c>
      <c r="S138" s="3" t="s">
        <v>236</v>
      </c>
      <c r="T138" s="3" t="s">
        <v>197</v>
      </c>
      <c r="U138" s="3">
        <v>1.00616656E8</v>
      </c>
      <c r="V138" s="7"/>
      <c r="W138" s="7"/>
      <c r="X138" s="3" t="s">
        <v>305</v>
      </c>
      <c r="Y138" s="3" t="s">
        <v>747</v>
      </c>
      <c r="Z138" s="3" t="s">
        <v>206</v>
      </c>
      <c r="AA138" s="7"/>
      <c r="AB138" s="7"/>
    </row>
    <row r="139" hidden="1">
      <c r="A139" s="1" t="s">
        <v>748</v>
      </c>
      <c r="B139" s="1" t="s">
        <v>749</v>
      </c>
      <c r="C139" s="1" t="s">
        <v>750</v>
      </c>
      <c r="D139" s="1" t="s">
        <v>122</v>
      </c>
      <c r="E139" s="1" t="s">
        <v>28</v>
      </c>
      <c r="F139" s="2">
        <v>6000000.0</v>
      </c>
      <c r="G139" s="1" t="s">
        <v>751</v>
      </c>
      <c r="H139" s="4">
        <f>IFERROR(__xludf.DUMMYFUNCTION("DATE(INDEX(SPLIT(G139,""/""),,3),INDEX(SPLIT(G139,""/""),,2),INDEX(SPLIT(G139,""/""),,1))"),44519.0)</f>
        <v>44519</v>
      </c>
      <c r="I139" s="4">
        <v>44603.0</v>
      </c>
      <c r="J139" s="4">
        <f>IFERROR(__xludf.DUMMYFUNCTION("DATE(INDEX(SPLIT(I139,""/""),,3),INDEX(SPLIT(I139,""/""),,2),INDEX(SPLIT(I139,""/""),,1))"),44867.0)</f>
        <v>44867</v>
      </c>
      <c r="L139" s="1">
        <v>0.0</v>
      </c>
      <c r="M139" s="1" t="s">
        <v>752</v>
      </c>
      <c r="N139" s="1"/>
      <c r="O139" s="1" t="s">
        <v>30</v>
      </c>
      <c r="P139" s="1" t="s">
        <v>31</v>
      </c>
      <c r="Q139" s="1" t="s">
        <v>235</v>
      </c>
      <c r="R139" s="1" t="s">
        <v>235</v>
      </c>
      <c r="S139" s="1" t="s">
        <v>236</v>
      </c>
      <c r="T139" s="1" t="s">
        <v>753</v>
      </c>
      <c r="U139" s="1">
        <v>1.00899005E8</v>
      </c>
      <c r="X139" s="1" t="s">
        <v>88</v>
      </c>
      <c r="Y139" s="1" t="s">
        <v>754</v>
      </c>
      <c r="Z139" s="1" t="s">
        <v>37</v>
      </c>
    </row>
    <row r="140">
      <c r="A140" s="3" t="s">
        <v>755</v>
      </c>
      <c r="B140" s="3" t="s">
        <v>756</v>
      </c>
      <c r="C140" s="3" t="s">
        <v>757</v>
      </c>
      <c r="D140" s="3" t="s">
        <v>68</v>
      </c>
      <c r="E140" s="3" t="s">
        <v>28</v>
      </c>
      <c r="F140" s="5">
        <v>5350000.0</v>
      </c>
      <c r="G140" s="6">
        <v>44747.0</v>
      </c>
      <c r="H140" s="6">
        <f>IFERROR(__xludf.DUMMYFUNCTION("DATE(INDEX(SPLIT(G140,""/""),,3),INDEX(SPLIT(G140,""/""),,2),INDEX(SPLIT(G140,""/""),,1))"),44688.0)</f>
        <v>44688</v>
      </c>
      <c r="I140" s="3" t="s">
        <v>518</v>
      </c>
      <c r="J140" s="6">
        <f>IFERROR(__xludf.DUMMYFUNCTION("DATE(INDEX(SPLIT(I140,""/""),,3),INDEX(SPLIT(I140,""/""),,2),INDEX(SPLIT(I140,""/""),,1))"),44757.0)</f>
        <v>44757</v>
      </c>
      <c r="K140" s="8">
        <v>44900.25763888889</v>
      </c>
      <c r="L140" s="3">
        <v>0.0</v>
      </c>
      <c r="M140" s="3" t="s">
        <v>459</v>
      </c>
      <c r="N140" s="3"/>
      <c r="O140" s="3" t="s">
        <v>30</v>
      </c>
      <c r="P140" s="3" t="s">
        <v>31</v>
      </c>
      <c r="Q140" s="3" t="s">
        <v>53</v>
      </c>
      <c r="R140" s="3" t="s">
        <v>53</v>
      </c>
      <c r="S140" s="3" t="s">
        <v>54</v>
      </c>
      <c r="T140" s="3" t="s">
        <v>87</v>
      </c>
      <c r="U140" s="3">
        <v>1.00653756E8</v>
      </c>
      <c r="V140" s="7"/>
      <c r="W140" s="7"/>
      <c r="X140" s="3" t="s">
        <v>88</v>
      </c>
      <c r="Y140" s="3" t="s">
        <v>758</v>
      </c>
      <c r="Z140" s="3" t="s">
        <v>37</v>
      </c>
      <c r="AA140" s="7"/>
      <c r="AB140" s="7"/>
    </row>
    <row r="141">
      <c r="A141" s="3" t="s">
        <v>759</v>
      </c>
      <c r="B141" s="3" t="s">
        <v>760</v>
      </c>
      <c r="C141" s="3" t="s">
        <v>761</v>
      </c>
      <c r="D141" s="3" t="s">
        <v>78</v>
      </c>
      <c r="E141" s="3" t="s">
        <v>28</v>
      </c>
      <c r="F141" s="5">
        <v>5070000.0</v>
      </c>
      <c r="G141" s="6">
        <v>44839.0</v>
      </c>
      <c r="H141" s="6">
        <f>IFERROR(__xludf.DUMMYFUNCTION("DATE(INDEX(SPLIT(G141,""/""),,3),INDEX(SPLIT(G141,""/""),,2),INDEX(SPLIT(G141,""/""),,1))"),44691.0)</f>
        <v>44691</v>
      </c>
      <c r="I141" s="6">
        <v>44567.0</v>
      </c>
      <c r="J141" s="6">
        <f>IFERROR(__xludf.DUMMYFUNCTION("DATE(INDEX(SPLIT(I141,""/""),,3),INDEX(SPLIT(I141,""/""),,2),INDEX(SPLIT(I141,""/""),,1))"),44713.0)</f>
        <v>44713</v>
      </c>
      <c r="K141" s="7"/>
      <c r="L141" s="3">
        <v>0.0</v>
      </c>
      <c r="M141" s="3" t="s">
        <v>762</v>
      </c>
      <c r="N141" s="3"/>
      <c r="O141" s="3" t="s">
        <v>30</v>
      </c>
      <c r="P141" s="3" t="s">
        <v>31</v>
      </c>
      <c r="Q141" s="3" t="s">
        <v>235</v>
      </c>
      <c r="R141" s="3" t="s">
        <v>235</v>
      </c>
      <c r="S141" s="3" t="s">
        <v>236</v>
      </c>
      <c r="T141" s="7"/>
      <c r="U141" s="3">
        <v>1.00647674E8</v>
      </c>
      <c r="V141" s="7"/>
      <c r="W141" s="7"/>
      <c r="X141" s="3" t="s">
        <v>239</v>
      </c>
      <c r="Y141" s="3" t="s">
        <v>763</v>
      </c>
      <c r="Z141" s="3" t="s">
        <v>37</v>
      </c>
      <c r="AA141" s="7"/>
      <c r="AB141" s="7"/>
    </row>
    <row r="142">
      <c r="A142" s="3" t="s">
        <v>764</v>
      </c>
      <c r="B142" s="3" t="s">
        <v>566</v>
      </c>
      <c r="C142" s="3" t="s">
        <v>765</v>
      </c>
      <c r="D142" s="3" t="s">
        <v>27</v>
      </c>
      <c r="E142" s="3" t="s">
        <v>28</v>
      </c>
      <c r="F142" s="5">
        <v>5000000.0</v>
      </c>
      <c r="G142" s="6">
        <v>44746.0</v>
      </c>
      <c r="H142" s="6">
        <f>IFERROR(__xludf.DUMMYFUNCTION("DATE(INDEX(SPLIT(G142,""/""),,3),INDEX(SPLIT(G142,""/""),,2),INDEX(SPLIT(G142,""/""),,1))"),44658.0)</f>
        <v>44658</v>
      </c>
      <c r="I142" s="3" t="s">
        <v>69</v>
      </c>
      <c r="J142" s="6">
        <f>IFERROR(__xludf.DUMMYFUNCTION("DATE(INDEX(SPLIT(I142,""/""),,3),INDEX(SPLIT(I142,""/""),,2),INDEX(SPLIT(I142,""/""),,1))"),44773.0)</f>
        <v>44773</v>
      </c>
      <c r="K142" s="7"/>
      <c r="L142" s="3">
        <v>0.0</v>
      </c>
      <c r="M142" s="3" t="s">
        <v>570</v>
      </c>
      <c r="N142" s="3"/>
      <c r="O142" s="3" t="s">
        <v>30</v>
      </c>
      <c r="P142" s="3" t="s">
        <v>31</v>
      </c>
      <c r="Q142" s="3" t="s">
        <v>157</v>
      </c>
      <c r="R142" s="3" t="s">
        <v>157</v>
      </c>
      <c r="S142" s="3" t="s">
        <v>158</v>
      </c>
      <c r="T142" s="7"/>
      <c r="U142" s="3">
        <v>1.00586314E8</v>
      </c>
      <c r="V142" s="3" t="s">
        <v>766</v>
      </c>
      <c r="W142" s="3" t="s">
        <v>199</v>
      </c>
      <c r="X142" s="3" t="s">
        <v>63</v>
      </c>
      <c r="Y142" s="3" t="s">
        <v>767</v>
      </c>
      <c r="Z142" s="3" t="s">
        <v>37</v>
      </c>
      <c r="AA142" s="7"/>
      <c r="AB142" s="7"/>
    </row>
    <row r="143">
      <c r="A143" s="3" t="s">
        <v>768</v>
      </c>
      <c r="B143" s="3" t="s">
        <v>427</v>
      </c>
      <c r="C143" s="3" t="s">
        <v>769</v>
      </c>
      <c r="D143" s="3" t="s">
        <v>27</v>
      </c>
      <c r="E143" s="3" t="s">
        <v>28</v>
      </c>
      <c r="F143" s="5">
        <v>5000000.0</v>
      </c>
      <c r="G143" s="3" t="s">
        <v>458</v>
      </c>
      <c r="H143" s="6">
        <f>IFERROR(__xludf.DUMMYFUNCTION("DATE(INDEX(SPLIT(G143,""/""),,3),INDEX(SPLIT(G143,""/""),,2),INDEX(SPLIT(G143,""/""),,1))"),44649.0)</f>
        <v>44649</v>
      </c>
      <c r="I143" s="3" t="s">
        <v>414</v>
      </c>
      <c r="J143" s="6">
        <f>IFERROR(__xludf.DUMMYFUNCTION("DATE(INDEX(SPLIT(I143,""/""),,3),INDEX(SPLIT(I143,""/""),,2),INDEX(SPLIT(I143,""/""),,1))"),44772.0)</f>
        <v>44772</v>
      </c>
      <c r="K143" s="7"/>
      <c r="L143" s="3">
        <v>0.0</v>
      </c>
      <c r="M143" s="3" t="s">
        <v>770</v>
      </c>
      <c r="N143" s="3"/>
      <c r="O143" s="3" t="s">
        <v>30</v>
      </c>
      <c r="P143" s="3" t="s">
        <v>31</v>
      </c>
      <c r="Q143" s="3" t="s">
        <v>157</v>
      </c>
      <c r="R143" s="3" t="s">
        <v>157</v>
      </c>
      <c r="S143" s="3" t="s">
        <v>158</v>
      </c>
      <c r="T143" s="3" t="s">
        <v>442</v>
      </c>
      <c r="U143" s="3">
        <v>1.00623421E8</v>
      </c>
      <c r="V143" s="3" t="s">
        <v>771</v>
      </c>
      <c r="W143" s="3" t="s">
        <v>199</v>
      </c>
      <c r="X143" s="3" t="s">
        <v>125</v>
      </c>
      <c r="Y143" s="3" t="s">
        <v>772</v>
      </c>
      <c r="Z143" s="3" t="s">
        <v>37</v>
      </c>
      <c r="AA143" s="7"/>
      <c r="AB143" s="7"/>
    </row>
    <row r="144" hidden="1">
      <c r="A144" s="1" t="s">
        <v>773</v>
      </c>
      <c r="B144" s="1" t="s">
        <v>774</v>
      </c>
      <c r="C144" s="1" t="s">
        <v>775</v>
      </c>
      <c r="D144" s="1" t="s">
        <v>27</v>
      </c>
      <c r="E144" s="1" t="s">
        <v>28</v>
      </c>
      <c r="F144" s="2">
        <v>6000000.0</v>
      </c>
      <c r="G144" s="4">
        <v>44173.0</v>
      </c>
      <c r="H144" s="4">
        <f>IFERROR(__xludf.DUMMYFUNCTION("DATE(INDEX(SPLIT(G144,""/""),,3),INDEX(SPLIT(G144,""/""),,2),INDEX(SPLIT(G144,""/""),,1))"),44055.0)</f>
        <v>44055</v>
      </c>
      <c r="I144" s="1" t="s">
        <v>535</v>
      </c>
      <c r="J144" s="4">
        <f>IFERROR(__xludf.DUMMYFUNCTION("DATE(INDEX(SPLIT(I144,""/""),,3),INDEX(SPLIT(I144,""/""),,2),INDEX(SPLIT(I144,""/""),,1))"),44957.0)</f>
        <v>44957</v>
      </c>
      <c r="L144" s="1">
        <v>0.0</v>
      </c>
      <c r="M144" s="1" t="s">
        <v>259</v>
      </c>
      <c r="N144" s="1"/>
      <c r="O144" s="1" t="s">
        <v>30</v>
      </c>
      <c r="P144" s="1" t="s">
        <v>31</v>
      </c>
      <c r="Q144" s="1" t="s">
        <v>95</v>
      </c>
      <c r="R144" s="1" t="s">
        <v>95</v>
      </c>
      <c r="S144" s="1" t="s">
        <v>96</v>
      </c>
      <c r="T144" s="1" t="s">
        <v>260</v>
      </c>
      <c r="U144" s="1">
        <v>1.00659114E8</v>
      </c>
      <c r="X144" s="1" t="s">
        <v>239</v>
      </c>
      <c r="Y144" s="1" t="s">
        <v>608</v>
      </c>
      <c r="Z144" s="1" t="s">
        <v>37</v>
      </c>
    </row>
    <row r="145">
      <c r="A145" s="3" t="s">
        <v>776</v>
      </c>
      <c r="B145" s="3" t="s">
        <v>777</v>
      </c>
      <c r="C145" s="3" t="s">
        <v>778</v>
      </c>
      <c r="D145" s="3" t="s">
        <v>78</v>
      </c>
      <c r="E145" s="3" t="s">
        <v>28</v>
      </c>
      <c r="F145" s="5">
        <v>4000000.0</v>
      </c>
      <c r="G145" s="3" t="s">
        <v>779</v>
      </c>
      <c r="H145" s="6">
        <f>IFERROR(__xludf.DUMMYFUNCTION("DATE(INDEX(SPLIT(G145,""/""),,3),INDEX(SPLIT(G145,""/""),,2),INDEX(SPLIT(G145,""/""),,1))"),44734.0)</f>
        <v>44734</v>
      </c>
      <c r="I145" s="3" t="s">
        <v>226</v>
      </c>
      <c r="J145" s="6">
        <f>IFERROR(__xludf.DUMMYFUNCTION("DATE(INDEX(SPLIT(I145,""/""),,3),INDEX(SPLIT(I145,""/""),,2),INDEX(SPLIT(I145,""/""),,1))"),44771.0)</f>
        <v>44771</v>
      </c>
      <c r="K145" s="7"/>
      <c r="L145" s="3">
        <v>0.0</v>
      </c>
      <c r="M145" s="3" t="s">
        <v>780</v>
      </c>
      <c r="N145" s="3"/>
      <c r="O145" s="3" t="s">
        <v>30</v>
      </c>
      <c r="P145" s="3" t="s">
        <v>31</v>
      </c>
      <c r="Q145" s="3" t="s">
        <v>157</v>
      </c>
      <c r="R145" s="3" t="s">
        <v>157</v>
      </c>
      <c r="S145" s="3" t="s">
        <v>158</v>
      </c>
      <c r="T145" s="7"/>
      <c r="U145" s="3">
        <v>1.00654914E8</v>
      </c>
      <c r="V145" s="7"/>
      <c r="W145" s="7"/>
      <c r="X145" s="3" t="s">
        <v>781</v>
      </c>
      <c r="Y145" s="3" t="s">
        <v>782</v>
      </c>
      <c r="Z145" s="3" t="s">
        <v>37</v>
      </c>
      <c r="AA145" s="7"/>
      <c r="AB145" s="7"/>
    </row>
    <row r="146" hidden="1">
      <c r="A146" s="1" t="s">
        <v>783</v>
      </c>
      <c r="B146" s="1" t="s">
        <v>784</v>
      </c>
      <c r="C146" s="1" t="s">
        <v>785</v>
      </c>
      <c r="D146" s="1" t="s">
        <v>27</v>
      </c>
      <c r="E146" s="1" t="s">
        <v>28</v>
      </c>
      <c r="F146" s="2">
        <v>6000000.0</v>
      </c>
      <c r="G146" s="4">
        <v>44686.0</v>
      </c>
      <c r="H146" s="4">
        <f>IFERROR(__xludf.DUMMYFUNCTION("DATE(INDEX(SPLIT(G146,""/""),,3),INDEX(SPLIT(G146,""/""),,2),INDEX(SPLIT(G146,""/""),,1))"),44686.0)</f>
        <v>44686</v>
      </c>
      <c r="I146" s="1" t="s">
        <v>786</v>
      </c>
      <c r="J146" s="4">
        <f>IFERROR(__xludf.DUMMYFUNCTION("DATE(INDEX(SPLIT(I146,""/""),,3),INDEX(SPLIT(I146,""/""),,2),INDEX(SPLIT(I146,""/""),,1))"),44915.0)</f>
        <v>44915</v>
      </c>
      <c r="L146" s="1">
        <v>0.0</v>
      </c>
      <c r="M146" s="1" t="s">
        <v>787</v>
      </c>
      <c r="N146" s="1"/>
      <c r="O146" s="1" t="s">
        <v>30</v>
      </c>
      <c r="P146" s="1" t="s">
        <v>31</v>
      </c>
      <c r="Q146" s="1" t="s">
        <v>53</v>
      </c>
      <c r="R146" s="1" t="s">
        <v>53</v>
      </c>
      <c r="S146" s="1" t="s">
        <v>54</v>
      </c>
      <c r="T146" s="1" t="s">
        <v>197</v>
      </c>
      <c r="U146" s="1">
        <v>1.00610205E8</v>
      </c>
      <c r="X146" s="1" t="s">
        <v>63</v>
      </c>
      <c r="Y146" s="1" t="s">
        <v>787</v>
      </c>
      <c r="Z146" s="1" t="s">
        <v>37</v>
      </c>
    </row>
    <row r="147" hidden="1">
      <c r="A147" s="1" t="s">
        <v>788</v>
      </c>
      <c r="B147" s="1" t="s">
        <v>645</v>
      </c>
      <c r="C147" s="1" t="s">
        <v>789</v>
      </c>
      <c r="D147" s="1" t="s">
        <v>122</v>
      </c>
      <c r="E147" s="1" t="s">
        <v>28</v>
      </c>
      <c r="F147" s="2">
        <v>6000000.0</v>
      </c>
      <c r="G147" s="4">
        <v>44623.0</v>
      </c>
      <c r="H147" s="4">
        <f>IFERROR(__xludf.DUMMYFUNCTION("DATE(INDEX(SPLIT(G147,""/""),,3),INDEX(SPLIT(G147,""/""),,2),INDEX(SPLIT(G147,""/""),,1))"),44623.0)</f>
        <v>44623</v>
      </c>
      <c r="I147" s="1" t="s">
        <v>109</v>
      </c>
      <c r="J147" s="4">
        <f>IFERROR(__xludf.DUMMYFUNCTION("DATE(INDEX(SPLIT(I147,""/""),,3),INDEX(SPLIT(I147,""/""),,2),INDEX(SPLIT(I147,""/""),,1))"),44834.0)</f>
        <v>44834</v>
      </c>
      <c r="L147" s="1">
        <v>0.0</v>
      </c>
      <c r="M147" s="1" t="s">
        <v>790</v>
      </c>
      <c r="N147" s="1"/>
      <c r="O147" s="1" t="s">
        <v>30</v>
      </c>
      <c r="P147" s="1" t="s">
        <v>31</v>
      </c>
      <c r="Q147" s="1" t="s">
        <v>228</v>
      </c>
      <c r="R147" s="1" t="s">
        <v>228</v>
      </c>
      <c r="S147" s="1" t="s">
        <v>229</v>
      </c>
      <c r="T147" s="1" t="s">
        <v>505</v>
      </c>
      <c r="U147" s="1">
        <v>1.00619765E8</v>
      </c>
      <c r="V147" s="1" t="s">
        <v>791</v>
      </c>
      <c r="W147" s="1" t="s">
        <v>199</v>
      </c>
      <c r="X147" s="1" t="s">
        <v>46</v>
      </c>
      <c r="Y147" s="1" t="s">
        <v>790</v>
      </c>
      <c r="Z147" s="1" t="s">
        <v>206</v>
      </c>
    </row>
    <row r="148" hidden="1">
      <c r="A148" s="1" t="s">
        <v>792</v>
      </c>
      <c r="B148" s="1" t="s">
        <v>793</v>
      </c>
      <c r="C148" s="1" t="s">
        <v>794</v>
      </c>
      <c r="D148" s="1" t="s">
        <v>27</v>
      </c>
      <c r="E148" s="1" t="s">
        <v>28</v>
      </c>
      <c r="F148" s="2">
        <v>6000000.0</v>
      </c>
      <c r="G148" s="4">
        <v>44623.0</v>
      </c>
      <c r="H148" s="4">
        <f>IFERROR(__xludf.DUMMYFUNCTION("DATE(INDEX(SPLIT(G148,""/""),,3),INDEX(SPLIT(G148,""/""),,2),INDEX(SPLIT(G148,""/""),,1))"),44623.0)</f>
        <v>44623</v>
      </c>
      <c r="I148" s="1" t="s">
        <v>203</v>
      </c>
      <c r="J148" s="4">
        <f>IFERROR(__xludf.DUMMYFUNCTION("DATE(INDEX(SPLIT(I148,""/""),,3),INDEX(SPLIT(I148,""/""),,2),INDEX(SPLIT(I148,""/""),,1))"),44925.0)</f>
        <v>44925</v>
      </c>
      <c r="L148" s="1">
        <v>0.0</v>
      </c>
      <c r="M148" s="1" t="s">
        <v>401</v>
      </c>
      <c r="N148" s="1"/>
      <c r="O148" s="1" t="s">
        <v>30</v>
      </c>
      <c r="P148" s="1" t="s">
        <v>31</v>
      </c>
      <c r="Q148" s="1" t="s">
        <v>32</v>
      </c>
      <c r="R148" s="1" t="s">
        <v>32</v>
      </c>
      <c r="S148" s="1" t="s">
        <v>33</v>
      </c>
      <c r="T148" s="1" t="s">
        <v>402</v>
      </c>
      <c r="U148" s="1">
        <v>1.0059112E8</v>
      </c>
      <c r="X148" s="1" t="s">
        <v>117</v>
      </c>
      <c r="Y148" s="1" t="s">
        <v>403</v>
      </c>
      <c r="Z148" s="1" t="s">
        <v>37</v>
      </c>
    </row>
    <row r="149" hidden="1">
      <c r="A149" s="1" t="s">
        <v>795</v>
      </c>
      <c r="B149" s="1" t="s">
        <v>796</v>
      </c>
      <c r="C149" s="1" t="s">
        <v>797</v>
      </c>
      <c r="D149" s="1" t="s">
        <v>27</v>
      </c>
      <c r="E149" s="1" t="s">
        <v>28</v>
      </c>
      <c r="F149" s="2">
        <v>6000000.0</v>
      </c>
      <c r="G149" s="1" t="s">
        <v>798</v>
      </c>
      <c r="H149" s="4">
        <f>IFERROR(__xludf.DUMMYFUNCTION("DATE(INDEX(SPLIT(G149,""/""),,3),INDEX(SPLIT(G149,""/""),,2),INDEX(SPLIT(G149,""/""),,1))"),44313.0)</f>
        <v>44313</v>
      </c>
      <c r="I149" s="1" t="s">
        <v>130</v>
      </c>
      <c r="J149" s="4">
        <f>IFERROR(__xludf.DUMMYFUNCTION("DATE(INDEX(SPLIT(I149,""/""),,3),INDEX(SPLIT(I149,""/""),,2),INDEX(SPLIT(I149,""/""),,1))"),44804.0)</f>
        <v>44804</v>
      </c>
      <c r="L149" s="1">
        <v>0.0</v>
      </c>
      <c r="M149" s="1" t="s">
        <v>799</v>
      </c>
      <c r="N149" s="1"/>
      <c r="O149" s="1" t="s">
        <v>30</v>
      </c>
      <c r="P149" s="1" t="s">
        <v>31</v>
      </c>
      <c r="Q149" s="1" t="s">
        <v>71</v>
      </c>
      <c r="R149" s="1" t="s">
        <v>71</v>
      </c>
      <c r="S149" s="1" t="s">
        <v>72</v>
      </c>
      <c r="T149" s="1" t="s">
        <v>136</v>
      </c>
      <c r="U149" s="1">
        <v>1.00634752E8</v>
      </c>
      <c r="X149" s="1" t="s">
        <v>74</v>
      </c>
      <c r="Y149" s="1" t="s">
        <v>800</v>
      </c>
      <c r="Z149" s="1" t="s">
        <v>37</v>
      </c>
    </row>
    <row r="150" hidden="1">
      <c r="A150" s="1" t="s">
        <v>801</v>
      </c>
      <c r="B150" s="1" t="s">
        <v>162</v>
      </c>
      <c r="C150" s="1" t="s">
        <v>802</v>
      </c>
      <c r="D150" s="1" t="s">
        <v>122</v>
      </c>
      <c r="E150" s="1" t="s">
        <v>28</v>
      </c>
      <c r="F150" s="2">
        <v>5863930.0</v>
      </c>
      <c r="G150" s="4">
        <v>44568.0</v>
      </c>
      <c r="H150" s="4">
        <f>IFERROR(__xludf.DUMMYFUNCTION("DATE(INDEX(SPLIT(G150,""/""),,3),INDEX(SPLIT(G150,""/""),,2),INDEX(SPLIT(G150,""/""),,1))"),44743.0)</f>
        <v>44743</v>
      </c>
      <c r="I150" s="4">
        <v>44935.0</v>
      </c>
      <c r="J150" s="4">
        <f>IFERROR(__xludf.DUMMYFUNCTION("DATE(INDEX(SPLIT(I150,""/""),,3),INDEX(SPLIT(I150,""/""),,2),INDEX(SPLIT(I150,""/""),,1))"),45170.0)</f>
        <v>45170</v>
      </c>
      <c r="L150" s="1">
        <v>0.0</v>
      </c>
      <c r="M150" s="1" t="s">
        <v>803</v>
      </c>
      <c r="N150" s="1"/>
      <c r="O150" s="1" t="s">
        <v>30</v>
      </c>
      <c r="P150" s="1" t="s">
        <v>31</v>
      </c>
      <c r="Q150" s="1" t="s">
        <v>53</v>
      </c>
      <c r="R150" s="1" t="s">
        <v>53</v>
      </c>
      <c r="S150" s="1" t="s">
        <v>54</v>
      </c>
      <c r="T150" s="1" t="s">
        <v>55</v>
      </c>
      <c r="U150" s="1">
        <v>1.00650901E8</v>
      </c>
      <c r="X150" s="1" t="s">
        <v>117</v>
      </c>
      <c r="Y150" s="1" t="s">
        <v>804</v>
      </c>
      <c r="Z150" s="1" t="s">
        <v>37</v>
      </c>
    </row>
    <row r="151">
      <c r="A151" s="3" t="s">
        <v>805</v>
      </c>
      <c r="B151" s="3" t="s">
        <v>806</v>
      </c>
      <c r="C151" s="3" t="s">
        <v>807</v>
      </c>
      <c r="D151" s="3" t="s">
        <v>78</v>
      </c>
      <c r="E151" s="3" t="s">
        <v>28</v>
      </c>
      <c r="F151" s="5">
        <v>4000000.0</v>
      </c>
      <c r="G151" s="6">
        <v>44239.0</v>
      </c>
      <c r="H151" s="6">
        <f>IFERROR(__xludf.DUMMYFUNCTION("DATE(INDEX(SPLIT(G151,""/""),,3),INDEX(SPLIT(G151,""/""),,2),INDEX(SPLIT(G151,""/""),,1))"),44532.0)</f>
        <v>44532</v>
      </c>
      <c r="I151" s="3" t="s">
        <v>69</v>
      </c>
      <c r="J151" s="6">
        <f>IFERROR(__xludf.DUMMYFUNCTION("DATE(INDEX(SPLIT(I151,""/""),,3),INDEX(SPLIT(I151,""/""),,2),INDEX(SPLIT(I151,""/""),,1))"),44773.0)</f>
        <v>44773</v>
      </c>
      <c r="K151" s="7"/>
      <c r="L151" s="3">
        <v>0.0</v>
      </c>
      <c r="M151" s="3" t="s">
        <v>808</v>
      </c>
      <c r="N151" s="3"/>
      <c r="O151" s="3" t="s">
        <v>30</v>
      </c>
      <c r="P151" s="3" t="s">
        <v>31</v>
      </c>
      <c r="Q151" s="3" t="s">
        <v>228</v>
      </c>
      <c r="R151" s="3" t="s">
        <v>228</v>
      </c>
      <c r="S151" s="3" t="s">
        <v>229</v>
      </c>
      <c r="T151" s="3" t="s">
        <v>505</v>
      </c>
      <c r="U151" s="3">
        <v>1.00609871E8</v>
      </c>
      <c r="V151" s="7"/>
      <c r="W151" s="3" t="s">
        <v>389</v>
      </c>
      <c r="X151" s="3" t="s">
        <v>117</v>
      </c>
      <c r="Y151" s="3" t="s">
        <v>809</v>
      </c>
      <c r="Z151" s="3" t="s">
        <v>37</v>
      </c>
      <c r="AA151" s="7"/>
      <c r="AB151" s="7"/>
    </row>
    <row r="152">
      <c r="A152" s="1" t="s">
        <v>810</v>
      </c>
      <c r="B152" s="1" t="s">
        <v>811</v>
      </c>
      <c r="C152" s="1" t="s">
        <v>812</v>
      </c>
      <c r="D152" s="1" t="s">
        <v>78</v>
      </c>
      <c r="E152" s="1" t="s">
        <v>28</v>
      </c>
      <c r="F152" s="2">
        <v>7000000.0</v>
      </c>
      <c r="G152" s="4">
        <v>44810.0</v>
      </c>
      <c r="H152" s="4">
        <f>IFERROR(__xludf.DUMMYFUNCTION("DATE(INDEX(SPLIT(G152,""/""),,3),INDEX(SPLIT(G152,""/""),,2),INDEX(SPLIT(G152,""/""),,1))"),44721.0)</f>
        <v>44721</v>
      </c>
      <c r="I152" s="1" t="s">
        <v>414</v>
      </c>
      <c r="J152" s="4">
        <f>IFERROR(__xludf.DUMMYFUNCTION("DATE(INDEX(SPLIT(I152,""/""),,3),INDEX(SPLIT(I152,""/""),,2),INDEX(SPLIT(I152,""/""),,1))"),44772.0)</f>
        <v>44772</v>
      </c>
      <c r="L152" s="1">
        <v>0.0</v>
      </c>
      <c r="M152" s="1" t="s">
        <v>813</v>
      </c>
      <c r="N152" s="1"/>
      <c r="O152" s="1" t="s">
        <v>30</v>
      </c>
      <c r="P152" s="1" t="s">
        <v>31</v>
      </c>
      <c r="Q152" s="1" t="s">
        <v>188</v>
      </c>
      <c r="R152" s="1" t="s">
        <v>188</v>
      </c>
      <c r="S152" s="1" t="s">
        <v>189</v>
      </c>
      <c r="T152" s="1" t="s">
        <v>571</v>
      </c>
      <c r="U152" s="1">
        <v>1.01062258E8</v>
      </c>
      <c r="X152" s="1" t="s">
        <v>63</v>
      </c>
      <c r="Y152" s="1" t="s">
        <v>814</v>
      </c>
      <c r="Z152" s="1" t="s">
        <v>37</v>
      </c>
    </row>
    <row r="153" hidden="1">
      <c r="A153" s="1" t="s">
        <v>815</v>
      </c>
      <c r="B153" s="1" t="s">
        <v>816</v>
      </c>
      <c r="C153" s="1" t="s">
        <v>817</v>
      </c>
      <c r="D153" s="1" t="s">
        <v>27</v>
      </c>
      <c r="E153" s="1" t="s">
        <v>28</v>
      </c>
      <c r="F153" s="2">
        <v>5500000.0</v>
      </c>
      <c r="G153" s="1" t="s">
        <v>818</v>
      </c>
      <c r="H153" s="4">
        <f>IFERROR(__xludf.DUMMYFUNCTION("DATE(INDEX(SPLIT(G153,""/""),,3),INDEX(SPLIT(G153,""/""),,2),INDEX(SPLIT(G153,""/""),,1))"),44553.0)</f>
        <v>44553</v>
      </c>
      <c r="I153" s="1" t="s">
        <v>430</v>
      </c>
      <c r="J153" s="4">
        <f>IFERROR(__xludf.DUMMYFUNCTION("DATE(INDEX(SPLIT(I153,""/""),,3),INDEX(SPLIT(I153,""/""),,2),INDEX(SPLIT(I153,""/""),,1))"),44985.0)</f>
        <v>44985</v>
      </c>
      <c r="L153" s="1">
        <v>0.0</v>
      </c>
      <c r="M153" s="1" t="s">
        <v>819</v>
      </c>
      <c r="N153" s="1"/>
      <c r="O153" s="1" t="s">
        <v>30</v>
      </c>
      <c r="P153" s="1" t="s">
        <v>31</v>
      </c>
      <c r="Q153" s="1" t="s">
        <v>53</v>
      </c>
      <c r="R153" s="1" t="s">
        <v>53</v>
      </c>
      <c r="S153" s="1" t="s">
        <v>54</v>
      </c>
      <c r="T153" s="1" t="s">
        <v>634</v>
      </c>
      <c r="U153" s="1">
        <v>1.00661738E8</v>
      </c>
      <c r="V153" s="1" t="s">
        <v>820</v>
      </c>
      <c r="W153" s="1" t="s">
        <v>199</v>
      </c>
      <c r="X153" s="1" t="s">
        <v>490</v>
      </c>
      <c r="Y153" s="1" t="s">
        <v>819</v>
      </c>
      <c r="Z153" s="1" t="s">
        <v>37</v>
      </c>
    </row>
    <row r="154">
      <c r="A154" s="1" t="s">
        <v>821</v>
      </c>
      <c r="B154" s="1" t="s">
        <v>546</v>
      </c>
      <c r="C154" s="1" t="s">
        <v>822</v>
      </c>
      <c r="D154" s="1" t="s">
        <v>78</v>
      </c>
      <c r="E154" s="1" t="s">
        <v>28</v>
      </c>
      <c r="F154" s="2">
        <v>6000000.0</v>
      </c>
      <c r="G154" s="4">
        <v>44810.0</v>
      </c>
      <c r="H154" s="4">
        <f>IFERROR(__xludf.DUMMYFUNCTION("DATE(INDEX(SPLIT(G154,""/""),,3),INDEX(SPLIT(G154,""/""),,2),INDEX(SPLIT(G154,""/""),,1))"),44721.0)</f>
        <v>44721</v>
      </c>
      <c r="I154" s="1" t="s">
        <v>607</v>
      </c>
      <c r="J154" s="4">
        <f>IFERROR(__xludf.DUMMYFUNCTION("DATE(INDEX(SPLIT(I154,""/""),,3),INDEX(SPLIT(I154,""/""),,2),INDEX(SPLIT(I154,""/""),,1))"),44770.0)</f>
        <v>44770</v>
      </c>
      <c r="L154" s="1">
        <v>0.0</v>
      </c>
      <c r="M154" s="1" t="s">
        <v>823</v>
      </c>
      <c r="N154" s="1"/>
      <c r="O154" s="1" t="s">
        <v>30</v>
      </c>
      <c r="P154" s="1" t="s">
        <v>31</v>
      </c>
      <c r="Q154" s="1" t="s">
        <v>95</v>
      </c>
      <c r="R154" s="1" t="s">
        <v>95</v>
      </c>
      <c r="S154" s="1" t="s">
        <v>96</v>
      </c>
      <c r="T154" s="1" t="s">
        <v>489</v>
      </c>
      <c r="U154" s="1">
        <v>1.00629729E8</v>
      </c>
      <c r="X154" s="1" t="s">
        <v>74</v>
      </c>
      <c r="Y154" s="1" t="s">
        <v>824</v>
      </c>
      <c r="Z154" s="1" t="s">
        <v>37</v>
      </c>
    </row>
    <row r="155" hidden="1">
      <c r="A155" s="1" t="s">
        <v>825</v>
      </c>
      <c r="B155" s="1" t="s">
        <v>826</v>
      </c>
      <c r="C155" s="1" t="s">
        <v>827</v>
      </c>
      <c r="D155" s="1" t="s">
        <v>78</v>
      </c>
      <c r="E155" s="1" t="s">
        <v>28</v>
      </c>
      <c r="F155" s="2">
        <v>5250000.0</v>
      </c>
      <c r="G155" s="4">
        <v>44775.0</v>
      </c>
      <c r="H155" s="4">
        <f>IFERROR(__xludf.DUMMYFUNCTION("DATE(INDEX(SPLIT(G155,""/""),,3),INDEX(SPLIT(G155,""/""),,2),INDEX(SPLIT(G155,""/""),,1))"),44600.0)</f>
        <v>44600</v>
      </c>
      <c r="I155" s="1" t="s">
        <v>42</v>
      </c>
      <c r="J155" s="4">
        <f>IFERROR(__xludf.DUMMYFUNCTION("DATE(INDEX(SPLIT(I155,""/""),,3),INDEX(SPLIT(I155,""/""),,2),INDEX(SPLIT(I155,""/""),,1))"),44926.0)</f>
        <v>44926</v>
      </c>
      <c r="L155" s="1">
        <v>0.0</v>
      </c>
      <c r="M155" s="1" t="s">
        <v>441</v>
      </c>
      <c r="N155" s="1"/>
      <c r="O155" s="1" t="s">
        <v>30</v>
      </c>
      <c r="P155" s="1" t="s">
        <v>31</v>
      </c>
      <c r="Q155" s="1" t="s">
        <v>157</v>
      </c>
      <c r="R155" s="1" t="s">
        <v>157</v>
      </c>
      <c r="S155" s="1" t="s">
        <v>158</v>
      </c>
      <c r="T155" s="1" t="s">
        <v>442</v>
      </c>
      <c r="U155" s="1">
        <v>1.00581784E8</v>
      </c>
      <c r="X155" s="1" t="s">
        <v>125</v>
      </c>
      <c r="Y155" s="1" t="s">
        <v>441</v>
      </c>
      <c r="Z155" s="1" t="s">
        <v>37</v>
      </c>
    </row>
    <row r="156">
      <c r="A156" s="1" t="s">
        <v>828</v>
      </c>
      <c r="B156" s="1" t="s">
        <v>793</v>
      </c>
      <c r="C156" s="1" t="s">
        <v>829</v>
      </c>
      <c r="D156" s="1" t="s">
        <v>122</v>
      </c>
      <c r="E156" s="1" t="s">
        <v>28</v>
      </c>
      <c r="F156" s="2">
        <v>6000000.0</v>
      </c>
      <c r="G156" s="4">
        <v>44839.0</v>
      </c>
      <c r="H156" s="4">
        <f>IFERROR(__xludf.DUMMYFUNCTION("DATE(INDEX(SPLIT(G156,""/""),,3),INDEX(SPLIT(G156,""/""),,2),INDEX(SPLIT(G156,""/""),,1))"),44691.0)</f>
        <v>44691</v>
      </c>
      <c r="I156" s="4">
        <v>44568.0</v>
      </c>
      <c r="J156" s="4">
        <f>IFERROR(__xludf.DUMMYFUNCTION("DATE(INDEX(SPLIT(I156,""/""),,3),INDEX(SPLIT(I156,""/""),,2),INDEX(SPLIT(I156,""/""),,1))"),44743.0)</f>
        <v>44743</v>
      </c>
      <c r="L156" s="1">
        <v>0.0</v>
      </c>
      <c r="M156" s="1" t="s">
        <v>830</v>
      </c>
      <c r="N156" s="1"/>
      <c r="O156" s="1" t="s">
        <v>30</v>
      </c>
      <c r="P156" s="1" t="s">
        <v>31</v>
      </c>
      <c r="Q156" s="1" t="s">
        <v>32</v>
      </c>
      <c r="R156" s="1" t="s">
        <v>32</v>
      </c>
      <c r="S156" s="1" t="s">
        <v>33</v>
      </c>
      <c r="T156" s="1" t="s">
        <v>831</v>
      </c>
      <c r="U156" s="1">
        <v>1.00621724E8</v>
      </c>
      <c r="X156" s="1" t="s">
        <v>117</v>
      </c>
      <c r="Y156" s="1" t="s">
        <v>832</v>
      </c>
      <c r="Z156" s="1" t="s">
        <v>206</v>
      </c>
    </row>
    <row r="157" hidden="1">
      <c r="A157" s="1" t="s">
        <v>833</v>
      </c>
      <c r="B157" s="1" t="s">
        <v>834</v>
      </c>
      <c r="C157" s="1" t="s">
        <v>835</v>
      </c>
      <c r="D157" s="1" t="s">
        <v>78</v>
      </c>
      <c r="E157" s="1" t="s">
        <v>28</v>
      </c>
      <c r="F157" s="2">
        <v>5100000.0</v>
      </c>
      <c r="G157" s="1" t="s">
        <v>836</v>
      </c>
      <c r="H157" s="4">
        <f>IFERROR(__xludf.DUMMYFUNCTION("DATE(INDEX(SPLIT(G157,""/""),,3),INDEX(SPLIT(G157,""/""),,2),INDEX(SPLIT(G157,""/""),,1))"),44610.0)</f>
        <v>44610</v>
      </c>
      <c r="I157" s="4">
        <v>44573.0</v>
      </c>
      <c r="J157" s="4">
        <f>IFERROR(__xludf.DUMMYFUNCTION("DATE(INDEX(SPLIT(I157,""/""),,3),INDEX(SPLIT(I157,""/""),,2),INDEX(SPLIT(I157,""/""),,1))"),44896.0)</f>
        <v>44896</v>
      </c>
      <c r="L157" s="1">
        <v>0.0</v>
      </c>
      <c r="M157" s="1" t="s">
        <v>597</v>
      </c>
      <c r="N157" s="1"/>
      <c r="O157" s="1" t="s">
        <v>30</v>
      </c>
      <c r="P157" s="1" t="s">
        <v>31</v>
      </c>
      <c r="Q157" s="1" t="s">
        <v>32</v>
      </c>
      <c r="R157" s="1" t="s">
        <v>32</v>
      </c>
      <c r="S157" s="1" t="s">
        <v>33</v>
      </c>
      <c r="T157" s="1" t="s">
        <v>34</v>
      </c>
      <c r="U157" s="1">
        <v>1.0064407E8</v>
      </c>
      <c r="X157" s="1" t="s">
        <v>35</v>
      </c>
      <c r="Y157" s="1" t="s">
        <v>685</v>
      </c>
      <c r="Z157" s="1" t="s">
        <v>37</v>
      </c>
    </row>
    <row r="158">
      <c r="A158" s="1" t="s">
        <v>837</v>
      </c>
      <c r="B158" s="1" t="s">
        <v>39</v>
      </c>
      <c r="C158" s="1" t="s">
        <v>838</v>
      </c>
      <c r="D158" s="1" t="s">
        <v>27</v>
      </c>
      <c r="E158" s="1" t="s">
        <v>28</v>
      </c>
      <c r="F158" s="2">
        <v>6000000.0</v>
      </c>
      <c r="G158" s="4">
        <v>44567.0</v>
      </c>
      <c r="H158" s="4">
        <f>IFERROR(__xludf.DUMMYFUNCTION("DATE(INDEX(SPLIT(G158,""/""),,3),INDEX(SPLIT(G158,""/""),,2),INDEX(SPLIT(G158,""/""),,1))"),44713.0)</f>
        <v>44713</v>
      </c>
      <c r="I158" s="1" t="s">
        <v>226</v>
      </c>
      <c r="J158" s="4">
        <f>IFERROR(__xludf.DUMMYFUNCTION("DATE(INDEX(SPLIT(I158,""/""),,3),INDEX(SPLIT(I158,""/""),,2),INDEX(SPLIT(I158,""/""),,1))"),44771.0)</f>
        <v>44771</v>
      </c>
      <c r="L158" s="1">
        <v>0.0</v>
      </c>
      <c r="M158" s="1" t="s">
        <v>467</v>
      </c>
      <c r="N158" s="1"/>
      <c r="O158" s="1" t="s">
        <v>30</v>
      </c>
      <c r="P158" s="1" t="s">
        <v>31</v>
      </c>
      <c r="Q158" s="1" t="s">
        <v>32</v>
      </c>
      <c r="R158" s="1" t="s">
        <v>32</v>
      </c>
      <c r="S158" s="1" t="s">
        <v>33</v>
      </c>
      <c r="T158" s="1" t="s">
        <v>103</v>
      </c>
      <c r="U158" s="1">
        <v>1.00619817E8</v>
      </c>
      <c r="X158" s="1" t="s">
        <v>46</v>
      </c>
      <c r="Y158" s="1" t="s">
        <v>467</v>
      </c>
      <c r="Z158" s="1" t="s">
        <v>37</v>
      </c>
    </row>
    <row r="159" hidden="1">
      <c r="A159" s="1" t="s">
        <v>839</v>
      </c>
      <c r="B159" s="1" t="s">
        <v>39</v>
      </c>
      <c r="C159" s="1" t="s">
        <v>840</v>
      </c>
      <c r="D159" s="1" t="s">
        <v>78</v>
      </c>
      <c r="E159" s="1" t="s">
        <v>28</v>
      </c>
      <c r="F159" s="2">
        <v>5050000.0</v>
      </c>
      <c r="G159" s="1" t="s">
        <v>286</v>
      </c>
      <c r="H159" s="4">
        <f>IFERROR(__xludf.DUMMYFUNCTION("DATE(INDEX(SPLIT(G159,""/""),,3),INDEX(SPLIT(G159,""/""),,2),INDEX(SPLIT(G159,""/""),,1))"),44609.0)</f>
        <v>44609</v>
      </c>
      <c r="I159" s="1" t="s">
        <v>85</v>
      </c>
      <c r="J159" s="4">
        <f>IFERROR(__xludf.DUMMYFUNCTION("DATE(INDEX(SPLIT(I159,""/""),,3),INDEX(SPLIT(I159,""/""),,2),INDEX(SPLIT(I159,""/""),,1))"),44799.0)</f>
        <v>44799</v>
      </c>
      <c r="L159" s="1">
        <v>0.0</v>
      </c>
      <c r="M159" s="1" t="s">
        <v>841</v>
      </c>
      <c r="N159" s="1"/>
      <c r="O159" s="1" t="s">
        <v>30</v>
      </c>
      <c r="P159" s="1" t="s">
        <v>31</v>
      </c>
      <c r="Q159" s="1" t="s">
        <v>95</v>
      </c>
      <c r="R159" s="1" t="s">
        <v>95</v>
      </c>
      <c r="S159" s="1" t="s">
        <v>96</v>
      </c>
      <c r="T159" s="1" t="s">
        <v>311</v>
      </c>
      <c r="U159" s="1">
        <v>1.00621664E8</v>
      </c>
      <c r="V159" s="1" t="s">
        <v>326</v>
      </c>
      <c r="W159" s="1" t="s">
        <v>45</v>
      </c>
      <c r="X159" s="1" t="s">
        <v>46</v>
      </c>
      <c r="Y159" s="1" t="s">
        <v>842</v>
      </c>
      <c r="Z159" s="1" t="s">
        <v>37</v>
      </c>
    </row>
    <row r="160" hidden="1">
      <c r="A160" s="1" t="s">
        <v>843</v>
      </c>
      <c r="B160" s="1" t="s">
        <v>844</v>
      </c>
      <c r="C160" s="1" t="s">
        <v>845</v>
      </c>
      <c r="D160" s="1" t="s">
        <v>78</v>
      </c>
      <c r="E160" s="1" t="s">
        <v>28</v>
      </c>
      <c r="F160" s="2">
        <v>5000000.0</v>
      </c>
      <c r="G160" s="1" t="s">
        <v>41</v>
      </c>
      <c r="H160" s="4">
        <f>IFERROR(__xludf.DUMMYFUNCTION("DATE(INDEX(SPLIT(G160,""/""),,3),INDEX(SPLIT(G160,""/""),,2),INDEX(SPLIT(G160,""/""),,1))"),44607.0)</f>
        <v>44607</v>
      </c>
      <c r="I160" s="1" t="s">
        <v>42</v>
      </c>
      <c r="J160" s="4">
        <f>IFERROR(__xludf.DUMMYFUNCTION("DATE(INDEX(SPLIT(I160,""/""),,3),INDEX(SPLIT(I160,""/""),,2),INDEX(SPLIT(I160,""/""),,1))"),44926.0)</f>
        <v>44926</v>
      </c>
      <c r="L160" s="1">
        <v>0.0</v>
      </c>
      <c r="M160" s="1" t="s">
        <v>846</v>
      </c>
      <c r="N160" s="1"/>
      <c r="O160" s="1" t="s">
        <v>30</v>
      </c>
      <c r="P160" s="1" t="s">
        <v>31</v>
      </c>
      <c r="Q160" s="1" t="s">
        <v>157</v>
      </c>
      <c r="R160" s="1" t="s">
        <v>157</v>
      </c>
      <c r="S160" s="1" t="s">
        <v>158</v>
      </c>
      <c r="U160" s="1">
        <v>1.00584422E8</v>
      </c>
      <c r="X160" s="1" t="s">
        <v>125</v>
      </c>
      <c r="Y160" s="1" t="s">
        <v>847</v>
      </c>
      <c r="Z160" s="1" t="s">
        <v>37</v>
      </c>
    </row>
    <row r="161" hidden="1">
      <c r="A161" s="1" t="s">
        <v>848</v>
      </c>
      <c r="B161" s="1" t="s">
        <v>849</v>
      </c>
      <c r="C161" s="1" t="s">
        <v>850</v>
      </c>
      <c r="D161" s="1" t="s">
        <v>78</v>
      </c>
      <c r="E161" s="1" t="s">
        <v>28</v>
      </c>
      <c r="F161" s="2">
        <v>5000000.0</v>
      </c>
      <c r="G161" s="4">
        <v>44594.0</v>
      </c>
      <c r="H161" s="4">
        <f>IFERROR(__xludf.DUMMYFUNCTION("DATE(INDEX(SPLIT(G161,""/""),,3),INDEX(SPLIT(G161,""/""),,2),INDEX(SPLIT(G161,""/""),,1))"),44594.0)</f>
        <v>44594</v>
      </c>
      <c r="I161" s="1" t="s">
        <v>203</v>
      </c>
      <c r="J161" s="4">
        <f>IFERROR(__xludf.DUMMYFUNCTION("DATE(INDEX(SPLIT(I161,""/""),,3),INDEX(SPLIT(I161,""/""),,2),INDEX(SPLIT(I161,""/""),,1))"),44925.0)</f>
        <v>44925</v>
      </c>
      <c r="L161" s="1">
        <v>0.0</v>
      </c>
      <c r="M161" s="1" t="s">
        <v>851</v>
      </c>
      <c r="N161" s="1"/>
      <c r="O161" s="1" t="s">
        <v>30</v>
      </c>
      <c r="P161" s="1" t="s">
        <v>31</v>
      </c>
      <c r="Q161" s="1" t="s">
        <v>157</v>
      </c>
      <c r="R161" s="1" t="s">
        <v>157</v>
      </c>
      <c r="S161" s="1" t="s">
        <v>158</v>
      </c>
      <c r="T161" s="1" t="s">
        <v>442</v>
      </c>
      <c r="U161" s="1">
        <v>1.0115972E8</v>
      </c>
      <c r="X161" s="1" t="s">
        <v>117</v>
      </c>
      <c r="Y161" s="1" t="s">
        <v>852</v>
      </c>
      <c r="Z161" s="1" t="s">
        <v>37</v>
      </c>
    </row>
    <row r="162" hidden="1">
      <c r="A162" s="1" t="s">
        <v>853</v>
      </c>
      <c r="B162" s="1" t="s">
        <v>854</v>
      </c>
      <c r="C162" s="1" t="s">
        <v>855</v>
      </c>
      <c r="D162" s="1" t="s">
        <v>78</v>
      </c>
      <c r="E162" s="1" t="s">
        <v>28</v>
      </c>
      <c r="F162" s="2">
        <v>5000000.0</v>
      </c>
      <c r="G162" s="1" t="s">
        <v>779</v>
      </c>
      <c r="H162" s="4">
        <f>IFERROR(__xludf.DUMMYFUNCTION("DATE(INDEX(SPLIT(G162,""/""),,3),INDEX(SPLIT(G162,""/""),,2),INDEX(SPLIT(G162,""/""),,1))"),44734.0)</f>
        <v>44734</v>
      </c>
      <c r="I162" s="1" t="s">
        <v>109</v>
      </c>
      <c r="J162" s="4">
        <f>IFERROR(__xludf.DUMMYFUNCTION("DATE(INDEX(SPLIT(I162,""/""),,3),INDEX(SPLIT(I162,""/""),,2),INDEX(SPLIT(I162,""/""),,1))"),44834.0)</f>
        <v>44834</v>
      </c>
      <c r="L162" s="1">
        <v>0.0</v>
      </c>
      <c r="M162" s="1" t="s">
        <v>856</v>
      </c>
      <c r="N162" s="1"/>
      <c r="O162" s="1" t="s">
        <v>30</v>
      </c>
      <c r="P162" s="1" t="s">
        <v>31</v>
      </c>
      <c r="Q162" s="1" t="s">
        <v>235</v>
      </c>
      <c r="R162" s="1" t="s">
        <v>235</v>
      </c>
      <c r="S162" s="1" t="s">
        <v>236</v>
      </c>
      <c r="T162" s="1" t="s">
        <v>438</v>
      </c>
      <c r="U162" s="1">
        <v>1.01017204E8</v>
      </c>
      <c r="X162" s="1" t="s">
        <v>88</v>
      </c>
      <c r="Y162" s="1" t="s">
        <v>857</v>
      </c>
      <c r="Z162" s="1" t="s">
        <v>37</v>
      </c>
    </row>
    <row r="163" hidden="1">
      <c r="A163" s="1" t="s">
        <v>858</v>
      </c>
      <c r="B163" s="1" t="s">
        <v>849</v>
      </c>
      <c r="C163" s="1" t="s">
        <v>859</v>
      </c>
      <c r="D163" s="1" t="s">
        <v>27</v>
      </c>
      <c r="E163" s="1" t="s">
        <v>28</v>
      </c>
      <c r="F163" s="2">
        <v>5000000.0</v>
      </c>
      <c r="G163" s="4">
        <v>44594.0</v>
      </c>
      <c r="H163" s="4">
        <f>IFERROR(__xludf.DUMMYFUNCTION("DATE(INDEX(SPLIT(G163,""/""),,3),INDEX(SPLIT(G163,""/""),,2),INDEX(SPLIT(G163,""/""),,1))"),44594.0)</f>
        <v>44594</v>
      </c>
      <c r="I163" s="1" t="s">
        <v>203</v>
      </c>
      <c r="J163" s="4">
        <f>IFERROR(__xludf.DUMMYFUNCTION("DATE(INDEX(SPLIT(I163,""/""),,3),INDEX(SPLIT(I163,""/""),,2),INDEX(SPLIT(I163,""/""),,1))"),44925.0)</f>
        <v>44925</v>
      </c>
      <c r="L163" s="1">
        <v>0.0</v>
      </c>
      <c r="M163" s="1" t="s">
        <v>851</v>
      </c>
      <c r="N163" s="1"/>
      <c r="O163" s="1" t="s">
        <v>30</v>
      </c>
      <c r="P163" s="1" t="s">
        <v>31</v>
      </c>
      <c r="Q163" s="1" t="s">
        <v>157</v>
      </c>
      <c r="R163" s="1" t="s">
        <v>157</v>
      </c>
      <c r="S163" s="1" t="s">
        <v>158</v>
      </c>
      <c r="T163" s="1" t="s">
        <v>442</v>
      </c>
      <c r="U163" s="1">
        <v>1.0115972E8</v>
      </c>
      <c r="X163" s="1" t="s">
        <v>117</v>
      </c>
      <c r="Y163" s="1" t="s">
        <v>852</v>
      </c>
      <c r="Z163" s="1" t="s">
        <v>37</v>
      </c>
    </row>
    <row r="164" hidden="1">
      <c r="A164" s="1" t="s">
        <v>860</v>
      </c>
      <c r="B164" s="1" t="s">
        <v>427</v>
      </c>
      <c r="C164" s="1" t="s">
        <v>861</v>
      </c>
      <c r="D164" s="1" t="s">
        <v>27</v>
      </c>
      <c r="E164" s="1" t="s">
        <v>28</v>
      </c>
      <c r="F164" s="2">
        <v>5000000.0</v>
      </c>
      <c r="G164" s="1" t="s">
        <v>862</v>
      </c>
      <c r="H164" s="4">
        <f>IFERROR(__xludf.DUMMYFUNCTION("DATE(INDEX(SPLIT(G164,""/""),,3),INDEX(SPLIT(G164,""/""),,2),INDEX(SPLIT(G164,""/""),,1))"),44699.0)</f>
        <v>44699</v>
      </c>
      <c r="I164" s="4">
        <v>45078.0</v>
      </c>
      <c r="J164" s="4">
        <f>IFERROR(__xludf.DUMMYFUNCTION("DATE(INDEX(SPLIT(I164,""/""),,3),INDEX(SPLIT(I164,""/""),,2),INDEX(SPLIT(I164,""/""),,1))"),44932.0)</f>
        <v>44932</v>
      </c>
      <c r="L164" s="1">
        <v>0.0</v>
      </c>
      <c r="M164" s="1" t="s">
        <v>863</v>
      </c>
      <c r="N164" s="1"/>
      <c r="O164" s="1" t="s">
        <v>30</v>
      </c>
      <c r="P164" s="1" t="s">
        <v>31</v>
      </c>
      <c r="Q164" s="1" t="s">
        <v>32</v>
      </c>
      <c r="R164" s="1" t="s">
        <v>32</v>
      </c>
      <c r="S164" s="1" t="s">
        <v>33</v>
      </c>
      <c r="T164" s="1" t="s">
        <v>402</v>
      </c>
      <c r="U164" s="1">
        <v>1.00650568E8</v>
      </c>
      <c r="X164" s="1" t="s">
        <v>125</v>
      </c>
      <c r="Y164" s="1" t="s">
        <v>863</v>
      </c>
      <c r="Z164" s="1" t="s">
        <v>37</v>
      </c>
    </row>
    <row r="165" hidden="1">
      <c r="A165" s="1" t="s">
        <v>864</v>
      </c>
      <c r="B165" s="1" t="s">
        <v>865</v>
      </c>
      <c r="C165" s="1" t="s">
        <v>866</v>
      </c>
      <c r="D165" s="1" t="s">
        <v>78</v>
      </c>
      <c r="E165" s="1" t="s">
        <v>28</v>
      </c>
      <c r="F165" s="2">
        <v>5000000.0</v>
      </c>
      <c r="G165" s="1" t="s">
        <v>867</v>
      </c>
      <c r="H165" s="4">
        <f>IFERROR(__xludf.DUMMYFUNCTION("DATE(INDEX(SPLIT(G165,""/""),,3),INDEX(SPLIT(G165,""/""),,2),INDEX(SPLIT(G165,""/""),,1))"),44363.0)</f>
        <v>44363</v>
      </c>
      <c r="I165" s="1" t="s">
        <v>360</v>
      </c>
      <c r="J165" s="4">
        <f>IFERROR(__xludf.DUMMYFUNCTION("DATE(INDEX(SPLIT(I165,""/""),,3),INDEX(SPLIT(I165,""/""),,2),INDEX(SPLIT(I165,""/""),,1))"),44895.0)</f>
        <v>44895</v>
      </c>
      <c r="L165" s="1">
        <v>0.0</v>
      </c>
      <c r="M165" s="1" t="s">
        <v>868</v>
      </c>
      <c r="N165" s="1"/>
      <c r="O165" s="1" t="s">
        <v>30</v>
      </c>
      <c r="P165" s="1" t="s">
        <v>31</v>
      </c>
      <c r="Q165" s="1" t="s">
        <v>157</v>
      </c>
      <c r="R165" s="1" t="s">
        <v>157</v>
      </c>
      <c r="S165" s="1" t="s">
        <v>158</v>
      </c>
      <c r="T165" s="1" t="s">
        <v>442</v>
      </c>
      <c r="U165" s="1">
        <v>1.00655091E8</v>
      </c>
      <c r="X165" s="1" t="s">
        <v>125</v>
      </c>
      <c r="Y165" s="1" t="s">
        <v>869</v>
      </c>
      <c r="Z165" s="1" t="s">
        <v>37</v>
      </c>
    </row>
    <row r="166" hidden="1">
      <c r="A166" s="1" t="s">
        <v>870</v>
      </c>
      <c r="B166" s="1" t="s">
        <v>301</v>
      </c>
      <c r="C166" s="1" t="s">
        <v>871</v>
      </c>
      <c r="D166" s="1" t="s">
        <v>122</v>
      </c>
      <c r="E166" s="1" t="s">
        <v>28</v>
      </c>
      <c r="F166" s="2">
        <v>5000000.0</v>
      </c>
      <c r="G166" s="4">
        <v>44899.0</v>
      </c>
      <c r="H166" s="4">
        <f>IFERROR(__xludf.DUMMYFUNCTION("DATE(INDEX(SPLIT(G166,""/""),,3),INDEX(SPLIT(G166,""/""),,2),INDEX(SPLIT(G166,""/""),,1))"),44663.0)</f>
        <v>44663</v>
      </c>
      <c r="I166" s="1" t="s">
        <v>872</v>
      </c>
      <c r="J166" s="4">
        <f>IFERROR(__xludf.DUMMYFUNCTION("DATE(INDEX(SPLIT(I166,""/""),,3),INDEX(SPLIT(I166,""/""),,2),INDEX(SPLIT(I166,""/""),,1))"),44820.0)</f>
        <v>44820</v>
      </c>
      <c r="L166" s="1">
        <v>0.0</v>
      </c>
      <c r="M166" s="1" t="s">
        <v>873</v>
      </c>
      <c r="N166" s="1"/>
      <c r="O166" s="1" t="s">
        <v>30</v>
      </c>
      <c r="P166" s="1" t="s">
        <v>31</v>
      </c>
      <c r="Q166" s="1" t="s">
        <v>157</v>
      </c>
      <c r="R166" s="1" t="s">
        <v>157</v>
      </c>
      <c r="S166" s="1" t="s">
        <v>158</v>
      </c>
      <c r="U166" s="1">
        <v>1.00586701E8</v>
      </c>
      <c r="X166" s="1" t="s">
        <v>305</v>
      </c>
      <c r="Y166" s="1" t="s">
        <v>874</v>
      </c>
      <c r="Z166" s="1" t="s">
        <v>37</v>
      </c>
    </row>
    <row r="167">
      <c r="A167" s="1" t="s">
        <v>875</v>
      </c>
      <c r="B167" s="1" t="s">
        <v>876</v>
      </c>
      <c r="C167" s="1" t="s">
        <v>877</v>
      </c>
      <c r="D167" s="1" t="s">
        <v>27</v>
      </c>
      <c r="E167" s="1" t="s">
        <v>28</v>
      </c>
      <c r="F167" s="2">
        <v>6000000.0</v>
      </c>
      <c r="G167" s="4">
        <v>44176.0</v>
      </c>
      <c r="H167" s="4">
        <f>IFERROR(__xludf.DUMMYFUNCTION("DATE(INDEX(SPLIT(G167,""/""),,3),INDEX(SPLIT(G167,""/""),,2),INDEX(SPLIT(G167,""/""),,1))"),44147.0)</f>
        <v>44147</v>
      </c>
      <c r="I167" s="1" t="s">
        <v>226</v>
      </c>
      <c r="J167" s="4">
        <f>IFERROR(__xludf.DUMMYFUNCTION("DATE(INDEX(SPLIT(I167,""/""),,3),INDEX(SPLIT(I167,""/""),,2),INDEX(SPLIT(I167,""/""),,1))"),44771.0)</f>
        <v>44771</v>
      </c>
      <c r="L167" s="1">
        <v>0.0</v>
      </c>
      <c r="M167" s="1" t="s">
        <v>878</v>
      </c>
      <c r="N167" s="1"/>
      <c r="O167" s="1" t="s">
        <v>30</v>
      </c>
      <c r="P167" s="1" t="s">
        <v>31</v>
      </c>
      <c r="Q167" s="1" t="s">
        <v>32</v>
      </c>
      <c r="R167" s="1" t="s">
        <v>32</v>
      </c>
      <c r="S167" s="1" t="s">
        <v>33</v>
      </c>
      <c r="U167" s="1">
        <v>1.00686761E8</v>
      </c>
      <c r="X167" s="1" t="s">
        <v>35</v>
      </c>
      <c r="Y167" s="1" t="s">
        <v>740</v>
      </c>
      <c r="Z167" s="1" t="s">
        <v>527</v>
      </c>
    </row>
    <row r="168" hidden="1">
      <c r="A168" s="1" t="s">
        <v>879</v>
      </c>
      <c r="B168" s="1" t="s">
        <v>427</v>
      </c>
      <c r="C168" s="1" t="s">
        <v>880</v>
      </c>
      <c r="D168" s="1" t="s">
        <v>27</v>
      </c>
      <c r="E168" s="1" t="s">
        <v>28</v>
      </c>
      <c r="F168" s="2">
        <v>5000000.0</v>
      </c>
      <c r="G168" s="1" t="s">
        <v>429</v>
      </c>
      <c r="H168" s="4">
        <f>IFERROR(__xludf.DUMMYFUNCTION("DATE(INDEX(SPLIT(G168,""/""),,3),INDEX(SPLIT(G168,""/""),,2),INDEX(SPLIT(G168,""/""),,1))"),44739.0)</f>
        <v>44739</v>
      </c>
      <c r="I168" s="4">
        <v>45078.0</v>
      </c>
      <c r="J168" s="4">
        <f>IFERROR(__xludf.DUMMYFUNCTION("DATE(INDEX(SPLIT(I168,""/""),,3),INDEX(SPLIT(I168,""/""),,2),INDEX(SPLIT(I168,""/""),,1))"),44932.0)</f>
        <v>44932</v>
      </c>
      <c r="L168" s="1">
        <v>0.0</v>
      </c>
      <c r="M168" s="1" t="s">
        <v>881</v>
      </c>
      <c r="N168" s="1"/>
      <c r="O168" s="1" t="s">
        <v>30</v>
      </c>
      <c r="P168" s="1" t="s">
        <v>31</v>
      </c>
      <c r="Q168" s="1" t="s">
        <v>53</v>
      </c>
      <c r="R168" s="1" t="s">
        <v>53</v>
      </c>
      <c r="S168" s="1" t="s">
        <v>54</v>
      </c>
      <c r="U168" s="1">
        <v>1.01156917E8</v>
      </c>
      <c r="X168" s="1" t="s">
        <v>125</v>
      </c>
      <c r="Y168" s="1" t="s">
        <v>432</v>
      </c>
      <c r="Z168" s="1" t="s">
        <v>206</v>
      </c>
    </row>
    <row r="169" hidden="1">
      <c r="A169" s="1" t="s">
        <v>882</v>
      </c>
      <c r="B169" s="1" t="s">
        <v>492</v>
      </c>
      <c r="C169" s="1" t="s">
        <v>883</v>
      </c>
      <c r="D169" s="1" t="s">
        <v>27</v>
      </c>
      <c r="E169" s="1" t="s">
        <v>28</v>
      </c>
      <c r="F169" s="2">
        <v>5000000.0</v>
      </c>
      <c r="G169" s="1" t="s">
        <v>394</v>
      </c>
      <c r="H169" s="4">
        <f>IFERROR(__xludf.DUMMYFUNCTION("DATE(INDEX(SPLIT(G169,""/""),,3),INDEX(SPLIT(G169,""/""),,2),INDEX(SPLIT(G169,""/""),,1))"),44677.0)</f>
        <v>44677</v>
      </c>
      <c r="I169" s="4">
        <v>44693.0</v>
      </c>
      <c r="J169" s="4">
        <f>IFERROR(__xludf.DUMMYFUNCTION("DATE(INDEX(SPLIT(I169,""/""),,3),INDEX(SPLIT(I169,""/""),,2),INDEX(SPLIT(I169,""/""),,1))"),44900.0)</f>
        <v>44900</v>
      </c>
      <c r="L169" s="1">
        <v>0.0</v>
      </c>
      <c r="M169" s="1" t="s">
        <v>494</v>
      </c>
      <c r="N169" s="1"/>
      <c r="O169" s="1" t="s">
        <v>30</v>
      </c>
      <c r="P169" s="1" t="s">
        <v>31</v>
      </c>
      <c r="Q169" s="1" t="s">
        <v>95</v>
      </c>
      <c r="R169" s="1" t="s">
        <v>95</v>
      </c>
      <c r="S169" s="1" t="s">
        <v>96</v>
      </c>
      <c r="T169" s="1" t="s">
        <v>62</v>
      </c>
      <c r="U169" s="1">
        <v>1.0062347E8</v>
      </c>
      <c r="X169" s="1" t="s">
        <v>46</v>
      </c>
      <c r="Y169" s="1" t="s">
        <v>884</v>
      </c>
      <c r="Z169" s="1" t="s">
        <v>37</v>
      </c>
    </row>
    <row r="170" hidden="1">
      <c r="A170" s="1" t="s">
        <v>885</v>
      </c>
      <c r="B170" s="1" t="s">
        <v>886</v>
      </c>
      <c r="C170" s="1" t="s">
        <v>887</v>
      </c>
      <c r="D170" s="1" t="s">
        <v>78</v>
      </c>
      <c r="E170" s="1" t="s">
        <v>28</v>
      </c>
      <c r="F170" s="2">
        <v>5000000.0</v>
      </c>
      <c r="G170" s="1" t="s">
        <v>429</v>
      </c>
      <c r="H170" s="4">
        <f>IFERROR(__xludf.DUMMYFUNCTION("DATE(INDEX(SPLIT(G170,""/""),,3),INDEX(SPLIT(G170,""/""),,2),INDEX(SPLIT(G170,""/""),,1))"),44739.0)</f>
        <v>44739</v>
      </c>
      <c r="I170" s="1" t="s">
        <v>109</v>
      </c>
      <c r="J170" s="4">
        <f>IFERROR(__xludf.DUMMYFUNCTION("DATE(INDEX(SPLIT(I170,""/""),,3),INDEX(SPLIT(I170,""/""),,2),INDEX(SPLIT(I170,""/""),,1))"),44834.0)</f>
        <v>44834</v>
      </c>
      <c r="L170" s="1">
        <v>0.0</v>
      </c>
      <c r="M170" s="1" t="s">
        <v>441</v>
      </c>
      <c r="N170" s="1"/>
      <c r="O170" s="1" t="s">
        <v>30</v>
      </c>
      <c r="P170" s="1" t="s">
        <v>31</v>
      </c>
      <c r="Q170" s="1" t="s">
        <v>157</v>
      </c>
      <c r="R170" s="1" t="s">
        <v>157</v>
      </c>
      <c r="S170" s="1" t="s">
        <v>158</v>
      </c>
      <c r="T170" s="1" t="s">
        <v>442</v>
      </c>
      <c r="U170" s="1">
        <v>1.00581784E8</v>
      </c>
      <c r="X170" s="1" t="s">
        <v>125</v>
      </c>
      <c r="Y170" s="1" t="s">
        <v>441</v>
      </c>
      <c r="Z170" s="1" t="s">
        <v>37</v>
      </c>
    </row>
    <row r="171" hidden="1">
      <c r="A171" s="1" t="s">
        <v>888</v>
      </c>
      <c r="B171" s="1" t="s">
        <v>889</v>
      </c>
      <c r="C171" s="1" t="s">
        <v>890</v>
      </c>
      <c r="D171" s="1" t="s">
        <v>27</v>
      </c>
      <c r="E171" s="1" t="s">
        <v>28</v>
      </c>
      <c r="F171" s="2">
        <v>5000000.0</v>
      </c>
      <c r="G171" s="4">
        <v>44568.0</v>
      </c>
      <c r="H171" s="4">
        <f>IFERROR(__xludf.DUMMYFUNCTION("DATE(INDEX(SPLIT(G171,""/""),,3),INDEX(SPLIT(G171,""/""),,2),INDEX(SPLIT(G171,""/""),,1))"),44743.0)</f>
        <v>44743</v>
      </c>
      <c r="I171" s="1" t="s">
        <v>130</v>
      </c>
      <c r="J171" s="4">
        <f>IFERROR(__xludf.DUMMYFUNCTION("DATE(INDEX(SPLIT(I171,""/""),,3),INDEX(SPLIT(I171,""/""),,2),INDEX(SPLIT(I171,""/""),,1))"),44804.0)</f>
        <v>44804</v>
      </c>
      <c r="L171" s="1">
        <v>0.0</v>
      </c>
      <c r="M171" s="1" t="s">
        <v>891</v>
      </c>
      <c r="N171" s="1"/>
      <c r="O171" s="1" t="s">
        <v>30</v>
      </c>
      <c r="P171" s="1" t="s">
        <v>31</v>
      </c>
      <c r="Q171" s="1" t="s">
        <v>32</v>
      </c>
      <c r="R171" s="1" t="s">
        <v>32</v>
      </c>
      <c r="S171" s="1" t="s">
        <v>33</v>
      </c>
      <c r="T171" s="1" t="s">
        <v>402</v>
      </c>
      <c r="U171" s="1">
        <v>1.00866856E8</v>
      </c>
      <c r="X171" s="1" t="s">
        <v>125</v>
      </c>
      <c r="Y171" s="1" t="s">
        <v>772</v>
      </c>
      <c r="Z171" s="1" t="s">
        <v>37</v>
      </c>
    </row>
    <row r="172" hidden="1">
      <c r="A172" s="1" t="s">
        <v>892</v>
      </c>
      <c r="B172" s="1" t="s">
        <v>257</v>
      </c>
      <c r="C172" s="1" t="s">
        <v>893</v>
      </c>
      <c r="D172" s="1" t="s">
        <v>27</v>
      </c>
      <c r="E172" s="1" t="s">
        <v>28</v>
      </c>
      <c r="F172" s="2">
        <v>5000000.0</v>
      </c>
      <c r="G172" s="1" t="s">
        <v>225</v>
      </c>
      <c r="H172" s="4">
        <f>IFERROR(__xludf.DUMMYFUNCTION("DATE(INDEX(SPLIT(G172,""/""),,3),INDEX(SPLIT(G172,""/""),,2),INDEX(SPLIT(G172,""/""),,1))"),44518.0)</f>
        <v>44518</v>
      </c>
      <c r="I172" s="1" t="s">
        <v>894</v>
      </c>
      <c r="J172" s="4">
        <f>IFERROR(__xludf.DUMMYFUNCTION("DATE(INDEX(SPLIT(I172,""/""),,3),INDEX(SPLIT(I172,""/""),,2),INDEX(SPLIT(I172,""/""),,1))"),45322.0)</f>
        <v>45322</v>
      </c>
      <c r="L172" s="1">
        <v>0.0</v>
      </c>
      <c r="M172" s="1" t="s">
        <v>259</v>
      </c>
      <c r="N172" s="1"/>
      <c r="O172" s="1" t="s">
        <v>30</v>
      </c>
      <c r="P172" s="1" t="s">
        <v>31</v>
      </c>
      <c r="Q172" s="1" t="s">
        <v>95</v>
      </c>
      <c r="R172" s="1" t="s">
        <v>95</v>
      </c>
      <c r="S172" s="1" t="s">
        <v>96</v>
      </c>
      <c r="T172" s="1" t="s">
        <v>260</v>
      </c>
      <c r="U172" s="1">
        <v>1.00659114E8</v>
      </c>
      <c r="X172" s="1" t="s">
        <v>239</v>
      </c>
      <c r="Y172" s="1" t="s">
        <v>262</v>
      </c>
      <c r="Z172" s="1" t="s">
        <v>37</v>
      </c>
    </row>
    <row r="173">
      <c r="A173" s="1" t="s">
        <v>895</v>
      </c>
      <c r="B173" s="1" t="s">
        <v>896</v>
      </c>
      <c r="C173" s="1" t="s">
        <v>897</v>
      </c>
      <c r="D173" s="1" t="s">
        <v>122</v>
      </c>
      <c r="E173" s="1" t="s">
        <v>28</v>
      </c>
      <c r="F173" s="2">
        <v>5862860.0</v>
      </c>
      <c r="G173" s="1" t="s">
        <v>93</v>
      </c>
      <c r="H173" s="4">
        <f>IFERROR(__xludf.DUMMYFUNCTION("DATE(INDEX(SPLIT(G173,""/""),,3),INDEX(SPLIT(G173,""/""),,2),INDEX(SPLIT(G173,""/""),,1))"),44671.0)</f>
        <v>44671</v>
      </c>
      <c r="I173" s="4">
        <v>44568.0</v>
      </c>
      <c r="J173" s="4">
        <f>IFERROR(__xludf.DUMMYFUNCTION("DATE(INDEX(SPLIT(I173,""/""),,3),INDEX(SPLIT(I173,""/""),,2),INDEX(SPLIT(I173,""/""),,1))"),44743.0)</f>
        <v>44743</v>
      </c>
      <c r="L173" s="1">
        <v>0.0</v>
      </c>
      <c r="M173" s="1" t="s">
        <v>898</v>
      </c>
      <c r="N173" s="1"/>
      <c r="O173" s="1" t="s">
        <v>30</v>
      </c>
      <c r="P173" s="1" t="s">
        <v>31</v>
      </c>
      <c r="Q173" s="1" t="s">
        <v>71</v>
      </c>
      <c r="R173" s="1" t="s">
        <v>71</v>
      </c>
      <c r="S173" s="1" t="s">
        <v>72</v>
      </c>
      <c r="T173" s="1" t="s">
        <v>615</v>
      </c>
      <c r="U173" s="1">
        <v>1.00589481E8</v>
      </c>
      <c r="X173" s="1" t="s">
        <v>490</v>
      </c>
      <c r="Y173" s="1" t="s">
        <v>899</v>
      </c>
      <c r="Z173" s="1" t="s">
        <v>37</v>
      </c>
    </row>
    <row r="174">
      <c r="A174" s="1" t="s">
        <v>900</v>
      </c>
      <c r="B174" s="1" t="s">
        <v>497</v>
      </c>
      <c r="C174" s="1" t="s">
        <v>901</v>
      </c>
      <c r="D174" s="1" t="s">
        <v>122</v>
      </c>
      <c r="E174" s="1" t="s">
        <v>28</v>
      </c>
      <c r="F174" s="2">
        <v>5640000.0</v>
      </c>
      <c r="G174" s="1" t="s">
        <v>836</v>
      </c>
      <c r="H174" s="4">
        <f>IFERROR(__xludf.DUMMYFUNCTION("DATE(INDEX(SPLIT(G174,""/""),,3),INDEX(SPLIT(G174,""/""),,2),INDEX(SPLIT(G174,""/""),,1))"),44610.0)</f>
        <v>44610</v>
      </c>
      <c r="I174" s="1" t="s">
        <v>226</v>
      </c>
      <c r="J174" s="4">
        <f>IFERROR(__xludf.DUMMYFUNCTION("DATE(INDEX(SPLIT(I174,""/""),,3),INDEX(SPLIT(I174,""/""),,2),INDEX(SPLIT(I174,""/""),,1))"),44771.0)</f>
        <v>44771</v>
      </c>
      <c r="L174" s="1">
        <v>0.0</v>
      </c>
      <c r="M174" s="1" t="s">
        <v>597</v>
      </c>
      <c r="N174" s="1"/>
      <c r="O174" s="1" t="s">
        <v>30</v>
      </c>
      <c r="P174" s="1" t="s">
        <v>31</v>
      </c>
      <c r="Q174" s="1" t="s">
        <v>32</v>
      </c>
      <c r="R174" s="1" t="s">
        <v>32</v>
      </c>
      <c r="S174" s="1" t="s">
        <v>33</v>
      </c>
      <c r="T174" s="1" t="s">
        <v>34</v>
      </c>
      <c r="U174" s="1">
        <v>1.0064407E8</v>
      </c>
      <c r="X174" s="1" t="s">
        <v>35</v>
      </c>
      <c r="Y174" s="1" t="s">
        <v>597</v>
      </c>
      <c r="Z174" s="1" t="s">
        <v>37</v>
      </c>
    </row>
    <row r="175" hidden="1">
      <c r="A175" s="1" t="s">
        <v>902</v>
      </c>
      <c r="B175" s="1" t="s">
        <v>903</v>
      </c>
      <c r="C175" s="1" t="s">
        <v>904</v>
      </c>
      <c r="D175" s="1" t="s">
        <v>27</v>
      </c>
      <c r="E175" s="1" t="s">
        <v>28</v>
      </c>
      <c r="F175" s="2">
        <v>5000000.0</v>
      </c>
      <c r="G175" s="4">
        <v>44017.0</v>
      </c>
      <c r="H175" s="4">
        <f>IFERROR(__xludf.DUMMYFUNCTION("DATE(INDEX(SPLIT(G175,""/""),,3),INDEX(SPLIT(G175,""/""),,2),INDEX(SPLIT(G175,""/""),,1))"),43958.0)</f>
        <v>43958</v>
      </c>
      <c r="I175" s="1" t="s">
        <v>85</v>
      </c>
      <c r="J175" s="4">
        <f>IFERROR(__xludf.DUMMYFUNCTION("DATE(INDEX(SPLIT(I175,""/""),,3),INDEX(SPLIT(I175,""/""),,2),INDEX(SPLIT(I175,""/""),,1))"),44799.0)</f>
        <v>44799</v>
      </c>
      <c r="L175" s="1">
        <v>0.0</v>
      </c>
      <c r="M175" s="1" t="s">
        <v>437</v>
      </c>
      <c r="N175" s="1"/>
      <c r="O175" s="1" t="s">
        <v>30</v>
      </c>
      <c r="P175" s="1" t="s">
        <v>31</v>
      </c>
      <c r="Q175" s="1" t="s">
        <v>235</v>
      </c>
      <c r="R175" s="1" t="s">
        <v>235</v>
      </c>
      <c r="S175" s="1" t="s">
        <v>236</v>
      </c>
      <c r="T175" s="1" t="s">
        <v>311</v>
      </c>
      <c r="U175" s="1">
        <v>1.00650375E8</v>
      </c>
      <c r="X175" s="1" t="s">
        <v>46</v>
      </c>
      <c r="Y175" s="1" t="s">
        <v>437</v>
      </c>
      <c r="Z175" s="1" t="s">
        <v>37</v>
      </c>
    </row>
    <row r="176" hidden="1">
      <c r="A176" s="1" t="s">
        <v>905</v>
      </c>
      <c r="B176" s="1" t="s">
        <v>906</v>
      </c>
      <c r="C176" s="1" t="s">
        <v>907</v>
      </c>
      <c r="D176" s="1" t="s">
        <v>78</v>
      </c>
      <c r="E176" s="1" t="s">
        <v>28</v>
      </c>
      <c r="F176" s="2">
        <v>5000000.0</v>
      </c>
      <c r="G176" s="1" t="s">
        <v>908</v>
      </c>
      <c r="H176" s="4">
        <f>IFERROR(__xludf.DUMMYFUNCTION("DATE(INDEX(SPLIT(G176,""/""),,3),INDEX(SPLIT(G176,""/""),,2),INDEX(SPLIT(G176,""/""),,1))"),43722.0)</f>
        <v>43722</v>
      </c>
      <c r="I176" s="1" t="s">
        <v>909</v>
      </c>
      <c r="J176" s="4">
        <f>IFERROR(__xludf.DUMMYFUNCTION("DATE(INDEX(SPLIT(I176,""/""),,3),INDEX(SPLIT(I176,""/""),,2),INDEX(SPLIT(I176,""/""),,1))"),45101.0)</f>
        <v>45101</v>
      </c>
      <c r="L176" s="1">
        <v>0.0</v>
      </c>
      <c r="M176" s="1" t="s">
        <v>437</v>
      </c>
      <c r="N176" s="1"/>
      <c r="O176" s="1" t="s">
        <v>30</v>
      </c>
      <c r="P176" s="1" t="s">
        <v>31</v>
      </c>
      <c r="Q176" s="1" t="s">
        <v>235</v>
      </c>
      <c r="R176" s="1" t="s">
        <v>235</v>
      </c>
      <c r="S176" s="1" t="s">
        <v>236</v>
      </c>
      <c r="T176" s="1" t="s">
        <v>136</v>
      </c>
      <c r="U176" s="1">
        <v>1.00650375E8</v>
      </c>
      <c r="W176" s="1" t="s">
        <v>717</v>
      </c>
      <c r="X176" s="1" t="s">
        <v>74</v>
      </c>
      <c r="Y176" s="1" t="s">
        <v>437</v>
      </c>
      <c r="Z176" s="1" t="s">
        <v>37</v>
      </c>
    </row>
    <row r="177" hidden="1">
      <c r="A177" s="1" t="s">
        <v>910</v>
      </c>
      <c r="B177" s="1" t="s">
        <v>911</v>
      </c>
      <c r="C177" s="1" t="s">
        <v>912</v>
      </c>
      <c r="D177" s="1" t="s">
        <v>27</v>
      </c>
      <c r="E177" s="1" t="s">
        <v>28</v>
      </c>
      <c r="F177" s="2">
        <v>5000000.0</v>
      </c>
      <c r="G177" s="1" t="s">
        <v>286</v>
      </c>
      <c r="H177" s="4">
        <f>IFERROR(__xludf.DUMMYFUNCTION("DATE(INDEX(SPLIT(G177,""/""),,3),INDEX(SPLIT(G177,""/""),,2),INDEX(SPLIT(G177,""/""),,1))"),44609.0)</f>
        <v>44609</v>
      </c>
      <c r="I177" s="4">
        <v>44988.0</v>
      </c>
      <c r="J177" s="4">
        <f>IFERROR(__xludf.DUMMYFUNCTION("DATE(INDEX(SPLIT(I177,""/""),,3),INDEX(SPLIT(I177,""/""),,2),INDEX(SPLIT(I177,""/""),,1))"),44988.0)</f>
        <v>44988</v>
      </c>
      <c r="L177" s="1">
        <v>0.0</v>
      </c>
      <c r="M177" s="1" t="s">
        <v>913</v>
      </c>
      <c r="N177" s="1"/>
      <c r="O177" s="1" t="s">
        <v>30</v>
      </c>
      <c r="P177" s="1" t="s">
        <v>31</v>
      </c>
      <c r="Q177" s="1" t="s">
        <v>71</v>
      </c>
      <c r="R177" s="1" t="s">
        <v>71</v>
      </c>
      <c r="S177" s="1" t="s">
        <v>72</v>
      </c>
      <c r="U177" s="1">
        <v>1.0112897E8</v>
      </c>
      <c r="X177" s="1" t="s">
        <v>74</v>
      </c>
      <c r="Y177" s="1" t="s">
        <v>914</v>
      </c>
      <c r="Z177" s="1" t="s">
        <v>37</v>
      </c>
    </row>
    <row r="178" hidden="1">
      <c r="A178" s="1" t="s">
        <v>915</v>
      </c>
      <c r="B178" s="1" t="s">
        <v>916</v>
      </c>
      <c r="C178" s="1" t="s">
        <v>917</v>
      </c>
      <c r="D178" s="1" t="s">
        <v>27</v>
      </c>
      <c r="E178" s="1" t="s">
        <v>28</v>
      </c>
      <c r="F178" s="2">
        <v>5000000.0</v>
      </c>
      <c r="G178" s="1" t="s">
        <v>286</v>
      </c>
      <c r="H178" s="4">
        <f>IFERROR(__xludf.DUMMYFUNCTION("DATE(INDEX(SPLIT(G178,""/""),,3),INDEX(SPLIT(G178,""/""),,2),INDEX(SPLIT(G178,""/""),,1))"),44609.0)</f>
        <v>44609</v>
      </c>
      <c r="I178" s="1" t="s">
        <v>360</v>
      </c>
      <c r="J178" s="4">
        <f>IFERROR(__xludf.DUMMYFUNCTION("DATE(INDEX(SPLIT(I178,""/""),,3),INDEX(SPLIT(I178,""/""),,2),INDEX(SPLIT(I178,""/""),,1))"),44895.0)</f>
        <v>44895</v>
      </c>
      <c r="L178" s="1">
        <v>0.0</v>
      </c>
      <c r="M178" s="1" t="s">
        <v>914</v>
      </c>
      <c r="N178" s="1"/>
      <c r="O178" s="1" t="s">
        <v>30</v>
      </c>
      <c r="P178" s="1" t="s">
        <v>31</v>
      </c>
      <c r="Q178" s="1" t="s">
        <v>71</v>
      </c>
      <c r="R178" s="1" t="s">
        <v>71</v>
      </c>
      <c r="S178" s="1" t="s">
        <v>72</v>
      </c>
      <c r="T178" s="1" t="s">
        <v>136</v>
      </c>
      <c r="U178" s="1">
        <v>1.01033479E8</v>
      </c>
      <c r="X178" s="1" t="s">
        <v>98</v>
      </c>
      <c r="Y178" s="1" t="s">
        <v>914</v>
      </c>
      <c r="Z178" s="1" t="s">
        <v>37</v>
      </c>
    </row>
    <row r="179" hidden="1">
      <c r="A179" s="1" t="s">
        <v>918</v>
      </c>
      <c r="B179" s="1" t="s">
        <v>919</v>
      </c>
      <c r="C179" s="1" t="s">
        <v>920</v>
      </c>
      <c r="D179" s="1" t="s">
        <v>27</v>
      </c>
      <c r="E179" s="1" t="s">
        <v>28</v>
      </c>
      <c r="F179" s="2">
        <v>5000000.0</v>
      </c>
      <c r="G179" s="1" t="s">
        <v>286</v>
      </c>
      <c r="H179" s="4">
        <f>IFERROR(__xludf.DUMMYFUNCTION("DATE(INDEX(SPLIT(G179,""/""),,3),INDEX(SPLIT(G179,""/""),,2),INDEX(SPLIT(G179,""/""),,1))"),44609.0)</f>
        <v>44609</v>
      </c>
      <c r="I179" s="1" t="s">
        <v>921</v>
      </c>
      <c r="J179" s="4">
        <f>IFERROR(__xludf.DUMMYFUNCTION("DATE(INDEX(SPLIT(I179,""/""),,3),INDEX(SPLIT(I179,""/""),,2),INDEX(SPLIT(I179,""/""),,1))"),44981.0)</f>
        <v>44981</v>
      </c>
      <c r="L179" s="1">
        <v>0.0</v>
      </c>
      <c r="M179" s="1" t="s">
        <v>913</v>
      </c>
      <c r="N179" s="1"/>
      <c r="O179" s="1" t="s">
        <v>30</v>
      </c>
      <c r="P179" s="1" t="s">
        <v>31</v>
      </c>
      <c r="Q179" s="1" t="s">
        <v>71</v>
      </c>
      <c r="R179" s="1" t="s">
        <v>71</v>
      </c>
      <c r="S179" s="1" t="s">
        <v>72</v>
      </c>
      <c r="U179" s="1">
        <v>1.0112897E8</v>
      </c>
      <c r="X179" s="1" t="s">
        <v>239</v>
      </c>
      <c r="Y179" s="1" t="s">
        <v>914</v>
      </c>
      <c r="Z179" s="1" t="s">
        <v>37</v>
      </c>
    </row>
    <row r="180" hidden="1">
      <c r="A180" s="1" t="s">
        <v>922</v>
      </c>
      <c r="B180" s="1" t="s">
        <v>923</v>
      </c>
      <c r="C180" s="1" t="s">
        <v>924</v>
      </c>
      <c r="D180" s="1" t="s">
        <v>27</v>
      </c>
      <c r="E180" s="1" t="s">
        <v>28</v>
      </c>
      <c r="F180" s="2">
        <v>5000000.0</v>
      </c>
      <c r="G180" s="1" t="s">
        <v>286</v>
      </c>
      <c r="H180" s="4">
        <f>IFERROR(__xludf.DUMMYFUNCTION("DATE(INDEX(SPLIT(G180,""/""),,3),INDEX(SPLIT(G180,""/""),,2),INDEX(SPLIT(G180,""/""),,1))"),44609.0)</f>
        <v>44609</v>
      </c>
      <c r="I180" s="1" t="s">
        <v>925</v>
      </c>
      <c r="J180" s="4">
        <f>IFERROR(__xludf.DUMMYFUNCTION("DATE(INDEX(SPLIT(I180,""/""),,3),INDEX(SPLIT(I180,""/""),,2),INDEX(SPLIT(I180,""/""),,1))"),45010.0)</f>
        <v>45010</v>
      </c>
      <c r="L180" s="1">
        <v>0.0</v>
      </c>
      <c r="M180" s="1" t="s">
        <v>913</v>
      </c>
      <c r="N180" s="1"/>
      <c r="O180" s="1" t="s">
        <v>30</v>
      </c>
      <c r="P180" s="1" t="s">
        <v>31</v>
      </c>
      <c r="Q180" s="1" t="s">
        <v>71</v>
      </c>
      <c r="R180" s="1" t="s">
        <v>71</v>
      </c>
      <c r="S180" s="1" t="s">
        <v>72</v>
      </c>
      <c r="U180" s="1">
        <v>1.0112897E8</v>
      </c>
      <c r="X180" s="1" t="s">
        <v>74</v>
      </c>
      <c r="Y180" s="1" t="s">
        <v>914</v>
      </c>
      <c r="Z180" s="1" t="s">
        <v>37</v>
      </c>
    </row>
    <row r="181" hidden="1">
      <c r="A181" s="1" t="s">
        <v>926</v>
      </c>
      <c r="B181" s="1" t="s">
        <v>927</v>
      </c>
      <c r="C181" s="1" t="s">
        <v>928</v>
      </c>
      <c r="D181" s="1" t="s">
        <v>27</v>
      </c>
      <c r="E181" s="1" t="s">
        <v>28</v>
      </c>
      <c r="F181" s="2">
        <v>5000000.0</v>
      </c>
      <c r="G181" s="4">
        <v>44447.0</v>
      </c>
      <c r="H181" s="4">
        <f>IFERROR(__xludf.DUMMYFUNCTION("DATE(INDEX(SPLIT(G181,""/""),,3),INDEX(SPLIT(G181,""/""),,2),INDEX(SPLIT(G181,""/""),,1))"),44417.0)</f>
        <v>44417</v>
      </c>
      <c r="I181" s="1" t="s">
        <v>281</v>
      </c>
      <c r="J181" s="4">
        <f>IFERROR(__xludf.DUMMYFUNCTION("DATE(INDEX(SPLIT(I181,""/""),,3),INDEX(SPLIT(I181,""/""),,2),INDEX(SPLIT(I181,""/""),,1))"),44865.0)</f>
        <v>44865</v>
      </c>
      <c r="L181" s="1">
        <v>0.0</v>
      </c>
      <c r="M181" s="1" t="s">
        <v>929</v>
      </c>
      <c r="N181" s="1"/>
      <c r="O181" s="1" t="s">
        <v>30</v>
      </c>
      <c r="P181" s="1" t="s">
        <v>31</v>
      </c>
      <c r="Q181" s="1" t="s">
        <v>71</v>
      </c>
      <c r="R181" s="1" t="s">
        <v>71</v>
      </c>
      <c r="S181" s="1" t="s">
        <v>72</v>
      </c>
      <c r="T181" s="1" t="s">
        <v>73</v>
      </c>
      <c r="U181" s="1">
        <v>1.00649698E8</v>
      </c>
      <c r="X181" s="1" t="s">
        <v>117</v>
      </c>
      <c r="Y181" s="1" t="s">
        <v>930</v>
      </c>
      <c r="Z181" s="1" t="s">
        <v>37</v>
      </c>
    </row>
    <row r="182">
      <c r="A182" s="1" t="s">
        <v>931</v>
      </c>
      <c r="B182" s="1" t="s">
        <v>932</v>
      </c>
      <c r="C182" s="1" t="s">
        <v>933</v>
      </c>
      <c r="D182" s="1" t="s">
        <v>68</v>
      </c>
      <c r="E182" s="1" t="s">
        <v>28</v>
      </c>
      <c r="F182" s="2">
        <v>5125000.0</v>
      </c>
      <c r="G182" s="1" t="s">
        <v>934</v>
      </c>
      <c r="H182" s="4">
        <f>IFERROR(__xludf.DUMMYFUNCTION("DATE(INDEX(SPLIT(G182,""/""),,3),INDEX(SPLIT(G182,""/""),,2),INDEX(SPLIT(G182,""/""),,1))"),44681.0)</f>
        <v>44681</v>
      </c>
      <c r="I182" s="1" t="s">
        <v>935</v>
      </c>
      <c r="J182" s="4">
        <f>IFERROR(__xludf.DUMMYFUNCTION("DATE(INDEX(SPLIT(I182,""/""),,3),INDEX(SPLIT(I182,""/""),,2),INDEX(SPLIT(I182,""/""),,1))"),44764.0)</f>
        <v>44764</v>
      </c>
      <c r="L182" s="1">
        <v>0.0</v>
      </c>
      <c r="M182" s="1" t="s">
        <v>936</v>
      </c>
      <c r="N182" s="1"/>
      <c r="O182" s="1" t="s">
        <v>30</v>
      </c>
      <c r="P182" s="1" t="s">
        <v>31</v>
      </c>
      <c r="Q182" s="1" t="s">
        <v>71</v>
      </c>
      <c r="R182" s="1" t="s">
        <v>71</v>
      </c>
      <c r="S182" s="1" t="s">
        <v>72</v>
      </c>
      <c r="T182" s="1" t="s">
        <v>73</v>
      </c>
      <c r="U182" s="1">
        <v>1.00941744E8</v>
      </c>
      <c r="X182" s="1" t="s">
        <v>74</v>
      </c>
      <c r="Y182" s="1" t="s">
        <v>936</v>
      </c>
      <c r="Z182" s="1" t="s">
        <v>37</v>
      </c>
    </row>
    <row r="183" hidden="1">
      <c r="A183" s="1" t="s">
        <v>937</v>
      </c>
      <c r="B183" s="1" t="s">
        <v>938</v>
      </c>
      <c r="C183" s="1" t="s">
        <v>939</v>
      </c>
      <c r="D183" s="1" t="s">
        <v>27</v>
      </c>
      <c r="E183" s="1" t="s">
        <v>28</v>
      </c>
      <c r="F183" s="2">
        <v>5000000.0</v>
      </c>
      <c r="G183" s="1" t="s">
        <v>940</v>
      </c>
      <c r="H183" s="4">
        <f>IFERROR(__xludf.DUMMYFUNCTION("DATE(INDEX(SPLIT(G183,""/""),,3),INDEX(SPLIT(G183,""/""),,2),INDEX(SPLIT(G183,""/""),,1))"),44574.0)</f>
        <v>44574</v>
      </c>
      <c r="I183" s="1" t="s">
        <v>165</v>
      </c>
      <c r="J183" s="4">
        <f>IFERROR(__xludf.DUMMYFUNCTION("DATE(INDEX(SPLIT(I183,""/""),,3),INDEX(SPLIT(I183,""/""),,2),INDEX(SPLIT(I183,""/""),,1))"),44803.0)</f>
        <v>44803</v>
      </c>
      <c r="L183" s="1">
        <v>0.0</v>
      </c>
      <c r="M183" s="1" t="s">
        <v>941</v>
      </c>
      <c r="N183" s="1"/>
      <c r="O183" s="1" t="s">
        <v>30</v>
      </c>
      <c r="P183" s="1" t="s">
        <v>31</v>
      </c>
      <c r="Q183" s="1" t="s">
        <v>235</v>
      </c>
      <c r="R183" s="1" t="s">
        <v>235</v>
      </c>
      <c r="S183" s="1" t="s">
        <v>236</v>
      </c>
      <c r="T183" s="1" t="s">
        <v>438</v>
      </c>
      <c r="U183" s="1">
        <v>1.00652846E8</v>
      </c>
      <c r="X183" s="1" t="s">
        <v>88</v>
      </c>
      <c r="Y183" s="1" t="s">
        <v>942</v>
      </c>
      <c r="Z183" s="1" t="s">
        <v>37</v>
      </c>
    </row>
    <row r="184" hidden="1">
      <c r="A184" s="1" t="s">
        <v>943</v>
      </c>
      <c r="B184" s="1" t="s">
        <v>83</v>
      </c>
      <c r="C184" s="1" t="s">
        <v>944</v>
      </c>
      <c r="D184" s="1" t="s">
        <v>122</v>
      </c>
      <c r="E184" s="1" t="s">
        <v>28</v>
      </c>
      <c r="F184" s="2">
        <v>5000000.0</v>
      </c>
      <c r="G184" s="4">
        <v>44382.0</v>
      </c>
      <c r="H184" s="4">
        <f>IFERROR(__xludf.DUMMYFUNCTION("DATE(INDEX(SPLIT(G184,""/""),,3),INDEX(SPLIT(G184,""/""),,2),INDEX(SPLIT(G184,""/""),,1))"),44323.0)</f>
        <v>44323</v>
      </c>
      <c r="I184" s="1" t="s">
        <v>109</v>
      </c>
      <c r="J184" s="4">
        <f>IFERROR(__xludf.DUMMYFUNCTION("DATE(INDEX(SPLIT(I184,""/""),,3),INDEX(SPLIT(I184,""/""),,2),INDEX(SPLIT(I184,""/""),,1))"),44834.0)</f>
        <v>44834</v>
      </c>
      <c r="L184" s="1">
        <v>0.0</v>
      </c>
      <c r="M184" s="1" t="s">
        <v>945</v>
      </c>
      <c r="N184" s="1"/>
      <c r="O184" s="1" t="s">
        <v>30</v>
      </c>
      <c r="P184" s="1" t="s">
        <v>31</v>
      </c>
      <c r="Q184" s="1" t="s">
        <v>188</v>
      </c>
      <c r="R184" s="1" t="s">
        <v>188</v>
      </c>
      <c r="S184" s="1" t="s">
        <v>189</v>
      </c>
      <c r="T184" s="1" t="s">
        <v>345</v>
      </c>
      <c r="U184" s="1">
        <v>1.00592305E8</v>
      </c>
      <c r="X184" s="1" t="s">
        <v>88</v>
      </c>
      <c r="Y184" s="1" t="s">
        <v>946</v>
      </c>
      <c r="Z184" s="1" t="s">
        <v>37</v>
      </c>
    </row>
    <row r="185" hidden="1">
      <c r="A185" s="1" t="s">
        <v>947</v>
      </c>
      <c r="B185" s="1" t="s">
        <v>948</v>
      </c>
      <c r="C185" s="1" t="s">
        <v>949</v>
      </c>
      <c r="D185" s="1" t="s">
        <v>78</v>
      </c>
      <c r="E185" s="1" t="s">
        <v>28</v>
      </c>
      <c r="F185" s="2">
        <v>5000000.0</v>
      </c>
      <c r="G185" s="1" t="s">
        <v>950</v>
      </c>
      <c r="H185" s="4">
        <f>IFERROR(__xludf.DUMMYFUNCTION("DATE(INDEX(SPLIT(G185,""/""),,3),INDEX(SPLIT(G185,""/""),,2),INDEX(SPLIT(G185,""/""),,1))"),43577.0)</f>
        <v>43577</v>
      </c>
      <c r="I185" s="4">
        <v>44932.0</v>
      </c>
      <c r="J185" s="4">
        <f>IFERROR(__xludf.DUMMYFUNCTION("DATE(INDEX(SPLIT(I185,""/""),,3),INDEX(SPLIT(I185,""/""),,2),INDEX(SPLIT(I185,""/""),,1))"),45078.0)</f>
        <v>45078</v>
      </c>
      <c r="L185" s="1">
        <v>0.0</v>
      </c>
      <c r="M185" s="1" t="s">
        <v>951</v>
      </c>
      <c r="N185" s="1"/>
      <c r="O185" s="1" t="s">
        <v>30</v>
      </c>
      <c r="P185" s="1" t="s">
        <v>31</v>
      </c>
      <c r="Q185" s="1" t="s">
        <v>157</v>
      </c>
      <c r="R185" s="1" t="s">
        <v>157</v>
      </c>
      <c r="S185" s="1" t="s">
        <v>158</v>
      </c>
      <c r="T185" s="1" t="s">
        <v>159</v>
      </c>
      <c r="U185" s="1">
        <v>1.00653269E8</v>
      </c>
      <c r="X185" s="1" t="s">
        <v>74</v>
      </c>
      <c r="Y185" s="1" t="s">
        <v>952</v>
      </c>
      <c r="Z185" s="1" t="s">
        <v>37</v>
      </c>
    </row>
    <row r="186" hidden="1">
      <c r="A186" s="1" t="s">
        <v>953</v>
      </c>
      <c r="B186" s="1" t="s">
        <v>954</v>
      </c>
      <c r="C186" s="1" t="s">
        <v>955</v>
      </c>
      <c r="D186" s="1" t="s">
        <v>27</v>
      </c>
      <c r="E186" s="1" t="s">
        <v>28</v>
      </c>
      <c r="F186" s="2">
        <v>5000000.0</v>
      </c>
      <c r="G186" s="4">
        <v>44870.0</v>
      </c>
      <c r="H186" s="4">
        <f>IFERROR(__xludf.DUMMYFUNCTION("DATE(INDEX(SPLIT(G186,""/""),,3),INDEX(SPLIT(G186,""/""),,2),INDEX(SPLIT(G186,""/""),,1))"),44692.0)</f>
        <v>44692</v>
      </c>
      <c r="I186" s="1" t="s">
        <v>281</v>
      </c>
      <c r="J186" s="4">
        <f>IFERROR(__xludf.DUMMYFUNCTION("DATE(INDEX(SPLIT(I186,""/""),,3),INDEX(SPLIT(I186,""/""),,2),INDEX(SPLIT(I186,""/""),,1))"),44865.0)</f>
        <v>44865</v>
      </c>
      <c r="L186" s="1">
        <v>0.0</v>
      </c>
      <c r="M186" s="1" t="s">
        <v>956</v>
      </c>
      <c r="N186" s="1"/>
      <c r="O186" s="1" t="s">
        <v>30</v>
      </c>
      <c r="P186" s="1" t="s">
        <v>31</v>
      </c>
      <c r="Q186" s="1" t="s">
        <v>71</v>
      </c>
      <c r="R186" s="1" t="s">
        <v>71</v>
      </c>
      <c r="S186" s="1" t="s">
        <v>72</v>
      </c>
      <c r="T186" s="1" t="s">
        <v>73</v>
      </c>
      <c r="U186" s="1">
        <v>1.00653499E8</v>
      </c>
      <c r="X186" s="1" t="s">
        <v>74</v>
      </c>
      <c r="Y186" s="1" t="s">
        <v>957</v>
      </c>
      <c r="Z186" s="1" t="s">
        <v>37</v>
      </c>
    </row>
    <row r="187" hidden="1">
      <c r="A187" s="1" t="s">
        <v>958</v>
      </c>
      <c r="B187" s="1" t="s">
        <v>76</v>
      </c>
      <c r="C187" s="1" t="s">
        <v>959</v>
      </c>
      <c r="D187" s="1" t="s">
        <v>122</v>
      </c>
      <c r="E187" s="1" t="s">
        <v>28</v>
      </c>
      <c r="F187" s="2">
        <v>5000000.0</v>
      </c>
      <c r="G187" s="1" t="s">
        <v>934</v>
      </c>
      <c r="H187" s="4">
        <f>IFERROR(__xludf.DUMMYFUNCTION("DATE(INDEX(SPLIT(G187,""/""),,3),INDEX(SPLIT(G187,""/""),,2),INDEX(SPLIT(G187,""/""),,1))"),44681.0)</f>
        <v>44681</v>
      </c>
      <c r="I187" s="1" t="s">
        <v>487</v>
      </c>
      <c r="J187" s="4">
        <f>IFERROR(__xludf.DUMMYFUNCTION("DATE(INDEX(SPLIT(I187,""/""),,3),INDEX(SPLIT(I187,""/""),,2),INDEX(SPLIT(I187,""/""),,1))"),44855.0)</f>
        <v>44855</v>
      </c>
      <c r="L187" s="1">
        <v>0.0</v>
      </c>
      <c r="M187" s="1" t="s">
        <v>960</v>
      </c>
      <c r="N187" s="1"/>
      <c r="O187" s="1" t="s">
        <v>30</v>
      </c>
      <c r="P187" s="1" t="s">
        <v>31</v>
      </c>
      <c r="Q187" s="1" t="s">
        <v>188</v>
      </c>
      <c r="R187" s="1" t="s">
        <v>188</v>
      </c>
      <c r="S187" s="1" t="s">
        <v>189</v>
      </c>
      <c r="T187" s="1" t="s">
        <v>287</v>
      </c>
      <c r="U187" s="1">
        <v>1.00595407E8</v>
      </c>
      <c r="X187" s="1" t="s">
        <v>81</v>
      </c>
      <c r="Y187" s="1" t="s">
        <v>79</v>
      </c>
      <c r="Z187" s="1" t="s">
        <v>37</v>
      </c>
    </row>
    <row r="188" hidden="1">
      <c r="A188" s="1" t="s">
        <v>961</v>
      </c>
      <c r="B188" s="1" t="s">
        <v>962</v>
      </c>
      <c r="C188" s="1" t="s">
        <v>963</v>
      </c>
      <c r="D188" s="1" t="s">
        <v>27</v>
      </c>
      <c r="E188" s="1" t="s">
        <v>28</v>
      </c>
      <c r="F188" s="2">
        <v>5000000.0</v>
      </c>
      <c r="G188" s="1" t="s">
        <v>964</v>
      </c>
      <c r="H188" s="4">
        <f>IFERROR(__xludf.DUMMYFUNCTION("DATE(INDEX(SPLIT(G188,""/""),,3),INDEX(SPLIT(G188,""/""),,2),INDEX(SPLIT(G188,""/""),,1))"),44005.0)</f>
        <v>44005</v>
      </c>
      <c r="I188" s="4">
        <v>44991.0</v>
      </c>
      <c r="J188" s="4">
        <f>IFERROR(__xludf.DUMMYFUNCTION("DATE(INDEX(SPLIT(I188,""/""),,3),INDEX(SPLIT(I188,""/""),,2),INDEX(SPLIT(I188,""/""),,1))"),45080.0)</f>
        <v>45080</v>
      </c>
      <c r="L188" s="1">
        <v>0.0</v>
      </c>
      <c r="M188" s="1" t="s">
        <v>437</v>
      </c>
      <c r="N188" s="1"/>
      <c r="O188" s="1" t="s">
        <v>30</v>
      </c>
      <c r="P188" s="1" t="s">
        <v>31</v>
      </c>
      <c r="Q188" s="1" t="s">
        <v>235</v>
      </c>
      <c r="R188" s="1" t="s">
        <v>235</v>
      </c>
      <c r="S188" s="1" t="s">
        <v>236</v>
      </c>
      <c r="U188" s="1">
        <v>1.00650375E8</v>
      </c>
      <c r="W188" s="1" t="s">
        <v>389</v>
      </c>
      <c r="X188" s="1" t="s">
        <v>190</v>
      </c>
      <c r="Y188" s="1" t="s">
        <v>437</v>
      </c>
      <c r="Z188" s="1" t="s">
        <v>37</v>
      </c>
    </row>
    <row r="189" hidden="1">
      <c r="A189" s="1" t="s">
        <v>965</v>
      </c>
      <c r="B189" s="1" t="s">
        <v>127</v>
      </c>
      <c r="C189" s="1" t="s">
        <v>966</v>
      </c>
      <c r="D189" s="1" t="s">
        <v>78</v>
      </c>
      <c r="E189" s="1" t="s">
        <v>28</v>
      </c>
      <c r="F189" s="2">
        <v>5000000.0</v>
      </c>
      <c r="G189" s="4">
        <v>43656.0</v>
      </c>
      <c r="H189" s="4">
        <f>IFERROR(__xludf.DUMMYFUNCTION("DATE(INDEX(SPLIT(G189,""/""),,3),INDEX(SPLIT(G189,""/""),,2),INDEX(SPLIT(G189,""/""),,1))"),43745.0)</f>
        <v>43745</v>
      </c>
      <c r="I189" s="1" t="s">
        <v>109</v>
      </c>
      <c r="J189" s="4">
        <f>IFERROR(__xludf.DUMMYFUNCTION("DATE(INDEX(SPLIT(I189,""/""),,3),INDEX(SPLIT(I189,""/""),,2),INDEX(SPLIT(I189,""/""),,1))"),44834.0)</f>
        <v>44834</v>
      </c>
      <c r="L189" s="1">
        <v>0.0</v>
      </c>
      <c r="M189" s="1" t="s">
        <v>141</v>
      </c>
      <c r="N189" s="1"/>
      <c r="O189" s="1" t="s">
        <v>30</v>
      </c>
      <c r="P189" s="1" t="s">
        <v>31</v>
      </c>
      <c r="Q189" s="1" t="s">
        <v>95</v>
      </c>
      <c r="R189" s="1" t="s">
        <v>95</v>
      </c>
      <c r="S189" s="1" t="s">
        <v>96</v>
      </c>
      <c r="T189" s="1" t="s">
        <v>217</v>
      </c>
      <c r="U189" s="1">
        <v>1.00658522E8</v>
      </c>
      <c r="X189" s="1" t="s">
        <v>81</v>
      </c>
      <c r="Y189" s="1" t="s">
        <v>141</v>
      </c>
      <c r="Z189" s="1" t="s">
        <v>37</v>
      </c>
    </row>
    <row r="190" hidden="1">
      <c r="A190" s="1" t="s">
        <v>967</v>
      </c>
      <c r="B190" s="1" t="s">
        <v>246</v>
      </c>
      <c r="C190" s="1" t="s">
        <v>968</v>
      </c>
      <c r="D190" s="1" t="s">
        <v>27</v>
      </c>
      <c r="E190" s="1" t="s">
        <v>28</v>
      </c>
      <c r="F190" s="2">
        <v>5000000.0</v>
      </c>
      <c r="G190" s="1" t="s">
        <v>969</v>
      </c>
      <c r="H190" s="4">
        <f>IFERROR(__xludf.DUMMYFUNCTION("DATE(INDEX(SPLIT(G190,""/""),,3),INDEX(SPLIT(G190,""/""),,2),INDEX(SPLIT(G190,""/""),,1))"),44306.0)</f>
        <v>44306</v>
      </c>
      <c r="I190" s="1" t="s">
        <v>42</v>
      </c>
      <c r="J190" s="4">
        <f>IFERROR(__xludf.DUMMYFUNCTION("DATE(INDEX(SPLIT(I190,""/""),,3),INDEX(SPLIT(I190,""/""),,2),INDEX(SPLIT(I190,""/""),,1))"),44926.0)</f>
        <v>44926</v>
      </c>
      <c r="L190" s="1">
        <v>0.0</v>
      </c>
      <c r="M190" s="1" t="s">
        <v>249</v>
      </c>
      <c r="N190" s="1"/>
      <c r="O190" s="1" t="s">
        <v>30</v>
      </c>
      <c r="P190" s="1" t="s">
        <v>31</v>
      </c>
      <c r="Q190" s="1" t="s">
        <v>32</v>
      </c>
      <c r="R190" s="1" t="s">
        <v>32</v>
      </c>
      <c r="S190" s="1" t="s">
        <v>33</v>
      </c>
      <c r="T190" s="1" t="s">
        <v>34</v>
      </c>
      <c r="U190" s="1">
        <v>1.00617853E8</v>
      </c>
      <c r="X190" s="1" t="s">
        <v>35</v>
      </c>
      <c r="Y190" s="1" t="s">
        <v>249</v>
      </c>
      <c r="Z190" s="1" t="s">
        <v>37</v>
      </c>
    </row>
    <row r="191">
      <c r="A191" s="1" t="s">
        <v>970</v>
      </c>
      <c r="B191" s="1" t="s">
        <v>971</v>
      </c>
      <c r="C191" s="1" t="s">
        <v>209</v>
      </c>
      <c r="D191" s="1" t="s">
        <v>27</v>
      </c>
      <c r="E191" s="1" t="s">
        <v>28</v>
      </c>
      <c r="F191" s="2">
        <v>5000000.0</v>
      </c>
      <c r="G191" s="1" t="s">
        <v>210</v>
      </c>
      <c r="H191" s="4">
        <f>IFERROR(__xludf.DUMMYFUNCTION("DATE(INDEX(SPLIT(G191,""/""),,3),INDEX(SPLIT(G191,""/""),,2),INDEX(SPLIT(G191,""/""),,1))"),44329.0)</f>
        <v>44329</v>
      </c>
      <c r="I191" s="1" t="s">
        <v>226</v>
      </c>
      <c r="J191" s="4">
        <f>IFERROR(__xludf.DUMMYFUNCTION("DATE(INDEX(SPLIT(I191,""/""),,3),INDEX(SPLIT(I191,""/""),,2),INDEX(SPLIT(I191,""/""),,1))"),44771.0)</f>
        <v>44771</v>
      </c>
      <c r="L191" s="1">
        <v>0.0</v>
      </c>
      <c r="M191" s="1" t="s">
        <v>211</v>
      </c>
      <c r="N191" s="1"/>
      <c r="O191" s="1" t="s">
        <v>30</v>
      </c>
      <c r="P191" s="1" t="s">
        <v>31</v>
      </c>
      <c r="Q191" s="1" t="s">
        <v>71</v>
      </c>
      <c r="R191" s="1" t="s">
        <v>71</v>
      </c>
      <c r="S191" s="1" t="s">
        <v>72</v>
      </c>
      <c r="T191" s="1" t="s">
        <v>136</v>
      </c>
      <c r="U191" s="1">
        <v>1.00590896E8</v>
      </c>
      <c r="X191" s="1" t="s">
        <v>74</v>
      </c>
      <c r="Y191" s="1" t="s">
        <v>212</v>
      </c>
      <c r="Z191" s="1" t="s">
        <v>37</v>
      </c>
    </row>
    <row r="192" hidden="1">
      <c r="A192" s="1" t="s">
        <v>972</v>
      </c>
      <c r="B192" s="1" t="s">
        <v>844</v>
      </c>
      <c r="C192" s="1" t="s">
        <v>973</v>
      </c>
      <c r="D192" s="1" t="s">
        <v>78</v>
      </c>
      <c r="E192" s="1" t="s">
        <v>28</v>
      </c>
      <c r="F192" s="2">
        <v>5000000.0</v>
      </c>
      <c r="G192" s="1" t="s">
        <v>458</v>
      </c>
      <c r="H192" s="4">
        <f>IFERROR(__xludf.DUMMYFUNCTION("DATE(INDEX(SPLIT(G192,""/""),,3),INDEX(SPLIT(G192,""/""),,2),INDEX(SPLIT(G192,""/""),,1))"),44649.0)</f>
        <v>44649</v>
      </c>
      <c r="I192" s="1" t="s">
        <v>109</v>
      </c>
      <c r="J192" s="4">
        <f>IFERROR(__xludf.DUMMYFUNCTION("DATE(INDEX(SPLIT(I192,""/""),,3),INDEX(SPLIT(I192,""/""),,2),INDEX(SPLIT(I192,""/""),,1))"),44834.0)</f>
        <v>44834</v>
      </c>
      <c r="L192" s="1">
        <v>0.0</v>
      </c>
      <c r="M192" s="1" t="s">
        <v>846</v>
      </c>
      <c r="N192" s="1"/>
      <c r="O192" s="1" t="s">
        <v>30</v>
      </c>
      <c r="P192" s="1" t="s">
        <v>31</v>
      </c>
      <c r="Q192" s="1" t="s">
        <v>157</v>
      </c>
      <c r="R192" s="1" t="s">
        <v>157</v>
      </c>
      <c r="S192" s="1" t="s">
        <v>158</v>
      </c>
      <c r="T192" s="1" t="s">
        <v>442</v>
      </c>
      <c r="U192" s="1">
        <v>1.00584422E8</v>
      </c>
      <c r="X192" s="1" t="s">
        <v>125</v>
      </c>
      <c r="Y192" s="1" t="s">
        <v>847</v>
      </c>
      <c r="Z192" s="1" t="s">
        <v>37</v>
      </c>
    </row>
    <row r="193" hidden="1">
      <c r="A193" s="1" t="s">
        <v>974</v>
      </c>
      <c r="B193" s="1" t="s">
        <v>975</v>
      </c>
      <c r="C193" s="1" t="s">
        <v>976</v>
      </c>
      <c r="D193" s="1" t="s">
        <v>78</v>
      </c>
      <c r="E193" s="1" t="s">
        <v>28</v>
      </c>
      <c r="F193" s="2">
        <v>5000000.0</v>
      </c>
      <c r="G193" s="4">
        <v>44836.0</v>
      </c>
      <c r="H193" s="4">
        <f>IFERROR(__xludf.DUMMYFUNCTION("DATE(INDEX(SPLIT(G193,""/""),,3),INDEX(SPLIT(G193,""/""),,2),INDEX(SPLIT(G193,""/""),,1))"),44602.0)</f>
        <v>44602</v>
      </c>
      <c r="I193" s="1" t="s">
        <v>977</v>
      </c>
      <c r="J193" s="4">
        <f>IFERROR(__xludf.DUMMYFUNCTION("DATE(INDEX(SPLIT(I193,""/""),,3),INDEX(SPLIT(I193,""/""),,2),INDEX(SPLIT(I193,""/""),,1))"),45135.0)</f>
        <v>45135</v>
      </c>
      <c r="L193" s="1">
        <v>0.0</v>
      </c>
      <c r="M193" s="1" t="s">
        <v>978</v>
      </c>
      <c r="N193" s="1"/>
      <c r="O193" s="1" t="s">
        <v>30</v>
      </c>
      <c r="P193" s="1" t="s">
        <v>31</v>
      </c>
      <c r="Q193" s="1" t="s">
        <v>235</v>
      </c>
      <c r="R193" s="1" t="s">
        <v>235</v>
      </c>
      <c r="S193" s="1" t="s">
        <v>236</v>
      </c>
      <c r="T193" s="1" t="s">
        <v>438</v>
      </c>
      <c r="U193" s="1">
        <v>1.00608243E8</v>
      </c>
      <c r="X193" s="1" t="s">
        <v>88</v>
      </c>
      <c r="Y193" s="1" t="s">
        <v>979</v>
      </c>
      <c r="Z193" s="1" t="s">
        <v>206</v>
      </c>
    </row>
    <row r="194" hidden="1">
      <c r="A194" s="1" t="s">
        <v>980</v>
      </c>
      <c r="B194" s="1" t="s">
        <v>981</v>
      </c>
      <c r="C194" s="1" t="s">
        <v>982</v>
      </c>
      <c r="D194" s="1" t="s">
        <v>27</v>
      </c>
      <c r="E194" s="1" t="s">
        <v>28</v>
      </c>
      <c r="F194" s="2">
        <v>5000000.0</v>
      </c>
      <c r="G194" s="1" t="s">
        <v>983</v>
      </c>
      <c r="H194" s="4">
        <f>IFERROR(__xludf.DUMMYFUNCTION("DATE(INDEX(SPLIT(G194,""/""),,3),INDEX(SPLIT(G194,""/""),,2),INDEX(SPLIT(G194,""/""),,1))"),44393.0)</f>
        <v>44393</v>
      </c>
      <c r="I194" s="1" t="s">
        <v>155</v>
      </c>
      <c r="J194" s="4">
        <f>IFERROR(__xludf.DUMMYFUNCTION("DATE(INDEX(SPLIT(I194,""/""),,3),INDEX(SPLIT(I194,""/""),,2),INDEX(SPLIT(I194,""/""),,1))"),45473.0)</f>
        <v>45473</v>
      </c>
      <c r="L194" s="1">
        <v>0.0</v>
      </c>
      <c r="M194" s="1" t="s">
        <v>984</v>
      </c>
      <c r="N194" s="1"/>
      <c r="O194" s="1" t="s">
        <v>30</v>
      </c>
      <c r="P194" s="1" t="s">
        <v>31</v>
      </c>
      <c r="Q194" s="1" t="s">
        <v>157</v>
      </c>
      <c r="R194" s="1" t="s">
        <v>157</v>
      </c>
      <c r="S194" s="1" t="s">
        <v>158</v>
      </c>
      <c r="T194" s="1" t="s">
        <v>159</v>
      </c>
      <c r="U194" s="1">
        <v>1.00611358E8</v>
      </c>
      <c r="X194" s="1" t="s">
        <v>490</v>
      </c>
      <c r="Y194" s="1" t="s">
        <v>985</v>
      </c>
      <c r="Z194" s="1" t="s">
        <v>37</v>
      </c>
    </row>
    <row r="195" hidden="1">
      <c r="A195" s="1" t="s">
        <v>986</v>
      </c>
      <c r="B195" s="1" t="s">
        <v>223</v>
      </c>
      <c r="C195" s="1" t="s">
        <v>987</v>
      </c>
      <c r="D195" s="1" t="s">
        <v>27</v>
      </c>
      <c r="E195" s="1" t="s">
        <v>28</v>
      </c>
      <c r="F195" s="2">
        <v>5000000.0</v>
      </c>
      <c r="G195" s="1" t="s">
        <v>225</v>
      </c>
      <c r="H195" s="4">
        <f>IFERROR(__xludf.DUMMYFUNCTION("DATE(INDEX(SPLIT(G195,""/""),,3),INDEX(SPLIT(G195,""/""),,2),INDEX(SPLIT(G195,""/""),,1))"),44518.0)</f>
        <v>44518</v>
      </c>
      <c r="I195" s="1" t="s">
        <v>977</v>
      </c>
      <c r="J195" s="4">
        <f>IFERROR(__xludf.DUMMYFUNCTION("DATE(INDEX(SPLIT(I195,""/""),,3),INDEX(SPLIT(I195,""/""),,2),INDEX(SPLIT(I195,""/""),,1))"),45135.0)</f>
        <v>45135</v>
      </c>
      <c r="L195" s="1">
        <v>0.0</v>
      </c>
      <c r="M195" s="1" t="s">
        <v>227</v>
      </c>
      <c r="N195" s="1"/>
      <c r="O195" s="1" t="s">
        <v>30</v>
      </c>
      <c r="P195" s="1" t="s">
        <v>31</v>
      </c>
      <c r="Q195" s="1" t="s">
        <v>228</v>
      </c>
      <c r="R195" s="1" t="s">
        <v>228</v>
      </c>
      <c r="S195" s="1" t="s">
        <v>229</v>
      </c>
      <c r="U195" s="1">
        <v>1.00660017E8</v>
      </c>
      <c r="X195" s="1" t="s">
        <v>81</v>
      </c>
      <c r="Y195" s="1" t="s">
        <v>227</v>
      </c>
      <c r="Z195" s="1" t="s">
        <v>37</v>
      </c>
    </row>
    <row r="196">
      <c r="A196" s="1" t="s">
        <v>988</v>
      </c>
      <c r="B196" s="1" t="s">
        <v>709</v>
      </c>
      <c r="C196" s="1" t="s">
        <v>989</v>
      </c>
      <c r="D196" s="1" t="s">
        <v>27</v>
      </c>
      <c r="E196" s="1" t="s">
        <v>28</v>
      </c>
      <c r="F196" s="2">
        <v>5000000.0</v>
      </c>
      <c r="G196" s="4">
        <v>44445.0</v>
      </c>
      <c r="H196" s="4">
        <f>IFERROR(__xludf.DUMMYFUNCTION("DATE(INDEX(SPLIT(G196,""/""),,3),INDEX(SPLIT(G196,""/""),,2),INDEX(SPLIT(G196,""/""),,1))"),44356.0)</f>
        <v>44356</v>
      </c>
      <c r="I196" s="1" t="s">
        <v>414</v>
      </c>
      <c r="J196" s="4">
        <f>IFERROR(__xludf.DUMMYFUNCTION("DATE(INDEX(SPLIT(I196,""/""),,3),INDEX(SPLIT(I196,""/""),,2),INDEX(SPLIT(I196,""/""),,1))"),44772.0)</f>
        <v>44772</v>
      </c>
      <c r="L196" s="1">
        <v>0.0</v>
      </c>
      <c r="M196" s="1" t="s">
        <v>437</v>
      </c>
      <c r="N196" s="1"/>
      <c r="O196" s="1" t="s">
        <v>30</v>
      </c>
      <c r="P196" s="1" t="s">
        <v>31</v>
      </c>
      <c r="Q196" s="1" t="s">
        <v>235</v>
      </c>
      <c r="R196" s="1" t="s">
        <v>235</v>
      </c>
      <c r="S196" s="1" t="s">
        <v>236</v>
      </c>
      <c r="U196" s="1">
        <v>1.00650375E8</v>
      </c>
      <c r="X196" s="1" t="s">
        <v>35</v>
      </c>
      <c r="Y196" s="1" t="s">
        <v>990</v>
      </c>
      <c r="Z196" s="1" t="s">
        <v>37</v>
      </c>
    </row>
    <row r="197" hidden="1">
      <c r="A197" s="1" t="s">
        <v>991</v>
      </c>
      <c r="B197" s="1" t="s">
        <v>992</v>
      </c>
      <c r="C197" s="1" t="s">
        <v>993</v>
      </c>
      <c r="D197" s="1" t="s">
        <v>68</v>
      </c>
      <c r="E197" s="1" t="s">
        <v>28</v>
      </c>
      <c r="F197" s="2">
        <v>5000000.0</v>
      </c>
      <c r="G197" s="1" t="s">
        <v>994</v>
      </c>
      <c r="H197" s="4">
        <f>IFERROR(__xludf.DUMMYFUNCTION("DATE(INDEX(SPLIT(G197,""/""),,3),INDEX(SPLIT(G197,""/""),,2),INDEX(SPLIT(G197,""/""),,1))"),43886.0)</f>
        <v>43886</v>
      </c>
      <c r="I197" s="1" t="s">
        <v>134</v>
      </c>
      <c r="J197" s="4">
        <f>IFERROR(__xludf.DUMMYFUNCTION("DATE(INDEX(SPLIT(I197,""/""),,3),INDEX(SPLIT(I197,""/""),,2),INDEX(SPLIT(I197,""/""),,1))"),44792.0)</f>
        <v>44792</v>
      </c>
      <c r="L197" s="1">
        <v>0.0</v>
      </c>
      <c r="M197" s="1" t="s">
        <v>29</v>
      </c>
      <c r="N197" s="1"/>
      <c r="O197" s="1" t="s">
        <v>30</v>
      </c>
      <c r="P197" s="1" t="s">
        <v>31</v>
      </c>
      <c r="Q197" s="1" t="s">
        <v>32</v>
      </c>
      <c r="R197" s="1" t="s">
        <v>32</v>
      </c>
      <c r="S197" s="1" t="s">
        <v>33</v>
      </c>
      <c r="T197" s="1" t="s">
        <v>34</v>
      </c>
      <c r="U197" s="1">
        <v>1.00660652E8</v>
      </c>
      <c r="V197" s="1" t="s">
        <v>995</v>
      </c>
      <c r="W197" s="1" t="s">
        <v>45</v>
      </c>
      <c r="X197" s="1" t="s">
        <v>35</v>
      </c>
      <c r="Y197" s="1" t="s">
        <v>29</v>
      </c>
      <c r="Z197" s="1" t="s">
        <v>37</v>
      </c>
    </row>
    <row r="198" hidden="1">
      <c r="A198" s="1" t="s">
        <v>996</v>
      </c>
      <c r="B198" s="1" t="s">
        <v>997</v>
      </c>
      <c r="C198" s="1" t="s">
        <v>998</v>
      </c>
      <c r="D198" s="1" t="s">
        <v>78</v>
      </c>
      <c r="E198" s="1" t="s">
        <v>28</v>
      </c>
      <c r="F198" s="2">
        <v>5000000.0</v>
      </c>
      <c r="G198" s="4">
        <v>43680.0</v>
      </c>
      <c r="H198" s="4">
        <f>IFERROR(__xludf.DUMMYFUNCTION("DATE(INDEX(SPLIT(G198,""/""),,3),INDEX(SPLIT(G198,""/""),,2),INDEX(SPLIT(G198,""/""),,1))"),43532.0)</f>
        <v>43532</v>
      </c>
      <c r="I198" s="1" t="s">
        <v>999</v>
      </c>
      <c r="J198" s="4">
        <f>IFERROR(__xludf.DUMMYFUNCTION("DATE(INDEX(SPLIT(I198,""/""),,3),INDEX(SPLIT(I198,""/""),,2),INDEX(SPLIT(I198,""/""),,1))"),44953.0)</f>
        <v>44953</v>
      </c>
      <c r="L198" s="1">
        <v>0.0</v>
      </c>
      <c r="M198" s="1" t="s">
        <v>1000</v>
      </c>
      <c r="N198" s="1"/>
      <c r="O198" s="1" t="s">
        <v>30</v>
      </c>
      <c r="P198" s="1" t="s">
        <v>31</v>
      </c>
      <c r="Q198" s="1" t="s">
        <v>95</v>
      </c>
      <c r="R198" s="1" t="s">
        <v>95</v>
      </c>
      <c r="S198" s="1" t="s">
        <v>96</v>
      </c>
      <c r="T198" s="1" t="s">
        <v>311</v>
      </c>
      <c r="U198" s="1">
        <v>1.00623453E8</v>
      </c>
      <c r="X198" s="1" t="s">
        <v>410</v>
      </c>
      <c r="Y198" s="1" t="s">
        <v>495</v>
      </c>
      <c r="Z198" s="1" t="s">
        <v>37</v>
      </c>
    </row>
    <row r="199" hidden="1">
      <c r="A199" s="1" t="s">
        <v>1001</v>
      </c>
      <c r="B199" s="1" t="s">
        <v>1002</v>
      </c>
      <c r="C199" s="1" t="s">
        <v>1003</v>
      </c>
      <c r="D199" s="1" t="s">
        <v>27</v>
      </c>
      <c r="E199" s="1" t="s">
        <v>28</v>
      </c>
      <c r="F199" s="2">
        <v>5000000.0</v>
      </c>
      <c r="G199" s="1" t="s">
        <v>1004</v>
      </c>
      <c r="H199" s="4">
        <f>IFERROR(__xludf.DUMMYFUNCTION("DATE(INDEX(SPLIT(G199,""/""),,3),INDEX(SPLIT(G199,""/""),,2),INDEX(SPLIT(G199,""/""),,1))"),44582.0)</f>
        <v>44582</v>
      </c>
      <c r="I199" s="4">
        <v>45809.0</v>
      </c>
      <c r="J199" s="4">
        <f>IFERROR(__xludf.DUMMYFUNCTION("DATE(INDEX(SPLIT(I199,""/""),,3),INDEX(SPLIT(I199,""/""),,2),INDEX(SPLIT(I199,""/""),,1))"),45663.0)</f>
        <v>45663</v>
      </c>
      <c r="L199" s="1">
        <v>0.0</v>
      </c>
      <c r="M199" s="1" t="s">
        <v>914</v>
      </c>
      <c r="N199" s="1"/>
      <c r="O199" s="1" t="s">
        <v>30</v>
      </c>
      <c r="P199" s="1" t="s">
        <v>31</v>
      </c>
      <c r="Q199" s="1" t="s">
        <v>71</v>
      </c>
      <c r="R199" s="1" t="s">
        <v>71</v>
      </c>
      <c r="S199" s="1" t="s">
        <v>72</v>
      </c>
      <c r="T199" s="1" t="s">
        <v>136</v>
      </c>
      <c r="U199" s="1">
        <v>1.01033479E8</v>
      </c>
      <c r="X199" s="1" t="s">
        <v>74</v>
      </c>
      <c r="Y199" s="1" t="s">
        <v>914</v>
      </c>
      <c r="Z199" s="1" t="s">
        <v>37</v>
      </c>
    </row>
    <row r="200" hidden="1">
      <c r="A200" s="1" t="s">
        <v>1005</v>
      </c>
      <c r="B200" s="1" t="s">
        <v>1002</v>
      </c>
      <c r="C200" s="1" t="s">
        <v>1006</v>
      </c>
      <c r="D200" s="1" t="s">
        <v>27</v>
      </c>
      <c r="E200" s="1" t="s">
        <v>28</v>
      </c>
      <c r="F200" s="2">
        <v>5000000.0</v>
      </c>
      <c r="G200" s="1" t="s">
        <v>1004</v>
      </c>
      <c r="H200" s="4">
        <f>IFERROR(__xludf.DUMMYFUNCTION("DATE(INDEX(SPLIT(G200,""/""),,3),INDEX(SPLIT(G200,""/""),,2),INDEX(SPLIT(G200,""/""),,1))"),44582.0)</f>
        <v>44582</v>
      </c>
      <c r="I200" s="4">
        <v>45505.0</v>
      </c>
      <c r="J200" s="4">
        <f>IFERROR(__xludf.DUMMYFUNCTION("DATE(INDEX(SPLIT(I200,""/""),,3),INDEX(SPLIT(I200,""/""),,2),INDEX(SPLIT(I200,""/""),,1))"),45299.0)</f>
        <v>45299</v>
      </c>
      <c r="L200" s="1">
        <v>0.0</v>
      </c>
      <c r="M200" s="1" t="s">
        <v>914</v>
      </c>
      <c r="N200" s="1"/>
      <c r="O200" s="1" t="s">
        <v>30</v>
      </c>
      <c r="P200" s="1" t="s">
        <v>31</v>
      </c>
      <c r="Q200" s="1" t="s">
        <v>71</v>
      </c>
      <c r="R200" s="1" t="s">
        <v>71</v>
      </c>
      <c r="S200" s="1" t="s">
        <v>72</v>
      </c>
      <c r="T200" s="1" t="s">
        <v>136</v>
      </c>
      <c r="U200" s="1">
        <v>1.01033479E8</v>
      </c>
      <c r="X200" s="1" t="s">
        <v>74</v>
      </c>
      <c r="Y200" s="1" t="s">
        <v>914</v>
      </c>
      <c r="Z200" s="1" t="s">
        <v>37</v>
      </c>
    </row>
    <row r="201">
      <c r="A201" s="1" t="s">
        <v>1007</v>
      </c>
      <c r="B201" s="1" t="s">
        <v>954</v>
      </c>
      <c r="C201" s="1" t="s">
        <v>1008</v>
      </c>
      <c r="D201" s="1" t="s">
        <v>27</v>
      </c>
      <c r="E201" s="1" t="s">
        <v>28</v>
      </c>
      <c r="F201" s="2">
        <v>5000000.0</v>
      </c>
      <c r="G201" s="4">
        <v>44450.0</v>
      </c>
      <c r="H201" s="4">
        <f>IFERROR(__xludf.DUMMYFUNCTION("DATE(INDEX(SPLIT(G201,""/""),,3),INDEX(SPLIT(G201,""/""),,2),INDEX(SPLIT(G201,""/""),,1))"),44509.0)</f>
        <v>44509</v>
      </c>
      <c r="I201" s="1" t="s">
        <v>69</v>
      </c>
      <c r="J201" s="4">
        <f>IFERROR(__xludf.DUMMYFUNCTION("DATE(INDEX(SPLIT(I201,""/""),,3),INDEX(SPLIT(I201,""/""),,2),INDEX(SPLIT(I201,""/""),,1))"),44773.0)</f>
        <v>44773</v>
      </c>
      <c r="L201" s="1">
        <v>0.0</v>
      </c>
      <c r="M201" s="1" t="s">
        <v>1009</v>
      </c>
      <c r="N201" s="1"/>
      <c r="O201" s="1" t="s">
        <v>30</v>
      </c>
      <c r="P201" s="1" t="s">
        <v>31</v>
      </c>
      <c r="Q201" s="1" t="s">
        <v>95</v>
      </c>
      <c r="R201" s="1" t="s">
        <v>95</v>
      </c>
      <c r="S201" s="1" t="s">
        <v>96</v>
      </c>
      <c r="T201" s="1" t="s">
        <v>73</v>
      </c>
      <c r="U201" s="1">
        <v>1.00592304E8</v>
      </c>
      <c r="X201" s="1" t="s">
        <v>74</v>
      </c>
      <c r="Y201" s="1" t="s">
        <v>957</v>
      </c>
      <c r="Z201" s="1" t="s">
        <v>37</v>
      </c>
    </row>
    <row r="202" hidden="1">
      <c r="A202" s="1" t="s">
        <v>1010</v>
      </c>
      <c r="B202" s="1" t="s">
        <v>484</v>
      </c>
      <c r="C202" s="1" t="s">
        <v>1011</v>
      </c>
      <c r="D202" s="1" t="s">
        <v>27</v>
      </c>
      <c r="E202" s="1" t="s">
        <v>28</v>
      </c>
      <c r="F202" s="2">
        <v>5000000.0</v>
      </c>
      <c r="G202" s="1" t="s">
        <v>1012</v>
      </c>
      <c r="H202" s="4">
        <f>IFERROR(__xludf.DUMMYFUNCTION("DATE(INDEX(SPLIT(G202,""/""),,3),INDEX(SPLIT(G202,""/""),,2),INDEX(SPLIT(G202,""/""),,1))"),44496.0)</f>
        <v>44496</v>
      </c>
      <c r="I202" s="4">
        <v>44630.0</v>
      </c>
      <c r="J202" s="4">
        <f>IFERROR(__xludf.DUMMYFUNCTION("DATE(INDEX(SPLIT(I202,""/""),,3),INDEX(SPLIT(I202,""/""),,2),INDEX(SPLIT(I202,""/""),,1))"),44837.0)</f>
        <v>44837</v>
      </c>
      <c r="L202" s="1">
        <v>0.0</v>
      </c>
      <c r="M202" s="1" t="s">
        <v>488</v>
      </c>
      <c r="N202" s="1"/>
      <c r="O202" s="1" t="s">
        <v>30</v>
      </c>
      <c r="P202" s="1" t="s">
        <v>31</v>
      </c>
      <c r="Q202" s="1" t="s">
        <v>95</v>
      </c>
      <c r="R202" s="1" t="s">
        <v>95</v>
      </c>
      <c r="S202" s="1" t="s">
        <v>96</v>
      </c>
      <c r="T202" s="1" t="s">
        <v>489</v>
      </c>
      <c r="U202" s="1">
        <v>1.00611486E8</v>
      </c>
      <c r="X202" s="1" t="s">
        <v>490</v>
      </c>
      <c r="Y202" s="1" t="s">
        <v>1013</v>
      </c>
      <c r="Z202" s="1" t="s">
        <v>37</v>
      </c>
    </row>
    <row r="203" hidden="1">
      <c r="A203" s="1" t="s">
        <v>1014</v>
      </c>
      <c r="B203" s="1" t="s">
        <v>246</v>
      </c>
      <c r="C203" s="1" t="s">
        <v>1015</v>
      </c>
      <c r="D203" s="1" t="s">
        <v>27</v>
      </c>
      <c r="E203" s="1" t="s">
        <v>28</v>
      </c>
      <c r="F203" s="2">
        <v>5000000.0</v>
      </c>
      <c r="G203" s="4">
        <v>43142.0</v>
      </c>
      <c r="H203" s="4">
        <f>IFERROR(__xludf.DUMMYFUNCTION("DATE(INDEX(SPLIT(G203,""/""),,3),INDEX(SPLIT(G203,""/""),,2),INDEX(SPLIT(G203,""/""),,1))"),43406.0)</f>
        <v>43406</v>
      </c>
      <c r="I203" s="1" t="s">
        <v>203</v>
      </c>
      <c r="J203" s="4">
        <f>IFERROR(__xludf.DUMMYFUNCTION("DATE(INDEX(SPLIT(I203,""/""),,3),INDEX(SPLIT(I203,""/""),,2),INDEX(SPLIT(I203,""/""),,1))"),44925.0)</f>
        <v>44925</v>
      </c>
      <c r="L203" s="1">
        <v>0.0</v>
      </c>
      <c r="M203" s="1" t="s">
        <v>249</v>
      </c>
      <c r="N203" s="1"/>
      <c r="O203" s="1" t="s">
        <v>30</v>
      </c>
      <c r="P203" s="1" t="s">
        <v>31</v>
      </c>
      <c r="Q203" s="1" t="s">
        <v>32</v>
      </c>
      <c r="R203" s="1" t="s">
        <v>32</v>
      </c>
      <c r="S203" s="1" t="s">
        <v>33</v>
      </c>
      <c r="T203" s="1" t="s">
        <v>34</v>
      </c>
      <c r="U203" s="1">
        <v>1.00617853E8</v>
      </c>
      <c r="X203" s="1" t="s">
        <v>35</v>
      </c>
      <c r="Y203" s="1" t="s">
        <v>1016</v>
      </c>
      <c r="Z203" s="1" t="s">
        <v>37</v>
      </c>
    </row>
    <row r="204">
      <c r="A204" s="1" t="s">
        <v>1017</v>
      </c>
      <c r="B204" s="1" t="s">
        <v>39</v>
      </c>
      <c r="C204" s="1" t="s">
        <v>1018</v>
      </c>
      <c r="D204" s="1" t="s">
        <v>68</v>
      </c>
      <c r="E204" s="1" t="s">
        <v>28</v>
      </c>
      <c r="F204" s="2">
        <v>5000000.0</v>
      </c>
      <c r="G204" s="1" t="s">
        <v>394</v>
      </c>
      <c r="H204" s="4">
        <f>IFERROR(__xludf.DUMMYFUNCTION("DATE(INDEX(SPLIT(G204,""/""),,3),INDEX(SPLIT(G204,""/""),,2),INDEX(SPLIT(G204,""/""),,1))"),44677.0)</f>
        <v>44677</v>
      </c>
      <c r="I204" s="1" t="s">
        <v>518</v>
      </c>
      <c r="J204" s="4">
        <f>IFERROR(__xludf.DUMMYFUNCTION("DATE(INDEX(SPLIT(I204,""/""),,3),INDEX(SPLIT(I204,""/""),,2),INDEX(SPLIT(I204,""/""),,1))"),44757.0)</f>
        <v>44757</v>
      </c>
      <c r="L204" s="1">
        <v>0.0</v>
      </c>
      <c r="M204" s="1" t="s">
        <v>1019</v>
      </c>
      <c r="N204" s="1"/>
      <c r="O204" s="1" t="s">
        <v>30</v>
      </c>
      <c r="P204" s="1" t="s">
        <v>31</v>
      </c>
      <c r="Q204" s="1" t="s">
        <v>95</v>
      </c>
      <c r="R204" s="1" t="s">
        <v>95</v>
      </c>
      <c r="S204" s="1" t="s">
        <v>96</v>
      </c>
      <c r="T204" s="1" t="s">
        <v>311</v>
      </c>
      <c r="U204" s="1">
        <v>1.00607644E8</v>
      </c>
      <c r="X204" s="1" t="s">
        <v>46</v>
      </c>
      <c r="Y204" s="1" t="s">
        <v>327</v>
      </c>
      <c r="Z204" s="1" t="s">
        <v>37</v>
      </c>
    </row>
    <row r="205" hidden="1">
      <c r="A205" s="1" t="s">
        <v>1020</v>
      </c>
      <c r="B205" s="1" t="s">
        <v>1021</v>
      </c>
      <c r="C205" s="1" t="s">
        <v>1022</v>
      </c>
      <c r="D205" s="1" t="s">
        <v>78</v>
      </c>
      <c r="E205" s="1" t="s">
        <v>28</v>
      </c>
      <c r="F205" s="2">
        <v>5000000.0</v>
      </c>
      <c r="G205" s="1" t="s">
        <v>1023</v>
      </c>
      <c r="H205" s="4">
        <f>IFERROR(__xludf.DUMMYFUNCTION("DATE(INDEX(SPLIT(G205,""/""),,3),INDEX(SPLIT(G205,""/""),,2),INDEX(SPLIT(G205,""/""),,1))"),44090.0)</f>
        <v>44090</v>
      </c>
      <c r="I205" s="1" t="s">
        <v>203</v>
      </c>
      <c r="J205" s="4">
        <f>IFERROR(__xludf.DUMMYFUNCTION("DATE(INDEX(SPLIT(I205,""/""),,3),INDEX(SPLIT(I205,""/""),,2),INDEX(SPLIT(I205,""/""),,1))"),44925.0)</f>
        <v>44925</v>
      </c>
      <c r="L205" s="1">
        <v>0.0</v>
      </c>
      <c r="M205" s="1" t="s">
        <v>277</v>
      </c>
      <c r="N205" s="1"/>
      <c r="O205" s="1" t="s">
        <v>30</v>
      </c>
      <c r="P205" s="1" t="s">
        <v>31</v>
      </c>
      <c r="Q205" s="1" t="s">
        <v>32</v>
      </c>
      <c r="R205" s="1" t="s">
        <v>32</v>
      </c>
      <c r="S205" s="1" t="s">
        <v>33</v>
      </c>
      <c r="T205" s="1" t="s">
        <v>103</v>
      </c>
      <c r="U205" s="1">
        <v>1.00608828E8</v>
      </c>
      <c r="X205" s="1" t="s">
        <v>46</v>
      </c>
      <c r="Y205" s="1" t="s">
        <v>277</v>
      </c>
      <c r="Z205" s="1" t="s">
        <v>37</v>
      </c>
    </row>
    <row r="206" hidden="1">
      <c r="A206" s="1" t="s">
        <v>1024</v>
      </c>
      <c r="B206" s="1" t="s">
        <v>1025</v>
      </c>
      <c r="C206" s="1" t="s">
        <v>1026</v>
      </c>
      <c r="D206" s="1" t="s">
        <v>27</v>
      </c>
      <c r="E206" s="1" t="s">
        <v>28</v>
      </c>
      <c r="F206" s="2">
        <v>5000000.0</v>
      </c>
      <c r="G206" s="4">
        <v>44866.0</v>
      </c>
      <c r="H206" s="4">
        <f>IFERROR(__xludf.DUMMYFUNCTION("DATE(INDEX(SPLIT(G206,""/""),,3),INDEX(SPLIT(G206,""/""),,2),INDEX(SPLIT(G206,""/""),,1))"),44572.0)</f>
        <v>44572</v>
      </c>
      <c r="I206" s="1" t="s">
        <v>134</v>
      </c>
      <c r="J206" s="4">
        <f>IFERROR(__xludf.DUMMYFUNCTION("DATE(INDEX(SPLIT(I206,""/""),,3),INDEX(SPLIT(I206,""/""),,2),INDEX(SPLIT(I206,""/""),,1))"),44792.0)</f>
        <v>44792</v>
      </c>
      <c r="L206" s="1">
        <v>0.0</v>
      </c>
      <c r="M206" s="1" t="s">
        <v>1027</v>
      </c>
      <c r="N206" s="1"/>
      <c r="O206" s="1" t="s">
        <v>30</v>
      </c>
      <c r="P206" s="1" t="s">
        <v>31</v>
      </c>
      <c r="Q206" s="1" t="s">
        <v>53</v>
      </c>
      <c r="R206" s="1" t="s">
        <v>53</v>
      </c>
      <c r="S206" s="1" t="s">
        <v>54</v>
      </c>
      <c r="T206" s="1" t="s">
        <v>73</v>
      </c>
      <c r="U206" s="1">
        <v>1.00879751E8</v>
      </c>
      <c r="X206" s="1" t="s">
        <v>74</v>
      </c>
      <c r="Y206" s="1" t="s">
        <v>1028</v>
      </c>
      <c r="Z206" s="1" t="s">
        <v>37</v>
      </c>
    </row>
    <row r="207">
      <c r="A207" s="1" t="s">
        <v>1029</v>
      </c>
      <c r="B207" s="1" t="s">
        <v>1030</v>
      </c>
      <c r="C207" s="1" t="s">
        <v>1031</v>
      </c>
      <c r="D207" s="1" t="s">
        <v>27</v>
      </c>
      <c r="E207" s="1" t="s">
        <v>28</v>
      </c>
      <c r="F207" s="2">
        <v>5000000.0</v>
      </c>
      <c r="G207" s="1" t="s">
        <v>1004</v>
      </c>
      <c r="H207" s="4">
        <f>IFERROR(__xludf.DUMMYFUNCTION("DATE(INDEX(SPLIT(G207,""/""),,3),INDEX(SPLIT(G207,""/""),,2),INDEX(SPLIT(G207,""/""),,1))"),44582.0)</f>
        <v>44582</v>
      </c>
      <c r="I207" s="1" t="s">
        <v>226</v>
      </c>
      <c r="J207" s="4">
        <f>IFERROR(__xludf.DUMMYFUNCTION("DATE(INDEX(SPLIT(I207,""/""),,3),INDEX(SPLIT(I207,""/""),,2),INDEX(SPLIT(I207,""/""),,1))"),44771.0)</f>
        <v>44771</v>
      </c>
      <c r="L207" s="1">
        <v>0.0</v>
      </c>
      <c r="M207" s="1" t="s">
        <v>1032</v>
      </c>
      <c r="N207" s="1"/>
      <c r="O207" s="1" t="s">
        <v>30</v>
      </c>
      <c r="P207" s="1" t="s">
        <v>31</v>
      </c>
      <c r="Q207" s="1" t="s">
        <v>71</v>
      </c>
      <c r="R207" s="1" t="s">
        <v>71</v>
      </c>
      <c r="S207" s="1" t="s">
        <v>72</v>
      </c>
      <c r="T207" s="1" t="s">
        <v>615</v>
      </c>
      <c r="U207" s="1">
        <v>1.00609514E8</v>
      </c>
      <c r="X207" s="1" t="s">
        <v>63</v>
      </c>
      <c r="Y207" s="1" t="s">
        <v>1033</v>
      </c>
      <c r="Z207" s="1" t="s">
        <v>37</v>
      </c>
    </row>
    <row r="208" hidden="1">
      <c r="A208" s="1" t="s">
        <v>1034</v>
      </c>
      <c r="B208" s="1" t="s">
        <v>301</v>
      </c>
      <c r="C208" s="1" t="s">
        <v>1035</v>
      </c>
      <c r="D208" s="1" t="s">
        <v>27</v>
      </c>
      <c r="E208" s="1" t="s">
        <v>28</v>
      </c>
      <c r="F208" s="2">
        <v>5000000.0</v>
      </c>
      <c r="G208" s="4">
        <v>44686.0</v>
      </c>
      <c r="H208" s="4">
        <f>IFERROR(__xludf.DUMMYFUNCTION("DATE(INDEX(SPLIT(G208,""/""),,3),INDEX(SPLIT(G208,""/""),,2),INDEX(SPLIT(G208,""/""),,1))"),44686.0)</f>
        <v>44686</v>
      </c>
      <c r="I208" s="1" t="s">
        <v>425</v>
      </c>
      <c r="J208" s="4">
        <f>IFERROR(__xludf.DUMMYFUNCTION("DATE(INDEX(SPLIT(I208,""/""),,3),INDEX(SPLIT(I208,""/""),,2),INDEX(SPLIT(I208,""/""),,1))"),44911.0)</f>
        <v>44911</v>
      </c>
      <c r="L208" s="1">
        <v>0.0</v>
      </c>
      <c r="M208" s="1" t="s">
        <v>1036</v>
      </c>
      <c r="N208" s="1"/>
      <c r="O208" s="1" t="s">
        <v>30</v>
      </c>
      <c r="P208" s="1" t="s">
        <v>31</v>
      </c>
      <c r="Q208" s="1" t="s">
        <v>95</v>
      </c>
      <c r="R208" s="1" t="s">
        <v>95</v>
      </c>
      <c r="S208" s="1" t="s">
        <v>96</v>
      </c>
      <c r="T208" s="1" t="s">
        <v>111</v>
      </c>
      <c r="U208" s="1">
        <v>1.00633489E8</v>
      </c>
      <c r="X208" s="1" t="s">
        <v>305</v>
      </c>
      <c r="Y208" s="1" t="s">
        <v>306</v>
      </c>
      <c r="Z208" s="1" t="s">
        <v>37</v>
      </c>
    </row>
    <row r="209">
      <c r="A209" s="1" t="s">
        <v>1037</v>
      </c>
      <c r="B209" s="1" t="s">
        <v>66</v>
      </c>
      <c r="C209" s="1" t="s">
        <v>1038</v>
      </c>
      <c r="D209" s="1" t="s">
        <v>78</v>
      </c>
      <c r="E209" s="1" t="s">
        <v>28</v>
      </c>
      <c r="F209" s="2">
        <v>5000000.0</v>
      </c>
      <c r="G209" s="1" t="s">
        <v>1039</v>
      </c>
      <c r="H209" s="4">
        <f>IFERROR(__xludf.DUMMYFUNCTION("DATE(INDEX(SPLIT(G209,""/""),,3),INDEX(SPLIT(G209,""/""),,2),INDEX(SPLIT(G209,""/""),,1))"),44155.0)</f>
        <v>44155</v>
      </c>
      <c r="I209" s="1" t="s">
        <v>69</v>
      </c>
      <c r="J209" s="4">
        <f>IFERROR(__xludf.DUMMYFUNCTION("DATE(INDEX(SPLIT(I209,""/""),,3),INDEX(SPLIT(I209,""/""),,2),INDEX(SPLIT(I209,""/""),,1))"),44773.0)</f>
        <v>44773</v>
      </c>
      <c r="L209" s="1">
        <v>0.0</v>
      </c>
      <c r="M209" s="1" t="s">
        <v>1040</v>
      </c>
      <c r="N209" s="1"/>
      <c r="O209" s="1" t="s">
        <v>30</v>
      </c>
      <c r="P209" s="1" t="s">
        <v>31</v>
      </c>
      <c r="Q209" s="1" t="s">
        <v>71</v>
      </c>
      <c r="R209" s="1" t="s">
        <v>71</v>
      </c>
      <c r="S209" s="1" t="s">
        <v>72</v>
      </c>
      <c r="T209" s="1" t="s">
        <v>73</v>
      </c>
      <c r="U209" s="1">
        <v>1.00619899E8</v>
      </c>
      <c r="X209" s="1" t="s">
        <v>74</v>
      </c>
      <c r="Y209" s="1" t="s">
        <v>1040</v>
      </c>
      <c r="Z209" s="1" t="s">
        <v>37</v>
      </c>
    </row>
    <row r="210" hidden="1">
      <c r="A210" s="1" t="s">
        <v>1041</v>
      </c>
      <c r="B210" s="1" t="s">
        <v>1042</v>
      </c>
      <c r="C210" s="1" t="s">
        <v>1043</v>
      </c>
      <c r="D210" s="1" t="s">
        <v>27</v>
      </c>
      <c r="E210" s="1" t="s">
        <v>28</v>
      </c>
      <c r="F210" s="2">
        <v>5000000.0</v>
      </c>
      <c r="G210" s="1" t="s">
        <v>1044</v>
      </c>
      <c r="H210" s="4">
        <f>IFERROR(__xludf.DUMMYFUNCTION("DATE(INDEX(SPLIT(G210,""/""),,3),INDEX(SPLIT(G210,""/""),,2),INDEX(SPLIT(G210,""/""),,1))"),44588.0)</f>
        <v>44588</v>
      </c>
      <c r="I210" s="1" t="s">
        <v>203</v>
      </c>
      <c r="J210" s="4">
        <f>IFERROR(__xludf.DUMMYFUNCTION("DATE(INDEX(SPLIT(I210,""/""),,3),INDEX(SPLIT(I210,""/""),,2),INDEX(SPLIT(I210,""/""),,1))"),44925.0)</f>
        <v>44925</v>
      </c>
      <c r="L210" s="1">
        <v>0.0</v>
      </c>
      <c r="M210" s="1" t="s">
        <v>941</v>
      </c>
      <c r="N210" s="1"/>
      <c r="O210" s="1" t="s">
        <v>30</v>
      </c>
      <c r="P210" s="1" t="s">
        <v>31</v>
      </c>
      <c r="Q210" s="1" t="s">
        <v>235</v>
      </c>
      <c r="R210" s="1" t="s">
        <v>235</v>
      </c>
      <c r="S210" s="1" t="s">
        <v>236</v>
      </c>
      <c r="T210" s="1" t="s">
        <v>438</v>
      </c>
      <c r="U210" s="1">
        <v>1.00652846E8</v>
      </c>
      <c r="X210" s="1" t="s">
        <v>88</v>
      </c>
      <c r="Y210" s="1" t="s">
        <v>1045</v>
      </c>
      <c r="Z210" s="1" t="s">
        <v>37</v>
      </c>
    </row>
    <row r="211" hidden="1">
      <c r="A211" s="1" t="s">
        <v>1046</v>
      </c>
      <c r="B211" s="1" t="s">
        <v>1047</v>
      </c>
      <c r="C211" s="1" t="s">
        <v>1048</v>
      </c>
      <c r="D211" s="1" t="s">
        <v>27</v>
      </c>
      <c r="E211" s="1" t="s">
        <v>28</v>
      </c>
      <c r="F211" s="2">
        <v>5000000.0</v>
      </c>
      <c r="G211" s="1" t="s">
        <v>551</v>
      </c>
      <c r="H211" s="4">
        <f>IFERROR(__xludf.DUMMYFUNCTION("DATE(INDEX(SPLIT(G211,""/""),,3),INDEX(SPLIT(G211,""/""),,2),INDEX(SPLIT(G211,""/""),,1))"),44701.0)</f>
        <v>44701</v>
      </c>
      <c r="I211" s="4">
        <v>44813.0</v>
      </c>
      <c r="J211" s="4">
        <f>IFERROR(__xludf.DUMMYFUNCTION("DATE(INDEX(SPLIT(I211,""/""),,3),INDEX(SPLIT(I211,""/""),,2),INDEX(SPLIT(I211,""/""),,1))"),44813.0)</f>
        <v>44813</v>
      </c>
      <c r="L211" s="1">
        <v>0.0</v>
      </c>
      <c r="M211" s="1" t="s">
        <v>437</v>
      </c>
      <c r="N211" s="1"/>
      <c r="O211" s="1" t="s">
        <v>30</v>
      </c>
      <c r="P211" s="1" t="s">
        <v>31</v>
      </c>
      <c r="Q211" s="1" t="s">
        <v>235</v>
      </c>
      <c r="R211" s="1" t="s">
        <v>235</v>
      </c>
      <c r="S211" s="1" t="s">
        <v>236</v>
      </c>
      <c r="U211" s="1">
        <v>1.00650375E8</v>
      </c>
      <c r="X211" s="1" t="s">
        <v>361</v>
      </c>
      <c r="Y211" s="1" t="s">
        <v>437</v>
      </c>
      <c r="Z211" s="1" t="s">
        <v>37</v>
      </c>
    </row>
    <row r="212" hidden="1">
      <c r="A212" s="1" t="s">
        <v>1049</v>
      </c>
      <c r="B212" s="1" t="s">
        <v>1050</v>
      </c>
      <c r="C212" s="1" t="s">
        <v>1051</v>
      </c>
      <c r="D212" s="1" t="s">
        <v>27</v>
      </c>
      <c r="E212" s="1" t="s">
        <v>28</v>
      </c>
      <c r="F212" s="2">
        <v>5000000.0</v>
      </c>
      <c r="G212" s="4">
        <v>44656.0</v>
      </c>
      <c r="H212" s="4">
        <f>IFERROR(__xludf.DUMMYFUNCTION("DATE(INDEX(SPLIT(G212,""/""),,3),INDEX(SPLIT(G212,""/""),,2),INDEX(SPLIT(G212,""/""),,1))"),44685.0)</f>
        <v>44685</v>
      </c>
      <c r="I212" s="1" t="s">
        <v>109</v>
      </c>
      <c r="J212" s="4">
        <f>IFERROR(__xludf.DUMMYFUNCTION("DATE(INDEX(SPLIT(I212,""/""),,3),INDEX(SPLIT(I212,""/""),,2),INDEX(SPLIT(I212,""/""),,1))"),44834.0)</f>
        <v>44834</v>
      </c>
      <c r="L212" s="1">
        <v>0.0</v>
      </c>
      <c r="M212" s="1" t="s">
        <v>1052</v>
      </c>
      <c r="N212" s="1"/>
      <c r="O212" s="1" t="s">
        <v>30</v>
      </c>
      <c r="P212" s="1" t="s">
        <v>31</v>
      </c>
      <c r="Q212" s="1" t="s">
        <v>235</v>
      </c>
      <c r="R212" s="1" t="s">
        <v>235</v>
      </c>
      <c r="S212" s="1" t="s">
        <v>236</v>
      </c>
      <c r="T212" s="1" t="s">
        <v>237</v>
      </c>
      <c r="U212" s="1">
        <v>1.00650344E8</v>
      </c>
      <c r="X212" s="1" t="s">
        <v>239</v>
      </c>
      <c r="Y212" s="1" t="s">
        <v>1053</v>
      </c>
      <c r="Z212" s="1" t="s">
        <v>37</v>
      </c>
    </row>
    <row r="213" hidden="1">
      <c r="A213" s="1" t="s">
        <v>1054</v>
      </c>
      <c r="B213" s="1" t="s">
        <v>948</v>
      </c>
      <c r="C213" s="1" t="s">
        <v>1055</v>
      </c>
      <c r="D213" s="1" t="s">
        <v>27</v>
      </c>
      <c r="E213" s="1" t="s">
        <v>28</v>
      </c>
      <c r="F213" s="2">
        <v>5000000.0</v>
      </c>
      <c r="G213" s="4">
        <v>44808.0</v>
      </c>
      <c r="H213" s="4">
        <f>IFERROR(__xludf.DUMMYFUNCTION("DATE(INDEX(SPLIT(G213,""/""),,3),INDEX(SPLIT(G213,""/""),,2),INDEX(SPLIT(G213,""/""),,1))"),44660.0)</f>
        <v>44660</v>
      </c>
      <c r="I213" s="1" t="s">
        <v>487</v>
      </c>
      <c r="J213" s="4">
        <f>IFERROR(__xludf.DUMMYFUNCTION("DATE(INDEX(SPLIT(I213,""/""),,3),INDEX(SPLIT(I213,""/""),,2),INDEX(SPLIT(I213,""/""),,1))"),44855.0)</f>
        <v>44855</v>
      </c>
      <c r="L213" s="1">
        <v>0.0</v>
      </c>
      <c r="M213" s="1" t="s">
        <v>180</v>
      </c>
      <c r="N213" s="1"/>
      <c r="O213" s="1" t="s">
        <v>30</v>
      </c>
      <c r="P213" s="1" t="s">
        <v>31</v>
      </c>
      <c r="Q213" s="1" t="s">
        <v>53</v>
      </c>
      <c r="R213" s="1" t="s">
        <v>53</v>
      </c>
      <c r="S213" s="1" t="s">
        <v>54</v>
      </c>
      <c r="T213" s="1" t="s">
        <v>181</v>
      </c>
      <c r="U213" s="1">
        <v>1.00650619E8</v>
      </c>
      <c r="X213" s="1" t="s">
        <v>74</v>
      </c>
      <c r="Y213" s="1" t="s">
        <v>180</v>
      </c>
      <c r="Z213" s="1" t="s">
        <v>37</v>
      </c>
    </row>
    <row r="214" hidden="1">
      <c r="A214" s="1" t="s">
        <v>1056</v>
      </c>
      <c r="B214" s="1" t="s">
        <v>612</v>
      </c>
      <c r="C214" s="1" t="s">
        <v>1057</v>
      </c>
      <c r="D214" s="1" t="s">
        <v>27</v>
      </c>
      <c r="E214" s="1" t="s">
        <v>28</v>
      </c>
      <c r="F214" s="2">
        <v>5000000.0</v>
      </c>
      <c r="G214" s="1" t="s">
        <v>1058</v>
      </c>
      <c r="H214" s="4">
        <f>IFERROR(__xludf.DUMMYFUNCTION("DATE(INDEX(SPLIT(G214,""/""),,3),INDEX(SPLIT(G214,""/""),,2),INDEX(SPLIT(G214,""/""),,1))"),44733.0)</f>
        <v>44733</v>
      </c>
      <c r="I214" s="1" t="s">
        <v>317</v>
      </c>
      <c r="J214" s="4">
        <f>IFERROR(__xludf.DUMMYFUNCTION("DATE(INDEX(SPLIT(I214,""/""),,3),INDEX(SPLIT(I214,""/""),,2),INDEX(SPLIT(I214,""/""),,1))"),44862.0)</f>
        <v>44862</v>
      </c>
      <c r="L214" s="1">
        <v>0.0</v>
      </c>
      <c r="M214" s="1" t="s">
        <v>1059</v>
      </c>
      <c r="N214" s="1"/>
      <c r="O214" s="1" t="s">
        <v>30</v>
      </c>
      <c r="P214" s="1" t="s">
        <v>31</v>
      </c>
      <c r="Q214" s="1" t="s">
        <v>228</v>
      </c>
      <c r="R214" s="1" t="s">
        <v>228</v>
      </c>
      <c r="S214" s="1" t="s">
        <v>229</v>
      </c>
      <c r="U214" s="1">
        <v>1.01074484E8</v>
      </c>
      <c r="X214" s="1" t="s">
        <v>490</v>
      </c>
      <c r="Y214" s="1" t="s">
        <v>1060</v>
      </c>
      <c r="Z214" s="1" t="s">
        <v>527</v>
      </c>
    </row>
    <row r="215" hidden="1">
      <c r="A215" s="1" t="s">
        <v>1061</v>
      </c>
      <c r="B215" s="1" t="s">
        <v>269</v>
      </c>
      <c r="C215" s="1" t="s">
        <v>1062</v>
      </c>
      <c r="D215" s="1" t="s">
        <v>78</v>
      </c>
      <c r="E215" s="1" t="s">
        <v>28</v>
      </c>
      <c r="F215" s="2">
        <v>5000000.0</v>
      </c>
      <c r="G215" s="1" t="s">
        <v>1063</v>
      </c>
      <c r="H215" s="4">
        <f>IFERROR(__xludf.DUMMYFUNCTION("DATE(INDEX(SPLIT(G215,""/""),,3),INDEX(SPLIT(G215,""/""),,2),INDEX(SPLIT(G215,""/""),,1))"),44068.0)</f>
        <v>44068</v>
      </c>
      <c r="I215" s="1" t="s">
        <v>109</v>
      </c>
      <c r="J215" s="4">
        <f>IFERROR(__xludf.DUMMYFUNCTION("DATE(INDEX(SPLIT(I215,""/""),,3),INDEX(SPLIT(I215,""/""),,2),INDEX(SPLIT(I215,""/""),,1))"),44834.0)</f>
        <v>44834</v>
      </c>
      <c r="L215" s="1">
        <v>0.0</v>
      </c>
      <c r="M215" s="1" t="s">
        <v>272</v>
      </c>
      <c r="N215" s="1"/>
      <c r="O215" s="1" t="s">
        <v>30</v>
      </c>
      <c r="P215" s="1" t="s">
        <v>31</v>
      </c>
      <c r="Q215" s="1" t="s">
        <v>95</v>
      </c>
      <c r="R215" s="1" t="s">
        <v>95</v>
      </c>
      <c r="S215" s="1" t="s">
        <v>96</v>
      </c>
      <c r="T215" s="1" t="s">
        <v>217</v>
      </c>
      <c r="U215" s="1">
        <v>1.00633579E8</v>
      </c>
      <c r="X215" s="1" t="s">
        <v>35</v>
      </c>
      <c r="Y215" s="1" t="s">
        <v>1064</v>
      </c>
      <c r="Z215" s="1" t="s">
        <v>37</v>
      </c>
    </row>
    <row r="216" hidden="1">
      <c r="A216" s="1" t="s">
        <v>1065</v>
      </c>
      <c r="B216" s="1" t="s">
        <v>1066</v>
      </c>
      <c r="C216" s="1" t="s">
        <v>1067</v>
      </c>
      <c r="D216" s="1" t="s">
        <v>78</v>
      </c>
      <c r="E216" s="1" t="s">
        <v>28</v>
      </c>
      <c r="F216" s="2">
        <v>5000000.0</v>
      </c>
      <c r="G216" s="4">
        <v>44653.0</v>
      </c>
      <c r="H216" s="4">
        <f>IFERROR(__xludf.DUMMYFUNCTION("DATE(INDEX(SPLIT(G216,""/""),,3),INDEX(SPLIT(G216,""/""),,2),INDEX(SPLIT(G216,""/""),,1))"),44596.0)</f>
        <v>44596</v>
      </c>
      <c r="I216" s="1" t="s">
        <v>1068</v>
      </c>
      <c r="J216" s="4">
        <f>IFERROR(__xludf.DUMMYFUNCTION("DATE(INDEX(SPLIT(I216,""/""),,3),INDEX(SPLIT(I216,""/""),,2),INDEX(SPLIT(I216,""/""),,1))"),44974.0)</f>
        <v>44974</v>
      </c>
      <c r="L216" s="1">
        <v>0.0</v>
      </c>
      <c r="M216" s="1" t="s">
        <v>441</v>
      </c>
      <c r="N216" s="1"/>
      <c r="O216" s="1" t="s">
        <v>30</v>
      </c>
      <c r="P216" s="1" t="s">
        <v>31</v>
      </c>
      <c r="Q216" s="1" t="s">
        <v>157</v>
      </c>
      <c r="R216" s="1" t="s">
        <v>157</v>
      </c>
      <c r="S216" s="1" t="s">
        <v>158</v>
      </c>
      <c r="T216" s="1" t="s">
        <v>442</v>
      </c>
      <c r="U216" s="1">
        <v>1.00581784E8</v>
      </c>
      <c r="X216" s="1" t="s">
        <v>125</v>
      </c>
      <c r="Y216" s="1" t="s">
        <v>441</v>
      </c>
      <c r="Z216" s="1" t="s">
        <v>37</v>
      </c>
    </row>
    <row r="217" hidden="1">
      <c r="A217" s="1" t="s">
        <v>1069</v>
      </c>
      <c r="B217" s="1" t="s">
        <v>1070</v>
      </c>
      <c r="C217" s="1" t="s">
        <v>1071</v>
      </c>
      <c r="D217" s="1" t="s">
        <v>78</v>
      </c>
      <c r="E217" s="1" t="s">
        <v>28</v>
      </c>
      <c r="F217" s="2">
        <v>5000000.0</v>
      </c>
      <c r="G217" s="1" t="s">
        <v>714</v>
      </c>
      <c r="H217" s="4">
        <f>IFERROR(__xludf.DUMMYFUNCTION("DATE(INDEX(SPLIT(G217,""/""),,3),INDEX(SPLIT(G217,""/""),,2),INDEX(SPLIT(G217,""/""),,1))"),44546.0)</f>
        <v>44546</v>
      </c>
      <c r="I217" s="4">
        <v>44573.0</v>
      </c>
      <c r="J217" s="4">
        <f>IFERROR(__xludf.DUMMYFUNCTION("DATE(INDEX(SPLIT(I217,""/""),,3),INDEX(SPLIT(I217,""/""),,2),INDEX(SPLIT(I217,""/""),,1))"),44896.0)</f>
        <v>44896</v>
      </c>
      <c r="L217" s="1">
        <v>0.0</v>
      </c>
      <c r="M217" s="1" t="s">
        <v>1072</v>
      </c>
      <c r="N217" s="1"/>
      <c r="O217" s="1" t="s">
        <v>30</v>
      </c>
      <c r="P217" s="1" t="s">
        <v>31</v>
      </c>
      <c r="Q217" s="1" t="s">
        <v>157</v>
      </c>
      <c r="R217" s="1" t="s">
        <v>157</v>
      </c>
      <c r="S217" s="1" t="s">
        <v>158</v>
      </c>
      <c r="T217" s="1" t="s">
        <v>111</v>
      </c>
      <c r="U217" s="1">
        <v>1.00594872E8</v>
      </c>
      <c r="X217" s="1" t="s">
        <v>305</v>
      </c>
      <c r="Y217" s="1" t="s">
        <v>1072</v>
      </c>
      <c r="Z217" s="1" t="s">
        <v>37</v>
      </c>
    </row>
    <row r="218" hidden="1">
      <c r="A218" s="1" t="s">
        <v>1073</v>
      </c>
      <c r="B218" s="1" t="s">
        <v>645</v>
      </c>
      <c r="C218" s="1" t="s">
        <v>1074</v>
      </c>
      <c r="D218" s="1" t="s">
        <v>78</v>
      </c>
      <c r="E218" s="1" t="s">
        <v>28</v>
      </c>
      <c r="F218" s="2">
        <v>5000000.0</v>
      </c>
      <c r="G218" s="1" t="s">
        <v>310</v>
      </c>
      <c r="H218" s="4">
        <f>IFERROR(__xludf.DUMMYFUNCTION("DATE(INDEX(SPLIT(G218,""/""),,3),INDEX(SPLIT(G218,""/""),,2),INDEX(SPLIT(G218,""/""),,1))"),43791.0)</f>
        <v>43791</v>
      </c>
      <c r="I218" s="1" t="s">
        <v>281</v>
      </c>
      <c r="J218" s="4">
        <f>IFERROR(__xludf.DUMMYFUNCTION("DATE(INDEX(SPLIT(I218,""/""),,3),INDEX(SPLIT(I218,""/""),,2),INDEX(SPLIT(I218,""/""),,1))"),44865.0)</f>
        <v>44865</v>
      </c>
      <c r="L218" s="1">
        <v>0.0</v>
      </c>
      <c r="M218" s="1" t="s">
        <v>272</v>
      </c>
      <c r="N218" s="1"/>
      <c r="O218" s="1" t="s">
        <v>30</v>
      </c>
      <c r="P218" s="1" t="s">
        <v>31</v>
      </c>
      <c r="Q218" s="1" t="s">
        <v>95</v>
      </c>
      <c r="R218" s="1" t="s">
        <v>95</v>
      </c>
      <c r="S218" s="1" t="s">
        <v>96</v>
      </c>
      <c r="T218" s="1" t="s">
        <v>1075</v>
      </c>
      <c r="U218" s="1">
        <v>1.00633579E8</v>
      </c>
      <c r="X218" s="1" t="s">
        <v>239</v>
      </c>
      <c r="Y218" s="1" t="s">
        <v>1076</v>
      </c>
      <c r="Z218" s="1" t="s">
        <v>37</v>
      </c>
    </row>
    <row r="219" hidden="1">
      <c r="A219" s="1" t="s">
        <v>1077</v>
      </c>
      <c r="B219" s="1" t="s">
        <v>975</v>
      </c>
      <c r="C219" s="1" t="s">
        <v>1078</v>
      </c>
      <c r="D219" s="1" t="s">
        <v>78</v>
      </c>
      <c r="E219" s="1" t="s">
        <v>28</v>
      </c>
      <c r="F219" s="2">
        <v>5000000.0</v>
      </c>
      <c r="G219" s="4">
        <v>44774.0</v>
      </c>
      <c r="H219" s="4">
        <f>IFERROR(__xludf.DUMMYFUNCTION("DATE(INDEX(SPLIT(G219,""/""),,3),INDEX(SPLIT(G219,""/""),,2),INDEX(SPLIT(G219,""/""),,1))"),44569.0)</f>
        <v>44569</v>
      </c>
      <c r="I219" s="1" t="s">
        <v>1079</v>
      </c>
      <c r="J219" s="4">
        <f>IFERROR(__xludf.DUMMYFUNCTION("DATE(INDEX(SPLIT(I219,""/""),,3),INDEX(SPLIT(I219,""/""),,2),INDEX(SPLIT(I219,""/""),,1))"),44923.0)</f>
        <v>44923</v>
      </c>
      <c r="L219" s="1">
        <v>0.0</v>
      </c>
      <c r="M219" s="1" t="s">
        <v>978</v>
      </c>
      <c r="N219" s="1"/>
      <c r="O219" s="1" t="s">
        <v>30</v>
      </c>
      <c r="P219" s="1" t="s">
        <v>31</v>
      </c>
      <c r="Q219" s="1" t="s">
        <v>235</v>
      </c>
      <c r="R219" s="1" t="s">
        <v>235</v>
      </c>
      <c r="S219" s="1" t="s">
        <v>236</v>
      </c>
      <c r="T219" s="1" t="s">
        <v>438</v>
      </c>
      <c r="U219" s="1">
        <v>1.00608243E8</v>
      </c>
      <c r="X219" s="1" t="s">
        <v>88</v>
      </c>
      <c r="Y219" s="1" t="s">
        <v>979</v>
      </c>
      <c r="Z219" s="1" t="s">
        <v>206</v>
      </c>
    </row>
    <row r="220" hidden="1">
      <c r="A220" s="1" t="s">
        <v>1080</v>
      </c>
      <c r="B220" s="1" t="s">
        <v>1081</v>
      </c>
      <c r="C220" s="1" t="s">
        <v>1082</v>
      </c>
      <c r="D220" s="1" t="s">
        <v>27</v>
      </c>
      <c r="E220" s="1" t="s">
        <v>28</v>
      </c>
      <c r="F220" s="2">
        <v>5000000.0</v>
      </c>
      <c r="G220" s="1" t="s">
        <v>1083</v>
      </c>
      <c r="H220" s="4">
        <f>IFERROR(__xludf.DUMMYFUNCTION("DATE(INDEX(SPLIT(G220,""/""),,3),INDEX(SPLIT(G220,""/""),,2),INDEX(SPLIT(G220,""/""),,1))"),44365.0)</f>
        <v>44365</v>
      </c>
      <c r="I220" s="4">
        <v>44927.0</v>
      </c>
      <c r="J220" s="4">
        <f>IFERROR(__xludf.DUMMYFUNCTION("DATE(INDEX(SPLIT(I220,""/""),,3),INDEX(SPLIT(I220,""/""),,2),INDEX(SPLIT(I220,""/""),,1))"),44927.0)</f>
        <v>44927</v>
      </c>
      <c r="L220" s="1">
        <v>0.0</v>
      </c>
      <c r="M220" s="1" t="s">
        <v>1084</v>
      </c>
      <c r="N220" s="1"/>
      <c r="O220" s="1" t="s">
        <v>30</v>
      </c>
      <c r="P220" s="1" t="s">
        <v>31</v>
      </c>
      <c r="Q220" s="1" t="s">
        <v>32</v>
      </c>
      <c r="R220" s="1" t="s">
        <v>32</v>
      </c>
      <c r="S220" s="1" t="s">
        <v>33</v>
      </c>
      <c r="T220" s="1" t="s">
        <v>34</v>
      </c>
      <c r="U220" s="1">
        <v>1.00601386E8</v>
      </c>
      <c r="X220" s="1" t="s">
        <v>81</v>
      </c>
      <c r="Y220" s="1" t="s">
        <v>1084</v>
      </c>
      <c r="Z220" s="1" t="s">
        <v>37</v>
      </c>
    </row>
    <row r="221">
      <c r="A221" s="1" t="s">
        <v>1085</v>
      </c>
      <c r="B221" s="1" t="s">
        <v>1086</v>
      </c>
      <c r="C221" s="1" t="s">
        <v>1087</v>
      </c>
      <c r="D221" s="1" t="s">
        <v>27</v>
      </c>
      <c r="E221" s="1" t="s">
        <v>28</v>
      </c>
      <c r="F221" s="2">
        <v>5000000.0</v>
      </c>
      <c r="G221" s="1" t="s">
        <v>286</v>
      </c>
      <c r="H221" s="4">
        <f>IFERROR(__xludf.DUMMYFUNCTION("DATE(INDEX(SPLIT(G221,""/""),,3),INDEX(SPLIT(G221,""/""),,2),INDEX(SPLIT(G221,""/""),,1))"),44609.0)</f>
        <v>44609</v>
      </c>
      <c r="I221" s="1" t="s">
        <v>414</v>
      </c>
      <c r="J221" s="4">
        <f>IFERROR(__xludf.DUMMYFUNCTION("DATE(INDEX(SPLIT(I221,""/""),,3),INDEX(SPLIT(I221,""/""),,2),INDEX(SPLIT(I221,""/""),,1))"),44772.0)</f>
        <v>44772</v>
      </c>
      <c r="L221" s="1">
        <v>0.0</v>
      </c>
      <c r="M221" s="1" t="s">
        <v>1088</v>
      </c>
      <c r="N221" s="1"/>
      <c r="O221" s="1" t="s">
        <v>30</v>
      </c>
      <c r="P221" s="1" t="s">
        <v>31</v>
      </c>
      <c r="Q221" s="1" t="s">
        <v>71</v>
      </c>
      <c r="R221" s="1" t="s">
        <v>71</v>
      </c>
      <c r="S221" s="1" t="s">
        <v>72</v>
      </c>
      <c r="T221" s="1" t="s">
        <v>136</v>
      </c>
      <c r="U221" s="1">
        <v>1.0090037E8</v>
      </c>
      <c r="X221" s="1" t="s">
        <v>74</v>
      </c>
      <c r="Y221" s="1" t="s">
        <v>1088</v>
      </c>
      <c r="Z221" s="1" t="s">
        <v>37</v>
      </c>
    </row>
    <row r="222" hidden="1">
      <c r="A222" s="1" t="s">
        <v>1089</v>
      </c>
      <c r="B222" s="1" t="s">
        <v>1090</v>
      </c>
      <c r="C222" s="1" t="s">
        <v>1091</v>
      </c>
      <c r="D222" s="1" t="s">
        <v>27</v>
      </c>
      <c r="E222" s="1" t="s">
        <v>28</v>
      </c>
      <c r="F222" s="2">
        <v>5000000.0</v>
      </c>
      <c r="G222" s="1" t="s">
        <v>1092</v>
      </c>
      <c r="H222" s="4">
        <f>IFERROR(__xludf.DUMMYFUNCTION("DATE(INDEX(SPLIT(G222,""/""),,3),INDEX(SPLIT(G222,""/""),,2),INDEX(SPLIT(G222,""/""),,1))"),44489.0)</f>
        <v>44489</v>
      </c>
      <c r="I222" s="4">
        <v>44569.0</v>
      </c>
      <c r="J222" s="4">
        <f>IFERROR(__xludf.DUMMYFUNCTION("DATE(INDEX(SPLIT(I222,""/""),,3),INDEX(SPLIT(I222,""/""),,2),INDEX(SPLIT(I222,""/""),,1))"),44774.0)</f>
        <v>44774</v>
      </c>
      <c r="L222" s="1">
        <v>0.0</v>
      </c>
      <c r="M222" s="1" t="s">
        <v>1093</v>
      </c>
      <c r="N222" s="1"/>
      <c r="O222" s="1" t="s">
        <v>30</v>
      </c>
      <c r="P222" s="1" t="s">
        <v>31</v>
      </c>
      <c r="Q222" s="1" t="s">
        <v>71</v>
      </c>
      <c r="R222" s="1" t="s">
        <v>71</v>
      </c>
      <c r="S222" s="1" t="s">
        <v>72</v>
      </c>
      <c r="T222" s="1" t="s">
        <v>136</v>
      </c>
      <c r="U222" s="1">
        <v>1.01131115E8</v>
      </c>
      <c r="X222" s="1" t="s">
        <v>74</v>
      </c>
      <c r="Y222" s="1" t="s">
        <v>1093</v>
      </c>
      <c r="Z222" s="1" t="s">
        <v>37</v>
      </c>
    </row>
    <row r="223" hidden="1">
      <c r="A223" s="1" t="s">
        <v>1094</v>
      </c>
      <c r="B223" s="1" t="s">
        <v>1095</v>
      </c>
      <c r="C223" s="1" t="s">
        <v>1096</v>
      </c>
      <c r="D223" s="1" t="s">
        <v>27</v>
      </c>
      <c r="E223" s="1" t="s">
        <v>28</v>
      </c>
      <c r="F223" s="2">
        <v>5000000.0</v>
      </c>
      <c r="G223" s="1" t="s">
        <v>568</v>
      </c>
      <c r="H223" s="4">
        <f>IFERROR(__xludf.DUMMYFUNCTION("DATE(INDEX(SPLIT(G223,""/""),,3),INDEX(SPLIT(G223,""/""),,2),INDEX(SPLIT(G223,""/""),,1))"),44587.0)</f>
        <v>44587</v>
      </c>
      <c r="I223" s="1" t="s">
        <v>1097</v>
      </c>
      <c r="J223" s="4">
        <f>IFERROR(__xludf.DUMMYFUNCTION("DATE(INDEX(SPLIT(I223,""/""),,3),INDEX(SPLIT(I223,""/""),,2),INDEX(SPLIT(I223,""/""),,1))"),45107.0)</f>
        <v>45107</v>
      </c>
      <c r="L223" s="1">
        <v>0.0</v>
      </c>
      <c r="M223" s="1" t="s">
        <v>1098</v>
      </c>
      <c r="N223" s="1"/>
      <c r="O223" s="1" t="s">
        <v>30</v>
      </c>
      <c r="P223" s="1" t="s">
        <v>31</v>
      </c>
      <c r="Q223" s="1" t="s">
        <v>95</v>
      </c>
      <c r="R223" s="1" t="s">
        <v>95</v>
      </c>
      <c r="S223" s="1" t="s">
        <v>96</v>
      </c>
      <c r="T223" s="1" t="s">
        <v>311</v>
      </c>
      <c r="U223" s="1">
        <v>1.00634994E8</v>
      </c>
      <c r="X223" s="1" t="s">
        <v>312</v>
      </c>
      <c r="Y223" s="1" t="s">
        <v>1099</v>
      </c>
      <c r="Z223" s="1" t="s">
        <v>37</v>
      </c>
    </row>
    <row r="224" hidden="1">
      <c r="A224" s="1" t="s">
        <v>1100</v>
      </c>
      <c r="B224" s="1" t="s">
        <v>301</v>
      </c>
      <c r="C224" s="1" t="s">
        <v>1101</v>
      </c>
      <c r="D224" s="1" t="s">
        <v>27</v>
      </c>
      <c r="E224" s="1" t="s">
        <v>28</v>
      </c>
      <c r="F224" s="2">
        <v>5000000.0</v>
      </c>
      <c r="G224" s="1" t="s">
        <v>1102</v>
      </c>
      <c r="H224" s="4">
        <f>IFERROR(__xludf.DUMMYFUNCTION("DATE(INDEX(SPLIT(G224,""/""),,3),INDEX(SPLIT(G224,""/""),,2),INDEX(SPLIT(G224,""/""),,1))"),44759.0)</f>
        <v>44759</v>
      </c>
      <c r="I224" s="1" t="s">
        <v>109</v>
      </c>
      <c r="J224" s="4">
        <f>IFERROR(__xludf.DUMMYFUNCTION("DATE(INDEX(SPLIT(I224,""/""),,3),INDEX(SPLIT(I224,""/""),,2),INDEX(SPLIT(I224,""/""),,1))"),44834.0)</f>
        <v>44834</v>
      </c>
      <c r="L224" s="1">
        <v>0.0</v>
      </c>
      <c r="M224" s="1" t="s">
        <v>873</v>
      </c>
      <c r="N224" s="1"/>
      <c r="O224" s="1" t="s">
        <v>30</v>
      </c>
      <c r="P224" s="1" t="s">
        <v>31</v>
      </c>
      <c r="Q224" s="1" t="s">
        <v>157</v>
      </c>
      <c r="R224" s="1" t="s">
        <v>157</v>
      </c>
      <c r="S224" s="1" t="s">
        <v>158</v>
      </c>
      <c r="U224" s="1">
        <v>1.00586701E8</v>
      </c>
      <c r="X224" s="1" t="s">
        <v>305</v>
      </c>
      <c r="Y224" s="1" t="s">
        <v>1103</v>
      </c>
      <c r="Z224" s="1" t="s">
        <v>37</v>
      </c>
    </row>
    <row r="225" hidden="1">
      <c r="A225" s="1" t="s">
        <v>1104</v>
      </c>
      <c r="B225" s="1" t="s">
        <v>1105</v>
      </c>
      <c r="C225" s="1" t="s">
        <v>1106</v>
      </c>
      <c r="D225" s="1" t="s">
        <v>27</v>
      </c>
      <c r="E225" s="1" t="s">
        <v>28</v>
      </c>
      <c r="F225" s="2">
        <v>5000000.0</v>
      </c>
      <c r="G225" s="4">
        <v>43747.0</v>
      </c>
      <c r="H225" s="4">
        <f>IFERROR(__xludf.DUMMYFUNCTION("DATE(INDEX(SPLIT(G225,""/""),,3),INDEX(SPLIT(G225,""/""),,2),INDEX(SPLIT(G225,""/""),,1))"),43718.0)</f>
        <v>43718</v>
      </c>
      <c r="I225" s="1" t="s">
        <v>109</v>
      </c>
      <c r="J225" s="4">
        <f>IFERROR(__xludf.DUMMYFUNCTION("DATE(INDEX(SPLIT(I225,""/""),,3),INDEX(SPLIT(I225,""/""),,2),INDEX(SPLIT(I225,""/""),,1))"),44834.0)</f>
        <v>44834</v>
      </c>
      <c r="L225" s="1">
        <v>0.0</v>
      </c>
      <c r="M225" s="1" t="s">
        <v>437</v>
      </c>
      <c r="N225" s="1"/>
      <c r="O225" s="1" t="s">
        <v>30</v>
      </c>
      <c r="P225" s="1" t="s">
        <v>31</v>
      </c>
      <c r="Q225" s="1" t="s">
        <v>235</v>
      </c>
      <c r="R225" s="1" t="s">
        <v>235</v>
      </c>
      <c r="S225" s="1" t="s">
        <v>236</v>
      </c>
      <c r="T225" s="1" t="s">
        <v>111</v>
      </c>
      <c r="U225" s="1">
        <v>1.00650375E8</v>
      </c>
      <c r="X225" s="1" t="s">
        <v>63</v>
      </c>
      <c r="Y225" s="1" t="s">
        <v>437</v>
      </c>
      <c r="Z225" s="1" t="s">
        <v>37</v>
      </c>
    </row>
    <row r="226" hidden="1">
      <c r="A226" s="1" t="s">
        <v>1107</v>
      </c>
      <c r="B226" s="1" t="s">
        <v>1108</v>
      </c>
      <c r="C226" s="1" t="s">
        <v>1109</v>
      </c>
      <c r="D226" s="1" t="s">
        <v>122</v>
      </c>
      <c r="E226" s="1" t="s">
        <v>28</v>
      </c>
      <c r="F226" s="2">
        <v>5000000.0</v>
      </c>
      <c r="G226" s="1" t="s">
        <v>324</v>
      </c>
      <c r="H226" s="4">
        <f>IFERROR(__xludf.DUMMYFUNCTION("DATE(INDEX(SPLIT(G226,""/""),,3),INDEX(SPLIT(G226,""/""),,2),INDEX(SPLIT(G226,""/""),,1))"),44636.0)</f>
        <v>44636</v>
      </c>
      <c r="I226" s="4">
        <v>44689.0</v>
      </c>
      <c r="J226" s="4">
        <f>IFERROR(__xludf.DUMMYFUNCTION("DATE(INDEX(SPLIT(I226,""/""),,3),INDEX(SPLIT(I226,""/""),,2),INDEX(SPLIT(I226,""/""),,1))"),44778.0)</f>
        <v>44778</v>
      </c>
      <c r="L226" s="1">
        <v>0.0</v>
      </c>
      <c r="M226" s="1" t="s">
        <v>1110</v>
      </c>
      <c r="N226" s="1"/>
      <c r="O226" s="1" t="s">
        <v>30</v>
      </c>
      <c r="P226" s="1" t="s">
        <v>31</v>
      </c>
      <c r="Q226" s="1" t="s">
        <v>53</v>
      </c>
      <c r="R226" s="1" t="s">
        <v>53</v>
      </c>
      <c r="S226" s="1" t="s">
        <v>54</v>
      </c>
      <c r="U226" s="1">
        <v>1.00653785E8</v>
      </c>
      <c r="X226" s="1" t="s">
        <v>289</v>
      </c>
      <c r="Y226" s="1" t="s">
        <v>1111</v>
      </c>
      <c r="Z226" s="1" t="s">
        <v>37</v>
      </c>
    </row>
    <row r="227" hidden="1">
      <c r="A227" s="1" t="s">
        <v>1112</v>
      </c>
      <c r="B227" s="1" t="s">
        <v>1113</v>
      </c>
      <c r="C227" s="1" t="s">
        <v>1114</v>
      </c>
      <c r="D227" s="1" t="s">
        <v>78</v>
      </c>
      <c r="E227" s="1" t="s">
        <v>28</v>
      </c>
      <c r="F227" s="2">
        <v>5000000.0</v>
      </c>
      <c r="G227" s="4">
        <v>44208.0</v>
      </c>
      <c r="H227" s="4">
        <f>IFERROR(__xludf.DUMMYFUNCTION("DATE(INDEX(SPLIT(G227,""/""),,3),INDEX(SPLIT(G227,""/""),,2),INDEX(SPLIT(G227,""/""),,1))"),44531.0)</f>
        <v>44531</v>
      </c>
      <c r="I227" s="1" t="s">
        <v>317</v>
      </c>
      <c r="J227" s="4">
        <f>IFERROR(__xludf.DUMMYFUNCTION("DATE(INDEX(SPLIT(I227,""/""),,3),INDEX(SPLIT(I227,""/""),,2),INDEX(SPLIT(I227,""/""),,1))"),44862.0)</f>
        <v>44862</v>
      </c>
      <c r="L227" s="1">
        <v>0.0</v>
      </c>
      <c r="M227" s="1" t="s">
        <v>1115</v>
      </c>
      <c r="N227" s="1"/>
      <c r="O227" s="1" t="s">
        <v>30</v>
      </c>
      <c r="P227" s="1" t="s">
        <v>31</v>
      </c>
      <c r="Q227" s="1" t="s">
        <v>157</v>
      </c>
      <c r="R227" s="1" t="s">
        <v>157</v>
      </c>
      <c r="S227" s="1" t="s">
        <v>158</v>
      </c>
      <c r="T227" s="1" t="s">
        <v>402</v>
      </c>
      <c r="U227" s="1">
        <v>1.00609827E8</v>
      </c>
      <c r="X227" s="1" t="s">
        <v>490</v>
      </c>
      <c r="Y227" s="1" t="s">
        <v>1115</v>
      </c>
      <c r="Z227" s="1" t="s">
        <v>37</v>
      </c>
    </row>
    <row r="228">
      <c r="A228" s="1" t="s">
        <v>1116</v>
      </c>
      <c r="B228" s="1" t="s">
        <v>1117</v>
      </c>
      <c r="C228" s="1" t="s">
        <v>209</v>
      </c>
      <c r="D228" s="1" t="s">
        <v>78</v>
      </c>
      <c r="E228" s="1" t="s">
        <v>28</v>
      </c>
      <c r="F228" s="2">
        <v>5000000.0</v>
      </c>
      <c r="G228" s="1" t="s">
        <v>1118</v>
      </c>
      <c r="H228" s="4">
        <f>IFERROR(__xludf.DUMMYFUNCTION("DATE(INDEX(SPLIT(G228,""/""),,3),INDEX(SPLIT(G228,""/""),,2),INDEX(SPLIT(G228,""/""),,1))"),44334.0)</f>
        <v>44334</v>
      </c>
      <c r="I228" s="1" t="s">
        <v>226</v>
      </c>
      <c r="J228" s="4">
        <f>IFERROR(__xludf.DUMMYFUNCTION("DATE(INDEX(SPLIT(I228,""/""),,3),INDEX(SPLIT(I228,""/""),,2),INDEX(SPLIT(I228,""/""),,1))"),44771.0)</f>
        <v>44771</v>
      </c>
      <c r="L228" s="1">
        <v>0.0</v>
      </c>
      <c r="M228" s="1" t="s">
        <v>211</v>
      </c>
      <c r="N228" s="1"/>
      <c r="O228" s="1" t="s">
        <v>30</v>
      </c>
      <c r="P228" s="1" t="s">
        <v>31</v>
      </c>
      <c r="Q228" s="1" t="s">
        <v>71</v>
      </c>
      <c r="R228" s="1" t="s">
        <v>71</v>
      </c>
      <c r="S228" s="1" t="s">
        <v>72</v>
      </c>
      <c r="T228" s="1" t="s">
        <v>136</v>
      </c>
      <c r="U228" s="1">
        <v>1.00590896E8</v>
      </c>
      <c r="X228" s="1" t="s">
        <v>74</v>
      </c>
      <c r="Y228" s="1" t="s">
        <v>212</v>
      </c>
      <c r="Z228" s="1" t="s">
        <v>37</v>
      </c>
    </row>
    <row r="229" hidden="1">
      <c r="A229" s="1" t="s">
        <v>1119</v>
      </c>
      <c r="B229" s="1" t="s">
        <v>1120</v>
      </c>
      <c r="C229" s="1" t="s">
        <v>1121</v>
      </c>
      <c r="D229" s="1" t="s">
        <v>27</v>
      </c>
      <c r="E229" s="1" t="s">
        <v>28</v>
      </c>
      <c r="F229" s="2">
        <v>5000000.0</v>
      </c>
      <c r="G229" s="4">
        <v>44595.0</v>
      </c>
      <c r="H229" s="4">
        <f>IFERROR(__xludf.DUMMYFUNCTION("DATE(INDEX(SPLIT(G229,""/""),,3),INDEX(SPLIT(G229,""/""),,2),INDEX(SPLIT(G229,""/""),,1))"),44622.0)</f>
        <v>44622</v>
      </c>
      <c r="I229" s="1" t="s">
        <v>1097</v>
      </c>
      <c r="J229" s="4">
        <f>IFERROR(__xludf.DUMMYFUNCTION("DATE(INDEX(SPLIT(I229,""/""),,3),INDEX(SPLIT(I229,""/""),,2),INDEX(SPLIT(I229,""/""),,1))"),45107.0)</f>
        <v>45107</v>
      </c>
      <c r="L229" s="1">
        <v>0.0</v>
      </c>
      <c r="M229" s="1" t="s">
        <v>401</v>
      </c>
      <c r="N229" s="1"/>
      <c r="O229" s="1" t="s">
        <v>30</v>
      </c>
      <c r="P229" s="1" t="s">
        <v>31</v>
      </c>
      <c r="Q229" s="1" t="s">
        <v>32</v>
      </c>
      <c r="R229" s="1" t="s">
        <v>32</v>
      </c>
      <c r="S229" s="1" t="s">
        <v>33</v>
      </c>
      <c r="T229" s="1" t="s">
        <v>103</v>
      </c>
      <c r="U229" s="1">
        <v>1.0059112E8</v>
      </c>
      <c r="X229" s="1" t="s">
        <v>46</v>
      </c>
      <c r="Y229" s="1" t="s">
        <v>403</v>
      </c>
      <c r="Z229" s="1" t="s">
        <v>37</v>
      </c>
    </row>
    <row r="230" hidden="1">
      <c r="A230" s="1" t="s">
        <v>1122</v>
      </c>
      <c r="B230" s="1" t="s">
        <v>1123</v>
      </c>
      <c r="C230" s="1" t="s">
        <v>1124</v>
      </c>
      <c r="D230" s="1" t="s">
        <v>27</v>
      </c>
      <c r="E230" s="1" t="s">
        <v>28</v>
      </c>
      <c r="F230" s="2">
        <v>5000000.0</v>
      </c>
      <c r="G230" s="4">
        <v>44623.0</v>
      </c>
      <c r="H230" s="4">
        <f>IFERROR(__xludf.DUMMYFUNCTION("DATE(INDEX(SPLIT(G230,""/""),,3),INDEX(SPLIT(G230,""/""),,2),INDEX(SPLIT(G230,""/""),,1))"),44623.0)</f>
        <v>44623</v>
      </c>
      <c r="I230" s="1" t="s">
        <v>203</v>
      </c>
      <c r="J230" s="4">
        <f>IFERROR(__xludf.DUMMYFUNCTION("DATE(INDEX(SPLIT(I230,""/""),,3),INDEX(SPLIT(I230,""/""),,2),INDEX(SPLIT(I230,""/""),,1))"),44925.0)</f>
        <v>44925</v>
      </c>
      <c r="L230" s="1">
        <v>0.0</v>
      </c>
      <c r="M230" s="1" t="s">
        <v>401</v>
      </c>
      <c r="N230" s="1"/>
      <c r="O230" s="1" t="s">
        <v>30</v>
      </c>
      <c r="P230" s="1" t="s">
        <v>31</v>
      </c>
      <c r="Q230" s="1" t="s">
        <v>32</v>
      </c>
      <c r="R230" s="1" t="s">
        <v>32</v>
      </c>
      <c r="S230" s="1" t="s">
        <v>33</v>
      </c>
      <c r="T230" s="1" t="s">
        <v>402</v>
      </c>
      <c r="U230" s="1">
        <v>1.0059112E8</v>
      </c>
      <c r="X230" s="1" t="s">
        <v>117</v>
      </c>
      <c r="Y230" s="1" t="s">
        <v>403</v>
      </c>
      <c r="Z230" s="1" t="s">
        <v>37</v>
      </c>
    </row>
    <row r="231" hidden="1">
      <c r="A231" s="1" t="s">
        <v>1125</v>
      </c>
      <c r="B231" s="1" t="s">
        <v>1126</v>
      </c>
      <c r="C231" s="1" t="s">
        <v>1127</v>
      </c>
      <c r="D231" s="1" t="s">
        <v>78</v>
      </c>
      <c r="E231" s="1" t="s">
        <v>28</v>
      </c>
      <c r="F231" s="2">
        <v>5000000.0</v>
      </c>
      <c r="G231" s="1" t="s">
        <v>1128</v>
      </c>
      <c r="H231" s="4">
        <f>IFERROR(__xludf.DUMMYFUNCTION("DATE(INDEX(SPLIT(G231,""/""),,3),INDEX(SPLIT(G231,""/""),,2),INDEX(SPLIT(G231,""/""),,1))"),44737.0)</f>
        <v>44737</v>
      </c>
      <c r="I231" s="1" t="s">
        <v>360</v>
      </c>
      <c r="J231" s="4">
        <f>IFERROR(__xludf.DUMMYFUNCTION("DATE(INDEX(SPLIT(I231,""/""),,3),INDEX(SPLIT(I231,""/""),,2),INDEX(SPLIT(I231,""/""),,1))"),44895.0)</f>
        <v>44895</v>
      </c>
      <c r="L231" s="1">
        <v>0.0</v>
      </c>
      <c r="M231" s="1" t="s">
        <v>1129</v>
      </c>
      <c r="N231" s="1"/>
      <c r="O231" s="1" t="s">
        <v>30</v>
      </c>
      <c r="P231" s="1" t="s">
        <v>31</v>
      </c>
      <c r="Q231" s="1" t="s">
        <v>157</v>
      </c>
      <c r="R231" s="1" t="s">
        <v>157</v>
      </c>
      <c r="S231" s="1" t="s">
        <v>158</v>
      </c>
      <c r="T231" s="1" t="s">
        <v>442</v>
      </c>
      <c r="U231" s="1">
        <v>1.00650786E8</v>
      </c>
      <c r="X231" s="1" t="s">
        <v>125</v>
      </c>
      <c r="Y231" s="1" t="s">
        <v>1129</v>
      </c>
      <c r="Z231" s="1" t="s">
        <v>37</v>
      </c>
    </row>
    <row r="232" hidden="1">
      <c r="A232" s="1" t="s">
        <v>1130</v>
      </c>
      <c r="B232" s="1" t="s">
        <v>1131</v>
      </c>
      <c r="C232" s="1" t="s">
        <v>1132</v>
      </c>
      <c r="D232" s="1" t="s">
        <v>78</v>
      </c>
      <c r="E232" s="1" t="s">
        <v>28</v>
      </c>
      <c r="F232" s="2">
        <v>5000000.0</v>
      </c>
      <c r="G232" s="4">
        <v>44478.0</v>
      </c>
      <c r="H232" s="4">
        <f>IFERROR(__xludf.DUMMYFUNCTION("DATE(INDEX(SPLIT(G232,""/""),,3),INDEX(SPLIT(G232,""/""),,2),INDEX(SPLIT(G232,""/""),,1))"),44449.0)</f>
        <v>44449</v>
      </c>
      <c r="I232" s="1" t="s">
        <v>109</v>
      </c>
      <c r="J232" s="4">
        <f>IFERROR(__xludf.DUMMYFUNCTION("DATE(INDEX(SPLIT(I232,""/""),,3),INDEX(SPLIT(I232,""/""),,2),INDEX(SPLIT(I232,""/""),,1))"),44834.0)</f>
        <v>44834</v>
      </c>
      <c r="L232" s="1">
        <v>0.0</v>
      </c>
      <c r="M232" s="1" t="s">
        <v>70</v>
      </c>
      <c r="N232" s="1"/>
      <c r="O232" s="1" t="s">
        <v>30</v>
      </c>
      <c r="P232" s="1" t="s">
        <v>31</v>
      </c>
      <c r="Q232" s="1" t="s">
        <v>71</v>
      </c>
      <c r="R232" s="1" t="s">
        <v>71</v>
      </c>
      <c r="S232" s="1" t="s">
        <v>72</v>
      </c>
      <c r="T232" s="1" t="s">
        <v>73</v>
      </c>
      <c r="U232" s="1">
        <v>1.00640331E8</v>
      </c>
      <c r="X232" s="1" t="s">
        <v>74</v>
      </c>
      <c r="Y232" s="1" t="s">
        <v>70</v>
      </c>
      <c r="Z232" s="1" t="s">
        <v>37</v>
      </c>
    </row>
    <row r="233" hidden="1">
      <c r="A233" s="1" t="s">
        <v>1133</v>
      </c>
      <c r="B233" s="1" t="s">
        <v>1134</v>
      </c>
      <c r="C233" s="1" t="s">
        <v>1135</v>
      </c>
      <c r="D233" s="1" t="s">
        <v>78</v>
      </c>
      <c r="E233" s="1" t="s">
        <v>28</v>
      </c>
      <c r="F233" s="2">
        <v>5000000.0</v>
      </c>
      <c r="G233" s="1" t="s">
        <v>1136</v>
      </c>
      <c r="H233" s="4">
        <f>IFERROR(__xludf.DUMMYFUNCTION("DATE(INDEX(SPLIT(G233,""/""),,3),INDEX(SPLIT(G233,""/""),,2),INDEX(SPLIT(G233,""/""),,1))"),44608.0)</f>
        <v>44608</v>
      </c>
      <c r="I233" s="1" t="s">
        <v>109</v>
      </c>
      <c r="J233" s="4">
        <f>IFERROR(__xludf.DUMMYFUNCTION("DATE(INDEX(SPLIT(I233,""/""),,3),INDEX(SPLIT(I233,""/""),,2),INDEX(SPLIT(I233,""/""),,1))"),44834.0)</f>
        <v>44834</v>
      </c>
      <c r="L233" s="1">
        <v>0.0</v>
      </c>
      <c r="M233" s="1" t="s">
        <v>1137</v>
      </c>
      <c r="N233" s="1"/>
      <c r="O233" s="1" t="s">
        <v>30</v>
      </c>
      <c r="P233" s="1" t="s">
        <v>31</v>
      </c>
      <c r="Q233" s="1" t="s">
        <v>71</v>
      </c>
      <c r="R233" s="1" t="s">
        <v>71</v>
      </c>
      <c r="S233" s="1" t="s">
        <v>72</v>
      </c>
      <c r="T233" s="1" t="s">
        <v>73</v>
      </c>
      <c r="U233" s="1">
        <v>1.00589728E8</v>
      </c>
      <c r="X233" s="1" t="s">
        <v>239</v>
      </c>
      <c r="Y233" s="1" t="s">
        <v>1138</v>
      </c>
      <c r="Z233" s="1" t="s">
        <v>37</v>
      </c>
    </row>
    <row r="234">
      <c r="A234" s="1" t="s">
        <v>1139</v>
      </c>
      <c r="B234" s="1" t="s">
        <v>341</v>
      </c>
      <c r="C234" s="1" t="s">
        <v>1140</v>
      </c>
      <c r="D234" s="1" t="s">
        <v>122</v>
      </c>
      <c r="E234" s="1" t="s">
        <v>28</v>
      </c>
      <c r="F234" s="2">
        <v>5000000.0</v>
      </c>
      <c r="G234" s="1" t="s">
        <v>429</v>
      </c>
      <c r="H234" s="4">
        <f>IFERROR(__xludf.DUMMYFUNCTION("DATE(INDEX(SPLIT(G234,""/""),,3),INDEX(SPLIT(G234,""/""),,2),INDEX(SPLIT(G234,""/""),,1))"),44739.0)</f>
        <v>44739</v>
      </c>
      <c r="I234" s="1" t="s">
        <v>1141</v>
      </c>
      <c r="J234" s="4">
        <f>IFERROR(__xludf.DUMMYFUNCTION("DATE(INDEX(SPLIT(I234,""/""),,3),INDEX(SPLIT(I234,""/""),,2),INDEX(SPLIT(I234,""/""),,1))"),44767.0)</f>
        <v>44767</v>
      </c>
      <c r="L234" s="1">
        <v>0.0</v>
      </c>
      <c r="M234" s="1" t="s">
        <v>608</v>
      </c>
      <c r="N234" s="1"/>
      <c r="O234" s="1" t="s">
        <v>30</v>
      </c>
      <c r="P234" s="1" t="s">
        <v>31</v>
      </c>
      <c r="Q234" s="1" t="s">
        <v>235</v>
      </c>
      <c r="R234" s="1" t="s">
        <v>235</v>
      </c>
      <c r="S234" s="1" t="s">
        <v>236</v>
      </c>
      <c r="U234" s="1">
        <v>1.00660495E8</v>
      </c>
      <c r="X234" s="1" t="s">
        <v>239</v>
      </c>
      <c r="Y234" s="1" t="s">
        <v>1142</v>
      </c>
      <c r="Z234" s="1" t="s">
        <v>37</v>
      </c>
    </row>
    <row r="235" hidden="1">
      <c r="A235" s="1" t="s">
        <v>1143</v>
      </c>
      <c r="B235" s="1" t="s">
        <v>1144</v>
      </c>
      <c r="C235" s="1" t="s">
        <v>1145</v>
      </c>
      <c r="D235" s="1" t="s">
        <v>78</v>
      </c>
      <c r="E235" s="1" t="s">
        <v>28</v>
      </c>
      <c r="F235" s="2">
        <v>4700000.0</v>
      </c>
      <c r="G235" s="1" t="s">
        <v>472</v>
      </c>
      <c r="H235" s="4">
        <f>IFERROR(__xludf.DUMMYFUNCTION("DATE(INDEX(SPLIT(G235,""/""),,3),INDEX(SPLIT(G235,""/""),,2),INDEX(SPLIT(G235,""/""),,1))"),44760.0)</f>
        <v>44760</v>
      </c>
      <c r="I235" s="1" t="s">
        <v>42</v>
      </c>
      <c r="J235" s="4">
        <f>IFERROR(__xludf.DUMMYFUNCTION("DATE(INDEX(SPLIT(I235,""/""),,3),INDEX(SPLIT(I235,""/""),,2),INDEX(SPLIT(I235,""/""),,1))"),44926.0)</f>
        <v>44926</v>
      </c>
      <c r="L235" s="1">
        <v>0.0</v>
      </c>
      <c r="M235" s="1" t="s">
        <v>1146</v>
      </c>
      <c r="N235" s="1"/>
      <c r="O235" s="1" t="s">
        <v>30</v>
      </c>
      <c r="P235" s="1" t="s">
        <v>31</v>
      </c>
      <c r="Q235" s="1" t="s">
        <v>228</v>
      </c>
      <c r="R235" s="1" t="s">
        <v>228</v>
      </c>
      <c r="S235" s="1" t="s">
        <v>229</v>
      </c>
      <c r="T235" s="1" t="s">
        <v>640</v>
      </c>
      <c r="U235" s="1">
        <v>1.0061139E8</v>
      </c>
      <c r="X235" s="1" t="s">
        <v>63</v>
      </c>
      <c r="Y235" s="1" t="s">
        <v>1147</v>
      </c>
      <c r="Z235" s="1" t="s">
        <v>37</v>
      </c>
    </row>
    <row r="236" hidden="1">
      <c r="A236" s="1" t="s">
        <v>1148</v>
      </c>
      <c r="B236" s="1" t="s">
        <v>948</v>
      </c>
      <c r="C236" s="1" t="s">
        <v>1149</v>
      </c>
      <c r="D236" s="1" t="s">
        <v>68</v>
      </c>
      <c r="E236" s="1" t="s">
        <v>28</v>
      </c>
      <c r="F236" s="2">
        <v>4646998.0</v>
      </c>
      <c r="G236" s="4">
        <v>44173.0</v>
      </c>
      <c r="H236" s="4">
        <f>IFERROR(__xludf.DUMMYFUNCTION("DATE(INDEX(SPLIT(G236,""/""),,3),INDEX(SPLIT(G236,""/""),,2),INDEX(SPLIT(G236,""/""),,1))"),44055.0)</f>
        <v>44055</v>
      </c>
      <c r="I236" s="1" t="s">
        <v>535</v>
      </c>
      <c r="J236" s="4">
        <f>IFERROR(__xludf.DUMMYFUNCTION("DATE(INDEX(SPLIT(I236,""/""),,3),INDEX(SPLIT(I236,""/""),,2),INDEX(SPLIT(I236,""/""),,1))"),44957.0)</f>
        <v>44957</v>
      </c>
      <c r="L236" s="1">
        <v>0.0</v>
      </c>
      <c r="M236" s="1" t="s">
        <v>1150</v>
      </c>
      <c r="N236" s="1"/>
      <c r="O236" s="1" t="s">
        <v>30</v>
      </c>
      <c r="P236" s="1" t="s">
        <v>31</v>
      </c>
      <c r="Q236" s="1" t="s">
        <v>53</v>
      </c>
      <c r="R236" s="1" t="s">
        <v>53</v>
      </c>
      <c r="S236" s="1" t="s">
        <v>54</v>
      </c>
      <c r="T236" s="1" t="s">
        <v>181</v>
      </c>
      <c r="U236" s="1">
        <v>1.00651298E8</v>
      </c>
      <c r="W236" s="1" t="s">
        <v>389</v>
      </c>
      <c r="X236" s="1" t="s">
        <v>74</v>
      </c>
      <c r="Y236" s="1" t="s">
        <v>1150</v>
      </c>
      <c r="Z236" s="1" t="s">
        <v>37</v>
      </c>
    </row>
    <row r="237" hidden="1">
      <c r="A237" s="1" t="s">
        <v>1151</v>
      </c>
      <c r="B237" s="1" t="s">
        <v>1152</v>
      </c>
      <c r="C237" s="1" t="s">
        <v>1153</v>
      </c>
      <c r="D237" s="1" t="s">
        <v>27</v>
      </c>
      <c r="E237" s="1" t="s">
        <v>28</v>
      </c>
      <c r="F237" s="2">
        <v>4600000.0</v>
      </c>
      <c r="G237" s="1" t="s">
        <v>1154</v>
      </c>
      <c r="H237" s="4">
        <f>IFERROR(__xludf.DUMMYFUNCTION("DATE(INDEX(SPLIT(G237,""/""),,3),INDEX(SPLIT(G237,""/""),,2),INDEX(SPLIT(G237,""/""),,1))"),44735.0)</f>
        <v>44735</v>
      </c>
      <c r="I237" s="1" t="s">
        <v>130</v>
      </c>
      <c r="J237" s="4">
        <f>IFERROR(__xludf.DUMMYFUNCTION("DATE(INDEX(SPLIT(I237,""/""),,3),INDEX(SPLIT(I237,""/""),,2),INDEX(SPLIT(I237,""/""),,1))"),44804.0)</f>
        <v>44804</v>
      </c>
      <c r="L237" s="1">
        <v>0.0</v>
      </c>
      <c r="M237" s="1" t="s">
        <v>1155</v>
      </c>
      <c r="N237" s="1"/>
      <c r="O237" s="1" t="s">
        <v>30</v>
      </c>
      <c r="P237" s="1" t="s">
        <v>31</v>
      </c>
      <c r="Q237" s="1" t="s">
        <v>157</v>
      </c>
      <c r="R237" s="1" t="s">
        <v>157</v>
      </c>
      <c r="S237" s="1" t="s">
        <v>158</v>
      </c>
      <c r="U237" s="1">
        <v>1.00657143E8</v>
      </c>
      <c r="X237" s="1" t="s">
        <v>125</v>
      </c>
      <c r="Y237" s="1" t="s">
        <v>1156</v>
      </c>
      <c r="Z237" s="1" t="s">
        <v>37</v>
      </c>
    </row>
    <row r="238" hidden="1">
      <c r="A238" s="1" t="s">
        <v>1157</v>
      </c>
      <c r="B238" s="1" t="s">
        <v>1158</v>
      </c>
      <c r="C238" s="1" t="s">
        <v>1159</v>
      </c>
      <c r="D238" s="1" t="s">
        <v>27</v>
      </c>
      <c r="E238" s="1" t="s">
        <v>28</v>
      </c>
      <c r="F238" s="2">
        <v>4500000.0</v>
      </c>
      <c r="G238" s="4">
        <v>44897.0</v>
      </c>
      <c r="H238" s="4">
        <f>IFERROR(__xludf.DUMMYFUNCTION("DATE(INDEX(SPLIT(G238,""/""),,3),INDEX(SPLIT(G238,""/""),,2),INDEX(SPLIT(G238,""/""),,1))"),44604.0)</f>
        <v>44604</v>
      </c>
      <c r="I238" s="1" t="s">
        <v>1160</v>
      </c>
      <c r="J238" s="4">
        <f>IFERROR(__xludf.DUMMYFUNCTION("DATE(INDEX(SPLIT(I238,""/""),,3),INDEX(SPLIT(I238,""/""),,2),INDEX(SPLIT(I238,""/""),,1))"),44786.0)</f>
        <v>44786</v>
      </c>
      <c r="L238" s="1">
        <v>0.0</v>
      </c>
      <c r="M238" s="1" t="s">
        <v>752</v>
      </c>
      <c r="N238" s="1"/>
      <c r="O238" s="1" t="s">
        <v>30</v>
      </c>
      <c r="P238" s="1" t="s">
        <v>31</v>
      </c>
      <c r="Q238" s="1" t="s">
        <v>235</v>
      </c>
      <c r="R238" s="1" t="s">
        <v>235</v>
      </c>
      <c r="S238" s="1" t="s">
        <v>236</v>
      </c>
      <c r="T238" s="1" t="s">
        <v>753</v>
      </c>
      <c r="U238" s="1">
        <v>1.00899005E8</v>
      </c>
      <c r="X238" s="1" t="s">
        <v>88</v>
      </c>
      <c r="Y238" s="1" t="s">
        <v>1161</v>
      </c>
      <c r="Z238" s="1" t="s">
        <v>37</v>
      </c>
    </row>
    <row r="239" hidden="1">
      <c r="A239" s="1" t="s">
        <v>1162</v>
      </c>
      <c r="B239" s="1" t="s">
        <v>975</v>
      </c>
      <c r="C239" s="1" t="s">
        <v>1163</v>
      </c>
      <c r="D239" s="1" t="s">
        <v>78</v>
      </c>
      <c r="E239" s="1" t="s">
        <v>28</v>
      </c>
      <c r="F239" s="2">
        <v>4500000.0</v>
      </c>
      <c r="G239" s="4">
        <v>44836.0</v>
      </c>
      <c r="H239" s="4">
        <f>IFERROR(__xludf.DUMMYFUNCTION("DATE(INDEX(SPLIT(G239,""/""),,3),INDEX(SPLIT(G239,""/""),,2),INDEX(SPLIT(G239,""/""),,1))"),44602.0)</f>
        <v>44602</v>
      </c>
      <c r="I239" s="1" t="s">
        <v>203</v>
      </c>
      <c r="J239" s="4">
        <f>IFERROR(__xludf.DUMMYFUNCTION("DATE(INDEX(SPLIT(I239,""/""),,3),INDEX(SPLIT(I239,""/""),,2),INDEX(SPLIT(I239,""/""),,1))"),44925.0)</f>
        <v>44925</v>
      </c>
      <c r="K239" s="9">
        <v>44567.95972222222</v>
      </c>
      <c r="L239" s="1">
        <v>0.0</v>
      </c>
      <c r="M239" s="1" t="s">
        <v>979</v>
      </c>
      <c r="N239" s="1"/>
      <c r="O239" s="1" t="s">
        <v>30</v>
      </c>
      <c r="P239" s="1" t="s">
        <v>31</v>
      </c>
      <c r="Q239" s="1" t="s">
        <v>235</v>
      </c>
      <c r="R239" s="1" t="s">
        <v>235</v>
      </c>
      <c r="S239" s="1" t="s">
        <v>236</v>
      </c>
      <c r="T239" s="1" t="s">
        <v>438</v>
      </c>
      <c r="U239" s="1">
        <v>1.00647262E8</v>
      </c>
      <c r="X239" s="1" t="s">
        <v>88</v>
      </c>
      <c r="Y239" s="1" t="s">
        <v>979</v>
      </c>
      <c r="Z239" s="1" t="s">
        <v>37</v>
      </c>
    </row>
    <row r="240" hidden="1">
      <c r="A240" s="1" t="s">
        <v>1164</v>
      </c>
      <c r="B240" s="1" t="s">
        <v>555</v>
      </c>
      <c r="C240" s="1" t="s">
        <v>1165</v>
      </c>
      <c r="D240" s="1" t="s">
        <v>78</v>
      </c>
      <c r="E240" s="1" t="s">
        <v>28</v>
      </c>
      <c r="F240" s="2">
        <v>4500000.0</v>
      </c>
      <c r="G240" s="4">
        <v>44568.0</v>
      </c>
      <c r="H240" s="4">
        <f>IFERROR(__xludf.DUMMYFUNCTION("DATE(INDEX(SPLIT(G240,""/""),,3),INDEX(SPLIT(G240,""/""),,2),INDEX(SPLIT(G240,""/""),,1))"),44743.0)</f>
        <v>44743</v>
      </c>
      <c r="I240" s="4">
        <v>44689.0</v>
      </c>
      <c r="J240" s="4">
        <f>IFERROR(__xludf.DUMMYFUNCTION("DATE(INDEX(SPLIT(I240,""/""),,3),INDEX(SPLIT(I240,""/""),,2),INDEX(SPLIT(I240,""/""),,1))"),44778.0)</f>
        <v>44778</v>
      </c>
      <c r="L240" s="1">
        <v>0.0</v>
      </c>
      <c r="M240" s="1" t="s">
        <v>1166</v>
      </c>
      <c r="N240" s="1"/>
      <c r="O240" s="1" t="s">
        <v>30</v>
      </c>
      <c r="P240" s="1" t="s">
        <v>31</v>
      </c>
      <c r="Q240" s="1" t="s">
        <v>235</v>
      </c>
      <c r="R240" s="1" t="s">
        <v>235</v>
      </c>
      <c r="S240" s="1" t="s">
        <v>236</v>
      </c>
      <c r="U240" s="1">
        <v>1.0065102E8</v>
      </c>
      <c r="X240" s="1" t="s">
        <v>88</v>
      </c>
      <c r="Y240" s="1" t="s">
        <v>558</v>
      </c>
      <c r="Z240" s="1" t="s">
        <v>37</v>
      </c>
    </row>
    <row r="241" hidden="1">
      <c r="A241" s="1" t="s">
        <v>1167</v>
      </c>
      <c r="B241" s="1" t="s">
        <v>1168</v>
      </c>
      <c r="C241" s="1" t="s">
        <v>1169</v>
      </c>
      <c r="D241" s="1" t="s">
        <v>122</v>
      </c>
      <c r="E241" s="1" t="s">
        <v>28</v>
      </c>
      <c r="F241" s="2">
        <v>4500000.0</v>
      </c>
      <c r="G241" s="1" t="s">
        <v>1170</v>
      </c>
      <c r="H241" s="4">
        <f>IFERROR(__xludf.DUMMYFUNCTION("DATE(INDEX(SPLIT(G241,""/""),,3),INDEX(SPLIT(G241,""/""),,2),INDEX(SPLIT(G241,""/""),,1))"),44336.0)</f>
        <v>44336</v>
      </c>
      <c r="I241" s="1" t="s">
        <v>1171</v>
      </c>
      <c r="J241" s="4">
        <f>IFERROR(__xludf.DUMMYFUNCTION("DATE(INDEX(SPLIT(I241,""/""),,3),INDEX(SPLIT(I241,""/""),,2),INDEX(SPLIT(I241,""/""),,1))"),44789.0)</f>
        <v>44789</v>
      </c>
      <c r="L241" s="1">
        <v>0.0</v>
      </c>
      <c r="M241" s="1" t="s">
        <v>211</v>
      </c>
      <c r="N241" s="1"/>
      <c r="O241" s="1" t="s">
        <v>30</v>
      </c>
      <c r="P241" s="1" t="s">
        <v>31</v>
      </c>
      <c r="Q241" s="1" t="s">
        <v>71</v>
      </c>
      <c r="R241" s="1" t="s">
        <v>71</v>
      </c>
      <c r="S241" s="1" t="s">
        <v>72</v>
      </c>
      <c r="T241" s="1" t="s">
        <v>136</v>
      </c>
      <c r="U241" s="1">
        <v>1.00590896E8</v>
      </c>
      <c r="X241" s="1" t="s">
        <v>74</v>
      </c>
      <c r="Y241" s="1" t="s">
        <v>1172</v>
      </c>
      <c r="Z241" s="1" t="s">
        <v>37</v>
      </c>
    </row>
    <row r="242" hidden="1">
      <c r="A242" s="1" t="s">
        <v>1173</v>
      </c>
      <c r="B242" s="1" t="s">
        <v>555</v>
      </c>
      <c r="C242" s="1" t="s">
        <v>1174</v>
      </c>
      <c r="D242" s="1" t="s">
        <v>122</v>
      </c>
      <c r="E242" s="1" t="s">
        <v>28</v>
      </c>
      <c r="F242" s="2">
        <v>4500000.0</v>
      </c>
      <c r="G242" s="1" t="s">
        <v>185</v>
      </c>
      <c r="H242" s="4">
        <f>IFERROR(__xludf.DUMMYFUNCTION("DATE(INDEX(SPLIT(G242,""/""),,3),INDEX(SPLIT(G242,""/""),,2),INDEX(SPLIT(G242,""/""),,1))"),44741.0)</f>
        <v>44741</v>
      </c>
      <c r="I242" s="1" t="s">
        <v>130</v>
      </c>
      <c r="J242" s="4">
        <f>IFERROR(__xludf.DUMMYFUNCTION("DATE(INDEX(SPLIT(I242,""/""),,3),INDEX(SPLIT(I242,""/""),,2),INDEX(SPLIT(I242,""/""),,1))"),44804.0)</f>
        <v>44804</v>
      </c>
      <c r="L242" s="1">
        <v>0.0</v>
      </c>
      <c r="M242" s="1" t="s">
        <v>1166</v>
      </c>
      <c r="N242" s="1"/>
      <c r="O242" s="1" t="s">
        <v>30</v>
      </c>
      <c r="P242" s="1" t="s">
        <v>31</v>
      </c>
      <c r="Q242" s="1" t="s">
        <v>235</v>
      </c>
      <c r="R242" s="1" t="s">
        <v>235</v>
      </c>
      <c r="S242" s="1" t="s">
        <v>236</v>
      </c>
      <c r="U242" s="1">
        <v>1.0065102E8</v>
      </c>
      <c r="X242" s="1" t="s">
        <v>88</v>
      </c>
      <c r="Y242" s="1" t="s">
        <v>1175</v>
      </c>
      <c r="Z242" s="1" t="s">
        <v>37</v>
      </c>
    </row>
    <row r="243" hidden="1">
      <c r="A243" s="1" t="s">
        <v>1176</v>
      </c>
      <c r="B243" s="1" t="s">
        <v>83</v>
      </c>
      <c r="C243" s="1" t="s">
        <v>1177</v>
      </c>
      <c r="D243" s="1" t="s">
        <v>27</v>
      </c>
      <c r="E243" s="1" t="s">
        <v>28</v>
      </c>
      <c r="F243" s="2">
        <v>4500000.0</v>
      </c>
      <c r="G243" s="1" t="s">
        <v>935</v>
      </c>
      <c r="H243" s="4">
        <f>IFERROR(__xludf.DUMMYFUNCTION("DATE(INDEX(SPLIT(G243,""/""),,3),INDEX(SPLIT(G243,""/""),,2),INDEX(SPLIT(G243,""/""),,1))"),44764.0)</f>
        <v>44764</v>
      </c>
      <c r="I243" s="1" t="s">
        <v>625</v>
      </c>
      <c r="J243" s="4">
        <f>IFERROR(__xludf.DUMMYFUNCTION("DATE(INDEX(SPLIT(I243,""/""),,3),INDEX(SPLIT(I243,""/""),,2),INDEX(SPLIT(I243,""/""),,1))"),44848.0)</f>
        <v>44848</v>
      </c>
      <c r="L243" s="1">
        <v>0.0</v>
      </c>
      <c r="M243" s="1" t="s">
        <v>86</v>
      </c>
      <c r="N243" s="1"/>
      <c r="O243" s="1" t="s">
        <v>30</v>
      </c>
      <c r="P243" s="1" t="s">
        <v>31</v>
      </c>
      <c r="Q243" s="1" t="s">
        <v>53</v>
      </c>
      <c r="R243" s="1" t="s">
        <v>53</v>
      </c>
      <c r="S243" s="1" t="s">
        <v>54</v>
      </c>
      <c r="U243" s="1">
        <v>1.00653539E8</v>
      </c>
      <c r="X243" s="1" t="s">
        <v>88</v>
      </c>
      <c r="Y243" s="1" t="s">
        <v>89</v>
      </c>
      <c r="Z243" s="1" t="s">
        <v>37</v>
      </c>
    </row>
    <row r="244" hidden="1">
      <c r="A244" s="1" t="s">
        <v>1178</v>
      </c>
      <c r="B244" s="1" t="s">
        <v>1179</v>
      </c>
      <c r="C244" s="1" t="s">
        <v>1180</v>
      </c>
      <c r="D244" s="1" t="s">
        <v>68</v>
      </c>
      <c r="E244" s="1" t="s">
        <v>28</v>
      </c>
      <c r="F244" s="2">
        <v>4300000.0</v>
      </c>
      <c r="G244" s="4">
        <v>44839.0</v>
      </c>
      <c r="H244" s="4">
        <f>IFERROR(__xludf.DUMMYFUNCTION("DATE(INDEX(SPLIT(G244,""/""),,3),INDEX(SPLIT(G244,""/""),,2),INDEX(SPLIT(G244,""/""),,1))"),44691.0)</f>
        <v>44691</v>
      </c>
      <c r="I244" s="4">
        <v>44569.0</v>
      </c>
      <c r="J244" s="4">
        <f>IFERROR(__xludf.DUMMYFUNCTION("DATE(INDEX(SPLIT(I244,""/""),,3),INDEX(SPLIT(I244,""/""),,2),INDEX(SPLIT(I244,""/""),,1))"),44774.0)</f>
        <v>44774</v>
      </c>
      <c r="L244" s="1">
        <v>0.0</v>
      </c>
      <c r="M244" s="1" t="s">
        <v>1032</v>
      </c>
      <c r="N244" s="1"/>
      <c r="O244" s="1" t="s">
        <v>30</v>
      </c>
      <c r="P244" s="1" t="s">
        <v>31</v>
      </c>
      <c r="Q244" s="1" t="s">
        <v>71</v>
      </c>
      <c r="R244" s="1" t="s">
        <v>71</v>
      </c>
      <c r="S244" s="1" t="s">
        <v>72</v>
      </c>
      <c r="U244" s="1">
        <v>1.00609514E8</v>
      </c>
      <c r="V244" s="1" t="s">
        <v>1181</v>
      </c>
      <c r="W244" s="1" t="s">
        <v>45</v>
      </c>
      <c r="X244" s="1" t="s">
        <v>1182</v>
      </c>
      <c r="Y244" s="1" t="s">
        <v>1183</v>
      </c>
      <c r="Z244" s="1" t="s">
        <v>37</v>
      </c>
    </row>
    <row r="245" hidden="1">
      <c r="A245" s="1" t="s">
        <v>1184</v>
      </c>
      <c r="B245" s="1" t="s">
        <v>1185</v>
      </c>
      <c r="C245" s="1" t="s">
        <v>1186</v>
      </c>
      <c r="D245" s="1" t="s">
        <v>27</v>
      </c>
      <c r="E245" s="1" t="s">
        <v>28</v>
      </c>
      <c r="F245" s="2">
        <v>4200000.0</v>
      </c>
      <c r="G245" s="4">
        <v>44595.0</v>
      </c>
      <c r="H245" s="4">
        <f>IFERROR(__xludf.DUMMYFUNCTION("DATE(INDEX(SPLIT(G245,""/""),,3),INDEX(SPLIT(G245,""/""),,2),INDEX(SPLIT(G245,""/""),,1))"),44622.0)</f>
        <v>44622</v>
      </c>
      <c r="I245" s="1" t="s">
        <v>42</v>
      </c>
      <c r="J245" s="4">
        <f>IFERROR(__xludf.DUMMYFUNCTION("DATE(INDEX(SPLIT(I245,""/""),,3),INDEX(SPLIT(I245,""/""),,2),INDEX(SPLIT(I245,""/""),,1))"),44926.0)</f>
        <v>44926</v>
      </c>
      <c r="L245" s="1">
        <v>0.0</v>
      </c>
      <c r="M245" s="1" t="s">
        <v>1187</v>
      </c>
      <c r="N245" s="1"/>
      <c r="O245" s="1" t="s">
        <v>30</v>
      </c>
      <c r="P245" s="1" t="s">
        <v>31</v>
      </c>
      <c r="Q245" s="1" t="s">
        <v>95</v>
      </c>
      <c r="R245" s="1" t="s">
        <v>95</v>
      </c>
      <c r="S245" s="1" t="s">
        <v>96</v>
      </c>
      <c r="T245" s="1" t="s">
        <v>97</v>
      </c>
      <c r="U245" s="1">
        <v>1.00633643E8</v>
      </c>
      <c r="X245" s="1" t="s">
        <v>190</v>
      </c>
      <c r="Y245" s="1" t="s">
        <v>1187</v>
      </c>
      <c r="Z245" s="1" t="s">
        <v>37</v>
      </c>
    </row>
    <row r="246" hidden="1">
      <c r="A246" s="1" t="s">
        <v>1188</v>
      </c>
      <c r="B246" s="1" t="s">
        <v>546</v>
      </c>
      <c r="C246" s="1" t="s">
        <v>1189</v>
      </c>
      <c r="D246" s="1" t="s">
        <v>27</v>
      </c>
      <c r="E246" s="1" t="s">
        <v>28</v>
      </c>
      <c r="F246" s="2">
        <v>4200000.0</v>
      </c>
      <c r="G246" s="1" t="s">
        <v>1190</v>
      </c>
      <c r="H246" s="4">
        <f>IFERROR(__xludf.DUMMYFUNCTION("DATE(INDEX(SPLIT(G246,""/""),,3),INDEX(SPLIT(G246,""/""),,2),INDEX(SPLIT(G246,""/""),,1))"),44397.0)</f>
        <v>44397</v>
      </c>
      <c r="I246" s="4">
        <v>44781.0</v>
      </c>
      <c r="J246" s="4">
        <f>IFERROR(__xludf.DUMMYFUNCTION("DATE(INDEX(SPLIT(I246,""/""),,3),INDEX(SPLIT(I246,""/""),,2),INDEX(SPLIT(I246,""/""),,1))"),44781.0)</f>
        <v>44781</v>
      </c>
      <c r="L246" s="1">
        <v>0.0</v>
      </c>
      <c r="M246" s="1" t="s">
        <v>318</v>
      </c>
      <c r="N246" s="1"/>
      <c r="O246" s="1" t="s">
        <v>30</v>
      </c>
      <c r="P246" s="1" t="s">
        <v>31</v>
      </c>
      <c r="Q246" s="1" t="s">
        <v>71</v>
      </c>
      <c r="R246" s="1" t="s">
        <v>71</v>
      </c>
      <c r="S246" s="1" t="s">
        <v>72</v>
      </c>
      <c r="T246" s="1" t="s">
        <v>73</v>
      </c>
      <c r="U246" s="1">
        <v>1.00654705E8</v>
      </c>
      <c r="X246" s="1" t="s">
        <v>74</v>
      </c>
      <c r="Y246" s="1" t="s">
        <v>318</v>
      </c>
      <c r="Z246" s="1" t="s">
        <v>37</v>
      </c>
    </row>
    <row r="247" hidden="1">
      <c r="A247" s="1" t="s">
        <v>1191</v>
      </c>
      <c r="B247" s="1" t="s">
        <v>1192</v>
      </c>
      <c r="C247" s="1" t="s">
        <v>1193</v>
      </c>
      <c r="D247" s="1" t="s">
        <v>122</v>
      </c>
      <c r="E247" s="1" t="s">
        <v>28</v>
      </c>
      <c r="F247" s="2">
        <v>4100000.0</v>
      </c>
      <c r="G247" s="1" t="s">
        <v>41</v>
      </c>
      <c r="H247" s="4">
        <f>IFERROR(__xludf.DUMMYFUNCTION("DATE(INDEX(SPLIT(G247,""/""),,3),INDEX(SPLIT(G247,""/""),,2),INDEX(SPLIT(G247,""/""),,1))"),44607.0)</f>
        <v>44607</v>
      </c>
      <c r="I247" s="4">
        <v>44873.0</v>
      </c>
      <c r="J247" s="4">
        <f>IFERROR(__xludf.DUMMYFUNCTION("DATE(INDEX(SPLIT(I247,""/""),,3),INDEX(SPLIT(I247,""/""),,2),INDEX(SPLIT(I247,""/""),,1))"),44784.0)</f>
        <v>44784</v>
      </c>
      <c r="L247" s="1">
        <v>0.0</v>
      </c>
      <c r="M247" s="1" t="s">
        <v>1194</v>
      </c>
      <c r="N247" s="1"/>
      <c r="O247" s="1" t="s">
        <v>30</v>
      </c>
      <c r="P247" s="1" t="s">
        <v>31</v>
      </c>
      <c r="Q247" s="1" t="s">
        <v>32</v>
      </c>
      <c r="R247" s="1" t="s">
        <v>32</v>
      </c>
      <c r="S247" s="1" t="s">
        <v>33</v>
      </c>
      <c r="T247" s="1" t="s">
        <v>1195</v>
      </c>
      <c r="U247" s="1">
        <v>1.00586863E8</v>
      </c>
      <c r="X247" s="1" t="s">
        <v>125</v>
      </c>
      <c r="Y247" s="1" t="s">
        <v>1196</v>
      </c>
      <c r="Z247" s="1" t="s">
        <v>37</v>
      </c>
    </row>
    <row r="248" hidden="1">
      <c r="A248" s="1" t="s">
        <v>1197</v>
      </c>
      <c r="B248" s="1" t="s">
        <v>1198</v>
      </c>
      <c r="C248" s="1" t="s">
        <v>1199</v>
      </c>
      <c r="D248" s="1" t="s">
        <v>122</v>
      </c>
      <c r="E248" s="1" t="s">
        <v>28</v>
      </c>
      <c r="F248" s="2">
        <v>4000000.0</v>
      </c>
      <c r="G248" s="4">
        <v>44835.0</v>
      </c>
      <c r="H248" s="4">
        <f>IFERROR(__xludf.DUMMYFUNCTION("DATE(INDEX(SPLIT(G248,""/""),,3),INDEX(SPLIT(G248,""/""),,2),INDEX(SPLIT(G248,""/""),,1))"),44571.0)</f>
        <v>44571</v>
      </c>
      <c r="I248" s="4">
        <v>45051.0</v>
      </c>
      <c r="J248" s="4">
        <f>IFERROR(__xludf.DUMMYFUNCTION("DATE(INDEX(SPLIT(I248,""/""),,3),INDEX(SPLIT(I248,""/""),,2),INDEX(SPLIT(I248,""/""),,1))"),45051.0)</f>
        <v>45051</v>
      </c>
      <c r="L248" s="1">
        <v>0.0</v>
      </c>
      <c r="M248" s="1" t="s">
        <v>1200</v>
      </c>
      <c r="N248" s="1"/>
      <c r="O248" s="1" t="s">
        <v>30</v>
      </c>
      <c r="P248" s="1" t="s">
        <v>31</v>
      </c>
      <c r="Q248" s="1" t="s">
        <v>235</v>
      </c>
      <c r="R248" s="1" t="s">
        <v>235</v>
      </c>
      <c r="S248" s="1" t="s">
        <v>236</v>
      </c>
      <c r="T248" s="1" t="s">
        <v>438</v>
      </c>
      <c r="U248" s="1">
        <v>1.00586959E8</v>
      </c>
      <c r="X248" s="1" t="s">
        <v>88</v>
      </c>
      <c r="Y248" s="1" t="s">
        <v>979</v>
      </c>
      <c r="Z248" s="1" t="s">
        <v>37</v>
      </c>
    </row>
    <row r="249" hidden="1">
      <c r="A249" s="1" t="s">
        <v>1201</v>
      </c>
      <c r="B249" s="1" t="s">
        <v>1198</v>
      </c>
      <c r="C249" s="1" t="s">
        <v>1202</v>
      </c>
      <c r="D249" s="1" t="s">
        <v>122</v>
      </c>
      <c r="E249" s="1" t="s">
        <v>28</v>
      </c>
      <c r="F249" s="2">
        <v>4000000.0</v>
      </c>
      <c r="G249" s="4">
        <v>44835.0</v>
      </c>
      <c r="H249" s="4">
        <f>IFERROR(__xludf.DUMMYFUNCTION("DATE(INDEX(SPLIT(G249,""/""),,3),INDEX(SPLIT(G249,""/""),,2),INDEX(SPLIT(G249,""/""),,1))"),44571.0)</f>
        <v>44571</v>
      </c>
      <c r="I249" s="4">
        <v>45024.0</v>
      </c>
      <c r="J249" s="4">
        <f>IFERROR(__xludf.DUMMYFUNCTION("DATE(INDEX(SPLIT(I249,""/""),,3),INDEX(SPLIT(I249,""/""),,2),INDEX(SPLIT(I249,""/""),,1))"),45142.0)</f>
        <v>45142</v>
      </c>
      <c r="L249" s="1">
        <v>0.0</v>
      </c>
      <c r="M249" s="1" t="s">
        <v>1200</v>
      </c>
      <c r="N249" s="1"/>
      <c r="O249" s="1" t="s">
        <v>30</v>
      </c>
      <c r="P249" s="1" t="s">
        <v>31</v>
      </c>
      <c r="Q249" s="1" t="s">
        <v>235</v>
      </c>
      <c r="R249" s="1" t="s">
        <v>235</v>
      </c>
      <c r="S249" s="1" t="s">
        <v>236</v>
      </c>
      <c r="T249" s="1" t="s">
        <v>438</v>
      </c>
      <c r="U249" s="1">
        <v>1.00586959E8</v>
      </c>
      <c r="X249" s="1" t="s">
        <v>88</v>
      </c>
      <c r="Y249" s="1" t="s">
        <v>979</v>
      </c>
      <c r="Z249" s="1" t="s">
        <v>37</v>
      </c>
    </row>
    <row r="250">
      <c r="A250" s="1" t="s">
        <v>1203</v>
      </c>
      <c r="B250" s="1" t="s">
        <v>83</v>
      </c>
      <c r="C250" s="1" t="s">
        <v>1204</v>
      </c>
      <c r="D250" s="1" t="s">
        <v>122</v>
      </c>
      <c r="E250" s="1" t="s">
        <v>28</v>
      </c>
      <c r="F250" s="2">
        <v>5000000.0</v>
      </c>
      <c r="G250" s="4">
        <v>44718.0</v>
      </c>
      <c r="H250" s="4">
        <f>IFERROR(__xludf.DUMMYFUNCTION("DATE(INDEX(SPLIT(G250,""/""),,3),INDEX(SPLIT(G250,""/""),,2),INDEX(SPLIT(G250,""/""),,1))"),44718.0)</f>
        <v>44718</v>
      </c>
      <c r="I250" s="1" t="s">
        <v>414</v>
      </c>
      <c r="J250" s="4">
        <f>IFERROR(__xludf.DUMMYFUNCTION("DATE(INDEX(SPLIT(I250,""/""),,3),INDEX(SPLIT(I250,""/""),,2),INDEX(SPLIT(I250,""/""),,1))"),44772.0)</f>
        <v>44772</v>
      </c>
      <c r="L250" s="1">
        <v>0.0</v>
      </c>
      <c r="M250" s="1" t="s">
        <v>86</v>
      </c>
      <c r="N250" s="1"/>
      <c r="O250" s="1" t="s">
        <v>30</v>
      </c>
      <c r="P250" s="1" t="s">
        <v>31</v>
      </c>
      <c r="Q250" s="1" t="s">
        <v>53</v>
      </c>
      <c r="R250" s="1" t="s">
        <v>53</v>
      </c>
      <c r="S250" s="1" t="s">
        <v>54</v>
      </c>
      <c r="U250" s="1">
        <v>1.00653539E8</v>
      </c>
      <c r="X250" s="1" t="s">
        <v>88</v>
      </c>
      <c r="Y250" s="1" t="s">
        <v>1161</v>
      </c>
      <c r="Z250" s="1" t="s">
        <v>37</v>
      </c>
    </row>
    <row r="251" hidden="1">
      <c r="A251" s="1" t="s">
        <v>1205</v>
      </c>
      <c r="B251" s="1" t="s">
        <v>177</v>
      </c>
      <c r="C251" s="1" t="s">
        <v>1206</v>
      </c>
      <c r="D251" s="1" t="s">
        <v>122</v>
      </c>
      <c r="E251" s="1" t="s">
        <v>28</v>
      </c>
      <c r="F251" s="2">
        <v>4000000.0</v>
      </c>
      <c r="G251" s="4">
        <v>44870.0</v>
      </c>
      <c r="H251" s="4">
        <f>IFERROR(__xludf.DUMMYFUNCTION("DATE(INDEX(SPLIT(G251,""/""),,3),INDEX(SPLIT(G251,""/""),,2),INDEX(SPLIT(G251,""/""),,1))"),44692.0)</f>
        <v>44692</v>
      </c>
      <c r="I251" s="1" t="s">
        <v>130</v>
      </c>
      <c r="J251" s="4">
        <f>IFERROR(__xludf.DUMMYFUNCTION("DATE(INDEX(SPLIT(I251,""/""),,3),INDEX(SPLIT(I251,""/""),,2),INDEX(SPLIT(I251,""/""),,1))"),44804.0)</f>
        <v>44804</v>
      </c>
      <c r="L251" s="1">
        <v>0.0</v>
      </c>
      <c r="M251" s="1" t="s">
        <v>1207</v>
      </c>
      <c r="N251" s="1"/>
      <c r="O251" s="1" t="s">
        <v>30</v>
      </c>
      <c r="P251" s="1" t="s">
        <v>31</v>
      </c>
      <c r="Q251" s="1" t="s">
        <v>157</v>
      </c>
      <c r="R251" s="1" t="s">
        <v>157</v>
      </c>
      <c r="S251" s="1" t="s">
        <v>158</v>
      </c>
      <c r="U251" s="1">
        <v>1.00639495E8</v>
      </c>
      <c r="X251" s="1" t="s">
        <v>74</v>
      </c>
      <c r="Y251" s="1" t="s">
        <v>1208</v>
      </c>
      <c r="Z251" s="1" t="s">
        <v>37</v>
      </c>
    </row>
    <row r="252" hidden="1">
      <c r="A252" s="1" t="s">
        <v>1209</v>
      </c>
      <c r="B252" s="1" t="s">
        <v>1210</v>
      </c>
      <c r="C252" s="1" t="s">
        <v>1211</v>
      </c>
      <c r="D252" s="1" t="s">
        <v>78</v>
      </c>
      <c r="E252" s="1" t="s">
        <v>28</v>
      </c>
      <c r="F252" s="2">
        <v>4000000.0</v>
      </c>
      <c r="G252" s="1" t="s">
        <v>1212</v>
      </c>
      <c r="H252" s="4">
        <f>IFERROR(__xludf.DUMMYFUNCTION("DATE(INDEX(SPLIT(G252,""/""),,3),INDEX(SPLIT(G252,""/""),,2),INDEX(SPLIT(G252,""/""),,1))"),44391.0)</f>
        <v>44391</v>
      </c>
      <c r="I252" s="4">
        <v>44659.0</v>
      </c>
      <c r="J252" s="4">
        <f>IFERROR(__xludf.DUMMYFUNCTION("DATE(INDEX(SPLIT(I252,""/""),,3),INDEX(SPLIT(I252,""/""),,2),INDEX(SPLIT(I252,""/""),,1))"),44777.0)</f>
        <v>44777</v>
      </c>
      <c r="L252" s="1">
        <v>0.0</v>
      </c>
      <c r="M252" s="1" t="s">
        <v>255</v>
      </c>
      <c r="N252" s="1"/>
      <c r="O252" s="1" t="s">
        <v>30</v>
      </c>
      <c r="P252" s="1" t="s">
        <v>31</v>
      </c>
      <c r="Q252" s="1" t="s">
        <v>95</v>
      </c>
      <c r="R252" s="1" t="s">
        <v>95</v>
      </c>
      <c r="S252" s="1" t="s">
        <v>96</v>
      </c>
      <c r="U252" s="1">
        <v>1.00625774E8</v>
      </c>
      <c r="X252" s="1" t="s">
        <v>98</v>
      </c>
      <c r="Y252" s="1" t="s">
        <v>255</v>
      </c>
      <c r="Z252" s="1" t="s">
        <v>527</v>
      </c>
    </row>
    <row r="253" hidden="1">
      <c r="A253" s="1" t="s">
        <v>1213</v>
      </c>
      <c r="B253" s="1" t="s">
        <v>39</v>
      </c>
      <c r="C253" s="1" t="s">
        <v>1214</v>
      </c>
      <c r="D253" s="1" t="s">
        <v>27</v>
      </c>
      <c r="E253" s="1" t="s">
        <v>28</v>
      </c>
      <c r="F253" s="2">
        <v>4000000.0</v>
      </c>
      <c r="G253" s="1" t="s">
        <v>935</v>
      </c>
      <c r="H253" s="4">
        <f>IFERROR(__xludf.DUMMYFUNCTION("DATE(INDEX(SPLIT(G253,""/""),,3),INDEX(SPLIT(G253,""/""),,2),INDEX(SPLIT(G253,""/""),,1))"),44764.0)</f>
        <v>44764</v>
      </c>
      <c r="I253" s="4">
        <v>45114.0</v>
      </c>
      <c r="J253" s="4">
        <f>IFERROR(__xludf.DUMMYFUNCTION("DATE(INDEX(SPLIT(I253,""/""),,3),INDEX(SPLIT(I253,""/""),,2),INDEX(SPLIT(I253,""/""),,1))"),45114.0)</f>
        <v>45114</v>
      </c>
      <c r="L253" s="1">
        <v>0.0</v>
      </c>
      <c r="M253" s="1" t="s">
        <v>841</v>
      </c>
      <c r="N253" s="1"/>
      <c r="O253" s="1" t="s">
        <v>30</v>
      </c>
      <c r="P253" s="1" t="s">
        <v>31</v>
      </c>
      <c r="Q253" s="1" t="s">
        <v>95</v>
      </c>
      <c r="R253" s="1" t="s">
        <v>95</v>
      </c>
      <c r="S253" s="1" t="s">
        <v>96</v>
      </c>
      <c r="U253" s="1">
        <v>1.00621664E8</v>
      </c>
      <c r="X253" s="1" t="s">
        <v>46</v>
      </c>
      <c r="Y253" s="1" t="s">
        <v>842</v>
      </c>
      <c r="Z253" s="1" t="s">
        <v>37</v>
      </c>
    </row>
    <row r="254" hidden="1">
      <c r="A254" s="1" t="s">
        <v>1215</v>
      </c>
      <c r="B254" s="1" t="s">
        <v>1216</v>
      </c>
      <c r="C254" s="1" t="s">
        <v>1217</v>
      </c>
      <c r="D254" s="1" t="s">
        <v>27</v>
      </c>
      <c r="E254" s="1" t="s">
        <v>28</v>
      </c>
      <c r="F254" s="2">
        <v>4000000.0</v>
      </c>
      <c r="G254" s="1" t="s">
        <v>1218</v>
      </c>
      <c r="H254" s="4">
        <f>IFERROR(__xludf.DUMMYFUNCTION("DATE(INDEX(SPLIT(G254,""/""),,3),INDEX(SPLIT(G254,""/""),,2),INDEX(SPLIT(G254,""/""),,1))"),44427.0)</f>
        <v>44427</v>
      </c>
      <c r="I254" s="1" t="s">
        <v>476</v>
      </c>
      <c r="J254" s="4">
        <f>IFERROR(__xludf.DUMMYFUNCTION("DATE(INDEX(SPLIT(I254,""/""),,3),INDEX(SPLIT(I254,""/""),,2),INDEX(SPLIT(I254,""/""),,1))"),44833.0)</f>
        <v>44833</v>
      </c>
      <c r="L254" s="1">
        <v>0.0</v>
      </c>
      <c r="M254" s="1" t="s">
        <v>1219</v>
      </c>
      <c r="N254" s="1"/>
      <c r="O254" s="1" t="s">
        <v>30</v>
      </c>
      <c r="P254" s="1" t="s">
        <v>31</v>
      </c>
      <c r="Q254" s="1" t="s">
        <v>53</v>
      </c>
      <c r="R254" s="1" t="s">
        <v>53</v>
      </c>
      <c r="S254" s="1" t="s">
        <v>54</v>
      </c>
      <c r="T254" s="1" t="s">
        <v>87</v>
      </c>
      <c r="U254" s="1">
        <v>1.00968114E8</v>
      </c>
      <c r="X254" s="1" t="s">
        <v>88</v>
      </c>
      <c r="Y254" s="1" t="s">
        <v>1220</v>
      </c>
      <c r="Z254" s="1" t="s">
        <v>37</v>
      </c>
    </row>
    <row r="255">
      <c r="A255" s="1" t="s">
        <v>1221</v>
      </c>
      <c r="B255" s="1" t="s">
        <v>760</v>
      </c>
      <c r="C255" s="1" t="s">
        <v>1222</v>
      </c>
      <c r="D255" s="1" t="s">
        <v>122</v>
      </c>
      <c r="E255" s="1" t="s">
        <v>28</v>
      </c>
      <c r="F255" s="2">
        <v>4800000.0</v>
      </c>
      <c r="G255" s="1" t="s">
        <v>1223</v>
      </c>
      <c r="H255" s="4">
        <f>IFERROR(__xludf.DUMMYFUNCTION("DATE(INDEX(SPLIT(G255,""/""),,3),INDEX(SPLIT(G255,""/""),,2),INDEX(SPLIT(G255,""/""),,1))"),43761.0)</f>
        <v>43761</v>
      </c>
      <c r="I255" s="1" t="s">
        <v>226</v>
      </c>
      <c r="J255" s="4">
        <f>IFERROR(__xludf.DUMMYFUNCTION("DATE(INDEX(SPLIT(I255,""/""),,3),INDEX(SPLIT(I255,""/""),,2),INDEX(SPLIT(I255,""/""),,1))"),44771.0)</f>
        <v>44771</v>
      </c>
      <c r="L255" s="1">
        <v>0.0</v>
      </c>
      <c r="M255" s="1" t="s">
        <v>762</v>
      </c>
      <c r="N255" s="1"/>
      <c r="O255" s="1" t="s">
        <v>30</v>
      </c>
      <c r="P255" s="1" t="s">
        <v>31</v>
      </c>
      <c r="Q255" s="1" t="s">
        <v>235</v>
      </c>
      <c r="R255" s="1" t="s">
        <v>235</v>
      </c>
      <c r="S255" s="1" t="s">
        <v>236</v>
      </c>
      <c r="T255" s="1" t="s">
        <v>237</v>
      </c>
      <c r="U255" s="1">
        <v>1.00647674E8</v>
      </c>
      <c r="X255" s="1" t="s">
        <v>239</v>
      </c>
      <c r="Y255" s="1" t="s">
        <v>1224</v>
      </c>
      <c r="Z255" s="1" t="s">
        <v>37</v>
      </c>
    </row>
    <row r="256" hidden="1">
      <c r="A256" s="1" t="s">
        <v>1225</v>
      </c>
      <c r="B256" s="1" t="s">
        <v>1216</v>
      </c>
      <c r="C256" s="1" t="s">
        <v>1226</v>
      </c>
      <c r="D256" s="1" t="s">
        <v>27</v>
      </c>
      <c r="E256" s="1" t="s">
        <v>28</v>
      </c>
      <c r="F256" s="2">
        <v>4000000.0</v>
      </c>
      <c r="G256" s="1" t="s">
        <v>1218</v>
      </c>
      <c r="H256" s="4">
        <f>IFERROR(__xludf.DUMMYFUNCTION("DATE(INDEX(SPLIT(G256,""/""),,3),INDEX(SPLIT(G256,""/""),,2),INDEX(SPLIT(G256,""/""),,1))"),44427.0)</f>
        <v>44427</v>
      </c>
      <c r="I256" s="1" t="s">
        <v>569</v>
      </c>
      <c r="J256" s="4">
        <f>IFERROR(__xludf.DUMMYFUNCTION("DATE(INDEX(SPLIT(I256,""/""),,3),INDEX(SPLIT(I256,""/""),,2),INDEX(SPLIT(I256,""/""),,1))"),45016.0)</f>
        <v>45016</v>
      </c>
      <c r="L256" s="1">
        <v>0.0</v>
      </c>
      <c r="M256" s="1" t="s">
        <v>1219</v>
      </c>
      <c r="N256" s="1"/>
      <c r="O256" s="1" t="s">
        <v>30</v>
      </c>
      <c r="P256" s="1" t="s">
        <v>31</v>
      </c>
      <c r="Q256" s="1" t="s">
        <v>53</v>
      </c>
      <c r="R256" s="1" t="s">
        <v>53</v>
      </c>
      <c r="S256" s="1" t="s">
        <v>54</v>
      </c>
      <c r="T256" s="1" t="s">
        <v>87</v>
      </c>
      <c r="U256" s="1">
        <v>1.00968114E8</v>
      </c>
      <c r="X256" s="1" t="s">
        <v>88</v>
      </c>
      <c r="Y256" s="1" t="s">
        <v>1220</v>
      </c>
      <c r="Z256" s="1" t="s">
        <v>37</v>
      </c>
    </row>
    <row r="257" hidden="1">
      <c r="A257" s="1" t="s">
        <v>1227</v>
      </c>
      <c r="B257" s="1" t="s">
        <v>308</v>
      </c>
      <c r="C257" s="1" t="s">
        <v>1228</v>
      </c>
      <c r="D257" s="1" t="s">
        <v>27</v>
      </c>
      <c r="E257" s="1" t="s">
        <v>28</v>
      </c>
      <c r="F257" s="2">
        <v>4000000.0</v>
      </c>
      <c r="G257" s="1" t="s">
        <v>1229</v>
      </c>
      <c r="H257" s="4">
        <f>IFERROR(__xludf.DUMMYFUNCTION("DATE(INDEX(SPLIT(G257,""/""),,3),INDEX(SPLIT(G257,""/""),,2),INDEX(SPLIT(G257,""/""),,1))"),44466.0)</f>
        <v>44466</v>
      </c>
      <c r="I257" s="1" t="s">
        <v>569</v>
      </c>
      <c r="J257" s="4">
        <f>IFERROR(__xludf.DUMMYFUNCTION("DATE(INDEX(SPLIT(I257,""/""),,3),INDEX(SPLIT(I257,""/""),,2),INDEX(SPLIT(I257,""/""),,1))"),45016.0)</f>
        <v>45016</v>
      </c>
      <c r="L257" s="1">
        <v>0.0</v>
      </c>
      <c r="M257" s="1" t="s">
        <v>1230</v>
      </c>
      <c r="N257" s="1"/>
      <c r="O257" s="1" t="s">
        <v>30</v>
      </c>
      <c r="P257" s="1" t="s">
        <v>31</v>
      </c>
      <c r="Q257" s="1" t="s">
        <v>53</v>
      </c>
      <c r="R257" s="1" t="s">
        <v>53</v>
      </c>
      <c r="S257" s="1" t="s">
        <v>54</v>
      </c>
      <c r="U257" s="1">
        <v>1.01127868E8</v>
      </c>
      <c r="X257" s="1" t="s">
        <v>312</v>
      </c>
      <c r="Y257" s="1" t="s">
        <v>1231</v>
      </c>
      <c r="Z257" s="1" t="s">
        <v>37</v>
      </c>
    </row>
    <row r="258" hidden="1">
      <c r="A258" s="1" t="s">
        <v>1232</v>
      </c>
      <c r="B258" s="1" t="s">
        <v>1233</v>
      </c>
      <c r="C258" s="1" t="s">
        <v>1234</v>
      </c>
      <c r="D258" s="1" t="s">
        <v>122</v>
      </c>
      <c r="E258" s="1" t="s">
        <v>28</v>
      </c>
      <c r="F258" s="2">
        <v>4000000.0</v>
      </c>
      <c r="G258" s="1" t="s">
        <v>324</v>
      </c>
      <c r="H258" s="4">
        <f>IFERROR(__xludf.DUMMYFUNCTION("DATE(INDEX(SPLIT(G258,""/""),,3),INDEX(SPLIT(G258,""/""),,2),INDEX(SPLIT(G258,""/""),,1))"),44636.0)</f>
        <v>44636</v>
      </c>
      <c r="I258" s="1" t="s">
        <v>109</v>
      </c>
      <c r="J258" s="4">
        <f>IFERROR(__xludf.DUMMYFUNCTION("DATE(INDEX(SPLIT(I258,""/""),,3),INDEX(SPLIT(I258,""/""),,2),INDEX(SPLIT(I258,""/""),,1))"),44834.0)</f>
        <v>44834</v>
      </c>
      <c r="L258" s="1">
        <v>0.0</v>
      </c>
      <c r="M258" s="1" t="s">
        <v>211</v>
      </c>
      <c r="N258" s="1"/>
      <c r="O258" s="1" t="s">
        <v>30</v>
      </c>
      <c r="P258" s="1" t="s">
        <v>31</v>
      </c>
      <c r="Q258" s="1" t="s">
        <v>71</v>
      </c>
      <c r="R258" s="1" t="s">
        <v>71</v>
      </c>
      <c r="S258" s="1" t="s">
        <v>72</v>
      </c>
      <c r="T258" s="1" t="s">
        <v>136</v>
      </c>
      <c r="U258" s="1">
        <v>1.00590896E8</v>
      </c>
      <c r="X258" s="1" t="s">
        <v>74</v>
      </c>
      <c r="Y258" s="1" t="s">
        <v>1235</v>
      </c>
      <c r="Z258" s="1" t="s">
        <v>37</v>
      </c>
    </row>
    <row r="259" hidden="1">
      <c r="A259" s="1" t="s">
        <v>1236</v>
      </c>
      <c r="B259" s="1" t="s">
        <v>1237</v>
      </c>
      <c r="C259" s="1" t="s">
        <v>1238</v>
      </c>
      <c r="D259" s="1" t="s">
        <v>27</v>
      </c>
      <c r="E259" s="1" t="s">
        <v>28</v>
      </c>
      <c r="F259" s="2">
        <v>4000000.0</v>
      </c>
      <c r="G259" s="4">
        <v>44595.0</v>
      </c>
      <c r="H259" s="4">
        <f>IFERROR(__xludf.DUMMYFUNCTION("DATE(INDEX(SPLIT(G259,""/""),,3),INDEX(SPLIT(G259,""/""),,2),INDEX(SPLIT(G259,""/""),,1))"),44622.0)</f>
        <v>44622</v>
      </c>
      <c r="I259" s="1" t="s">
        <v>203</v>
      </c>
      <c r="J259" s="4">
        <f>IFERROR(__xludf.DUMMYFUNCTION("DATE(INDEX(SPLIT(I259,""/""),,3),INDEX(SPLIT(I259,""/""),,2),INDEX(SPLIT(I259,""/""),,1))"),44925.0)</f>
        <v>44925</v>
      </c>
      <c r="L259" s="1">
        <v>0.0</v>
      </c>
      <c r="M259" s="1" t="s">
        <v>1239</v>
      </c>
      <c r="N259" s="1"/>
      <c r="O259" s="1" t="s">
        <v>30</v>
      </c>
      <c r="P259" s="1" t="s">
        <v>31</v>
      </c>
      <c r="Q259" s="1" t="s">
        <v>71</v>
      </c>
      <c r="R259" s="1" t="s">
        <v>71</v>
      </c>
      <c r="S259" s="1" t="s">
        <v>72</v>
      </c>
      <c r="T259" s="1" t="s">
        <v>136</v>
      </c>
      <c r="U259" s="1">
        <v>1.00943277E8</v>
      </c>
      <c r="X259" s="1" t="s">
        <v>74</v>
      </c>
      <c r="Y259" s="1" t="s">
        <v>1239</v>
      </c>
      <c r="Z259" s="1" t="s">
        <v>37</v>
      </c>
    </row>
    <row r="260" hidden="1">
      <c r="A260" s="1" t="s">
        <v>1240</v>
      </c>
      <c r="B260" s="1" t="s">
        <v>315</v>
      </c>
      <c r="C260" s="1" t="s">
        <v>1241</v>
      </c>
      <c r="D260" s="1" t="s">
        <v>27</v>
      </c>
      <c r="E260" s="1" t="s">
        <v>28</v>
      </c>
      <c r="F260" s="2">
        <v>4000000.0</v>
      </c>
      <c r="G260" s="4">
        <v>44652.0</v>
      </c>
      <c r="H260" s="4">
        <f>IFERROR(__xludf.DUMMYFUNCTION("DATE(INDEX(SPLIT(G260,""/""),,3),INDEX(SPLIT(G260,""/""),,2),INDEX(SPLIT(G260,""/""),,1))"),44565.0)</f>
        <v>44565</v>
      </c>
      <c r="I260" s="1" t="s">
        <v>548</v>
      </c>
      <c r="J260" s="4">
        <f>IFERROR(__xludf.DUMMYFUNCTION("DATE(INDEX(SPLIT(I260,""/""),,3),INDEX(SPLIT(I260,""/""),,2),INDEX(SPLIT(I260,""/""),,1))"),44946.0)</f>
        <v>44946</v>
      </c>
      <c r="L260" s="1">
        <v>0.0</v>
      </c>
      <c r="M260" s="1" t="s">
        <v>318</v>
      </c>
      <c r="N260" s="1"/>
      <c r="O260" s="1" t="s">
        <v>30</v>
      </c>
      <c r="P260" s="1" t="s">
        <v>31</v>
      </c>
      <c r="Q260" s="1" t="s">
        <v>71</v>
      </c>
      <c r="R260" s="1" t="s">
        <v>71</v>
      </c>
      <c r="S260" s="1" t="s">
        <v>72</v>
      </c>
      <c r="T260" s="1" t="s">
        <v>73</v>
      </c>
      <c r="U260" s="1">
        <v>1.00654705E8</v>
      </c>
      <c r="X260" s="1" t="s">
        <v>74</v>
      </c>
      <c r="Y260" s="1" t="s">
        <v>318</v>
      </c>
      <c r="Z260" s="1" t="s">
        <v>37</v>
      </c>
    </row>
    <row r="261">
      <c r="A261" s="1" t="s">
        <v>1242</v>
      </c>
      <c r="B261" s="1" t="s">
        <v>308</v>
      </c>
      <c r="C261" s="1" t="s">
        <v>1243</v>
      </c>
      <c r="D261" s="1" t="s">
        <v>27</v>
      </c>
      <c r="E261" s="1" t="s">
        <v>28</v>
      </c>
      <c r="F261" s="2">
        <v>4000000.0</v>
      </c>
      <c r="G261" s="1" t="s">
        <v>1229</v>
      </c>
      <c r="H261" s="4">
        <f>IFERROR(__xludf.DUMMYFUNCTION("DATE(INDEX(SPLIT(G261,""/""),,3),INDEX(SPLIT(G261,""/""),,2),INDEX(SPLIT(G261,""/""),,1))"),44466.0)</f>
        <v>44466</v>
      </c>
      <c r="I261" s="1" t="s">
        <v>1244</v>
      </c>
      <c r="J261" s="4">
        <f>IFERROR(__xludf.DUMMYFUNCTION("DATE(INDEX(SPLIT(I261,""/""),,3),INDEX(SPLIT(I261,""/""),,2),INDEX(SPLIT(I261,""/""),,1))"),44742.0)</f>
        <v>44742</v>
      </c>
      <c r="L261" s="1">
        <v>0.0</v>
      </c>
      <c r="M261" s="1" t="s">
        <v>43</v>
      </c>
      <c r="N261" s="1"/>
      <c r="O261" s="1" t="s">
        <v>30</v>
      </c>
      <c r="P261" s="1" t="s">
        <v>31</v>
      </c>
      <c r="Q261" s="1" t="s">
        <v>32</v>
      </c>
      <c r="R261" s="1" t="s">
        <v>32</v>
      </c>
      <c r="S261" s="1" t="s">
        <v>33</v>
      </c>
      <c r="T261" s="1" t="s">
        <v>311</v>
      </c>
      <c r="U261" s="1">
        <v>1.00587944E8</v>
      </c>
      <c r="X261" s="1" t="s">
        <v>312</v>
      </c>
      <c r="Y261" s="1" t="s">
        <v>1231</v>
      </c>
      <c r="Z261" s="1" t="s">
        <v>37</v>
      </c>
    </row>
    <row r="262" hidden="1">
      <c r="A262" s="1" t="s">
        <v>1245</v>
      </c>
      <c r="B262" s="1" t="s">
        <v>1246</v>
      </c>
      <c r="C262" s="1" t="s">
        <v>1247</v>
      </c>
      <c r="D262" s="1" t="s">
        <v>27</v>
      </c>
      <c r="E262" s="1" t="s">
        <v>28</v>
      </c>
      <c r="F262" s="2">
        <v>4000000.0</v>
      </c>
      <c r="G262" s="4">
        <v>44657.0</v>
      </c>
      <c r="H262" s="4">
        <f>IFERROR(__xludf.DUMMYFUNCTION("DATE(INDEX(SPLIT(G262,""/""),,3),INDEX(SPLIT(G262,""/""),,2),INDEX(SPLIT(G262,""/""),,1))"),44716.0)</f>
        <v>44716</v>
      </c>
      <c r="I262" s="1" t="s">
        <v>281</v>
      </c>
      <c r="J262" s="4">
        <f>IFERROR(__xludf.DUMMYFUNCTION("DATE(INDEX(SPLIT(I262,""/""),,3),INDEX(SPLIT(I262,""/""),,2),INDEX(SPLIT(I262,""/""),,1))"),44865.0)</f>
        <v>44865</v>
      </c>
      <c r="L262" s="1">
        <v>0.0</v>
      </c>
      <c r="M262" s="1" t="s">
        <v>1248</v>
      </c>
      <c r="N262" s="1"/>
      <c r="O262" s="1" t="s">
        <v>30</v>
      </c>
      <c r="P262" s="1" t="s">
        <v>31</v>
      </c>
      <c r="Q262" s="1" t="s">
        <v>157</v>
      </c>
      <c r="R262" s="1" t="s">
        <v>157</v>
      </c>
      <c r="S262" s="1" t="s">
        <v>158</v>
      </c>
      <c r="T262" s="1" t="s">
        <v>159</v>
      </c>
      <c r="U262" s="1">
        <v>1.0059727E8</v>
      </c>
      <c r="X262" s="1" t="s">
        <v>117</v>
      </c>
      <c r="Y262" s="1" t="s">
        <v>1248</v>
      </c>
      <c r="Z262" s="1" t="s">
        <v>527</v>
      </c>
    </row>
    <row r="263" hidden="1">
      <c r="A263" s="1" t="s">
        <v>1249</v>
      </c>
      <c r="B263" s="1" t="s">
        <v>76</v>
      </c>
      <c r="C263" s="1" t="s">
        <v>1250</v>
      </c>
      <c r="D263" s="1" t="s">
        <v>78</v>
      </c>
      <c r="E263" s="1" t="s">
        <v>28</v>
      </c>
      <c r="F263" s="2">
        <v>4000000.0</v>
      </c>
      <c r="G263" s="1" t="s">
        <v>1251</v>
      </c>
      <c r="H263" s="4">
        <f>IFERROR(__xludf.DUMMYFUNCTION("DATE(INDEX(SPLIT(G263,""/""),,3),INDEX(SPLIT(G263,""/""),,2),INDEX(SPLIT(G263,""/""),,1))"),44454.0)</f>
        <v>44454</v>
      </c>
      <c r="I263" s="4">
        <v>44604.0</v>
      </c>
      <c r="J263" s="4">
        <f>IFERROR(__xludf.DUMMYFUNCTION("DATE(INDEX(SPLIT(I263,""/""),,3),INDEX(SPLIT(I263,""/""),,2),INDEX(SPLIT(I263,""/""),,1))"),44897.0)</f>
        <v>44897</v>
      </c>
      <c r="L263" s="1">
        <v>0.0</v>
      </c>
      <c r="M263" s="1" t="s">
        <v>79</v>
      </c>
      <c r="N263" s="1"/>
      <c r="O263" s="1" t="s">
        <v>30</v>
      </c>
      <c r="P263" s="1" t="s">
        <v>31</v>
      </c>
      <c r="Q263" s="1" t="s">
        <v>32</v>
      </c>
      <c r="R263" s="1" t="s">
        <v>32</v>
      </c>
      <c r="S263" s="1" t="s">
        <v>33</v>
      </c>
      <c r="T263" s="1" t="s">
        <v>34</v>
      </c>
      <c r="U263" s="1">
        <v>1.00609569E8</v>
      </c>
      <c r="X263" s="1" t="s">
        <v>81</v>
      </c>
      <c r="Y263" s="1" t="s">
        <v>79</v>
      </c>
      <c r="Z263" s="1" t="s">
        <v>37</v>
      </c>
    </row>
    <row r="264" hidden="1">
      <c r="A264" s="1" t="s">
        <v>1252</v>
      </c>
      <c r="B264" s="1" t="s">
        <v>1152</v>
      </c>
      <c r="C264" s="1" t="s">
        <v>1253</v>
      </c>
      <c r="D264" s="1" t="s">
        <v>27</v>
      </c>
      <c r="E264" s="1" t="s">
        <v>28</v>
      </c>
      <c r="F264" s="2">
        <v>4000000.0</v>
      </c>
      <c r="G264" s="4">
        <v>44595.0</v>
      </c>
      <c r="H264" s="4">
        <f>IFERROR(__xludf.DUMMYFUNCTION("DATE(INDEX(SPLIT(G264,""/""),,3),INDEX(SPLIT(G264,""/""),,2),INDEX(SPLIT(G264,""/""),,1))"),44622.0)</f>
        <v>44622</v>
      </c>
      <c r="I264" s="1" t="s">
        <v>85</v>
      </c>
      <c r="J264" s="4">
        <f>IFERROR(__xludf.DUMMYFUNCTION("DATE(INDEX(SPLIT(I264,""/""),,3),INDEX(SPLIT(I264,""/""),,2),INDEX(SPLIT(I264,""/""),,1))"),44799.0)</f>
        <v>44799</v>
      </c>
      <c r="L264" s="1">
        <v>0.0</v>
      </c>
      <c r="M264" s="1" t="s">
        <v>846</v>
      </c>
      <c r="N264" s="1"/>
      <c r="O264" s="1" t="s">
        <v>30</v>
      </c>
      <c r="P264" s="1" t="s">
        <v>31</v>
      </c>
      <c r="Q264" s="1" t="s">
        <v>157</v>
      </c>
      <c r="R264" s="1" t="s">
        <v>157</v>
      </c>
      <c r="S264" s="1" t="s">
        <v>158</v>
      </c>
      <c r="U264" s="1">
        <v>1.00584422E8</v>
      </c>
      <c r="X264" s="1" t="s">
        <v>125</v>
      </c>
      <c r="Y264" s="1" t="s">
        <v>1155</v>
      </c>
      <c r="Z264" s="1" t="s">
        <v>37</v>
      </c>
    </row>
    <row r="265" hidden="1">
      <c r="A265" s="1" t="s">
        <v>1254</v>
      </c>
      <c r="B265" s="1" t="s">
        <v>308</v>
      </c>
      <c r="C265" s="1" t="s">
        <v>1255</v>
      </c>
      <c r="D265" s="1" t="s">
        <v>27</v>
      </c>
      <c r="E265" s="1" t="s">
        <v>28</v>
      </c>
      <c r="F265" s="2">
        <v>4000000.0</v>
      </c>
      <c r="G265" s="1" t="s">
        <v>1229</v>
      </c>
      <c r="H265" s="4">
        <f>IFERROR(__xludf.DUMMYFUNCTION("DATE(INDEX(SPLIT(G265,""/""),,3),INDEX(SPLIT(G265,""/""),,2),INDEX(SPLIT(G265,""/""),,1))"),44466.0)</f>
        <v>44466</v>
      </c>
      <c r="I265" s="1" t="s">
        <v>42</v>
      </c>
      <c r="J265" s="4">
        <f>IFERROR(__xludf.DUMMYFUNCTION("DATE(INDEX(SPLIT(I265,""/""),,3),INDEX(SPLIT(I265,""/""),,2),INDEX(SPLIT(I265,""/""),,1))"),44926.0)</f>
        <v>44926</v>
      </c>
      <c r="L265" s="1">
        <v>0.0</v>
      </c>
      <c r="M265" s="1" t="s">
        <v>1230</v>
      </c>
      <c r="N265" s="1"/>
      <c r="O265" s="1" t="s">
        <v>30</v>
      </c>
      <c r="P265" s="1" t="s">
        <v>31</v>
      </c>
      <c r="Q265" s="1" t="s">
        <v>53</v>
      </c>
      <c r="R265" s="1" t="s">
        <v>53</v>
      </c>
      <c r="S265" s="1" t="s">
        <v>54</v>
      </c>
      <c r="U265" s="1">
        <v>1.01127868E8</v>
      </c>
      <c r="X265" s="1" t="s">
        <v>312</v>
      </c>
      <c r="Y265" s="1" t="s">
        <v>1231</v>
      </c>
      <c r="Z265" s="1" t="s">
        <v>37</v>
      </c>
    </row>
    <row r="266" hidden="1">
      <c r="A266" s="1" t="s">
        <v>1256</v>
      </c>
      <c r="B266" s="1" t="s">
        <v>1257</v>
      </c>
      <c r="C266" s="1" t="s">
        <v>1258</v>
      </c>
      <c r="D266" s="1" t="s">
        <v>27</v>
      </c>
      <c r="E266" s="1" t="s">
        <v>28</v>
      </c>
      <c r="F266" s="2">
        <v>4000000.0</v>
      </c>
      <c r="G266" s="1" t="s">
        <v>1259</v>
      </c>
      <c r="H266" s="4">
        <f>IFERROR(__xludf.DUMMYFUNCTION("DATE(INDEX(SPLIT(G266,""/""),,3),INDEX(SPLIT(G266,""/""),,2),INDEX(SPLIT(G266,""/""),,1))"),44763.0)</f>
        <v>44763</v>
      </c>
      <c r="I266" s="1" t="s">
        <v>42</v>
      </c>
      <c r="J266" s="4">
        <f>IFERROR(__xludf.DUMMYFUNCTION("DATE(INDEX(SPLIT(I266,""/""),,3),INDEX(SPLIT(I266,""/""),,2),INDEX(SPLIT(I266,""/""),,1))"),44926.0)</f>
        <v>44926</v>
      </c>
      <c r="L266" s="1">
        <v>0.0</v>
      </c>
      <c r="M266" s="1" t="s">
        <v>1260</v>
      </c>
      <c r="N266" s="1"/>
      <c r="O266" s="1" t="s">
        <v>30</v>
      </c>
      <c r="P266" s="1" t="s">
        <v>31</v>
      </c>
      <c r="Q266" s="1" t="s">
        <v>228</v>
      </c>
      <c r="R266" s="1" t="s">
        <v>228</v>
      </c>
      <c r="S266" s="1" t="s">
        <v>229</v>
      </c>
      <c r="U266" s="1">
        <v>1.01211068E8</v>
      </c>
      <c r="V266" s="1" t="s">
        <v>1261</v>
      </c>
      <c r="W266" s="1" t="s">
        <v>199</v>
      </c>
      <c r="X266" s="1" t="s">
        <v>81</v>
      </c>
      <c r="Y266" s="1" t="s">
        <v>1262</v>
      </c>
      <c r="Z266" s="1" t="s">
        <v>37</v>
      </c>
    </row>
    <row r="267">
      <c r="A267" s="1" t="s">
        <v>1263</v>
      </c>
      <c r="B267" s="1" t="s">
        <v>308</v>
      </c>
      <c r="C267" s="1" t="s">
        <v>1264</v>
      </c>
      <c r="D267" s="1" t="s">
        <v>27</v>
      </c>
      <c r="E267" s="1" t="s">
        <v>28</v>
      </c>
      <c r="F267" s="2">
        <v>4000000.0</v>
      </c>
      <c r="G267" s="1" t="s">
        <v>1229</v>
      </c>
      <c r="H267" s="4">
        <f>IFERROR(__xludf.DUMMYFUNCTION("DATE(INDEX(SPLIT(G267,""/""),,3),INDEX(SPLIT(G267,""/""),,2),INDEX(SPLIT(G267,""/""),,1))"),44466.0)</f>
        <v>44466</v>
      </c>
      <c r="I267" s="1" t="s">
        <v>1244</v>
      </c>
      <c r="J267" s="4">
        <f>IFERROR(__xludf.DUMMYFUNCTION("DATE(INDEX(SPLIT(I267,""/""),,3),INDEX(SPLIT(I267,""/""),,2),INDEX(SPLIT(I267,""/""),,1))"),44742.0)</f>
        <v>44742</v>
      </c>
      <c r="L267" s="1">
        <v>0.0</v>
      </c>
      <c r="M267" s="1" t="s">
        <v>43</v>
      </c>
      <c r="N267" s="1"/>
      <c r="O267" s="1" t="s">
        <v>30</v>
      </c>
      <c r="P267" s="1" t="s">
        <v>31</v>
      </c>
      <c r="Q267" s="1" t="s">
        <v>32</v>
      </c>
      <c r="R267" s="1" t="s">
        <v>32</v>
      </c>
      <c r="S267" s="1" t="s">
        <v>33</v>
      </c>
      <c r="T267" s="1" t="s">
        <v>103</v>
      </c>
      <c r="U267" s="1">
        <v>1.00587944E8</v>
      </c>
      <c r="X267" s="1" t="s">
        <v>312</v>
      </c>
      <c r="Y267" s="1" t="s">
        <v>1231</v>
      </c>
      <c r="Z267" s="1" t="s">
        <v>37</v>
      </c>
    </row>
    <row r="268" hidden="1">
      <c r="A268" s="1" t="s">
        <v>1265</v>
      </c>
      <c r="B268" s="1" t="s">
        <v>308</v>
      </c>
      <c r="C268" s="1" t="s">
        <v>1266</v>
      </c>
      <c r="D268" s="1" t="s">
        <v>27</v>
      </c>
      <c r="E268" s="1" t="s">
        <v>28</v>
      </c>
      <c r="F268" s="2">
        <v>4000000.0</v>
      </c>
      <c r="G268" s="4">
        <v>43840.0</v>
      </c>
      <c r="H268" s="4">
        <f>IFERROR(__xludf.DUMMYFUNCTION("DATE(INDEX(SPLIT(G268,""/""),,3),INDEX(SPLIT(G268,""/""),,2),INDEX(SPLIT(G268,""/""),,1))"),44105.0)</f>
        <v>44105</v>
      </c>
      <c r="I268" s="1" t="s">
        <v>683</v>
      </c>
      <c r="J268" s="4">
        <f>IFERROR(__xludf.DUMMYFUNCTION("DATE(INDEX(SPLIT(I268,""/""),,3),INDEX(SPLIT(I268,""/""),,2),INDEX(SPLIT(I268,""/""),,1))"),45015.0)</f>
        <v>45015</v>
      </c>
      <c r="L268" s="1">
        <v>0.0</v>
      </c>
      <c r="M268" s="1" t="s">
        <v>313</v>
      </c>
      <c r="N268" s="1"/>
      <c r="O268" s="1" t="s">
        <v>30</v>
      </c>
      <c r="P268" s="1" t="s">
        <v>31</v>
      </c>
      <c r="Q268" s="1" t="s">
        <v>32</v>
      </c>
      <c r="R268" s="1" t="s">
        <v>32</v>
      </c>
      <c r="S268" s="1" t="s">
        <v>33</v>
      </c>
      <c r="T268" s="1" t="s">
        <v>62</v>
      </c>
      <c r="U268" s="1">
        <v>1.00608155E8</v>
      </c>
      <c r="X268" s="1" t="s">
        <v>312</v>
      </c>
      <c r="Y268" s="1" t="s">
        <v>313</v>
      </c>
      <c r="Z268" s="1" t="s">
        <v>37</v>
      </c>
    </row>
    <row r="269" hidden="1">
      <c r="A269" s="1" t="s">
        <v>1267</v>
      </c>
      <c r="B269" s="1" t="s">
        <v>66</v>
      </c>
      <c r="C269" s="1" t="s">
        <v>1268</v>
      </c>
      <c r="D269" s="1" t="s">
        <v>27</v>
      </c>
      <c r="E269" s="1" t="s">
        <v>28</v>
      </c>
      <c r="F269" s="2">
        <v>4000000.0</v>
      </c>
      <c r="G269" s="4">
        <v>44502.0</v>
      </c>
      <c r="H269" s="4">
        <f>IFERROR(__xludf.DUMMYFUNCTION("DATE(INDEX(SPLIT(G269,""/""),,3),INDEX(SPLIT(G269,""/""),,2),INDEX(SPLIT(G269,""/""),,1))"),44238.0)</f>
        <v>44238</v>
      </c>
      <c r="I269" s="1" t="s">
        <v>1269</v>
      </c>
      <c r="J269" s="4">
        <f>IFERROR(__xludf.DUMMYFUNCTION("DATE(INDEX(SPLIT(I269,""/""),,3),INDEX(SPLIT(I269,""/""),,2),INDEX(SPLIT(I269,""/""),,1))"),45000.0)</f>
        <v>45000</v>
      </c>
      <c r="L269" s="1">
        <v>0.0</v>
      </c>
      <c r="M269" s="1" t="s">
        <v>318</v>
      </c>
      <c r="N269" s="1"/>
      <c r="O269" s="1" t="s">
        <v>30</v>
      </c>
      <c r="P269" s="1" t="s">
        <v>31</v>
      </c>
      <c r="Q269" s="1" t="s">
        <v>71</v>
      </c>
      <c r="R269" s="1" t="s">
        <v>71</v>
      </c>
      <c r="S269" s="1" t="s">
        <v>72</v>
      </c>
      <c r="T269" s="1" t="s">
        <v>73</v>
      </c>
      <c r="U269" s="1">
        <v>1.00654705E8</v>
      </c>
      <c r="X269" s="1" t="s">
        <v>74</v>
      </c>
      <c r="Y269" s="1" t="s">
        <v>318</v>
      </c>
      <c r="Z269" s="1" t="s">
        <v>37</v>
      </c>
    </row>
    <row r="270" hidden="1">
      <c r="A270" s="1" t="s">
        <v>1270</v>
      </c>
      <c r="B270" s="1" t="s">
        <v>774</v>
      </c>
      <c r="C270" s="1" t="s">
        <v>1271</v>
      </c>
      <c r="D270" s="1" t="s">
        <v>27</v>
      </c>
      <c r="E270" s="1" t="s">
        <v>28</v>
      </c>
      <c r="F270" s="2">
        <v>4000000.0</v>
      </c>
      <c r="G270" s="4">
        <v>44173.0</v>
      </c>
      <c r="H270" s="4">
        <f>IFERROR(__xludf.DUMMYFUNCTION("DATE(INDEX(SPLIT(G270,""/""),,3),INDEX(SPLIT(G270,""/""),,2),INDEX(SPLIT(G270,""/""),,1))"),44055.0)</f>
        <v>44055</v>
      </c>
      <c r="I270" s="1" t="s">
        <v>1097</v>
      </c>
      <c r="J270" s="4">
        <f>IFERROR(__xludf.DUMMYFUNCTION("DATE(INDEX(SPLIT(I270,""/""),,3),INDEX(SPLIT(I270,""/""),,2),INDEX(SPLIT(I270,""/""),,1))"),45107.0)</f>
        <v>45107</v>
      </c>
      <c r="L270" s="1">
        <v>0.0</v>
      </c>
      <c r="M270" s="1" t="s">
        <v>259</v>
      </c>
      <c r="N270" s="1"/>
      <c r="O270" s="1" t="s">
        <v>30</v>
      </c>
      <c r="P270" s="1" t="s">
        <v>31</v>
      </c>
      <c r="Q270" s="1" t="s">
        <v>95</v>
      </c>
      <c r="R270" s="1" t="s">
        <v>95</v>
      </c>
      <c r="S270" s="1" t="s">
        <v>96</v>
      </c>
      <c r="T270" s="1" t="s">
        <v>260</v>
      </c>
      <c r="U270" s="1">
        <v>1.00659114E8</v>
      </c>
      <c r="X270" s="1" t="s">
        <v>239</v>
      </c>
      <c r="Y270" s="1" t="s">
        <v>608</v>
      </c>
      <c r="Z270" s="1" t="s">
        <v>37</v>
      </c>
    </row>
    <row r="271" hidden="1">
      <c r="A271" s="1" t="s">
        <v>1272</v>
      </c>
      <c r="B271" s="1" t="s">
        <v>127</v>
      </c>
      <c r="C271" s="1" t="s">
        <v>1273</v>
      </c>
      <c r="D271" s="1" t="s">
        <v>27</v>
      </c>
      <c r="E271" s="1" t="s">
        <v>28</v>
      </c>
      <c r="F271" s="2">
        <v>4000000.0</v>
      </c>
      <c r="G271" s="1" t="s">
        <v>129</v>
      </c>
      <c r="H271" s="4">
        <f>IFERROR(__xludf.DUMMYFUNCTION("DATE(INDEX(SPLIT(G271,""/""),,3),INDEX(SPLIT(G271,""/""),,2),INDEX(SPLIT(G271,""/""),,1))"),44088.0)</f>
        <v>44088</v>
      </c>
      <c r="I271" s="4">
        <v>44988.0</v>
      </c>
      <c r="J271" s="4">
        <f>IFERROR(__xludf.DUMMYFUNCTION("DATE(INDEX(SPLIT(I271,""/""),,3),INDEX(SPLIT(I271,""/""),,2),INDEX(SPLIT(I271,""/""),,1))"),44988.0)</f>
        <v>44988</v>
      </c>
      <c r="L271" s="1">
        <v>0.0</v>
      </c>
      <c r="M271" s="1" t="s">
        <v>79</v>
      </c>
      <c r="N271" s="1"/>
      <c r="O271" s="1" t="s">
        <v>30</v>
      </c>
      <c r="P271" s="1" t="s">
        <v>31</v>
      </c>
      <c r="Q271" s="1" t="s">
        <v>32</v>
      </c>
      <c r="R271" s="1" t="s">
        <v>32</v>
      </c>
      <c r="S271" s="1" t="s">
        <v>33</v>
      </c>
      <c r="T271" s="1" t="s">
        <v>159</v>
      </c>
      <c r="U271" s="1">
        <v>1.00609569E8</v>
      </c>
      <c r="X271" s="1" t="s">
        <v>81</v>
      </c>
      <c r="Y271" s="1" t="s">
        <v>79</v>
      </c>
      <c r="Z271" s="1" t="s">
        <v>37</v>
      </c>
    </row>
    <row r="272" hidden="1">
      <c r="A272" s="1" t="s">
        <v>1274</v>
      </c>
      <c r="B272" s="1" t="s">
        <v>1275</v>
      </c>
      <c r="C272" s="1" t="s">
        <v>209</v>
      </c>
      <c r="D272" s="1" t="s">
        <v>68</v>
      </c>
      <c r="E272" s="1" t="s">
        <v>28</v>
      </c>
      <c r="F272" s="2">
        <v>4000000.0</v>
      </c>
      <c r="G272" s="1" t="s">
        <v>210</v>
      </c>
      <c r="H272" s="4">
        <f>IFERROR(__xludf.DUMMYFUNCTION("DATE(INDEX(SPLIT(G272,""/""),,3),INDEX(SPLIT(G272,""/""),,2),INDEX(SPLIT(G272,""/""),,1))"),44329.0)</f>
        <v>44329</v>
      </c>
      <c r="I272" s="1" t="s">
        <v>130</v>
      </c>
      <c r="J272" s="4">
        <f>IFERROR(__xludf.DUMMYFUNCTION("DATE(INDEX(SPLIT(I272,""/""),,3),INDEX(SPLIT(I272,""/""),,2),INDEX(SPLIT(I272,""/""),,1))"),44804.0)</f>
        <v>44804</v>
      </c>
      <c r="L272" s="1">
        <v>0.0</v>
      </c>
      <c r="M272" s="1" t="s">
        <v>211</v>
      </c>
      <c r="N272" s="1"/>
      <c r="O272" s="1" t="s">
        <v>30</v>
      </c>
      <c r="P272" s="1" t="s">
        <v>31</v>
      </c>
      <c r="Q272" s="1" t="s">
        <v>71</v>
      </c>
      <c r="R272" s="1" t="s">
        <v>71</v>
      </c>
      <c r="S272" s="1" t="s">
        <v>72</v>
      </c>
      <c r="T272" s="1" t="s">
        <v>136</v>
      </c>
      <c r="U272" s="1">
        <v>1.00590896E8</v>
      </c>
      <c r="X272" s="1" t="s">
        <v>74</v>
      </c>
      <c r="Y272" s="1" t="s">
        <v>212</v>
      </c>
      <c r="Z272" s="1" t="s">
        <v>37</v>
      </c>
    </row>
    <row r="273" hidden="1">
      <c r="A273" s="1" t="s">
        <v>1276</v>
      </c>
      <c r="B273" s="1" t="s">
        <v>1277</v>
      </c>
      <c r="C273" s="1" t="s">
        <v>1278</v>
      </c>
      <c r="D273" s="1" t="s">
        <v>78</v>
      </c>
      <c r="E273" s="1" t="s">
        <v>28</v>
      </c>
      <c r="F273" s="2">
        <v>4000000.0</v>
      </c>
      <c r="G273" s="4">
        <v>44480.0</v>
      </c>
      <c r="H273" s="4">
        <f>IFERROR(__xludf.DUMMYFUNCTION("DATE(INDEX(SPLIT(G273,""/""),,3),INDEX(SPLIT(G273,""/""),,2),INDEX(SPLIT(G273,""/""),,1))"),44510.0)</f>
        <v>44510</v>
      </c>
      <c r="I273" s="1" t="s">
        <v>921</v>
      </c>
      <c r="J273" s="4">
        <f>IFERROR(__xludf.DUMMYFUNCTION("DATE(INDEX(SPLIT(I273,""/""),,3),INDEX(SPLIT(I273,""/""),,2),INDEX(SPLIT(I273,""/""),,1))"),44981.0)</f>
        <v>44981</v>
      </c>
      <c r="L273" s="1">
        <v>0.0</v>
      </c>
      <c r="M273" s="1" t="s">
        <v>1200</v>
      </c>
      <c r="N273" s="1"/>
      <c r="O273" s="1" t="s">
        <v>30</v>
      </c>
      <c r="P273" s="1" t="s">
        <v>31</v>
      </c>
      <c r="Q273" s="1" t="s">
        <v>235</v>
      </c>
      <c r="R273" s="1" t="s">
        <v>235</v>
      </c>
      <c r="S273" s="1" t="s">
        <v>236</v>
      </c>
      <c r="T273" s="1" t="s">
        <v>438</v>
      </c>
      <c r="U273" s="1">
        <v>1.00586959E8</v>
      </c>
      <c r="X273" s="1" t="s">
        <v>88</v>
      </c>
      <c r="Y273" s="1" t="s">
        <v>1200</v>
      </c>
      <c r="Z273" s="1" t="s">
        <v>37</v>
      </c>
    </row>
    <row r="274">
      <c r="A274" s="1" t="s">
        <v>1279</v>
      </c>
      <c r="B274" s="1" t="s">
        <v>308</v>
      </c>
      <c r="C274" s="1" t="s">
        <v>1280</v>
      </c>
      <c r="D274" s="1" t="s">
        <v>27</v>
      </c>
      <c r="E274" s="1" t="s">
        <v>28</v>
      </c>
      <c r="F274" s="2">
        <v>4000000.0</v>
      </c>
      <c r="G274" s="1" t="s">
        <v>1281</v>
      </c>
      <c r="H274" s="4">
        <f>IFERROR(__xludf.DUMMYFUNCTION("DATE(INDEX(SPLIT(G274,""/""),,3),INDEX(SPLIT(G274,""/""),,2),INDEX(SPLIT(G274,""/""),,1))"),44469.0)</f>
        <v>44469</v>
      </c>
      <c r="I274" s="1" t="s">
        <v>1244</v>
      </c>
      <c r="J274" s="4">
        <f>IFERROR(__xludf.DUMMYFUNCTION("DATE(INDEX(SPLIT(I274,""/""),,3),INDEX(SPLIT(I274,""/""),,2),INDEX(SPLIT(I274,""/""),,1))"),44742.0)</f>
        <v>44742</v>
      </c>
      <c r="L274" s="1">
        <v>0.0</v>
      </c>
      <c r="M274" s="1" t="s">
        <v>43</v>
      </c>
      <c r="N274" s="1"/>
      <c r="O274" s="1" t="s">
        <v>30</v>
      </c>
      <c r="P274" s="1" t="s">
        <v>31</v>
      </c>
      <c r="Q274" s="1" t="s">
        <v>32</v>
      </c>
      <c r="R274" s="1" t="s">
        <v>32</v>
      </c>
      <c r="S274" s="1" t="s">
        <v>33</v>
      </c>
      <c r="T274" s="1" t="s">
        <v>103</v>
      </c>
      <c r="U274" s="1">
        <v>1.00587944E8</v>
      </c>
      <c r="X274" s="1" t="s">
        <v>312</v>
      </c>
      <c r="Y274" s="1" t="s">
        <v>1231</v>
      </c>
      <c r="Z274" s="1" t="s">
        <v>37</v>
      </c>
    </row>
    <row r="275">
      <c r="A275" s="1" t="s">
        <v>1282</v>
      </c>
      <c r="B275" s="1" t="s">
        <v>793</v>
      </c>
      <c r="C275" s="1" t="s">
        <v>1283</v>
      </c>
      <c r="D275" s="1" t="s">
        <v>27</v>
      </c>
      <c r="E275" s="1" t="s">
        <v>28</v>
      </c>
      <c r="F275" s="2">
        <v>4000000.0</v>
      </c>
      <c r="G275" s="4">
        <v>44538.0</v>
      </c>
      <c r="H275" s="4">
        <f>IFERROR(__xludf.DUMMYFUNCTION("DATE(INDEX(SPLIT(G275,""/""),,3),INDEX(SPLIT(G275,""/""),,2),INDEX(SPLIT(G275,""/""),,1))"),44420.0)</f>
        <v>44420</v>
      </c>
      <c r="I275" s="1" t="s">
        <v>69</v>
      </c>
      <c r="J275" s="4">
        <f>IFERROR(__xludf.DUMMYFUNCTION("DATE(INDEX(SPLIT(I275,""/""),,3),INDEX(SPLIT(I275,""/""),,2),INDEX(SPLIT(I275,""/""),,1))"),44773.0)</f>
        <v>44773</v>
      </c>
      <c r="L275" s="1">
        <v>0.0</v>
      </c>
      <c r="M275" s="1" t="s">
        <v>830</v>
      </c>
      <c r="N275" s="1"/>
      <c r="O275" s="1" t="s">
        <v>30</v>
      </c>
      <c r="P275" s="1" t="s">
        <v>31</v>
      </c>
      <c r="Q275" s="1" t="s">
        <v>32</v>
      </c>
      <c r="R275" s="1" t="s">
        <v>32</v>
      </c>
      <c r="S275" s="1" t="s">
        <v>33</v>
      </c>
      <c r="T275" s="1" t="s">
        <v>402</v>
      </c>
      <c r="U275" s="1">
        <v>1.00621724E8</v>
      </c>
      <c r="X275" s="1" t="s">
        <v>117</v>
      </c>
      <c r="Y275" s="1" t="s">
        <v>1284</v>
      </c>
      <c r="Z275" s="1" t="s">
        <v>206</v>
      </c>
    </row>
    <row r="276" hidden="1">
      <c r="A276" s="1" t="s">
        <v>1285</v>
      </c>
      <c r="B276" s="1" t="s">
        <v>1286</v>
      </c>
      <c r="C276" s="1" t="s">
        <v>1287</v>
      </c>
      <c r="D276" s="1" t="s">
        <v>78</v>
      </c>
      <c r="E276" s="1" t="s">
        <v>28</v>
      </c>
      <c r="F276" s="2">
        <v>4000000.0</v>
      </c>
      <c r="G276" s="1" t="s">
        <v>1288</v>
      </c>
      <c r="H276" s="4">
        <f>IFERROR(__xludf.DUMMYFUNCTION("DATE(INDEX(SPLIT(G276,""/""),,3),INDEX(SPLIT(G276,""/""),,2),INDEX(SPLIT(G276,""/""),,1))"),44707.0)</f>
        <v>44707</v>
      </c>
      <c r="I276" s="1" t="s">
        <v>130</v>
      </c>
      <c r="J276" s="4">
        <f>IFERROR(__xludf.DUMMYFUNCTION("DATE(INDEX(SPLIT(I276,""/""),,3),INDEX(SPLIT(I276,""/""),,2),INDEX(SPLIT(I276,""/""),,1))"),44804.0)</f>
        <v>44804</v>
      </c>
      <c r="L276" s="1">
        <v>0.0</v>
      </c>
      <c r="M276" s="1" t="s">
        <v>482</v>
      </c>
      <c r="N276" s="1"/>
      <c r="O276" s="1" t="s">
        <v>30</v>
      </c>
      <c r="P276" s="1" t="s">
        <v>31</v>
      </c>
      <c r="Q276" s="1" t="s">
        <v>95</v>
      </c>
      <c r="R276" s="1" t="s">
        <v>95</v>
      </c>
      <c r="S276" s="1" t="s">
        <v>96</v>
      </c>
      <c r="T276" s="1" t="s">
        <v>311</v>
      </c>
      <c r="U276" s="1">
        <v>1.00657929E8</v>
      </c>
      <c r="X276" s="1" t="s">
        <v>312</v>
      </c>
      <c r="Y276" s="1" t="s">
        <v>1289</v>
      </c>
      <c r="Z276" s="1" t="s">
        <v>37</v>
      </c>
    </row>
    <row r="277">
      <c r="A277" s="1" t="s">
        <v>1290</v>
      </c>
      <c r="B277" s="1" t="s">
        <v>1291</v>
      </c>
      <c r="C277" s="1" t="s">
        <v>1292</v>
      </c>
      <c r="D277" s="1" t="s">
        <v>78</v>
      </c>
      <c r="E277" s="1" t="s">
        <v>28</v>
      </c>
      <c r="F277" s="2">
        <v>4000000.0</v>
      </c>
      <c r="G277" s="1" t="s">
        <v>518</v>
      </c>
      <c r="H277" s="4">
        <f>IFERROR(__xludf.DUMMYFUNCTION("DATE(INDEX(SPLIT(G277,""/""),,3),INDEX(SPLIT(G277,""/""),,2),INDEX(SPLIT(G277,""/""),,1))"),44757.0)</f>
        <v>44757</v>
      </c>
      <c r="I277" s="1" t="s">
        <v>226</v>
      </c>
      <c r="J277" s="4">
        <f>IFERROR(__xludf.DUMMYFUNCTION("DATE(INDEX(SPLIT(I277,""/""),,3),INDEX(SPLIT(I277,""/""),,2),INDEX(SPLIT(I277,""/""),,1))"),44771.0)</f>
        <v>44771</v>
      </c>
      <c r="L277" s="1">
        <v>0.0</v>
      </c>
      <c r="M277" s="1" t="s">
        <v>494</v>
      </c>
      <c r="N277" s="1"/>
      <c r="O277" s="1" t="s">
        <v>30</v>
      </c>
      <c r="P277" s="1" t="s">
        <v>31</v>
      </c>
      <c r="Q277" s="1" t="s">
        <v>95</v>
      </c>
      <c r="R277" s="1" t="s">
        <v>95</v>
      </c>
      <c r="S277" s="1" t="s">
        <v>96</v>
      </c>
      <c r="T277" s="1" t="s">
        <v>311</v>
      </c>
      <c r="U277" s="1">
        <v>1.0062347E8</v>
      </c>
      <c r="X277" s="1" t="s">
        <v>312</v>
      </c>
      <c r="Y277" s="1" t="s">
        <v>1293</v>
      </c>
      <c r="Z277" s="1" t="s">
        <v>37</v>
      </c>
    </row>
    <row r="278">
      <c r="A278" s="1" t="s">
        <v>1294</v>
      </c>
      <c r="B278" s="1" t="s">
        <v>1295</v>
      </c>
      <c r="C278" s="1" t="s">
        <v>1296</v>
      </c>
      <c r="D278" s="1" t="s">
        <v>27</v>
      </c>
      <c r="E278" s="1" t="s">
        <v>28</v>
      </c>
      <c r="F278" s="2">
        <v>4000000.0</v>
      </c>
      <c r="G278" s="4">
        <v>44568.0</v>
      </c>
      <c r="H278" s="4">
        <f>IFERROR(__xludf.DUMMYFUNCTION("DATE(INDEX(SPLIT(G278,""/""),,3),INDEX(SPLIT(G278,""/""),,2),INDEX(SPLIT(G278,""/""),,1))"),44743.0)</f>
        <v>44743</v>
      </c>
      <c r="I278" s="1" t="s">
        <v>69</v>
      </c>
      <c r="J278" s="4">
        <f>IFERROR(__xludf.DUMMYFUNCTION("DATE(INDEX(SPLIT(I278,""/""),,3),INDEX(SPLIT(I278,""/""),,2),INDEX(SPLIT(I278,""/""),,1))"),44773.0)</f>
        <v>44773</v>
      </c>
      <c r="L278" s="1">
        <v>0.0</v>
      </c>
      <c r="M278" s="1" t="s">
        <v>1297</v>
      </c>
      <c r="N278" s="1"/>
      <c r="O278" s="1" t="s">
        <v>30</v>
      </c>
      <c r="P278" s="1" t="s">
        <v>31</v>
      </c>
      <c r="Q278" s="1" t="s">
        <v>188</v>
      </c>
      <c r="R278" s="1" t="s">
        <v>188</v>
      </c>
      <c r="S278" s="1" t="s">
        <v>189</v>
      </c>
      <c r="U278" s="1">
        <v>1.00622378E8</v>
      </c>
      <c r="X278" s="1" t="s">
        <v>98</v>
      </c>
      <c r="Y278" s="1" t="s">
        <v>1298</v>
      </c>
      <c r="Z278" s="1" t="s">
        <v>37</v>
      </c>
    </row>
    <row r="279" hidden="1">
      <c r="A279" s="1" t="s">
        <v>1299</v>
      </c>
      <c r="B279" s="1" t="s">
        <v>1300</v>
      </c>
      <c r="C279" s="1" t="s">
        <v>1301</v>
      </c>
      <c r="D279" s="1" t="s">
        <v>78</v>
      </c>
      <c r="E279" s="1" t="s">
        <v>28</v>
      </c>
      <c r="F279" s="2">
        <v>4000000.0</v>
      </c>
      <c r="G279" s="1" t="s">
        <v>1302</v>
      </c>
      <c r="H279" s="4">
        <f>IFERROR(__xludf.DUMMYFUNCTION("DATE(INDEX(SPLIT(G279,""/""),,3),INDEX(SPLIT(G279,""/""),,2),INDEX(SPLIT(G279,""/""),,1))"),44589.0)</f>
        <v>44589</v>
      </c>
      <c r="I279" s="1" t="s">
        <v>203</v>
      </c>
      <c r="J279" s="4">
        <f>IFERROR(__xludf.DUMMYFUNCTION("DATE(INDEX(SPLIT(I279,""/""),,3),INDEX(SPLIT(I279,""/""),,2),INDEX(SPLIT(I279,""/""),,1))"),44925.0)</f>
        <v>44925</v>
      </c>
      <c r="L279" s="1">
        <v>0.0</v>
      </c>
      <c r="M279" s="1" t="s">
        <v>1303</v>
      </c>
      <c r="N279" s="1"/>
      <c r="O279" s="1" t="s">
        <v>30</v>
      </c>
      <c r="P279" s="1" t="s">
        <v>31</v>
      </c>
      <c r="Q279" s="1" t="s">
        <v>235</v>
      </c>
      <c r="R279" s="1" t="s">
        <v>235</v>
      </c>
      <c r="S279" s="1" t="s">
        <v>236</v>
      </c>
      <c r="T279" s="1" t="s">
        <v>438</v>
      </c>
      <c r="U279" s="1">
        <v>1.00609073E8</v>
      </c>
      <c r="X279" s="1" t="s">
        <v>88</v>
      </c>
      <c r="Y279" s="1" t="s">
        <v>1304</v>
      </c>
      <c r="Z279" s="1" t="s">
        <v>37</v>
      </c>
    </row>
    <row r="280" hidden="1">
      <c r="A280" s="1" t="s">
        <v>1305</v>
      </c>
      <c r="B280" s="1" t="s">
        <v>83</v>
      </c>
      <c r="C280" s="1" t="s">
        <v>1306</v>
      </c>
      <c r="D280" s="1" t="s">
        <v>78</v>
      </c>
      <c r="E280" s="1" t="s">
        <v>28</v>
      </c>
      <c r="F280" s="2">
        <v>4000000.0</v>
      </c>
      <c r="G280" s="1" t="s">
        <v>472</v>
      </c>
      <c r="H280" s="4">
        <f>IFERROR(__xludf.DUMMYFUNCTION("DATE(INDEX(SPLIT(G280,""/""),,3),INDEX(SPLIT(G280,""/""),,2),INDEX(SPLIT(G280,""/""),,1))"),44760.0)</f>
        <v>44760</v>
      </c>
      <c r="I280" s="1" t="s">
        <v>130</v>
      </c>
      <c r="J280" s="4">
        <f>IFERROR(__xludf.DUMMYFUNCTION("DATE(INDEX(SPLIT(I280,""/""),,3),INDEX(SPLIT(I280,""/""),,2),INDEX(SPLIT(I280,""/""),,1))"),44804.0)</f>
        <v>44804</v>
      </c>
      <c r="L280" s="1">
        <v>0.0</v>
      </c>
      <c r="M280" s="1" t="s">
        <v>1307</v>
      </c>
      <c r="N280" s="1"/>
      <c r="O280" s="1" t="s">
        <v>30</v>
      </c>
      <c r="P280" s="1" t="s">
        <v>31</v>
      </c>
      <c r="Q280" s="1" t="s">
        <v>235</v>
      </c>
      <c r="R280" s="1" t="s">
        <v>235</v>
      </c>
      <c r="S280" s="1" t="s">
        <v>236</v>
      </c>
      <c r="T280" s="1" t="s">
        <v>1308</v>
      </c>
      <c r="U280" s="1">
        <v>1.00585952E8</v>
      </c>
      <c r="X280" s="1" t="s">
        <v>88</v>
      </c>
      <c r="Y280" s="1" t="s">
        <v>1309</v>
      </c>
      <c r="Z280" s="1" t="s">
        <v>37</v>
      </c>
    </row>
    <row r="281" hidden="1">
      <c r="A281" s="1" t="s">
        <v>1310</v>
      </c>
      <c r="B281" s="1" t="s">
        <v>975</v>
      </c>
      <c r="C281" s="1" t="s">
        <v>1311</v>
      </c>
      <c r="D281" s="1" t="s">
        <v>122</v>
      </c>
      <c r="E281" s="1" t="s">
        <v>28</v>
      </c>
      <c r="F281" s="2">
        <v>3900000.0</v>
      </c>
      <c r="G281" s="4">
        <v>44687.0</v>
      </c>
      <c r="H281" s="4">
        <f>IFERROR(__xludf.DUMMYFUNCTION("DATE(INDEX(SPLIT(G281,""/""),,3),INDEX(SPLIT(G281,""/""),,2),INDEX(SPLIT(G281,""/""),,1))"),44717.0)</f>
        <v>44717</v>
      </c>
      <c r="I281" s="1" t="s">
        <v>1312</v>
      </c>
      <c r="J281" s="4">
        <f>IFERROR(__xludf.DUMMYFUNCTION("DATE(INDEX(SPLIT(I281,""/""),,3),INDEX(SPLIT(I281,""/""),,2),INDEX(SPLIT(I281,""/""),,1))"),44791.0)</f>
        <v>44791</v>
      </c>
      <c r="L281" s="1">
        <v>0.0</v>
      </c>
      <c r="M281" s="1" t="s">
        <v>979</v>
      </c>
      <c r="N281" s="1"/>
      <c r="O281" s="1" t="s">
        <v>30</v>
      </c>
      <c r="P281" s="1" t="s">
        <v>31</v>
      </c>
      <c r="Q281" s="1" t="s">
        <v>235</v>
      </c>
      <c r="R281" s="1" t="s">
        <v>235</v>
      </c>
      <c r="S281" s="1" t="s">
        <v>236</v>
      </c>
      <c r="T281" s="1" t="s">
        <v>438</v>
      </c>
      <c r="U281" s="1">
        <v>1.00647262E8</v>
      </c>
      <c r="X281" s="1" t="s">
        <v>88</v>
      </c>
      <c r="Y281" s="1" t="s">
        <v>1313</v>
      </c>
      <c r="Z281" s="1" t="s">
        <v>37</v>
      </c>
    </row>
    <row r="282">
      <c r="A282" s="1" t="s">
        <v>1314</v>
      </c>
      <c r="B282" s="1" t="s">
        <v>1286</v>
      </c>
      <c r="C282" s="1" t="s">
        <v>1315</v>
      </c>
      <c r="D282" s="1" t="s">
        <v>78</v>
      </c>
      <c r="E282" s="1" t="s">
        <v>28</v>
      </c>
      <c r="F282" s="2">
        <v>3800000.0</v>
      </c>
      <c r="G282" s="1" t="s">
        <v>225</v>
      </c>
      <c r="H282" s="4">
        <f>IFERROR(__xludf.DUMMYFUNCTION("DATE(INDEX(SPLIT(G282,""/""),,3),INDEX(SPLIT(G282,""/""),,2),INDEX(SPLIT(G282,""/""),,1))"),44518.0)</f>
        <v>44518</v>
      </c>
      <c r="I282" s="1" t="s">
        <v>69</v>
      </c>
      <c r="J282" s="4">
        <f>IFERROR(__xludf.DUMMYFUNCTION("DATE(INDEX(SPLIT(I282,""/""),,3),INDEX(SPLIT(I282,""/""),,2),INDEX(SPLIT(I282,""/""),,1))"),44773.0)</f>
        <v>44773</v>
      </c>
      <c r="L282" s="1">
        <v>0.0</v>
      </c>
      <c r="M282" s="1" t="s">
        <v>482</v>
      </c>
      <c r="N282" s="1"/>
      <c r="O282" s="1" t="s">
        <v>30</v>
      </c>
      <c r="P282" s="1" t="s">
        <v>31</v>
      </c>
      <c r="Q282" s="1" t="s">
        <v>95</v>
      </c>
      <c r="R282" s="1" t="s">
        <v>95</v>
      </c>
      <c r="S282" s="1" t="s">
        <v>96</v>
      </c>
      <c r="T282" s="1" t="s">
        <v>55</v>
      </c>
      <c r="U282" s="1">
        <v>1.00657929E8</v>
      </c>
      <c r="X282" s="1" t="s">
        <v>88</v>
      </c>
      <c r="Y282" s="1" t="s">
        <v>1289</v>
      </c>
      <c r="Z282" s="1" t="s">
        <v>37</v>
      </c>
    </row>
    <row r="283" hidden="1">
      <c r="A283" s="1" t="s">
        <v>1316</v>
      </c>
      <c r="B283" s="1" t="s">
        <v>1317</v>
      </c>
      <c r="C283" s="1" t="s">
        <v>1318</v>
      </c>
      <c r="D283" s="1" t="s">
        <v>78</v>
      </c>
      <c r="E283" s="1" t="s">
        <v>28</v>
      </c>
      <c r="F283" s="2">
        <v>3790000.0</v>
      </c>
      <c r="G283" s="1" t="s">
        <v>436</v>
      </c>
      <c r="H283" s="4">
        <f>IFERROR(__xludf.DUMMYFUNCTION("DATE(INDEX(SPLIT(G283,""/""),,3),INDEX(SPLIT(G283,""/""),,2),INDEX(SPLIT(G283,""/""),,1))"),44434.0)</f>
        <v>44434</v>
      </c>
      <c r="I283" s="1" t="s">
        <v>1097</v>
      </c>
      <c r="J283" s="4">
        <f>IFERROR(__xludf.DUMMYFUNCTION("DATE(INDEX(SPLIT(I283,""/""),,3),INDEX(SPLIT(I283,""/""),,2),INDEX(SPLIT(I283,""/""),,1))"),45107.0)</f>
        <v>45107</v>
      </c>
      <c r="L283" s="1">
        <v>0.0</v>
      </c>
      <c r="M283" s="1" t="s">
        <v>1319</v>
      </c>
      <c r="N283" s="1"/>
      <c r="O283" s="1" t="s">
        <v>30</v>
      </c>
      <c r="P283" s="1" t="s">
        <v>31</v>
      </c>
      <c r="Q283" s="1" t="s">
        <v>1320</v>
      </c>
      <c r="R283" s="1" t="s">
        <v>1320</v>
      </c>
      <c r="S283" s="1" t="s">
        <v>96</v>
      </c>
      <c r="T283" s="1" t="s">
        <v>97</v>
      </c>
      <c r="U283" s="1">
        <v>1.0065052E8</v>
      </c>
      <c r="X283" s="1" t="s">
        <v>289</v>
      </c>
      <c r="Y283" s="1" t="s">
        <v>1321</v>
      </c>
      <c r="Z283" s="1" t="s">
        <v>37</v>
      </c>
    </row>
    <row r="284" hidden="1">
      <c r="A284" s="1" t="s">
        <v>1322</v>
      </c>
      <c r="B284" s="1" t="s">
        <v>39</v>
      </c>
      <c r="C284" s="1" t="s">
        <v>1323</v>
      </c>
      <c r="D284" s="1" t="s">
        <v>122</v>
      </c>
      <c r="E284" s="1" t="s">
        <v>28</v>
      </c>
      <c r="F284" s="2">
        <v>3600000.0</v>
      </c>
      <c r="G284" s="1" t="s">
        <v>779</v>
      </c>
      <c r="H284" s="4">
        <f>IFERROR(__xludf.DUMMYFUNCTION("DATE(INDEX(SPLIT(G284,""/""),,3),INDEX(SPLIT(G284,""/""),,2),INDEX(SPLIT(G284,""/""),,1))"),44734.0)</f>
        <v>44734</v>
      </c>
      <c r="I284" s="4">
        <v>44752.0</v>
      </c>
      <c r="J284" s="4">
        <f>IFERROR(__xludf.DUMMYFUNCTION("DATE(INDEX(SPLIT(I284,""/""),,3),INDEX(SPLIT(I284,""/""),,2),INDEX(SPLIT(I284,""/""),,1))"),44841.0)</f>
        <v>44841</v>
      </c>
      <c r="L284" s="1">
        <v>0.0</v>
      </c>
      <c r="M284" s="1" t="s">
        <v>1324</v>
      </c>
      <c r="N284" s="1"/>
      <c r="O284" s="1" t="s">
        <v>30</v>
      </c>
      <c r="P284" s="1" t="s">
        <v>31</v>
      </c>
      <c r="Q284" s="1" t="s">
        <v>188</v>
      </c>
      <c r="R284" s="1" t="s">
        <v>188</v>
      </c>
      <c r="S284" s="1" t="s">
        <v>189</v>
      </c>
      <c r="U284" s="1">
        <v>1.01186492E8</v>
      </c>
      <c r="V284" s="1" t="s">
        <v>1325</v>
      </c>
      <c r="W284" s="1" t="s">
        <v>45</v>
      </c>
      <c r="X284" s="1" t="s">
        <v>46</v>
      </c>
      <c r="Y284" s="1" t="s">
        <v>1326</v>
      </c>
      <c r="Z284" s="1" t="s">
        <v>37</v>
      </c>
    </row>
    <row r="285">
      <c r="A285" s="1" t="s">
        <v>1327</v>
      </c>
      <c r="B285" s="1" t="s">
        <v>291</v>
      </c>
      <c r="C285" s="1" t="s">
        <v>1328</v>
      </c>
      <c r="D285" s="1" t="s">
        <v>68</v>
      </c>
      <c r="E285" s="1" t="s">
        <v>28</v>
      </c>
      <c r="F285" s="2">
        <v>3600000.0</v>
      </c>
      <c r="G285" s="1" t="s">
        <v>354</v>
      </c>
      <c r="H285" s="4">
        <f>IFERROR(__xludf.DUMMYFUNCTION("DATE(INDEX(SPLIT(G285,""/""),,3),INDEX(SPLIT(G285,""/""),,2),INDEX(SPLIT(G285,""/""),,1))"),44673.0)</f>
        <v>44673</v>
      </c>
      <c r="I285" s="1" t="s">
        <v>226</v>
      </c>
      <c r="J285" s="4">
        <f>IFERROR(__xludf.DUMMYFUNCTION("DATE(INDEX(SPLIT(I285,""/""),,3),INDEX(SPLIT(I285,""/""),,2),INDEX(SPLIT(I285,""/""),,1))"),44771.0)</f>
        <v>44771</v>
      </c>
      <c r="K285" s="1" t="s">
        <v>1329</v>
      </c>
      <c r="L285" s="1">
        <v>0.0</v>
      </c>
      <c r="M285" s="1" t="s">
        <v>294</v>
      </c>
      <c r="N285" s="1"/>
      <c r="O285" s="1" t="s">
        <v>30</v>
      </c>
      <c r="P285" s="1" t="s">
        <v>31</v>
      </c>
      <c r="Q285" s="1" t="s">
        <v>157</v>
      </c>
      <c r="R285" s="1" t="s">
        <v>157</v>
      </c>
      <c r="S285" s="1" t="s">
        <v>158</v>
      </c>
      <c r="T285" s="1" t="s">
        <v>237</v>
      </c>
      <c r="U285" s="1">
        <v>1.00642806E8</v>
      </c>
      <c r="X285" s="1" t="s">
        <v>239</v>
      </c>
      <c r="Y285" s="1" t="s">
        <v>294</v>
      </c>
      <c r="Z285" s="1" t="s">
        <v>37</v>
      </c>
    </row>
    <row r="286" hidden="1">
      <c r="A286" s="1" t="s">
        <v>1330</v>
      </c>
      <c r="B286" s="1" t="s">
        <v>1331</v>
      </c>
      <c r="C286" s="1" t="s">
        <v>1332</v>
      </c>
      <c r="D286" s="1" t="s">
        <v>122</v>
      </c>
      <c r="E286" s="1" t="s">
        <v>28</v>
      </c>
      <c r="F286" s="2">
        <v>3500000.0</v>
      </c>
      <c r="G286" s="4">
        <v>44417.0</v>
      </c>
      <c r="H286" s="4">
        <f>IFERROR(__xludf.DUMMYFUNCTION("DATE(INDEX(SPLIT(G286,""/""),,3),INDEX(SPLIT(G286,""/""),,2),INDEX(SPLIT(G286,""/""),,1))"),44447.0)</f>
        <v>44447</v>
      </c>
      <c r="I286" s="1" t="s">
        <v>360</v>
      </c>
      <c r="J286" s="4">
        <f>IFERROR(__xludf.DUMMYFUNCTION("DATE(INDEX(SPLIT(I286,""/""),,3),INDEX(SPLIT(I286,""/""),,2),INDEX(SPLIT(I286,""/""),,1))"),44895.0)</f>
        <v>44895</v>
      </c>
      <c r="L286" s="1">
        <v>0.0</v>
      </c>
      <c r="M286" s="1" t="s">
        <v>1333</v>
      </c>
      <c r="N286" s="1"/>
      <c r="O286" s="1" t="s">
        <v>30</v>
      </c>
      <c r="P286" s="1" t="s">
        <v>31</v>
      </c>
      <c r="Q286" s="1" t="s">
        <v>71</v>
      </c>
      <c r="R286" s="1" t="s">
        <v>71</v>
      </c>
      <c r="S286" s="1" t="s">
        <v>72</v>
      </c>
      <c r="T286" s="1" t="s">
        <v>136</v>
      </c>
      <c r="U286" s="1">
        <v>1.006299E8</v>
      </c>
      <c r="Y286" s="1" t="s">
        <v>1334</v>
      </c>
      <c r="Z286" s="1" t="s">
        <v>37</v>
      </c>
    </row>
    <row r="287" hidden="1">
      <c r="A287" s="1" t="s">
        <v>1335</v>
      </c>
      <c r="B287" s="1" t="s">
        <v>954</v>
      </c>
      <c r="C287" s="1" t="s">
        <v>1336</v>
      </c>
      <c r="D287" s="1" t="s">
        <v>27</v>
      </c>
      <c r="E287" s="1" t="s">
        <v>28</v>
      </c>
      <c r="F287" s="2">
        <v>3500000.0</v>
      </c>
      <c r="G287" s="4">
        <v>44594.0</v>
      </c>
      <c r="H287" s="4">
        <f>IFERROR(__xludf.DUMMYFUNCTION("DATE(INDEX(SPLIT(G287,""/""),,3),INDEX(SPLIT(G287,""/""),,2),INDEX(SPLIT(G287,""/""),,1))"),44594.0)</f>
        <v>44594</v>
      </c>
      <c r="I287" s="4">
        <v>44927.0</v>
      </c>
      <c r="J287" s="4">
        <f>IFERROR(__xludf.DUMMYFUNCTION("DATE(INDEX(SPLIT(I287,""/""),,3),INDEX(SPLIT(I287,""/""),,2),INDEX(SPLIT(I287,""/""),,1))"),44927.0)</f>
        <v>44927</v>
      </c>
      <c r="L287" s="1">
        <v>0.0</v>
      </c>
      <c r="M287" s="1" t="s">
        <v>956</v>
      </c>
      <c r="N287" s="1"/>
      <c r="O287" s="1" t="s">
        <v>30</v>
      </c>
      <c r="P287" s="1" t="s">
        <v>31</v>
      </c>
      <c r="Q287" s="1" t="s">
        <v>71</v>
      </c>
      <c r="R287" s="1" t="s">
        <v>71</v>
      </c>
      <c r="S287" s="1" t="s">
        <v>72</v>
      </c>
      <c r="T287" s="1" t="s">
        <v>73</v>
      </c>
      <c r="U287" s="1">
        <v>1.00653499E8</v>
      </c>
      <c r="X287" s="1" t="s">
        <v>74</v>
      </c>
      <c r="Y287" s="1" t="s">
        <v>1337</v>
      </c>
      <c r="Z287" s="1" t="s">
        <v>37</v>
      </c>
    </row>
    <row r="288" hidden="1">
      <c r="A288" s="1" t="s">
        <v>1338</v>
      </c>
      <c r="B288" s="1" t="s">
        <v>954</v>
      </c>
      <c r="C288" s="1" t="s">
        <v>1339</v>
      </c>
      <c r="D288" s="1" t="s">
        <v>27</v>
      </c>
      <c r="E288" s="1" t="s">
        <v>28</v>
      </c>
      <c r="F288" s="2">
        <v>3500000.0</v>
      </c>
      <c r="G288" s="4">
        <v>44594.0</v>
      </c>
      <c r="H288" s="4">
        <f>IFERROR(__xludf.DUMMYFUNCTION("DATE(INDEX(SPLIT(G288,""/""),,3),INDEX(SPLIT(G288,""/""),,2),INDEX(SPLIT(G288,""/""),,1))"),44594.0)</f>
        <v>44594</v>
      </c>
      <c r="I288" s="4">
        <v>44933.0</v>
      </c>
      <c r="J288" s="4">
        <f>IFERROR(__xludf.DUMMYFUNCTION("DATE(INDEX(SPLIT(I288,""/""),,3),INDEX(SPLIT(I288,""/""),,2),INDEX(SPLIT(I288,""/""),,1))"),45108.0)</f>
        <v>45108</v>
      </c>
      <c r="L288" s="1">
        <v>0.0</v>
      </c>
      <c r="M288" s="1" t="s">
        <v>956</v>
      </c>
      <c r="N288" s="1"/>
      <c r="O288" s="1" t="s">
        <v>30</v>
      </c>
      <c r="P288" s="1" t="s">
        <v>31</v>
      </c>
      <c r="Q288" s="1" t="s">
        <v>71</v>
      </c>
      <c r="R288" s="1" t="s">
        <v>71</v>
      </c>
      <c r="S288" s="1" t="s">
        <v>72</v>
      </c>
      <c r="T288" s="1" t="s">
        <v>73</v>
      </c>
      <c r="U288" s="1">
        <v>1.00653499E8</v>
      </c>
      <c r="X288" s="1" t="s">
        <v>74</v>
      </c>
      <c r="Y288" s="1" t="s">
        <v>1337</v>
      </c>
      <c r="Z288" s="1" t="s">
        <v>37</v>
      </c>
    </row>
    <row r="289">
      <c r="A289" s="1" t="s">
        <v>1340</v>
      </c>
      <c r="B289" s="1" t="s">
        <v>1341</v>
      </c>
      <c r="C289" s="1" t="s">
        <v>1342</v>
      </c>
      <c r="D289" s="1" t="s">
        <v>122</v>
      </c>
      <c r="E289" s="1" t="s">
        <v>28</v>
      </c>
      <c r="F289" s="2">
        <v>3500000.0</v>
      </c>
      <c r="G289" s="1" t="s">
        <v>164</v>
      </c>
      <c r="H289" s="4">
        <f>IFERROR(__xludf.DUMMYFUNCTION("DATE(INDEX(SPLIT(G289,""/""),,3),INDEX(SPLIT(G289,""/""),,2),INDEX(SPLIT(G289,""/""),,1))"),44706.0)</f>
        <v>44706</v>
      </c>
      <c r="I289" s="4">
        <v>44872.0</v>
      </c>
      <c r="J289" s="4">
        <f>IFERROR(__xludf.DUMMYFUNCTION("DATE(INDEX(SPLIT(I289,""/""),,3),INDEX(SPLIT(I289,""/""),,2),INDEX(SPLIT(I289,""/""),,1))"),44753.0)</f>
        <v>44753</v>
      </c>
      <c r="L289" s="1">
        <v>0.0</v>
      </c>
      <c r="M289" s="1" t="s">
        <v>1343</v>
      </c>
      <c r="N289" s="1"/>
      <c r="O289" s="1" t="s">
        <v>30</v>
      </c>
      <c r="P289" s="1" t="s">
        <v>31</v>
      </c>
      <c r="Q289" s="1" t="s">
        <v>188</v>
      </c>
      <c r="R289" s="1" t="s">
        <v>188</v>
      </c>
      <c r="S289" s="1" t="s">
        <v>189</v>
      </c>
      <c r="T289" s="1" t="s">
        <v>1344</v>
      </c>
      <c r="U289" s="1">
        <v>1.01059157E8</v>
      </c>
      <c r="X289" s="1" t="s">
        <v>781</v>
      </c>
      <c r="Y289" s="1" t="s">
        <v>1343</v>
      </c>
      <c r="Z289" s="1" t="s">
        <v>37</v>
      </c>
    </row>
    <row r="290" hidden="1">
      <c r="A290" s="1" t="s">
        <v>1345</v>
      </c>
      <c r="B290" s="1" t="s">
        <v>1346</v>
      </c>
      <c r="C290" s="1" t="s">
        <v>1347</v>
      </c>
      <c r="D290" s="1" t="s">
        <v>78</v>
      </c>
      <c r="E290" s="1" t="s">
        <v>28</v>
      </c>
      <c r="F290" s="2">
        <v>3500000.0</v>
      </c>
      <c r="G290" s="4">
        <v>44598.0</v>
      </c>
      <c r="H290" s="4">
        <f>IFERROR(__xludf.DUMMYFUNCTION("DATE(INDEX(SPLIT(G290,""/""),,3),INDEX(SPLIT(G290,""/""),,2),INDEX(SPLIT(G290,""/""),,1))"),44714.0)</f>
        <v>44714</v>
      </c>
      <c r="I290" s="1" t="s">
        <v>487</v>
      </c>
      <c r="J290" s="4">
        <f>IFERROR(__xludf.DUMMYFUNCTION("DATE(INDEX(SPLIT(I290,""/""),,3),INDEX(SPLIT(I290,""/""),,2),INDEX(SPLIT(I290,""/""),,1))"),44855.0)</f>
        <v>44855</v>
      </c>
      <c r="L290" s="1">
        <v>0.0</v>
      </c>
      <c r="M290" s="1" t="s">
        <v>1348</v>
      </c>
      <c r="N290" s="1"/>
      <c r="O290" s="1" t="s">
        <v>30</v>
      </c>
      <c r="P290" s="1" t="s">
        <v>31</v>
      </c>
      <c r="Q290" s="1" t="s">
        <v>235</v>
      </c>
      <c r="R290" s="1" t="s">
        <v>235</v>
      </c>
      <c r="S290" s="1" t="s">
        <v>236</v>
      </c>
      <c r="T290" s="1" t="s">
        <v>1349</v>
      </c>
      <c r="U290" s="1">
        <v>1.00660608E8</v>
      </c>
      <c r="X290" s="1" t="s">
        <v>239</v>
      </c>
      <c r="Y290" s="1" t="s">
        <v>1350</v>
      </c>
      <c r="Z290" s="1" t="s">
        <v>37</v>
      </c>
    </row>
    <row r="291" hidden="1">
      <c r="A291" s="1" t="s">
        <v>1351</v>
      </c>
      <c r="B291" s="1" t="s">
        <v>1352</v>
      </c>
      <c r="C291" s="1" t="s">
        <v>1353</v>
      </c>
      <c r="D291" s="1" t="s">
        <v>27</v>
      </c>
      <c r="E291" s="1" t="s">
        <v>28</v>
      </c>
      <c r="F291" s="2">
        <v>3500000.0</v>
      </c>
      <c r="G291" s="4">
        <v>44540.0</v>
      </c>
      <c r="H291" s="4">
        <f>IFERROR(__xludf.DUMMYFUNCTION("DATE(INDEX(SPLIT(G291,""/""),,3),INDEX(SPLIT(G291,""/""),,2),INDEX(SPLIT(G291,""/""),,1))"),44481.0)</f>
        <v>44481</v>
      </c>
      <c r="I291" s="1" t="s">
        <v>130</v>
      </c>
      <c r="J291" s="4">
        <f>IFERROR(__xludf.DUMMYFUNCTION("DATE(INDEX(SPLIT(I291,""/""),,3),INDEX(SPLIT(I291,""/""),,2),INDEX(SPLIT(I291,""/""),,1))"),44804.0)</f>
        <v>44804</v>
      </c>
      <c r="L291" s="1">
        <v>0.0</v>
      </c>
      <c r="M291" s="1" t="s">
        <v>808</v>
      </c>
      <c r="N291" s="1"/>
      <c r="O291" s="1" t="s">
        <v>30</v>
      </c>
      <c r="P291" s="1" t="s">
        <v>31</v>
      </c>
      <c r="Q291" s="1" t="s">
        <v>228</v>
      </c>
      <c r="R291" s="1" t="s">
        <v>228</v>
      </c>
      <c r="S291" s="1" t="s">
        <v>229</v>
      </c>
      <c r="T291" s="1" t="s">
        <v>505</v>
      </c>
      <c r="U291" s="1">
        <v>1.00609871E8</v>
      </c>
      <c r="X291" s="1" t="s">
        <v>375</v>
      </c>
      <c r="Y291" s="1" t="s">
        <v>808</v>
      </c>
      <c r="Z291" s="1" t="s">
        <v>37</v>
      </c>
    </row>
    <row r="292" hidden="1">
      <c r="A292" s="1" t="s">
        <v>1354</v>
      </c>
      <c r="B292" s="1" t="s">
        <v>1355</v>
      </c>
      <c r="C292" s="1" t="s">
        <v>1356</v>
      </c>
      <c r="D292" s="1" t="s">
        <v>27</v>
      </c>
      <c r="E292" s="1" t="s">
        <v>28</v>
      </c>
      <c r="F292" s="2">
        <v>3500000.0</v>
      </c>
      <c r="G292" s="1" t="s">
        <v>1357</v>
      </c>
      <c r="H292" s="4">
        <f>IFERROR(__xludf.DUMMYFUNCTION("DATE(INDEX(SPLIT(G292,""/""),,3),INDEX(SPLIT(G292,""/""),,2),INDEX(SPLIT(G292,""/""),,1))"),44398.0)</f>
        <v>44398</v>
      </c>
      <c r="I292" s="1" t="s">
        <v>293</v>
      </c>
      <c r="J292" s="4">
        <f>IFERROR(__xludf.DUMMYFUNCTION("DATE(INDEX(SPLIT(I292,""/""),,3),INDEX(SPLIT(I292,""/""),,2),INDEX(SPLIT(I292,""/""),,1))"),44918.0)</f>
        <v>44918</v>
      </c>
      <c r="L292" s="1">
        <v>0.0</v>
      </c>
      <c r="M292" s="1" t="s">
        <v>1358</v>
      </c>
      <c r="N292" s="1"/>
      <c r="O292" s="1" t="s">
        <v>30</v>
      </c>
      <c r="P292" s="1" t="s">
        <v>31</v>
      </c>
      <c r="Q292" s="1" t="s">
        <v>32</v>
      </c>
      <c r="R292" s="1" t="s">
        <v>32</v>
      </c>
      <c r="S292" s="1" t="s">
        <v>33</v>
      </c>
      <c r="T292" s="1" t="s">
        <v>34</v>
      </c>
      <c r="U292" s="1">
        <v>1.00613915E8</v>
      </c>
      <c r="X292" s="1" t="s">
        <v>35</v>
      </c>
      <c r="Y292" s="1" t="s">
        <v>1358</v>
      </c>
      <c r="Z292" s="1" t="s">
        <v>37</v>
      </c>
    </row>
    <row r="293" hidden="1">
      <c r="A293" s="1" t="s">
        <v>1359</v>
      </c>
      <c r="B293" s="1" t="s">
        <v>720</v>
      </c>
      <c r="C293" s="1" t="s">
        <v>1360</v>
      </c>
      <c r="D293" s="1" t="s">
        <v>27</v>
      </c>
      <c r="E293" s="1" t="s">
        <v>28</v>
      </c>
      <c r="F293" s="2">
        <v>3500000.0</v>
      </c>
      <c r="G293" s="1" t="s">
        <v>1170</v>
      </c>
      <c r="H293" s="4">
        <f>IFERROR(__xludf.DUMMYFUNCTION("DATE(INDEX(SPLIT(G293,""/""),,3),INDEX(SPLIT(G293,""/""),,2),INDEX(SPLIT(G293,""/""),,1))"),44336.0)</f>
        <v>44336</v>
      </c>
      <c r="I293" s="1" t="s">
        <v>1361</v>
      </c>
      <c r="J293" s="4">
        <f>IFERROR(__xludf.DUMMYFUNCTION("DATE(INDEX(SPLIT(I293,""/""),,3),INDEX(SPLIT(I293,""/""),,2),INDEX(SPLIT(I293,""/""),,1))"),44827.0)</f>
        <v>44827</v>
      </c>
      <c r="L293" s="1">
        <v>0.0</v>
      </c>
      <c r="M293" s="1" t="s">
        <v>243</v>
      </c>
      <c r="N293" s="1"/>
      <c r="O293" s="1" t="s">
        <v>30</v>
      </c>
      <c r="P293" s="1" t="s">
        <v>31</v>
      </c>
      <c r="Q293" s="1" t="s">
        <v>32</v>
      </c>
      <c r="R293" s="1" t="s">
        <v>32</v>
      </c>
      <c r="S293" s="1" t="s">
        <v>33</v>
      </c>
      <c r="T293" s="1" t="s">
        <v>34</v>
      </c>
      <c r="U293" s="1">
        <v>1.00651722E8</v>
      </c>
      <c r="X293" s="1" t="s">
        <v>35</v>
      </c>
      <c r="Y293" s="1" t="s">
        <v>243</v>
      </c>
      <c r="Z293" s="1" t="s">
        <v>37</v>
      </c>
    </row>
    <row r="294" hidden="1">
      <c r="A294" s="1" t="s">
        <v>1362</v>
      </c>
      <c r="B294" s="1" t="s">
        <v>39</v>
      </c>
      <c r="C294" s="1" t="s">
        <v>1363</v>
      </c>
      <c r="D294" s="1" t="s">
        <v>27</v>
      </c>
      <c r="E294" s="1" t="s">
        <v>28</v>
      </c>
      <c r="F294" s="2">
        <v>3500000.0</v>
      </c>
      <c r="G294" s="1" t="s">
        <v>1364</v>
      </c>
      <c r="H294" s="4">
        <f>IFERROR(__xludf.DUMMYFUNCTION("DATE(INDEX(SPLIT(G294,""/""),,3),INDEX(SPLIT(G294,""/""),,2),INDEX(SPLIT(G294,""/""),,1))"),44676.0)</f>
        <v>44676</v>
      </c>
      <c r="I294" s="1" t="s">
        <v>130</v>
      </c>
      <c r="J294" s="4">
        <f>IFERROR(__xludf.DUMMYFUNCTION("DATE(INDEX(SPLIT(I294,""/""),,3),INDEX(SPLIT(I294,""/""),,2),INDEX(SPLIT(I294,""/""),,1))"),44804.0)</f>
        <v>44804</v>
      </c>
      <c r="L294" s="1">
        <v>0.0</v>
      </c>
      <c r="M294" s="1" t="s">
        <v>1365</v>
      </c>
      <c r="N294" s="1"/>
      <c r="O294" s="1" t="s">
        <v>30</v>
      </c>
      <c r="P294" s="1" t="s">
        <v>31</v>
      </c>
      <c r="Q294" s="1" t="s">
        <v>228</v>
      </c>
      <c r="R294" s="1" t="s">
        <v>228</v>
      </c>
      <c r="S294" s="1" t="s">
        <v>229</v>
      </c>
      <c r="U294" s="1">
        <v>1.00631257E8</v>
      </c>
      <c r="V294" s="1" t="s">
        <v>1366</v>
      </c>
      <c r="W294" s="1" t="s">
        <v>45</v>
      </c>
      <c r="X294" s="1" t="s">
        <v>46</v>
      </c>
      <c r="Y294" s="1" t="s">
        <v>842</v>
      </c>
      <c r="Z294" s="1" t="s">
        <v>37</v>
      </c>
    </row>
    <row r="295" hidden="1">
      <c r="A295" s="1" t="s">
        <v>1367</v>
      </c>
      <c r="B295" s="1" t="s">
        <v>83</v>
      </c>
      <c r="C295" s="1" t="s">
        <v>1368</v>
      </c>
      <c r="D295" s="1" t="s">
        <v>78</v>
      </c>
      <c r="E295" s="1" t="s">
        <v>28</v>
      </c>
      <c r="F295" s="2">
        <v>3500000.0</v>
      </c>
      <c r="G295" s="1" t="s">
        <v>41</v>
      </c>
      <c r="H295" s="4">
        <f>IFERROR(__xludf.DUMMYFUNCTION("DATE(INDEX(SPLIT(G295,""/""),,3),INDEX(SPLIT(G295,""/""),,2),INDEX(SPLIT(G295,""/""),,1))"),44607.0)</f>
        <v>44607</v>
      </c>
      <c r="I295" s="1" t="s">
        <v>109</v>
      </c>
      <c r="J295" s="4">
        <f>IFERROR(__xludf.DUMMYFUNCTION("DATE(INDEX(SPLIT(I295,""/""),,3),INDEX(SPLIT(I295,""/""),,2),INDEX(SPLIT(I295,""/""),,1))"),44834.0)</f>
        <v>44834</v>
      </c>
      <c r="L295" s="1">
        <v>0.0</v>
      </c>
      <c r="M295" s="1" t="s">
        <v>945</v>
      </c>
      <c r="N295" s="1"/>
      <c r="O295" s="1" t="s">
        <v>30</v>
      </c>
      <c r="P295" s="1" t="s">
        <v>31</v>
      </c>
      <c r="Q295" s="1" t="s">
        <v>188</v>
      </c>
      <c r="R295" s="1" t="s">
        <v>188</v>
      </c>
      <c r="S295" s="1" t="s">
        <v>189</v>
      </c>
      <c r="T295" s="1" t="s">
        <v>345</v>
      </c>
      <c r="U295" s="1">
        <v>1.00592305E8</v>
      </c>
      <c r="X295" s="1" t="s">
        <v>88</v>
      </c>
      <c r="Y295" s="1" t="s">
        <v>1369</v>
      </c>
      <c r="Z295" s="1" t="s">
        <v>37</v>
      </c>
    </row>
    <row r="296" hidden="1">
      <c r="A296" s="1" t="s">
        <v>1370</v>
      </c>
      <c r="B296" s="1" t="s">
        <v>1371</v>
      </c>
      <c r="C296" s="1" t="s">
        <v>1372</v>
      </c>
      <c r="D296" s="1" t="s">
        <v>27</v>
      </c>
      <c r="E296" s="1" t="s">
        <v>28</v>
      </c>
      <c r="F296" s="2">
        <v>3500000.0</v>
      </c>
      <c r="G296" s="4">
        <v>44595.0</v>
      </c>
      <c r="H296" s="4">
        <f>IFERROR(__xludf.DUMMYFUNCTION("DATE(INDEX(SPLIT(G296,""/""),,3),INDEX(SPLIT(G296,""/""),,2),INDEX(SPLIT(G296,""/""),,1))"),44622.0)</f>
        <v>44622</v>
      </c>
      <c r="I296" s="1" t="s">
        <v>109</v>
      </c>
      <c r="J296" s="4">
        <f>IFERROR(__xludf.DUMMYFUNCTION("DATE(INDEX(SPLIT(I296,""/""),,3),INDEX(SPLIT(I296,""/""),,2),INDEX(SPLIT(I296,""/""),,1))"),44834.0)</f>
        <v>44834</v>
      </c>
      <c r="L296" s="1">
        <v>0.0</v>
      </c>
      <c r="M296" s="1" t="s">
        <v>1373</v>
      </c>
      <c r="N296" s="1"/>
      <c r="O296" s="1" t="s">
        <v>30</v>
      </c>
      <c r="P296" s="1" t="s">
        <v>31</v>
      </c>
      <c r="Q296" s="1" t="s">
        <v>95</v>
      </c>
      <c r="R296" s="1" t="s">
        <v>95</v>
      </c>
      <c r="S296" s="1" t="s">
        <v>96</v>
      </c>
      <c r="U296" s="1">
        <v>1.00626753E8</v>
      </c>
      <c r="X296" s="1" t="s">
        <v>63</v>
      </c>
      <c r="Y296" s="1" t="s">
        <v>1373</v>
      </c>
      <c r="Z296" s="1" t="s">
        <v>37</v>
      </c>
    </row>
    <row r="297" hidden="1">
      <c r="A297" s="1" t="s">
        <v>1374</v>
      </c>
      <c r="B297" s="1" t="s">
        <v>532</v>
      </c>
      <c r="C297" s="1" t="s">
        <v>1375</v>
      </c>
      <c r="D297" s="1" t="s">
        <v>27</v>
      </c>
      <c r="E297" s="1" t="s">
        <v>28</v>
      </c>
      <c r="F297" s="2">
        <v>3500000.0</v>
      </c>
      <c r="G297" s="1" t="s">
        <v>330</v>
      </c>
      <c r="H297" s="4">
        <f>IFERROR(__xludf.DUMMYFUNCTION("DATE(INDEX(SPLIT(G297,""/""),,3),INDEX(SPLIT(G297,""/""),,2),INDEX(SPLIT(G297,""/""),,1))"),44728.0)</f>
        <v>44728</v>
      </c>
      <c r="I297" s="1" t="s">
        <v>430</v>
      </c>
      <c r="J297" s="4">
        <f>IFERROR(__xludf.DUMMYFUNCTION("DATE(INDEX(SPLIT(I297,""/""),,3),INDEX(SPLIT(I297,""/""),,2),INDEX(SPLIT(I297,""/""),,1))"),44985.0)</f>
        <v>44985</v>
      </c>
      <c r="L297" s="1">
        <v>0.0</v>
      </c>
      <c r="M297" s="1" t="s">
        <v>1376</v>
      </c>
      <c r="N297" s="1"/>
      <c r="O297" s="1" t="s">
        <v>30</v>
      </c>
      <c r="P297" s="1" t="s">
        <v>31</v>
      </c>
      <c r="Q297" s="1" t="s">
        <v>32</v>
      </c>
      <c r="R297" s="1" t="s">
        <v>32</v>
      </c>
      <c r="S297" s="1" t="s">
        <v>33</v>
      </c>
      <c r="T297" s="1" t="s">
        <v>1195</v>
      </c>
      <c r="U297" s="1">
        <v>1.006096E8</v>
      </c>
      <c r="X297" s="1" t="s">
        <v>490</v>
      </c>
      <c r="Y297" s="1" t="s">
        <v>1377</v>
      </c>
      <c r="Z297" s="1" t="s">
        <v>37</v>
      </c>
    </row>
    <row r="298" hidden="1">
      <c r="A298" s="1" t="s">
        <v>1378</v>
      </c>
      <c r="B298" s="1" t="s">
        <v>1379</v>
      </c>
      <c r="C298" s="1" t="s">
        <v>1380</v>
      </c>
      <c r="D298" s="1" t="s">
        <v>122</v>
      </c>
      <c r="E298" s="1" t="s">
        <v>28</v>
      </c>
      <c r="F298" s="2">
        <v>3500000.0</v>
      </c>
      <c r="G298" s="1" t="s">
        <v>1381</v>
      </c>
      <c r="H298" s="4">
        <f>IFERROR(__xludf.DUMMYFUNCTION("DATE(INDEX(SPLIT(G298,""/""),,3),INDEX(SPLIT(G298,""/""),,2),INDEX(SPLIT(G298,""/""),,1))"),44643.0)</f>
        <v>44643</v>
      </c>
      <c r="I298" s="1" t="s">
        <v>281</v>
      </c>
      <c r="J298" s="4">
        <f>IFERROR(__xludf.DUMMYFUNCTION("DATE(INDEX(SPLIT(I298,""/""),,3),INDEX(SPLIT(I298,""/""),,2),INDEX(SPLIT(I298,""/""),,1))"),44865.0)</f>
        <v>44865</v>
      </c>
      <c r="L298" s="1">
        <v>0.0</v>
      </c>
      <c r="M298" s="1" t="s">
        <v>1382</v>
      </c>
      <c r="N298" s="1"/>
      <c r="O298" s="1" t="s">
        <v>30</v>
      </c>
      <c r="P298" s="1" t="s">
        <v>31</v>
      </c>
      <c r="Q298" s="1" t="s">
        <v>157</v>
      </c>
      <c r="R298" s="1" t="s">
        <v>157</v>
      </c>
      <c r="S298" s="1" t="s">
        <v>158</v>
      </c>
      <c r="T298" s="1" t="s">
        <v>571</v>
      </c>
      <c r="U298" s="1">
        <v>1.00584043E8</v>
      </c>
      <c r="X298" s="1" t="s">
        <v>63</v>
      </c>
      <c r="Y298" s="1" t="s">
        <v>1382</v>
      </c>
      <c r="Z298" s="1" t="s">
        <v>37</v>
      </c>
    </row>
    <row r="299" hidden="1">
      <c r="A299" s="1" t="s">
        <v>1383</v>
      </c>
      <c r="B299" s="1" t="s">
        <v>1050</v>
      </c>
      <c r="C299" s="1" t="s">
        <v>1384</v>
      </c>
      <c r="D299" s="1" t="s">
        <v>27</v>
      </c>
      <c r="E299" s="1" t="s">
        <v>28</v>
      </c>
      <c r="F299" s="2">
        <v>3450000.0</v>
      </c>
      <c r="G299" s="1" t="s">
        <v>41</v>
      </c>
      <c r="H299" s="4">
        <f>IFERROR(__xludf.DUMMYFUNCTION("DATE(INDEX(SPLIT(G299,""/""),,3),INDEX(SPLIT(G299,""/""),,2),INDEX(SPLIT(G299,""/""),,1))"),44607.0)</f>
        <v>44607</v>
      </c>
      <c r="I299" s="4">
        <v>44573.0</v>
      </c>
      <c r="J299" s="4">
        <f>IFERROR(__xludf.DUMMYFUNCTION("DATE(INDEX(SPLIT(I299,""/""),,3),INDEX(SPLIT(I299,""/""),,2),INDEX(SPLIT(I299,""/""),,1))"),44896.0)</f>
        <v>44896</v>
      </c>
      <c r="L299" s="1">
        <v>0.0</v>
      </c>
      <c r="M299" s="1" t="s">
        <v>1385</v>
      </c>
      <c r="N299" s="1"/>
      <c r="O299" s="1" t="s">
        <v>30</v>
      </c>
      <c r="P299" s="1" t="s">
        <v>31</v>
      </c>
      <c r="Q299" s="1" t="s">
        <v>235</v>
      </c>
      <c r="R299" s="1" t="s">
        <v>235</v>
      </c>
      <c r="S299" s="1" t="s">
        <v>236</v>
      </c>
      <c r="T299" s="1" t="s">
        <v>1386</v>
      </c>
      <c r="U299" s="1">
        <v>1.00594397E8</v>
      </c>
      <c r="X299" s="1" t="s">
        <v>239</v>
      </c>
      <c r="Y299" s="1" t="s">
        <v>1387</v>
      </c>
      <c r="Z299" s="1" t="s">
        <v>37</v>
      </c>
    </row>
    <row r="300" hidden="1">
      <c r="A300" s="1" t="s">
        <v>1388</v>
      </c>
      <c r="B300" s="1" t="s">
        <v>1389</v>
      </c>
      <c r="C300" s="1" t="s">
        <v>1390</v>
      </c>
      <c r="D300" s="1" t="s">
        <v>27</v>
      </c>
      <c r="E300" s="1" t="s">
        <v>28</v>
      </c>
      <c r="F300" s="2">
        <v>3400000.0</v>
      </c>
      <c r="G300" s="1" t="s">
        <v>779</v>
      </c>
      <c r="H300" s="4">
        <f>IFERROR(__xludf.DUMMYFUNCTION("DATE(INDEX(SPLIT(G300,""/""),,3),INDEX(SPLIT(G300,""/""),,2),INDEX(SPLIT(G300,""/""),,1))"),44734.0)</f>
        <v>44734</v>
      </c>
      <c r="I300" s="1" t="s">
        <v>1097</v>
      </c>
      <c r="J300" s="4">
        <f>IFERROR(__xludf.DUMMYFUNCTION("DATE(INDEX(SPLIT(I300,""/""),,3),INDEX(SPLIT(I300,""/""),,2),INDEX(SPLIT(I300,""/""),,1))"),45107.0)</f>
        <v>45107</v>
      </c>
      <c r="L300" s="1">
        <v>0.0</v>
      </c>
      <c r="M300" s="1" t="s">
        <v>1297</v>
      </c>
      <c r="N300" s="1"/>
      <c r="O300" s="1" t="s">
        <v>30</v>
      </c>
      <c r="P300" s="1" t="s">
        <v>31</v>
      </c>
      <c r="Q300" s="1" t="s">
        <v>188</v>
      </c>
      <c r="R300" s="1" t="s">
        <v>188</v>
      </c>
      <c r="S300" s="1" t="s">
        <v>189</v>
      </c>
      <c r="U300" s="1">
        <v>1.00622378E8</v>
      </c>
      <c r="X300" s="1" t="s">
        <v>609</v>
      </c>
      <c r="Y300" s="1" t="s">
        <v>1391</v>
      </c>
      <c r="Z300" s="1" t="s">
        <v>37</v>
      </c>
    </row>
    <row r="301" hidden="1">
      <c r="A301" s="1" t="s">
        <v>1392</v>
      </c>
      <c r="B301" s="1" t="s">
        <v>1393</v>
      </c>
      <c r="C301" s="1" t="s">
        <v>1394</v>
      </c>
      <c r="D301" s="1" t="s">
        <v>122</v>
      </c>
      <c r="E301" s="1" t="s">
        <v>28</v>
      </c>
      <c r="F301" s="2">
        <v>3400000.0</v>
      </c>
      <c r="G301" s="1" t="s">
        <v>1395</v>
      </c>
      <c r="H301" s="4">
        <f>IFERROR(__xludf.DUMMYFUNCTION("DATE(INDEX(SPLIT(G301,""/""),,3),INDEX(SPLIT(G301,""/""),,2),INDEX(SPLIT(G301,""/""),,1))"),44404.0)</f>
        <v>44404</v>
      </c>
      <c r="I301" s="4">
        <v>44903.0</v>
      </c>
      <c r="J301" s="4">
        <f>IFERROR(__xludf.DUMMYFUNCTION("DATE(INDEX(SPLIT(I301,""/""),,3),INDEX(SPLIT(I301,""/""),,2),INDEX(SPLIT(I301,""/""),,1))"),44785.0)</f>
        <v>44785</v>
      </c>
      <c r="L301" s="1">
        <v>0.0</v>
      </c>
      <c r="M301" s="1" t="s">
        <v>979</v>
      </c>
      <c r="N301" s="1"/>
      <c r="O301" s="1" t="s">
        <v>30</v>
      </c>
      <c r="P301" s="1" t="s">
        <v>31</v>
      </c>
      <c r="Q301" s="1" t="s">
        <v>235</v>
      </c>
      <c r="R301" s="1" t="s">
        <v>235</v>
      </c>
      <c r="S301" s="1" t="s">
        <v>236</v>
      </c>
      <c r="T301" s="1" t="s">
        <v>438</v>
      </c>
      <c r="U301" s="1">
        <v>1.00647262E8</v>
      </c>
      <c r="X301" s="1" t="s">
        <v>88</v>
      </c>
      <c r="Y301" s="1" t="s">
        <v>979</v>
      </c>
      <c r="Z301" s="1" t="s">
        <v>37</v>
      </c>
    </row>
    <row r="302" hidden="1">
      <c r="A302" s="1" t="s">
        <v>1396</v>
      </c>
      <c r="B302" s="1" t="s">
        <v>784</v>
      </c>
      <c r="C302" s="1" t="s">
        <v>1397</v>
      </c>
      <c r="D302" s="1" t="s">
        <v>27</v>
      </c>
      <c r="E302" s="1" t="s">
        <v>28</v>
      </c>
      <c r="F302" s="2">
        <v>3400000.0</v>
      </c>
      <c r="G302" s="4">
        <v>44656.0</v>
      </c>
      <c r="H302" s="4">
        <f>IFERROR(__xludf.DUMMYFUNCTION("DATE(INDEX(SPLIT(G302,""/""),,3),INDEX(SPLIT(G302,""/""),,2),INDEX(SPLIT(G302,""/""),,1))"),44685.0)</f>
        <v>44685</v>
      </c>
      <c r="I302" s="4">
        <v>45078.0</v>
      </c>
      <c r="J302" s="4">
        <f>IFERROR(__xludf.DUMMYFUNCTION("DATE(INDEX(SPLIT(I302,""/""),,3),INDEX(SPLIT(I302,""/""),,2),INDEX(SPLIT(I302,""/""),,1))"),44932.0)</f>
        <v>44932</v>
      </c>
      <c r="L302" s="1">
        <v>0.0</v>
      </c>
      <c r="M302" s="1" t="s">
        <v>1398</v>
      </c>
      <c r="N302" s="1"/>
      <c r="O302" s="1" t="s">
        <v>30</v>
      </c>
      <c r="P302" s="1" t="s">
        <v>31</v>
      </c>
      <c r="Q302" s="1" t="s">
        <v>95</v>
      </c>
      <c r="R302" s="1" t="s">
        <v>95</v>
      </c>
      <c r="S302" s="1" t="s">
        <v>96</v>
      </c>
      <c r="T302" s="1" t="s">
        <v>111</v>
      </c>
      <c r="U302" s="1">
        <v>1.0061941E8</v>
      </c>
      <c r="X302" s="1" t="s">
        <v>63</v>
      </c>
      <c r="Y302" s="1" t="s">
        <v>1399</v>
      </c>
      <c r="Z302" s="1" t="s">
        <v>37</v>
      </c>
    </row>
    <row r="303">
      <c r="A303" s="1" t="s">
        <v>1400</v>
      </c>
      <c r="B303" s="1" t="s">
        <v>25</v>
      </c>
      <c r="C303" s="1" t="s">
        <v>1401</v>
      </c>
      <c r="D303" s="1" t="s">
        <v>122</v>
      </c>
      <c r="E303" s="1" t="s">
        <v>28</v>
      </c>
      <c r="F303" s="2">
        <v>3300000.0</v>
      </c>
      <c r="G303" s="1" t="s">
        <v>185</v>
      </c>
      <c r="H303" s="4">
        <f>IFERROR(__xludf.DUMMYFUNCTION("DATE(INDEX(SPLIT(G303,""/""),,3),INDEX(SPLIT(G303,""/""),,2),INDEX(SPLIT(G303,""/""),,1))"),44741.0)</f>
        <v>44741</v>
      </c>
      <c r="I303" s="4">
        <v>44872.0</v>
      </c>
      <c r="J303" s="4">
        <f>IFERROR(__xludf.DUMMYFUNCTION("DATE(INDEX(SPLIT(I303,""/""),,3),INDEX(SPLIT(I303,""/""),,2),INDEX(SPLIT(I303,""/""),,1))"),44753.0)</f>
        <v>44753</v>
      </c>
      <c r="L303" s="1">
        <v>0.0</v>
      </c>
      <c r="M303" s="1" t="s">
        <v>156</v>
      </c>
      <c r="N303" s="1"/>
      <c r="O303" s="1" t="s">
        <v>30</v>
      </c>
      <c r="P303" s="1" t="s">
        <v>31</v>
      </c>
      <c r="Q303" s="1" t="s">
        <v>157</v>
      </c>
      <c r="R303" s="1" t="s">
        <v>157</v>
      </c>
      <c r="S303" s="1" t="s">
        <v>158</v>
      </c>
      <c r="T303" s="1" t="s">
        <v>159</v>
      </c>
      <c r="U303" s="1">
        <v>1.00619165E8</v>
      </c>
      <c r="X303" s="1" t="s">
        <v>35</v>
      </c>
      <c r="Y303" s="1" t="s">
        <v>1402</v>
      </c>
      <c r="Z303" s="1" t="s">
        <v>37</v>
      </c>
    </row>
    <row r="304" hidden="1">
      <c r="A304" s="1" t="s">
        <v>1403</v>
      </c>
      <c r="B304" s="1" t="s">
        <v>1042</v>
      </c>
      <c r="C304" s="1" t="s">
        <v>1404</v>
      </c>
      <c r="D304" s="1" t="s">
        <v>68</v>
      </c>
      <c r="E304" s="1" t="s">
        <v>28</v>
      </c>
      <c r="F304" s="2">
        <v>3300000.0</v>
      </c>
      <c r="G304" s="1" t="s">
        <v>164</v>
      </c>
      <c r="H304" s="4">
        <f>IFERROR(__xludf.DUMMYFUNCTION("DATE(INDEX(SPLIT(G304,""/""),,3),INDEX(SPLIT(G304,""/""),,2),INDEX(SPLIT(G304,""/""),,1))"),44706.0)</f>
        <v>44706</v>
      </c>
      <c r="I304" s="1" t="s">
        <v>130</v>
      </c>
      <c r="J304" s="4">
        <f>IFERROR(__xludf.DUMMYFUNCTION("DATE(INDEX(SPLIT(I304,""/""),,3),INDEX(SPLIT(I304,""/""),,2),INDEX(SPLIT(I304,""/""),,1))"),44804.0)</f>
        <v>44804</v>
      </c>
      <c r="L304" s="1">
        <v>0.0</v>
      </c>
      <c r="M304" s="1" t="s">
        <v>1405</v>
      </c>
      <c r="N304" s="1"/>
      <c r="O304" s="1" t="s">
        <v>30</v>
      </c>
      <c r="P304" s="1" t="s">
        <v>31</v>
      </c>
      <c r="Q304" s="1" t="s">
        <v>188</v>
      </c>
      <c r="R304" s="1" t="s">
        <v>188</v>
      </c>
      <c r="S304" s="1" t="s">
        <v>189</v>
      </c>
      <c r="T304" s="1" t="s">
        <v>345</v>
      </c>
      <c r="U304" s="1">
        <v>1.00587866E8</v>
      </c>
      <c r="X304" s="1" t="s">
        <v>88</v>
      </c>
      <c r="Y304" s="1" t="s">
        <v>1406</v>
      </c>
      <c r="Z304" s="1" t="s">
        <v>37</v>
      </c>
    </row>
    <row r="305" hidden="1">
      <c r="A305" s="1" t="s">
        <v>1407</v>
      </c>
      <c r="B305" s="1" t="s">
        <v>546</v>
      </c>
      <c r="C305" s="1" t="s">
        <v>1408</v>
      </c>
      <c r="D305" s="1" t="s">
        <v>68</v>
      </c>
      <c r="E305" s="1" t="s">
        <v>28</v>
      </c>
      <c r="F305" s="2">
        <v>3270000.0</v>
      </c>
      <c r="G305" s="4">
        <v>44684.0</v>
      </c>
      <c r="H305" s="4">
        <f>IFERROR(__xludf.DUMMYFUNCTION("DATE(INDEX(SPLIT(G305,""/""),,3),INDEX(SPLIT(G305,""/""),,2),INDEX(SPLIT(G305,""/""),,1))"),44625.0)</f>
        <v>44625</v>
      </c>
      <c r="I305" s="4">
        <v>44689.0</v>
      </c>
      <c r="J305" s="4">
        <f>IFERROR(__xludf.DUMMYFUNCTION("DATE(INDEX(SPLIT(I305,""/""),,3),INDEX(SPLIT(I305,""/""),,2),INDEX(SPLIT(I305,""/""),,1))"),44778.0)</f>
        <v>44778</v>
      </c>
      <c r="L305" s="1">
        <v>0.0</v>
      </c>
      <c r="M305" s="1" t="s">
        <v>1409</v>
      </c>
      <c r="N305" s="1"/>
      <c r="O305" s="1" t="s">
        <v>30</v>
      </c>
      <c r="P305" s="1" t="s">
        <v>31</v>
      </c>
      <c r="Q305" s="1" t="s">
        <v>71</v>
      </c>
      <c r="R305" s="1" t="s">
        <v>71</v>
      </c>
      <c r="S305" s="1" t="s">
        <v>72</v>
      </c>
      <c r="T305" s="1" t="s">
        <v>73</v>
      </c>
      <c r="U305" s="1">
        <v>1.00613761E8</v>
      </c>
      <c r="X305" s="1" t="s">
        <v>74</v>
      </c>
      <c r="Y305" s="1" t="s">
        <v>1409</v>
      </c>
      <c r="Z305" s="1" t="s">
        <v>37</v>
      </c>
    </row>
    <row r="306" hidden="1">
      <c r="A306" s="1" t="s">
        <v>1410</v>
      </c>
      <c r="B306" s="1" t="s">
        <v>106</v>
      </c>
      <c r="C306" s="1" t="s">
        <v>1411</v>
      </c>
      <c r="D306" s="1" t="s">
        <v>27</v>
      </c>
      <c r="E306" s="1" t="s">
        <v>28</v>
      </c>
      <c r="F306" s="2">
        <v>3250000.0</v>
      </c>
      <c r="G306" s="4">
        <v>44686.0</v>
      </c>
      <c r="H306" s="4">
        <f>IFERROR(__xludf.DUMMYFUNCTION("DATE(INDEX(SPLIT(G306,""/""),,3),INDEX(SPLIT(G306,""/""),,2),INDEX(SPLIT(G306,""/""),,1))"),44686.0)</f>
        <v>44686</v>
      </c>
      <c r="I306" s="1" t="s">
        <v>360</v>
      </c>
      <c r="J306" s="4">
        <f>IFERROR(__xludf.DUMMYFUNCTION("DATE(INDEX(SPLIT(I306,""/""),,3),INDEX(SPLIT(I306,""/""),,2),INDEX(SPLIT(I306,""/""),,1))"),44895.0)</f>
        <v>44895</v>
      </c>
      <c r="L306" s="1">
        <v>0.0</v>
      </c>
      <c r="M306" s="1" t="s">
        <v>1412</v>
      </c>
      <c r="N306" s="1"/>
      <c r="O306" s="1" t="s">
        <v>30</v>
      </c>
      <c r="P306" s="1" t="s">
        <v>31</v>
      </c>
      <c r="Q306" s="1" t="s">
        <v>53</v>
      </c>
      <c r="R306" s="1" t="s">
        <v>53</v>
      </c>
      <c r="S306" s="1" t="s">
        <v>54</v>
      </c>
      <c r="T306" s="1" t="s">
        <v>197</v>
      </c>
      <c r="U306" s="1">
        <v>1.00589587E8</v>
      </c>
      <c r="X306" s="1" t="s">
        <v>63</v>
      </c>
      <c r="Y306" s="1" t="s">
        <v>787</v>
      </c>
      <c r="Z306" s="1" t="s">
        <v>37</v>
      </c>
    </row>
    <row r="307">
      <c r="A307" s="1" t="s">
        <v>1413</v>
      </c>
      <c r="B307" s="1" t="s">
        <v>1021</v>
      </c>
      <c r="C307" s="1" t="s">
        <v>1414</v>
      </c>
      <c r="D307" s="1" t="s">
        <v>78</v>
      </c>
      <c r="E307" s="1" t="s">
        <v>28</v>
      </c>
      <c r="F307" s="2">
        <v>3200000.0</v>
      </c>
      <c r="G307" s="1" t="s">
        <v>1381</v>
      </c>
      <c r="H307" s="4">
        <f>IFERROR(__xludf.DUMMYFUNCTION("DATE(INDEX(SPLIT(G307,""/""),,3),INDEX(SPLIT(G307,""/""),,2),INDEX(SPLIT(G307,""/""),,1))"),44643.0)</f>
        <v>44643</v>
      </c>
      <c r="I307" s="4">
        <v>44780.0</v>
      </c>
      <c r="J307" s="4">
        <f>IFERROR(__xludf.DUMMYFUNCTION("DATE(INDEX(SPLIT(I307,""/""),,3),INDEX(SPLIT(I307,""/""),,2),INDEX(SPLIT(I307,""/""),,1))"),44750.0)</f>
        <v>44750</v>
      </c>
      <c r="L307" s="1">
        <v>0.0</v>
      </c>
      <c r="M307" s="1" t="s">
        <v>1415</v>
      </c>
      <c r="N307" s="1"/>
      <c r="O307" s="1" t="s">
        <v>30</v>
      </c>
      <c r="P307" s="1" t="s">
        <v>31</v>
      </c>
      <c r="Q307" s="1" t="s">
        <v>188</v>
      </c>
      <c r="R307" s="1" t="s">
        <v>188</v>
      </c>
      <c r="S307" s="1" t="s">
        <v>189</v>
      </c>
      <c r="T307" s="1" t="s">
        <v>287</v>
      </c>
      <c r="U307" s="1">
        <v>1.00612518E8</v>
      </c>
      <c r="W307" s="1" t="s">
        <v>389</v>
      </c>
      <c r="X307" s="1" t="s">
        <v>46</v>
      </c>
      <c r="Y307" s="1" t="s">
        <v>1415</v>
      </c>
      <c r="Z307" s="1" t="s">
        <v>37</v>
      </c>
    </row>
    <row r="308" hidden="1">
      <c r="A308" s="1" t="s">
        <v>1416</v>
      </c>
      <c r="B308" s="1" t="s">
        <v>1417</v>
      </c>
      <c r="C308" s="1" t="s">
        <v>1418</v>
      </c>
      <c r="D308" s="1" t="s">
        <v>27</v>
      </c>
      <c r="E308" s="1" t="s">
        <v>28</v>
      </c>
      <c r="F308" s="2">
        <v>3200000.0</v>
      </c>
      <c r="G308" s="1" t="s">
        <v>1288</v>
      </c>
      <c r="H308" s="4">
        <f>IFERROR(__xludf.DUMMYFUNCTION("DATE(INDEX(SPLIT(G308,""/""),,3),INDEX(SPLIT(G308,""/""),,2),INDEX(SPLIT(G308,""/""),,1))"),44707.0)</f>
        <v>44707</v>
      </c>
      <c r="I308" s="1" t="s">
        <v>548</v>
      </c>
      <c r="J308" s="4">
        <f>IFERROR(__xludf.DUMMYFUNCTION("DATE(INDEX(SPLIT(I308,""/""),,3),INDEX(SPLIT(I308,""/""),,2),INDEX(SPLIT(I308,""/""),,1))"),44946.0)</f>
        <v>44946</v>
      </c>
      <c r="L308" s="1">
        <v>0.0</v>
      </c>
      <c r="M308" s="1" t="s">
        <v>318</v>
      </c>
      <c r="N308" s="1"/>
      <c r="O308" s="1" t="s">
        <v>30</v>
      </c>
      <c r="P308" s="1" t="s">
        <v>31</v>
      </c>
      <c r="Q308" s="1" t="s">
        <v>71</v>
      </c>
      <c r="R308" s="1" t="s">
        <v>71</v>
      </c>
      <c r="S308" s="1" t="s">
        <v>72</v>
      </c>
      <c r="T308" s="1" t="s">
        <v>73</v>
      </c>
      <c r="U308" s="1">
        <v>1.00654705E8</v>
      </c>
      <c r="X308" s="1" t="s">
        <v>74</v>
      </c>
      <c r="Y308" s="1" t="s">
        <v>318</v>
      </c>
      <c r="Z308" s="1" t="s">
        <v>37</v>
      </c>
    </row>
    <row r="309">
      <c r="A309" s="1" t="s">
        <v>1419</v>
      </c>
      <c r="B309" s="1" t="s">
        <v>1420</v>
      </c>
      <c r="C309" s="1" t="s">
        <v>1421</v>
      </c>
      <c r="D309" s="1" t="s">
        <v>122</v>
      </c>
      <c r="E309" s="1" t="s">
        <v>28</v>
      </c>
      <c r="F309" s="2">
        <v>3200000.0</v>
      </c>
      <c r="G309" s="4">
        <v>44717.0</v>
      </c>
      <c r="H309" s="4">
        <f>IFERROR(__xludf.DUMMYFUNCTION("DATE(INDEX(SPLIT(G309,""/""),,3),INDEX(SPLIT(G309,""/""),,2),INDEX(SPLIT(G309,""/""),,1))"),44687.0)</f>
        <v>44687</v>
      </c>
      <c r="I309" s="1" t="s">
        <v>472</v>
      </c>
      <c r="J309" s="4">
        <f>IFERROR(__xludf.DUMMYFUNCTION("DATE(INDEX(SPLIT(I309,""/""),,3),INDEX(SPLIT(I309,""/""),,2),INDEX(SPLIT(I309,""/""),,1))"),44760.0)</f>
        <v>44760</v>
      </c>
      <c r="L309" s="1">
        <v>0.0</v>
      </c>
      <c r="M309" s="1" t="s">
        <v>1422</v>
      </c>
      <c r="N309" s="1"/>
      <c r="O309" s="1" t="s">
        <v>30</v>
      </c>
      <c r="P309" s="1" t="s">
        <v>31</v>
      </c>
      <c r="Q309" s="1" t="s">
        <v>157</v>
      </c>
      <c r="R309" s="1" t="s">
        <v>157</v>
      </c>
      <c r="S309" s="1" t="s">
        <v>158</v>
      </c>
      <c r="T309" s="1" t="s">
        <v>159</v>
      </c>
      <c r="U309" s="1">
        <v>1.00869794E8</v>
      </c>
      <c r="X309" s="1" t="s">
        <v>46</v>
      </c>
      <c r="Y309" s="1" t="s">
        <v>1423</v>
      </c>
      <c r="Z309" s="1" t="s">
        <v>37</v>
      </c>
    </row>
    <row r="310" hidden="1">
      <c r="A310" s="1" t="s">
        <v>1424</v>
      </c>
      <c r="B310" s="1" t="s">
        <v>301</v>
      </c>
      <c r="C310" s="1" t="s">
        <v>1425</v>
      </c>
      <c r="D310" s="1" t="s">
        <v>78</v>
      </c>
      <c r="E310" s="1" t="s">
        <v>28</v>
      </c>
      <c r="F310" s="2">
        <v>3100000.0</v>
      </c>
      <c r="G310" s="1" t="s">
        <v>934</v>
      </c>
      <c r="H310" s="4">
        <f>IFERROR(__xludf.DUMMYFUNCTION("DATE(INDEX(SPLIT(G310,""/""),,3),INDEX(SPLIT(G310,""/""),,2),INDEX(SPLIT(G310,""/""),,1))"),44681.0)</f>
        <v>44681</v>
      </c>
      <c r="I310" s="1" t="s">
        <v>1426</v>
      </c>
      <c r="J310" s="4">
        <f>IFERROR(__xludf.DUMMYFUNCTION("DATE(INDEX(SPLIT(I310,""/""),,3),INDEX(SPLIT(I310,""/""),,2),INDEX(SPLIT(I310,""/""),,1))"),44826.0)</f>
        <v>44826</v>
      </c>
      <c r="L310" s="1">
        <v>0.0</v>
      </c>
      <c r="M310" s="1" t="s">
        <v>873</v>
      </c>
      <c r="N310" s="1"/>
      <c r="O310" s="1" t="s">
        <v>30</v>
      </c>
      <c r="P310" s="1" t="s">
        <v>31</v>
      </c>
      <c r="Q310" s="1" t="s">
        <v>157</v>
      </c>
      <c r="R310" s="1" t="s">
        <v>157</v>
      </c>
      <c r="S310" s="1" t="s">
        <v>158</v>
      </c>
      <c r="T310" s="1" t="s">
        <v>1427</v>
      </c>
      <c r="U310" s="1">
        <v>1.00586701E8</v>
      </c>
      <c r="X310" s="1" t="s">
        <v>305</v>
      </c>
      <c r="Y310" s="1" t="s">
        <v>873</v>
      </c>
      <c r="Z310" s="1" t="s">
        <v>37</v>
      </c>
    </row>
    <row r="311" hidden="1">
      <c r="A311" s="1" t="s">
        <v>1428</v>
      </c>
      <c r="B311" s="1" t="s">
        <v>1429</v>
      </c>
      <c r="C311" s="1" t="s">
        <v>1430</v>
      </c>
      <c r="D311" s="1" t="s">
        <v>27</v>
      </c>
      <c r="E311" s="1" t="s">
        <v>28</v>
      </c>
      <c r="F311" s="2">
        <v>3060000.0</v>
      </c>
      <c r="G311" s="1" t="s">
        <v>1431</v>
      </c>
      <c r="H311" s="4">
        <f>IFERROR(__xludf.DUMMYFUNCTION("DATE(INDEX(SPLIT(G311,""/""),,3),INDEX(SPLIT(G311,""/""),,2),INDEX(SPLIT(G311,""/""),,1))"),43818.0)</f>
        <v>43818</v>
      </c>
      <c r="I311" s="1" t="s">
        <v>1432</v>
      </c>
      <c r="J311" s="4">
        <f>IFERROR(__xludf.DUMMYFUNCTION("DATE(INDEX(SPLIT(I311,""/""),,3),INDEX(SPLIT(I311,""/""),,2),INDEX(SPLIT(I311,""/""),,1))"),44920.0)</f>
        <v>44920</v>
      </c>
      <c r="L311" s="1">
        <v>0.0</v>
      </c>
      <c r="M311" s="1" t="s">
        <v>1433</v>
      </c>
      <c r="N311" s="1"/>
      <c r="O311" s="1" t="s">
        <v>30</v>
      </c>
      <c r="P311" s="1" t="s">
        <v>31</v>
      </c>
      <c r="Q311" s="1" t="s">
        <v>228</v>
      </c>
      <c r="R311" s="1" t="s">
        <v>228</v>
      </c>
      <c r="S311" s="1" t="s">
        <v>229</v>
      </c>
      <c r="T311" s="1" t="s">
        <v>505</v>
      </c>
      <c r="U311" s="1">
        <v>1.00609118E8</v>
      </c>
      <c r="X311" s="1" t="s">
        <v>190</v>
      </c>
      <c r="Y311" s="1" t="s">
        <v>1434</v>
      </c>
      <c r="Z311" s="1" t="s">
        <v>37</v>
      </c>
    </row>
    <row r="312">
      <c r="A312" s="1" t="s">
        <v>1435</v>
      </c>
      <c r="B312" s="1" t="s">
        <v>1436</v>
      </c>
      <c r="C312" s="1" t="s">
        <v>1437</v>
      </c>
      <c r="D312" s="1" t="s">
        <v>68</v>
      </c>
      <c r="E312" s="1" t="s">
        <v>28</v>
      </c>
      <c r="F312" s="2">
        <v>3060000.0</v>
      </c>
      <c r="G312" s="1" t="s">
        <v>1438</v>
      </c>
      <c r="H312" s="4">
        <f>IFERROR(__xludf.DUMMYFUNCTION("DATE(INDEX(SPLIT(G312,""/""),,3),INDEX(SPLIT(G312,""/""),,2),INDEX(SPLIT(G312,""/""),,1))"),44708.0)</f>
        <v>44708</v>
      </c>
      <c r="I312" s="1" t="s">
        <v>1141</v>
      </c>
      <c r="J312" s="4">
        <f>IFERROR(__xludf.DUMMYFUNCTION("DATE(INDEX(SPLIT(I312,""/""),,3),INDEX(SPLIT(I312,""/""),,2),INDEX(SPLIT(I312,""/""),,1))"),44767.0)</f>
        <v>44767</v>
      </c>
      <c r="L312" s="1">
        <v>0.0</v>
      </c>
      <c r="M312" s="1" t="s">
        <v>1439</v>
      </c>
      <c r="N312" s="1"/>
      <c r="O312" s="1" t="s">
        <v>30</v>
      </c>
      <c r="P312" s="1" t="s">
        <v>31</v>
      </c>
      <c r="Q312" s="1" t="s">
        <v>32</v>
      </c>
      <c r="R312" s="1" t="s">
        <v>32</v>
      </c>
      <c r="S312" s="1" t="s">
        <v>33</v>
      </c>
      <c r="T312" s="1" t="s">
        <v>103</v>
      </c>
      <c r="U312" s="1">
        <v>1.00585872E8</v>
      </c>
      <c r="X312" s="1" t="s">
        <v>410</v>
      </c>
      <c r="Y312" s="1" t="s">
        <v>1439</v>
      </c>
      <c r="Z312" s="1" t="s">
        <v>37</v>
      </c>
    </row>
    <row r="313" hidden="1">
      <c r="A313" s="1" t="s">
        <v>1440</v>
      </c>
      <c r="B313" s="1" t="s">
        <v>1286</v>
      </c>
      <c r="C313" s="1" t="s">
        <v>1441</v>
      </c>
      <c r="D313" s="1" t="s">
        <v>78</v>
      </c>
      <c r="E313" s="1" t="s">
        <v>28</v>
      </c>
      <c r="F313" s="2">
        <v>3000000.0</v>
      </c>
      <c r="G313" s="1" t="s">
        <v>1442</v>
      </c>
      <c r="H313" s="4">
        <f>IFERROR(__xludf.DUMMYFUNCTION("DATE(INDEX(SPLIT(G313,""/""),,3),INDEX(SPLIT(G313,""/""),,2),INDEX(SPLIT(G313,""/""),,1))"),44727.0)</f>
        <v>44727</v>
      </c>
      <c r="I313" s="1" t="s">
        <v>85</v>
      </c>
      <c r="J313" s="4">
        <f>IFERROR(__xludf.DUMMYFUNCTION("DATE(INDEX(SPLIT(I313,""/""),,3),INDEX(SPLIT(I313,""/""),,2),INDEX(SPLIT(I313,""/""),,1))"),44799.0)</f>
        <v>44799</v>
      </c>
      <c r="L313" s="1">
        <v>0.0</v>
      </c>
      <c r="M313" s="1" t="s">
        <v>1443</v>
      </c>
      <c r="N313" s="1"/>
      <c r="O313" s="1" t="s">
        <v>30</v>
      </c>
      <c r="P313" s="1" t="s">
        <v>31</v>
      </c>
      <c r="Q313" s="1" t="s">
        <v>53</v>
      </c>
      <c r="R313" s="1" t="s">
        <v>53</v>
      </c>
      <c r="S313" s="1" t="s">
        <v>54</v>
      </c>
      <c r="U313" s="1">
        <v>1.0059033E8</v>
      </c>
      <c r="X313" s="1" t="s">
        <v>312</v>
      </c>
      <c r="Y313" s="1" t="s">
        <v>313</v>
      </c>
      <c r="Z313" s="1" t="s">
        <v>37</v>
      </c>
    </row>
    <row r="314" hidden="1">
      <c r="A314" s="1" t="s">
        <v>1444</v>
      </c>
      <c r="B314" s="1" t="s">
        <v>1445</v>
      </c>
      <c r="C314" s="1" t="s">
        <v>1446</v>
      </c>
      <c r="D314" s="1" t="s">
        <v>78</v>
      </c>
      <c r="E314" s="1" t="s">
        <v>28</v>
      </c>
      <c r="F314" s="2">
        <v>3000000.0</v>
      </c>
      <c r="G314" s="1" t="s">
        <v>1447</v>
      </c>
      <c r="H314" s="4">
        <f>IFERROR(__xludf.DUMMYFUNCTION("DATE(INDEX(SPLIT(G314,""/""),,3),INDEX(SPLIT(G314,""/""),,2),INDEX(SPLIT(G314,""/""),,1))"),44424.0)</f>
        <v>44424</v>
      </c>
      <c r="I314" s="4">
        <v>44929.0</v>
      </c>
      <c r="J314" s="4">
        <f>IFERROR(__xludf.DUMMYFUNCTION("DATE(INDEX(SPLIT(I314,""/""),,3),INDEX(SPLIT(I314,""/""),,2),INDEX(SPLIT(I314,""/""),,1))"),44986.0)</f>
        <v>44986</v>
      </c>
      <c r="L314" s="1">
        <v>0.0</v>
      </c>
      <c r="M314" s="1" t="s">
        <v>419</v>
      </c>
      <c r="N314" s="1"/>
      <c r="O314" s="1" t="s">
        <v>30</v>
      </c>
      <c r="P314" s="1" t="s">
        <v>31</v>
      </c>
      <c r="Q314" s="1" t="s">
        <v>71</v>
      </c>
      <c r="R314" s="1" t="s">
        <v>71</v>
      </c>
      <c r="S314" s="1" t="s">
        <v>72</v>
      </c>
      <c r="T314" s="1" t="s">
        <v>136</v>
      </c>
      <c r="U314" s="1">
        <v>1.0061032E8</v>
      </c>
      <c r="X314" s="1" t="s">
        <v>74</v>
      </c>
      <c r="Y314" s="1" t="s">
        <v>419</v>
      </c>
      <c r="Z314" s="1" t="s">
        <v>37</v>
      </c>
    </row>
    <row r="315" hidden="1">
      <c r="A315" s="1" t="s">
        <v>1448</v>
      </c>
      <c r="B315" s="1" t="s">
        <v>1436</v>
      </c>
      <c r="C315" s="1" t="s">
        <v>1449</v>
      </c>
      <c r="D315" s="1" t="s">
        <v>27</v>
      </c>
      <c r="E315" s="1" t="s">
        <v>28</v>
      </c>
      <c r="F315" s="2">
        <v>3000000.0</v>
      </c>
      <c r="G315" s="1" t="s">
        <v>1450</v>
      </c>
      <c r="H315" s="4">
        <f>IFERROR(__xludf.DUMMYFUNCTION("DATE(INDEX(SPLIT(G315,""/""),,3),INDEX(SPLIT(G315,""/""),,2),INDEX(SPLIT(G315,""/""),,1))"),44064.0)</f>
        <v>44064</v>
      </c>
      <c r="I315" s="1" t="s">
        <v>1451</v>
      </c>
      <c r="J315" s="4">
        <f>IFERROR(__xludf.DUMMYFUNCTION("DATE(INDEX(SPLIT(I315,""/""),,3),INDEX(SPLIT(I315,""/""),,2),INDEX(SPLIT(I315,""/""),,1))"),45038.0)</f>
        <v>45038</v>
      </c>
      <c r="L315" s="1">
        <v>0.0</v>
      </c>
      <c r="M315" s="1" t="s">
        <v>1452</v>
      </c>
      <c r="N315" s="1"/>
      <c r="O315" s="1" t="s">
        <v>30</v>
      </c>
      <c r="P315" s="1" t="s">
        <v>31</v>
      </c>
      <c r="Q315" s="1" t="s">
        <v>32</v>
      </c>
      <c r="R315" s="1" t="s">
        <v>32</v>
      </c>
      <c r="S315" s="1" t="s">
        <v>33</v>
      </c>
      <c r="T315" s="1" t="s">
        <v>62</v>
      </c>
      <c r="U315" s="1">
        <v>1.00643044E8</v>
      </c>
      <c r="X315" s="1" t="s">
        <v>410</v>
      </c>
      <c r="Y315" s="1" t="s">
        <v>495</v>
      </c>
      <c r="Z315" s="1" t="s">
        <v>206</v>
      </c>
    </row>
    <row r="316" hidden="1">
      <c r="A316" s="1" t="s">
        <v>1453</v>
      </c>
      <c r="B316" s="1" t="s">
        <v>1454</v>
      </c>
      <c r="C316" s="1" t="s">
        <v>1455</v>
      </c>
      <c r="D316" s="1" t="s">
        <v>78</v>
      </c>
      <c r="E316" s="1" t="s">
        <v>28</v>
      </c>
      <c r="F316" s="2">
        <v>3000000.0</v>
      </c>
      <c r="G316" s="1" t="s">
        <v>321</v>
      </c>
      <c r="H316" s="4">
        <f>IFERROR(__xludf.DUMMYFUNCTION("DATE(INDEX(SPLIT(G316,""/""),,3),INDEX(SPLIT(G316,""/""),,2),INDEX(SPLIT(G316,""/""),,1))"),44586.0)</f>
        <v>44586</v>
      </c>
      <c r="I316" s="4">
        <v>44601.0</v>
      </c>
      <c r="J316" s="4">
        <f>IFERROR(__xludf.DUMMYFUNCTION("DATE(INDEX(SPLIT(I316,""/""),,3),INDEX(SPLIT(I316,""/""),,2),INDEX(SPLIT(I316,""/""),,1))"),44806.0)</f>
        <v>44806</v>
      </c>
      <c r="L316" s="1">
        <v>0.0</v>
      </c>
      <c r="M316" s="1" t="s">
        <v>1439</v>
      </c>
      <c r="N316" s="1"/>
      <c r="O316" s="1" t="s">
        <v>30</v>
      </c>
      <c r="P316" s="1" t="s">
        <v>31</v>
      </c>
      <c r="Q316" s="1" t="s">
        <v>32</v>
      </c>
      <c r="R316" s="1" t="s">
        <v>32</v>
      </c>
      <c r="S316" s="1" t="s">
        <v>33</v>
      </c>
      <c r="T316" s="1" t="s">
        <v>103</v>
      </c>
      <c r="U316" s="1">
        <v>1.00585872E8</v>
      </c>
      <c r="V316" s="1" t="s">
        <v>1456</v>
      </c>
      <c r="W316" s="1" t="s">
        <v>45</v>
      </c>
      <c r="X316" s="1" t="s">
        <v>254</v>
      </c>
      <c r="Y316" s="1" t="s">
        <v>1457</v>
      </c>
      <c r="Z316" s="1" t="s">
        <v>37</v>
      </c>
    </row>
    <row r="317" hidden="1">
      <c r="A317" s="1" t="s">
        <v>1458</v>
      </c>
      <c r="B317" s="1" t="s">
        <v>39</v>
      </c>
      <c r="C317" s="1" t="s">
        <v>1459</v>
      </c>
      <c r="D317" s="1" t="s">
        <v>27</v>
      </c>
      <c r="E317" s="1" t="s">
        <v>28</v>
      </c>
      <c r="F317" s="2">
        <v>3000000.0</v>
      </c>
      <c r="G317" s="1" t="s">
        <v>934</v>
      </c>
      <c r="H317" s="4">
        <f>IFERROR(__xludf.DUMMYFUNCTION("DATE(INDEX(SPLIT(G317,""/""),,3),INDEX(SPLIT(G317,""/""),,2),INDEX(SPLIT(G317,""/""),,1))"),44681.0)</f>
        <v>44681</v>
      </c>
      <c r="I317" s="1" t="s">
        <v>1460</v>
      </c>
      <c r="J317" s="4">
        <f>IFERROR(__xludf.DUMMYFUNCTION("DATE(INDEX(SPLIT(I317,""/""),,3),INDEX(SPLIT(I317,""/""),,2),INDEX(SPLIT(I317,""/""),,1))"),45138.0)</f>
        <v>45138</v>
      </c>
      <c r="L317" s="1">
        <v>0.0</v>
      </c>
      <c r="M317" s="1" t="s">
        <v>841</v>
      </c>
      <c r="N317" s="1"/>
      <c r="O317" s="1" t="s">
        <v>30</v>
      </c>
      <c r="P317" s="1" t="s">
        <v>31</v>
      </c>
      <c r="Q317" s="1" t="s">
        <v>95</v>
      </c>
      <c r="R317" s="1" t="s">
        <v>95</v>
      </c>
      <c r="S317" s="1" t="s">
        <v>96</v>
      </c>
      <c r="T317" s="1" t="s">
        <v>287</v>
      </c>
      <c r="U317" s="1">
        <v>1.00621664E8</v>
      </c>
      <c r="V317" s="1" t="s">
        <v>1461</v>
      </c>
      <c r="W317" s="1" t="s">
        <v>45</v>
      </c>
      <c r="X317" s="1" t="s">
        <v>46</v>
      </c>
      <c r="Y317" s="1" t="s">
        <v>43</v>
      </c>
      <c r="Z317" s="1" t="s">
        <v>37</v>
      </c>
    </row>
    <row r="318" hidden="1">
      <c r="A318" s="1" t="s">
        <v>1462</v>
      </c>
      <c r="B318" s="1" t="s">
        <v>1463</v>
      </c>
      <c r="C318" s="1" t="s">
        <v>1464</v>
      </c>
      <c r="D318" s="1" t="s">
        <v>78</v>
      </c>
      <c r="E318" s="1" t="s">
        <v>28</v>
      </c>
      <c r="F318" s="2">
        <v>3000000.0</v>
      </c>
      <c r="G318" s="1" t="s">
        <v>682</v>
      </c>
      <c r="H318" s="4">
        <f>IFERROR(__xludf.DUMMYFUNCTION("DATE(INDEX(SPLIT(G318,""/""),,3),INDEX(SPLIT(G318,""/""),,2),INDEX(SPLIT(G318,""/""),,1))"),44406.0)</f>
        <v>44406</v>
      </c>
      <c r="I318" s="1" t="s">
        <v>165</v>
      </c>
      <c r="J318" s="4">
        <f>IFERROR(__xludf.DUMMYFUNCTION("DATE(INDEX(SPLIT(I318,""/""),,3),INDEX(SPLIT(I318,""/""),,2),INDEX(SPLIT(I318,""/""),,1))"),44803.0)</f>
        <v>44803</v>
      </c>
      <c r="L318" s="1">
        <v>0.0</v>
      </c>
      <c r="M318" s="1" t="s">
        <v>941</v>
      </c>
      <c r="N318" s="1"/>
      <c r="O318" s="1" t="s">
        <v>30</v>
      </c>
      <c r="P318" s="1" t="s">
        <v>31</v>
      </c>
      <c r="Q318" s="1" t="s">
        <v>235</v>
      </c>
      <c r="R318" s="1" t="s">
        <v>235</v>
      </c>
      <c r="S318" s="1" t="s">
        <v>236</v>
      </c>
      <c r="T318" s="1" t="s">
        <v>438</v>
      </c>
      <c r="U318" s="1">
        <v>1.00652846E8</v>
      </c>
      <c r="X318" s="1" t="s">
        <v>88</v>
      </c>
      <c r="Y318" s="1" t="s">
        <v>941</v>
      </c>
      <c r="Z318" s="1" t="s">
        <v>37</v>
      </c>
    </row>
    <row r="319" hidden="1">
      <c r="A319" s="1" t="s">
        <v>1465</v>
      </c>
      <c r="B319" s="1" t="s">
        <v>492</v>
      </c>
      <c r="C319" s="1" t="s">
        <v>1466</v>
      </c>
      <c r="D319" s="1" t="s">
        <v>27</v>
      </c>
      <c r="E319" s="1" t="s">
        <v>28</v>
      </c>
      <c r="F319" s="2">
        <v>3000000.0</v>
      </c>
      <c r="G319" s="1" t="s">
        <v>1467</v>
      </c>
      <c r="H319" s="4">
        <f>IFERROR(__xludf.DUMMYFUNCTION("DATE(INDEX(SPLIT(G319,""/""),,3),INDEX(SPLIT(G319,""/""),,2),INDEX(SPLIT(G319,""/""),,1))"),44396.0)</f>
        <v>44396</v>
      </c>
      <c r="I319" s="4">
        <v>44992.0</v>
      </c>
      <c r="J319" s="4">
        <f>IFERROR(__xludf.DUMMYFUNCTION("DATE(INDEX(SPLIT(I319,""/""),,3),INDEX(SPLIT(I319,""/""),,2),INDEX(SPLIT(I319,""/""),,1))"),45110.0)</f>
        <v>45110</v>
      </c>
      <c r="L319" s="1">
        <v>0.0</v>
      </c>
      <c r="M319" s="1" t="s">
        <v>730</v>
      </c>
      <c r="N319" s="1"/>
      <c r="O319" s="1" t="s">
        <v>30</v>
      </c>
      <c r="P319" s="1" t="s">
        <v>31</v>
      </c>
      <c r="Q319" s="1" t="s">
        <v>95</v>
      </c>
      <c r="R319" s="1" t="s">
        <v>95</v>
      </c>
      <c r="S319" s="1" t="s">
        <v>96</v>
      </c>
      <c r="T319" s="1" t="s">
        <v>311</v>
      </c>
      <c r="U319" s="1">
        <v>1.00629293E8</v>
      </c>
      <c r="X319" s="1" t="s">
        <v>46</v>
      </c>
      <c r="Y319" s="1" t="s">
        <v>730</v>
      </c>
      <c r="Z319" s="1" t="s">
        <v>37</v>
      </c>
    </row>
    <row r="320" hidden="1">
      <c r="A320" s="1" t="s">
        <v>1468</v>
      </c>
      <c r="B320" s="1" t="s">
        <v>532</v>
      </c>
      <c r="C320" s="1" t="s">
        <v>1469</v>
      </c>
      <c r="D320" s="1" t="s">
        <v>68</v>
      </c>
      <c r="E320" s="1" t="s">
        <v>28</v>
      </c>
      <c r="F320" s="2">
        <v>3000000.0</v>
      </c>
      <c r="G320" s="4">
        <v>44594.0</v>
      </c>
      <c r="H320" s="4">
        <f>IFERROR(__xludf.DUMMYFUNCTION("DATE(INDEX(SPLIT(G320,""/""),,3),INDEX(SPLIT(G320,""/""),,2),INDEX(SPLIT(G320,""/""),,1))"),44594.0)</f>
        <v>44594</v>
      </c>
      <c r="I320" s="1" t="s">
        <v>109</v>
      </c>
      <c r="J320" s="4">
        <f>IFERROR(__xludf.DUMMYFUNCTION("DATE(INDEX(SPLIT(I320,""/""),,3),INDEX(SPLIT(I320,""/""),,2),INDEX(SPLIT(I320,""/""),,1))"),44834.0)</f>
        <v>44834</v>
      </c>
      <c r="L320" s="1">
        <v>0.0</v>
      </c>
      <c r="M320" s="1" t="s">
        <v>614</v>
      </c>
      <c r="N320" s="1"/>
      <c r="O320" s="1" t="s">
        <v>30</v>
      </c>
      <c r="P320" s="1" t="s">
        <v>31</v>
      </c>
      <c r="Q320" s="1" t="s">
        <v>71</v>
      </c>
      <c r="R320" s="1" t="s">
        <v>71</v>
      </c>
      <c r="S320" s="1" t="s">
        <v>72</v>
      </c>
      <c r="T320" s="1" t="s">
        <v>615</v>
      </c>
      <c r="U320" s="1">
        <v>1.00869732E8</v>
      </c>
      <c r="X320" s="1" t="s">
        <v>490</v>
      </c>
      <c r="Y320" s="1" t="s">
        <v>1470</v>
      </c>
      <c r="Z320" s="1" t="s">
        <v>37</v>
      </c>
    </row>
    <row r="321" hidden="1">
      <c r="A321" s="1" t="s">
        <v>1471</v>
      </c>
      <c r="B321" s="1" t="s">
        <v>954</v>
      </c>
      <c r="C321" s="1" t="s">
        <v>1472</v>
      </c>
      <c r="D321" s="1" t="s">
        <v>27</v>
      </c>
      <c r="E321" s="1" t="s">
        <v>28</v>
      </c>
      <c r="F321" s="2">
        <v>3000000.0</v>
      </c>
      <c r="G321" s="4">
        <v>44450.0</v>
      </c>
      <c r="H321" s="4">
        <f>IFERROR(__xludf.DUMMYFUNCTION("DATE(INDEX(SPLIT(G321,""/""),,3),INDEX(SPLIT(G321,""/""),,2),INDEX(SPLIT(G321,""/""),,1))"),44509.0)</f>
        <v>44509</v>
      </c>
      <c r="I321" s="1" t="s">
        <v>203</v>
      </c>
      <c r="J321" s="4">
        <f>IFERROR(__xludf.DUMMYFUNCTION("DATE(INDEX(SPLIT(I321,""/""),,3),INDEX(SPLIT(I321,""/""),,2),INDEX(SPLIT(I321,""/""),,1))"),44925.0)</f>
        <v>44925</v>
      </c>
      <c r="L321" s="1">
        <v>0.0</v>
      </c>
      <c r="M321" s="1" t="s">
        <v>1333</v>
      </c>
      <c r="N321" s="1"/>
      <c r="O321" s="1" t="s">
        <v>30</v>
      </c>
      <c r="P321" s="1" t="s">
        <v>31</v>
      </c>
      <c r="Q321" s="1" t="s">
        <v>71</v>
      </c>
      <c r="R321" s="1" t="s">
        <v>71</v>
      </c>
      <c r="S321" s="1" t="s">
        <v>72</v>
      </c>
      <c r="T321" s="1" t="s">
        <v>136</v>
      </c>
      <c r="U321" s="1">
        <v>1.006299E8</v>
      </c>
      <c r="X321" s="1" t="s">
        <v>74</v>
      </c>
      <c r="Y321" s="1" t="s">
        <v>1333</v>
      </c>
      <c r="Z321" s="1" t="s">
        <v>37</v>
      </c>
    </row>
    <row r="322" hidden="1">
      <c r="A322" s="1" t="s">
        <v>1473</v>
      </c>
      <c r="B322" s="1" t="s">
        <v>301</v>
      </c>
      <c r="C322" s="1" t="s">
        <v>1474</v>
      </c>
      <c r="D322" s="1" t="s">
        <v>27</v>
      </c>
      <c r="E322" s="1" t="s">
        <v>28</v>
      </c>
      <c r="F322" s="2">
        <v>3000000.0</v>
      </c>
      <c r="G322" s="1" t="s">
        <v>1475</v>
      </c>
      <c r="H322" s="4">
        <f>IFERROR(__xludf.DUMMYFUNCTION("DATE(INDEX(SPLIT(G322,""/""),,3),INDEX(SPLIT(G322,""/""),,2),INDEX(SPLIT(G322,""/""),,1))"),44425.0)</f>
        <v>44425</v>
      </c>
      <c r="I322" s="4">
        <v>44689.0</v>
      </c>
      <c r="J322" s="4">
        <f>IFERROR(__xludf.DUMMYFUNCTION("DATE(INDEX(SPLIT(I322,""/""),,3),INDEX(SPLIT(I322,""/""),,2),INDEX(SPLIT(I322,""/""),,1))"),44778.0)</f>
        <v>44778</v>
      </c>
      <c r="L322" s="1">
        <v>0.0</v>
      </c>
      <c r="M322" s="1" t="s">
        <v>1036</v>
      </c>
      <c r="N322" s="1"/>
      <c r="O322" s="1" t="s">
        <v>30</v>
      </c>
      <c r="P322" s="1" t="s">
        <v>31</v>
      </c>
      <c r="Q322" s="1" t="s">
        <v>95</v>
      </c>
      <c r="R322" s="1" t="s">
        <v>95</v>
      </c>
      <c r="S322" s="1" t="s">
        <v>96</v>
      </c>
      <c r="T322" s="1" t="s">
        <v>111</v>
      </c>
      <c r="U322" s="1">
        <v>1.00633489E8</v>
      </c>
      <c r="X322" s="1" t="s">
        <v>305</v>
      </c>
      <c r="Y322" s="1" t="s">
        <v>1036</v>
      </c>
      <c r="Z322" s="1" t="s">
        <v>37</v>
      </c>
    </row>
    <row r="323" hidden="1">
      <c r="A323" s="1" t="s">
        <v>1476</v>
      </c>
      <c r="B323" s="1" t="s">
        <v>1113</v>
      </c>
      <c r="C323" s="1" t="s">
        <v>1477</v>
      </c>
      <c r="D323" s="1" t="s">
        <v>78</v>
      </c>
      <c r="E323" s="1" t="s">
        <v>28</v>
      </c>
      <c r="F323" s="2">
        <v>3000000.0</v>
      </c>
      <c r="G323" s="4">
        <v>44447.0</v>
      </c>
      <c r="H323" s="4">
        <f>IFERROR(__xludf.DUMMYFUNCTION("DATE(INDEX(SPLIT(G323,""/""),,3),INDEX(SPLIT(G323,""/""),,2),INDEX(SPLIT(G323,""/""),,1))"),44417.0)</f>
        <v>44417</v>
      </c>
      <c r="I323" s="1" t="s">
        <v>109</v>
      </c>
      <c r="J323" s="4">
        <f>IFERROR(__xludf.DUMMYFUNCTION("DATE(INDEX(SPLIT(I323,""/""),,3),INDEX(SPLIT(I323,""/""),,2),INDEX(SPLIT(I323,""/""),,1))"),44834.0)</f>
        <v>44834</v>
      </c>
      <c r="L323" s="1">
        <v>0.0</v>
      </c>
      <c r="M323" s="1" t="s">
        <v>633</v>
      </c>
      <c r="N323" s="1"/>
      <c r="O323" s="1" t="s">
        <v>30</v>
      </c>
      <c r="P323" s="1" t="s">
        <v>31</v>
      </c>
      <c r="Q323" s="1" t="s">
        <v>53</v>
      </c>
      <c r="R323" s="1" t="s">
        <v>53</v>
      </c>
      <c r="S323" s="1" t="s">
        <v>54</v>
      </c>
      <c r="T323" s="1" t="s">
        <v>634</v>
      </c>
      <c r="U323" s="1">
        <v>1.00997154E8</v>
      </c>
      <c r="X323" s="1" t="s">
        <v>490</v>
      </c>
      <c r="Y323" s="1" t="s">
        <v>633</v>
      </c>
      <c r="Z323" s="1" t="s">
        <v>37</v>
      </c>
    </row>
    <row r="324" hidden="1">
      <c r="A324" s="1" t="s">
        <v>1478</v>
      </c>
      <c r="B324" s="1" t="s">
        <v>1479</v>
      </c>
      <c r="C324" s="1" t="s">
        <v>1480</v>
      </c>
      <c r="D324" s="1" t="s">
        <v>27</v>
      </c>
      <c r="E324" s="1" t="s">
        <v>28</v>
      </c>
      <c r="F324" s="2">
        <v>3000000.0</v>
      </c>
      <c r="G324" s="1" t="s">
        <v>286</v>
      </c>
      <c r="H324" s="4">
        <f>IFERROR(__xludf.DUMMYFUNCTION("DATE(INDEX(SPLIT(G324,""/""),,3),INDEX(SPLIT(G324,""/""),,2),INDEX(SPLIT(G324,""/""),,1))"),44609.0)</f>
        <v>44609</v>
      </c>
      <c r="I324" s="1" t="s">
        <v>179</v>
      </c>
      <c r="J324" s="4">
        <f>IFERROR(__xludf.DUMMYFUNCTION("DATE(INDEX(SPLIT(I324,""/""),,3),INDEX(SPLIT(I324,""/""),,2),INDEX(SPLIT(I324,""/""),,1))"),44890.0)</f>
        <v>44890</v>
      </c>
      <c r="L324" s="1">
        <v>0.0</v>
      </c>
      <c r="M324" s="1" t="s">
        <v>1481</v>
      </c>
      <c r="N324" s="1"/>
      <c r="O324" s="1" t="s">
        <v>30</v>
      </c>
      <c r="P324" s="1" t="s">
        <v>31</v>
      </c>
      <c r="Q324" s="1" t="s">
        <v>157</v>
      </c>
      <c r="R324" s="1" t="s">
        <v>157</v>
      </c>
      <c r="S324" s="1" t="s">
        <v>158</v>
      </c>
      <c r="U324" s="1">
        <v>1.00632803E8</v>
      </c>
      <c r="X324" s="1" t="s">
        <v>305</v>
      </c>
      <c r="Y324" s="1" t="s">
        <v>1481</v>
      </c>
      <c r="Z324" s="1" t="s">
        <v>37</v>
      </c>
    </row>
    <row r="325" hidden="1">
      <c r="A325" s="1" t="s">
        <v>1482</v>
      </c>
      <c r="B325" s="1" t="s">
        <v>1371</v>
      </c>
      <c r="C325" s="1" t="s">
        <v>1483</v>
      </c>
      <c r="D325" s="1" t="s">
        <v>27</v>
      </c>
      <c r="E325" s="1" t="s">
        <v>28</v>
      </c>
      <c r="F325" s="2">
        <v>3000000.0</v>
      </c>
      <c r="G325" s="1" t="s">
        <v>298</v>
      </c>
      <c r="H325" s="4">
        <f>IFERROR(__xludf.DUMMYFUNCTION("DATE(INDEX(SPLIT(G325,""/""),,3),INDEX(SPLIT(G325,""/""),,2),INDEX(SPLIT(G325,""/""),,1))"),44762.0)</f>
        <v>44762</v>
      </c>
      <c r="I325" s="1" t="s">
        <v>42</v>
      </c>
      <c r="J325" s="4">
        <f>IFERROR(__xludf.DUMMYFUNCTION("DATE(INDEX(SPLIT(I325,""/""),,3),INDEX(SPLIT(I325,""/""),,2),INDEX(SPLIT(I325,""/""),,1))"),44926.0)</f>
        <v>44926</v>
      </c>
      <c r="L325" s="1">
        <v>0.0</v>
      </c>
      <c r="M325" s="1" t="s">
        <v>1484</v>
      </c>
      <c r="N325" s="1"/>
      <c r="O325" s="1" t="s">
        <v>30</v>
      </c>
      <c r="P325" s="1" t="s">
        <v>31</v>
      </c>
      <c r="Q325" s="1" t="s">
        <v>95</v>
      </c>
      <c r="R325" s="1" t="s">
        <v>95</v>
      </c>
      <c r="S325" s="1" t="s">
        <v>96</v>
      </c>
      <c r="T325" s="1" t="s">
        <v>111</v>
      </c>
      <c r="U325" s="1">
        <v>1.00585718E8</v>
      </c>
      <c r="X325" s="1" t="s">
        <v>63</v>
      </c>
      <c r="Y325" s="1" t="s">
        <v>1485</v>
      </c>
      <c r="Z325" s="1" t="s">
        <v>37</v>
      </c>
    </row>
    <row r="326" hidden="1">
      <c r="A326" s="1" t="s">
        <v>1486</v>
      </c>
      <c r="B326" s="1" t="s">
        <v>546</v>
      </c>
      <c r="C326" s="1" t="s">
        <v>1487</v>
      </c>
      <c r="D326" s="1" t="s">
        <v>27</v>
      </c>
      <c r="E326" s="1" t="s">
        <v>28</v>
      </c>
      <c r="F326" s="2">
        <v>3000000.0</v>
      </c>
      <c r="G326" s="1" t="s">
        <v>1381</v>
      </c>
      <c r="H326" s="4">
        <f>IFERROR(__xludf.DUMMYFUNCTION("DATE(INDEX(SPLIT(G326,""/""),,3),INDEX(SPLIT(G326,""/""),,2),INDEX(SPLIT(G326,""/""),,1))"),44643.0)</f>
        <v>44643</v>
      </c>
      <c r="I326" s="1" t="s">
        <v>487</v>
      </c>
      <c r="J326" s="4">
        <f>IFERROR(__xludf.DUMMYFUNCTION("DATE(INDEX(SPLIT(I326,""/""),,3),INDEX(SPLIT(I326,""/""),,2),INDEX(SPLIT(I326,""/""),,1))"),44855.0)</f>
        <v>44855</v>
      </c>
      <c r="L326" s="1">
        <v>0.0</v>
      </c>
      <c r="M326" s="1" t="s">
        <v>318</v>
      </c>
      <c r="N326" s="1"/>
      <c r="O326" s="1" t="s">
        <v>30</v>
      </c>
      <c r="P326" s="1" t="s">
        <v>31</v>
      </c>
      <c r="Q326" s="1" t="s">
        <v>71</v>
      </c>
      <c r="R326" s="1" t="s">
        <v>71</v>
      </c>
      <c r="S326" s="1" t="s">
        <v>72</v>
      </c>
      <c r="T326" s="1" t="s">
        <v>73</v>
      </c>
      <c r="U326" s="1">
        <v>1.00654705E8</v>
      </c>
      <c r="X326" s="1" t="s">
        <v>74</v>
      </c>
      <c r="Y326" s="1" t="s">
        <v>318</v>
      </c>
      <c r="Z326" s="1" t="s">
        <v>37</v>
      </c>
    </row>
    <row r="327" hidden="1">
      <c r="A327" s="1" t="s">
        <v>1488</v>
      </c>
      <c r="B327" s="1" t="s">
        <v>1489</v>
      </c>
      <c r="C327" s="1" t="s">
        <v>1490</v>
      </c>
      <c r="D327" s="1" t="s">
        <v>27</v>
      </c>
      <c r="E327" s="1" t="s">
        <v>28</v>
      </c>
      <c r="F327" s="2">
        <v>3000000.0</v>
      </c>
      <c r="G327" s="1" t="s">
        <v>210</v>
      </c>
      <c r="H327" s="4">
        <f>IFERROR(__xludf.DUMMYFUNCTION("DATE(INDEX(SPLIT(G327,""/""),,3),INDEX(SPLIT(G327,""/""),,2),INDEX(SPLIT(G327,""/""),,1))"),44329.0)</f>
        <v>44329</v>
      </c>
      <c r="I327" s="4">
        <v>44816.0</v>
      </c>
      <c r="J327" s="4">
        <f>IFERROR(__xludf.DUMMYFUNCTION("DATE(INDEX(SPLIT(I327,""/""),,3),INDEX(SPLIT(I327,""/""),,2),INDEX(SPLIT(I327,""/""),,1))"),44904.0)</f>
        <v>44904</v>
      </c>
      <c r="L327" s="1">
        <v>0.0</v>
      </c>
      <c r="M327" s="1" t="s">
        <v>878</v>
      </c>
      <c r="N327" s="1"/>
      <c r="O327" s="1" t="s">
        <v>30</v>
      </c>
      <c r="P327" s="1" t="s">
        <v>31</v>
      </c>
      <c r="Q327" s="1" t="s">
        <v>32</v>
      </c>
      <c r="R327" s="1" t="s">
        <v>32</v>
      </c>
      <c r="S327" s="1" t="s">
        <v>33</v>
      </c>
      <c r="U327" s="1">
        <v>1.00686761E8</v>
      </c>
      <c r="X327" s="1" t="s">
        <v>35</v>
      </c>
      <c r="Y327" s="1" t="s">
        <v>740</v>
      </c>
      <c r="Z327" s="1" t="s">
        <v>527</v>
      </c>
    </row>
    <row r="328" hidden="1">
      <c r="A328" s="1" t="s">
        <v>1491</v>
      </c>
      <c r="B328" s="1" t="s">
        <v>1492</v>
      </c>
      <c r="C328" s="1" t="s">
        <v>1493</v>
      </c>
      <c r="D328" s="1" t="s">
        <v>78</v>
      </c>
      <c r="E328" s="1" t="s">
        <v>28</v>
      </c>
      <c r="F328" s="2">
        <v>3000000.0</v>
      </c>
      <c r="G328" s="1" t="s">
        <v>1494</v>
      </c>
      <c r="H328" s="4">
        <f>IFERROR(__xludf.DUMMYFUNCTION("DATE(INDEX(SPLIT(G328,""/""),,3),INDEX(SPLIT(G328,""/""),,2),INDEX(SPLIT(G328,""/""),,1))"),44463.0)</f>
        <v>44463</v>
      </c>
      <c r="I328" s="1" t="s">
        <v>1495</v>
      </c>
      <c r="J328" s="4">
        <f>IFERROR(__xludf.DUMMYFUNCTION("DATE(INDEX(SPLIT(I328,""/""),,3),INDEX(SPLIT(I328,""/""),,2),INDEX(SPLIT(I328,""/""),,1))"),44864.0)</f>
        <v>44864</v>
      </c>
      <c r="L328" s="1">
        <v>0.0</v>
      </c>
      <c r="M328" s="1" t="s">
        <v>1496</v>
      </c>
      <c r="N328" s="1"/>
      <c r="O328" s="1" t="s">
        <v>30</v>
      </c>
      <c r="P328" s="1" t="s">
        <v>31</v>
      </c>
      <c r="Q328" s="1" t="s">
        <v>53</v>
      </c>
      <c r="R328" s="1" t="s">
        <v>53</v>
      </c>
      <c r="S328" s="1" t="s">
        <v>54</v>
      </c>
      <c r="U328" s="1">
        <v>1.00610014E8</v>
      </c>
      <c r="X328" s="1" t="s">
        <v>81</v>
      </c>
      <c r="Y328" s="1" t="s">
        <v>104</v>
      </c>
      <c r="Z328" s="1" t="s">
        <v>37</v>
      </c>
    </row>
    <row r="329">
      <c r="A329" s="1" t="s">
        <v>1497</v>
      </c>
      <c r="B329" s="1" t="s">
        <v>1498</v>
      </c>
      <c r="C329" s="1" t="s">
        <v>1499</v>
      </c>
      <c r="D329" s="1" t="s">
        <v>122</v>
      </c>
      <c r="E329" s="1" t="s">
        <v>28</v>
      </c>
      <c r="F329" s="2">
        <v>3000000.0</v>
      </c>
      <c r="G329" s="1" t="s">
        <v>1500</v>
      </c>
      <c r="H329" s="4">
        <f>IFERROR(__xludf.DUMMYFUNCTION("DATE(INDEX(SPLIT(G329,""/""),,3),INDEX(SPLIT(G329,""/""),,2),INDEX(SPLIT(G329,""/""),,1))"),44695.0)</f>
        <v>44695</v>
      </c>
      <c r="I329" s="1" t="s">
        <v>1501</v>
      </c>
      <c r="J329" s="4">
        <f>IFERROR(__xludf.DUMMYFUNCTION("DATE(INDEX(SPLIT(I329,""/""),,3),INDEX(SPLIT(I329,""/""),,2),INDEX(SPLIT(I329,""/""),,1))"),44711.0)</f>
        <v>44711</v>
      </c>
      <c r="L329" s="1">
        <v>0.0</v>
      </c>
      <c r="M329" s="1" t="s">
        <v>813</v>
      </c>
      <c r="N329" s="1"/>
      <c r="O329" s="1" t="s">
        <v>30</v>
      </c>
      <c r="P329" s="1" t="s">
        <v>31</v>
      </c>
      <c r="Q329" s="1" t="s">
        <v>188</v>
      </c>
      <c r="R329" s="1" t="s">
        <v>188</v>
      </c>
      <c r="S329" s="1" t="s">
        <v>189</v>
      </c>
      <c r="U329" s="1">
        <v>1.01062258E8</v>
      </c>
      <c r="X329" s="1" t="s">
        <v>361</v>
      </c>
      <c r="Y329" s="1" t="s">
        <v>1502</v>
      </c>
      <c r="Z329" s="1" t="s">
        <v>37</v>
      </c>
    </row>
    <row r="330" hidden="1">
      <c r="A330" s="1" t="s">
        <v>1503</v>
      </c>
      <c r="B330" s="1" t="s">
        <v>1002</v>
      </c>
      <c r="C330" s="1" t="s">
        <v>1504</v>
      </c>
      <c r="D330" s="1" t="s">
        <v>27</v>
      </c>
      <c r="E330" s="1" t="s">
        <v>28</v>
      </c>
      <c r="F330" s="2">
        <v>3000000.0</v>
      </c>
      <c r="G330" s="1" t="s">
        <v>1281</v>
      </c>
      <c r="H330" s="4">
        <f>IFERROR(__xludf.DUMMYFUNCTION("DATE(INDEX(SPLIT(G330,""/""),,3),INDEX(SPLIT(G330,""/""),,2),INDEX(SPLIT(G330,""/""),,1))"),44469.0)</f>
        <v>44469</v>
      </c>
      <c r="I330" s="4">
        <v>44958.0</v>
      </c>
      <c r="J330" s="4">
        <f>IFERROR(__xludf.DUMMYFUNCTION("DATE(INDEX(SPLIT(I330,""/""),,3),INDEX(SPLIT(I330,""/""),,2),INDEX(SPLIT(I330,""/""),,1))"),44928.0)</f>
        <v>44928</v>
      </c>
      <c r="L330" s="1">
        <v>0.0</v>
      </c>
      <c r="M330" s="1" t="s">
        <v>914</v>
      </c>
      <c r="N330" s="1"/>
      <c r="O330" s="1" t="s">
        <v>30</v>
      </c>
      <c r="P330" s="1" t="s">
        <v>31</v>
      </c>
      <c r="Q330" s="1" t="s">
        <v>71</v>
      </c>
      <c r="R330" s="1" t="s">
        <v>71</v>
      </c>
      <c r="S330" s="1" t="s">
        <v>72</v>
      </c>
      <c r="T330" s="1" t="s">
        <v>136</v>
      </c>
      <c r="U330" s="1">
        <v>1.01033479E8</v>
      </c>
      <c r="X330" s="1" t="s">
        <v>74</v>
      </c>
      <c r="Y330" s="1" t="s">
        <v>914</v>
      </c>
      <c r="Z330" s="1" t="s">
        <v>37</v>
      </c>
    </row>
    <row r="331" hidden="1">
      <c r="A331" s="1" t="s">
        <v>1505</v>
      </c>
      <c r="B331" s="1" t="s">
        <v>1506</v>
      </c>
      <c r="C331" s="1" t="s">
        <v>1507</v>
      </c>
      <c r="D331" s="1" t="s">
        <v>27</v>
      </c>
      <c r="E331" s="1" t="s">
        <v>28</v>
      </c>
      <c r="F331" s="2">
        <v>3000000.0</v>
      </c>
      <c r="G331" s="4">
        <v>44567.0</v>
      </c>
      <c r="H331" s="4">
        <f>IFERROR(__xludf.DUMMYFUNCTION("DATE(INDEX(SPLIT(G331,""/""),,3),INDEX(SPLIT(G331,""/""),,2),INDEX(SPLIT(G331,""/""),,1))"),44713.0)</f>
        <v>44713</v>
      </c>
      <c r="I331" s="1" t="s">
        <v>109</v>
      </c>
      <c r="J331" s="4">
        <f>IFERROR(__xludf.DUMMYFUNCTION("DATE(INDEX(SPLIT(I331,""/""),,3),INDEX(SPLIT(I331,""/""),,2),INDEX(SPLIT(I331,""/""),,1))"),44834.0)</f>
        <v>44834</v>
      </c>
      <c r="L331" s="1">
        <v>0.0</v>
      </c>
      <c r="M331" s="1" t="s">
        <v>594</v>
      </c>
      <c r="N331" s="1"/>
      <c r="O331" s="1" t="s">
        <v>30</v>
      </c>
      <c r="P331" s="1" t="s">
        <v>31</v>
      </c>
      <c r="Q331" s="1" t="s">
        <v>95</v>
      </c>
      <c r="R331" s="1" t="s">
        <v>95</v>
      </c>
      <c r="S331" s="1" t="s">
        <v>96</v>
      </c>
      <c r="T331" s="1" t="s">
        <v>217</v>
      </c>
      <c r="U331" s="1">
        <v>1.005886E8</v>
      </c>
      <c r="X331" s="1" t="s">
        <v>35</v>
      </c>
      <c r="Y331" s="1" t="s">
        <v>594</v>
      </c>
      <c r="Z331" s="1" t="s">
        <v>37</v>
      </c>
    </row>
    <row r="332" hidden="1">
      <c r="A332" s="1" t="s">
        <v>1508</v>
      </c>
      <c r="B332" s="1" t="s">
        <v>296</v>
      </c>
      <c r="C332" s="1" t="s">
        <v>1509</v>
      </c>
      <c r="D332" s="1" t="s">
        <v>27</v>
      </c>
      <c r="E332" s="1" t="s">
        <v>28</v>
      </c>
      <c r="F332" s="2">
        <v>3000000.0</v>
      </c>
      <c r="G332" s="1" t="s">
        <v>271</v>
      </c>
      <c r="H332" s="4">
        <f>IFERROR(__xludf.DUMMYFUNCTION("DATE(INDEX(SPLIT(G332,""/""),,3),INDEX(SPLIT(G332,""/""),,2),INDEX(SPLIT(G332,""/""),,1))"),44680.0)</f>
        <v>44680</v>
      </c>
      <c r="I332" s="4">
        <v>44935.0</v>
      </c>
      <c r="J332" s="4">
        <f>IFERROR(__xludf.DUMMYFUNCTION("DATE(INDEX(SPLIT(I332,""/""),,3),INDEX(SPLIT(I332,""/""),,2),INDEX(SPLIT(I332,""/""),,1))"),45170.0)</f>
        <v>45170</v>
      </c>
      <c r="L332" s="1">
        <v>0.0</v>
      </c>
      <c r="M332" s="1" t="s">
        <v>299</v>
      </c>
      <c r="N332" s="1"/>
      <c r="O332" s="1" t="s">
        <v>30</v>
      </c>
      <c r="P332" s="1" t="s">
        <v>31</v>
      </c>
      <c r="Q332" s="1" t="s">
        <v>71</v>
      </c>
      <c r="R332" s="1" t="s">
        <v>71</v>
      </c>
      <c r="S332" s="1" t="s">
        <v>72</v>
      </c>
      <c r="T332" s="1" t="s">
        <v>136</v>
      </c>
      <c r="U332" s="1">
        <v>1.00610483E8</v>
      </c>
      <c r="X332" s="1" t="s">
        <v>74</v>
      </c>
      <c r="Y332" s="1" t="s">
        <v>299</v>
      </c>
      <c r="Z332" s="1" t="s">
        <v>37</v>
      </c>
    </row>
    <row r="333" hidden="1">
      <c r="A333" s="1" t="s">
        <v>1510</v>
      </c>
      <c r="B333" s="1" t="s">
        <v>1511</v>
      </c>
      <c r="C333" s="1" t="s">
        <v>1512</v>
      </c>
      <c r="D333" s="1" t="s">
        <v>27</v>
      </c>
      <c r="E333" s="1" t="s">
        <v>28</v>
      </c>
      <c r="F333" s="2">
        <v>3000000.0</v>
      </c>
      <c r="G333" s="1" t="s">
        <v>1513</v>
      </c>
      <c r="H333" s="4">
        <f>IFERROR(__xludf.DUMMYFUNCTION("DATE(INDEX(SPLIT(G333,""/""),,3),INDEX(SPLIT(G333,""/""),,2),INDEX(SPLIT(G333,""/""),,1))"),44183.0)</f>
        <v>44183</v>
      </c>
      <c r="I333" s="4">
        <v>44752.0</v>
      </c>
      <c r="J333" s="4">
        <f>IFERROR(__xludf.DUMMYFUNCTION("DATE(INDEX(SPLIT(I333,""/""),,3),INDEX(SPLIT(I333,""/""),,2),INDEX(SPLIT(I333,""/""),,1))"),44841.0)</f>
        <v>44841</v>
      </c>
      <c r="L333" s="1">
        <v>0.0</v>
      </c>
      <c r="M333" s="1" t="s">
        <v>1514</v>
      </c>
      <c r="N333" s="1"/>
      <c r="O333" s="1" t="s">
        <v>30</v>
      </c>
      <c r="P333" s="1" t="s">
        <v>31</v>
      </c>
      <c r="Q333" s="1" t="s">
        <v>71</v>
      </c>
      <c r="R333" s="1" t="s">
        <v>71</v>
      </c>
      <c r="S333" s="1" t="s">
        <v>72</v>
      </c>
      <c r="T333" s="1" t="s">
        <v>615</v>
      </c>
      <c r="U333" s="1">
        <v>1.006324E8</v>
      </c>
      <c r="X333" s="1" t="s">
        <v>490</v>
      </c>
      <c r="Y333" s="1" t="s">
        <v>1514</v>
      </c>
      <c r="Z333" s="1" t="s">
        <v>37</v>
      </c>
    </row>
    <row r="334" hidden="1">
      <c r="A334" s="1" t="s">
        <v>1515</v>
      </c>
      <c r="B334" s="1" t="s">
        <v>1511</v>
      </c>
      <c r="C334" s="1" t="s">
        <v>1516</v>
      </c>
      <c r="D334" s="1" t="s">
        <v>27</v>
      </c>
      <c r="E334" s="1" t="s">
        <v>28</v>
      </c>
      <c r="F334" s="2">
        <v>3000000.0</v>
      </c>
      <c r="G334" s="4">
        <v>44776.0</v>
      </c>
      <c r="H334" s="4">
        <f>IFERROR(__xludf.DUMMYFUNCTION("DATE(INDEX(SPLIT(G334,""/""),,3),INDEX(SPLIT(G334,""/""),,2),INDEX(SPLIT(G334,""/""),,1))"),44628.0)</f>
        <v>44628</v>
      </c>
      <c r="I334" s="4">
        <v>44989.0</v>
      </c>
      <c r="J334" s="4">
        <f>IFERROR(__xludf.DUMMYFUNCTION("DATE(INDEX(SPLIT(I334,""/""),,3),INDEX(SPLIT(I334,""/""),,2),INDEX(SPLIT(I334,""/""),,1))"),45019.0)</f>
        <v>45019</v>
      </c>
      <c r="L334" s="1">
        <v>0.0</v>
      </c>
      <c r="M334" s="1" t="s">
        <v>1514</v>
      </c>
      <c r="N334" s="1"/>
      <c r="O334" s="1" t="s">
        <v>30</v>
      </c>
      <c r="P334" s="1" t="s">
        <v>31</v>
      </c>
      <c r="Q334" s="1" t="s">
        <v>71</v>
      </c>
      <c r="R334" s="1" t="s">
        <v>71</v>
      </c>
      <c r="S334" s="1" t="s">
        <v>72</v>
      </c>
      <c r="T334" s="1" t="s">
        <v>615</v>
      </c>
      <c r="U334" s="1">
        <v>1.006324E8</v>
      </c>
      <c r="X334" s="1" t="s">
        <v>490</v>
      </c>
      <c r="Y334" s="1" t="s">
        <v>899</v>
      </c>
      <c r="Z334" s="1" t="s">
        <v>37</v>
      </c>
    </row>
    <row r="335" hidden="1">
      <c r="A335" s="1" t="s">
        <v>1517</v>
      </c>
      <c r="B335" s="1" t="s">
        <v>315</v>
      </c>
      <c r="C335" s="1" t="s">
        <v>1518</v>
      </c>
      <c r="D335" s="1" t="s">
        <v>27</v>
      </c>
      <c r="E335" s="1" t="s">
        <v>28</v>
      </c>
      <c r="F335" s="2">
        <v>3000000.0</v>
      </c>
      <c r="G335" s="1" t="s">
        <v>1128</v>
      </c>
      <c r="H335" s="4">
        <f>IFERROR(__xludf.DUMMYFUNCTION("DATE(INDEX(SPLIT(G335,""/""),,3),INDEX(SPLIT(G335,""/""),,2),INDEX(SPLIT(G335,""/""),,1))"),44737.0)</f>
        <v>44737</v>
      </c>
      <c r="I335" s="1" t="s">
        <v>360</v>
      </c>
      <c r="J335" s="4">
        <f>IFERROR(__xludf.DUMMYFUNCTION("DATE(INDEX(SPLIT(I335,""/""),,3),INDEX(SPLIT(I335,""/""),,2),INDEX(SPLIT(I335,""/""),,1))"),44895.0)</f>
        <v>44895</v>
      </c>
      <c r="L335" s="1">
        <v>0.0</v>
      </c>
      <c r="M335" s="1" t="s">
        <v>1137</v>
      </c>
      <c r="N335" s="1"/>
      <c r="O335" s="1" t="s">
        <v>30</v>
      </c>
      <c r="P335" s="1" t="s">
        <v>31</v>
      </c>
      <c r="Q335" s="1" t="s">
        <v>71</v>
      </c>
      <c r="R335" s="1" t="s">
        <v>71</v>
      </c>
      <c r="S335" s="1" t="s">
        <v>72</v>
      </c>
      <c r="T335" s="1" t="s">
        <v>73</v>
      </c>
      <c r="U335" s="1">
        <v>1.00589728E8</v>
      </c>
      <c r="X335" s="1" t="s">
        <v>74</v>
      </c>
      <c r="Y335" s="1" t="s">
        <v>1137</v>
      </c>
      <c r="Z335" s="1" t="s">
        <v>37</v>
      </c>
    </row>
    <row r="336" hidden="1">
      <c r="A336" s="1" t="s">
        <v>1519</v>
      </c>
      <c r="B336" s="1" t="s">
        <v>704</v>
      </c>
      <c r="C336" s="1" t="s">
        <v>1520</v>
      </c>
      <c r="D336" s="1" t="s">
        <v>27</v>
      </c>
      <c r="E336" s="1" t="s">
        <v>28</v>
      </c>
      <c r="F336" s="2">
        <v>3000000.0</v>
      </c>
      <c r="G336" s="1" t="s">
        <v>1521</v>
      </c>
      <c r="H336" s="4">
        <f>IFERROR(__xludf.DUMMYFUNCTION("DATE(INDEX(SPLIT(G336,""/""),,3),INDEX(SPLIT(G336,""/""),,2),INDEX(SPLIT(G336,""/""),,1))"),44756.0)</f>
        <v>44756</v>
      </c>
      <c r="I336" s="1" t="s">
        <v>535</v>
      </c>
      <c r="J336" s="4">
        <f>IFERROR(__xludf.DUMMYFUNCTION("DATE(INDEX(SPLIT(I336,""/""),,3),INDEX(SPLIT(I336,""/""),,2),INDEX(SPLIT(I336,""/""),,1))"),44957.0)</f>
        <v>44957</v>
      </c>
      <c r="L336" s="1">
        <v>0.0</v>
      </c>
      <c r="M336" s="1" t="s">
        <v>467</v>
      </c>
      <c r="N336" s="1"/>
      <c r="O336" s="1" t="s">
        <v>30</v>
      </c>
      <c r="P336" s="1" t="s">
        <v>31</v>
      </c>
      <c r="Q336" s="1" t="s">
        <v>32</v>
      </c>
      <c r="R336" s="1" t="s">
        <v>32</v>
      </c>
      <c r="S336" s="1" t="s">
        <v>33</v>
      </c>
      <c r="U336" s="1">
        <v>1.00619817E8</v>
      </c>
      <c r="X336" s="1" t="s">
        <v>35</v>
      </c>
      <c r="Y336" s="1" t="s">
        <v>1522</v>
      </c>
      <c r="Z336" s="1" t="s">
        <v>37</v>
      </c>
    </row>
    <row r="337" hidden="1">
      <c r="A337" s="1" t="s">
        <v>1523</v>
      </c>
      <c r="B337" s="1" t="s">
        <v>532</v>
      </c>
      <c r="C337" s="1" t="s">
        <v>1524</v>
      </c>
      <c r="D337" s="1" t="s">
        <v>27</v>
      </c>
      <c r="E337" s="1" t="s">
        <v>28</v>
      </c>
      <c r="F337" s="2">
        <v>3000000.0</v>
      </c>
      <c r="G337" s="1" t="s">
        <v>534</v>
      </c>
      <c r="H337" s="4">
        <f>IFERROR(__xludf.DUMMYFUNCTION("DATE(INDEX(SPLIT(G337,""/""),,3),INDEX(SPLIT(G337,""/""),,2),INDEX(SPLIT(G337,""/""),,1))"),44704.0)</f>
        <v>44704</v>
      </c>
      <c r="I337" s="1" t="s">
        <v>535</v>
      </c>
      <c r="J337" s="4">
        <f>IFERROR(__xludf.DUMMYFUNCTION("DATE(INDEX(SPLIT(I337,""/""),,3),INDEX(SPLIT(I337,""/""),,2),INDEX(SPLIT(I337,""/""),,1))"),44957.0)</f>
        <v>44957</v>
      </c>
      <c r="L337" s="1">
        <v>0.0</v>
      </c>
      <c r="M337" s="1" t="s">
        <v>536</v>
      </c>
      <c r="N337" s="1"/>
      <c r="O337" s="1" t="s">
        <v>30</v>
      </c>
      <c r="P337" s="1" t="s">
        <v>31</v>
      </c>
      <c r="Q337" s="1" t="s">
        <v>188</v>
      </c>
      <c r="R337" s="1" t="s">
        <v>188</v>
      </c>
      <c r="S337" s="1" t="s">
        <v>189</v>
      </c>
      <c r="T337" s="1" t="s">
        <v>537</v>
      </c>
      <c r="U337" s="1">
        <v>1.00620711E8</v>
      </c>
      <c r="X337" s="1" t="s">
        <v>490</v>
      </c>
      <c r="Y337" s="1" t="s">
        <v>538</v>
      </c>
      <c r="Z337" s="1" t="s">
        <v>37</v>
      </c>
    </row>
    <row r="338" hidden="1">
      <c r="A338" s="1" t="s">
        <v>1525</v>
      </c>
      <c r="B338" s="1" t="s">
        <v>981</v>
      </c>
      <c r="C338" s="1" t="s">
        <v>1526</v>
      </c>
      <c r="D338" s="1" t="s">
        <v>27</v>
      </c>
      <c r="E338" s="1" t="s">
        <v>28</v>
      </c>
      <c r="F338" s="2">
        <v>3000000.0</v>
      </c>
      <c r="G338" s="1" t="s">
        <v>983</v>
      </c>
      <c r="H338" s="4">
        <f>IFERROR(__xludf.DUMMYFUNCTION("DATE(INDEX(SPLIT(G338,""/""),,3),INDEX(SPLIT(G338,""/""),,2),INDEX(SPLIT(G338,""/""),,1))"),44393.0)</f>
        <v>44393</v>
      </c>
      <c r="I338" s="1" t="s">
        <v>155</v>
      </c>
      <c r="J338" s="4">
        <f>IFERROR(__xludf.DUMMYFUNCTION("DATE(INDEX(SPLIT(I338,""/""),,3),INDEX(SPLIT(I338,""/""),,2),INDEX(SPLIT(I338,""/""),,1))"),45473.0)</f>
        <v>45473</v>
      </c>
      <c r="L338" s="1">
        <v>0.0</v>
      </c>
      <c r="M338" s="1" t="s">
        <v>1527</v>
      </c>
      <c r="N338" s="1"/>
      <c r="O338" s="1" t="s">
        <v>30</v>
      </c>
      <c r="P338" s="1" t="s">
        <v>31</v>
      </c>
      <c r="Q338" s="1" t="s">
        <v>95</v>
      </c>
      <c r="R338" s="1" t="s">
        <v>95</v>
      </c>
      <c r="S338" s="1" t="s">
        <v>96</v>
      </c>
      <c r="T338" s="1" t="s">
        <v>489</v>
      </c>
      <c r="U338" s="1">
        <v>1.00651554E8</v>
      </c>
      <c r="X338" s="1" t="s">
        <v>490</v>
      </c>
      <c r="Y338" s="1" t="s">
        <v>985</v>
      </c>
      <c r="Z338" s="1" t="s">
        <v>37</v>
      </c>
    </row>
    <row r="339" hidden="1">
      <c r="A339" s="1" t="s">
        <v>1528</v>
      </c>
      <c r="B339" s="1" t="s">
        <v>981</v>
      </c>
      <c r="C339" s="1" t="s">
        <v>1529</v>
      </c>
      <c r="D339" s="1" t="s">
        <v>27</v>
      </c>
      <c r="E339" s="1" t="s">
        <v>28</v>
      </c>
      <c r="F339" s="2">
        <v>3000000.0</v>
      </c>
      <c r="G339" s="4">
        <v>44717.0</v>
      </c>
      <c r="H339" s="4">
        <f>IFERROR(__xludf.DUMMYFUNCTION("DATE(INDEX(SPLIT(G339,""/""),,3),INDEX(SPLIT(G339,""/""),,2),INDEX(SPLIT(G339,""/""),,1))"),44687.0)</f>
        <v>44687</v>
      </c>
      <c r="I339" s="1" t="s">
        <v>171</v>
      </c>
      <c r="J339" s="4">
        <f>IFERROR(__xludf.DUMMYFUNCTION("DATE(INDEX(SPLIT(I339,""/""),,3),INDEX(SPLIT(I339,""/""),,2),INDEX(SPLIT(I339,""/""),,1))"),45077.0)</f>
        <v>45077</v>
      </c>
      <c r="L339" s="1">
        <v>0.0</v>
      </c>
      <c r="M339" s="1" t="s">
        <v>1527</v>
      </c>
      <c r="N339" s="1"/>
      <c r="O339" s="1" t="s">
        <v>30</v>
      </c>
      <c r="P339" s="1" t="s">
        <v>31</v>
      </c>
      <c r="Q339" s="1" t="s">
        <v>95</v>
      </c>
      <c r="R339" s="1" t="s">
        <v>95</v>
      </c>
      <c r="S339" s="1" t="s">
        <v>96</v>
      </c>
      <c r="T339" s="1" t="s">
        <v>615</v>
      </c>
      <c r="U339" s="1">
        <v>1.00651554E8</v>
      </c>
      <c r="X339" s="1" t="s">
        <v>490</v>
      </c>
      <c r="Y339" s="1" t="s">
        <v>985</v>
      </c>
      <c r="Z339" s="1" t="s">
        <v>37</v>
      </c>
    </row>
    <row r="340" hidden="1">
      <c r="A340" s="1" t="s">
        <v>1530</v>
      </c>
      <c r="B340" s="1" t="s">
        <v>1352</v>
      </c>
      <c r="C340" s="1" t="s">
        <v>1531</v>
      </c>
      <c r="D340" s="1" t="s">
        <v>27</v>
      </c>
      <c r="E340" s="1" t="s">
        <v>28</v>
      </c>
      <c r="F340" s="2">
        <v>3000000.0</v>
      </c>
      <c r="G340" s="4">
        <v>44540.0</v>
      </c>
      <c r="H340" s="4">
        <f>IFERROR(__xludf.DUMMYFUNCTION("DATE(INDEX(SPLIT(G340,""/""),,3),INDEX(SPLIT(G340,""/""),,2),INDEX(SPLIT(G340,""/""),,1))"),44481.0)</f>
        <v>44481</v>
      </c>
      <c r="I340" s="1" t="s">
        <v>203</v>
      </c>
      <c r="J340" s="4">
        <f>IFERROR(__xludf.DUMMYFUNCTION("DATE(INDEX(SPLIT(I340,""/""),,3),INDEX(SPLIT(I340,""/""),,2),INDEX(SPLIT(I340,""/""),,1))"),44925.0)</f>
        <v>44925</v>
      </c>
      <c r="L340" s="1">
        <v>0.0</v>
      </c>
      <c r="M340" s="1" t="s">
        <v>1532</v>
      </c>
      <c r="N340" s="1"/>
      <c r="O340" s="1" t="s">
        <v>30</v>
      </c>
      <c r="P340" s="1" t="s">
        <v>31</v>
      </c>
      <c r="Q340" s="1" t="s">
        <v>228</v>
      </c>
      <c r="R340" s="1" t="s">
        <v>228</v>
      </c>
      <c r="S340" s="1" t="s">
        <v>229</v>
      </c>
      <c r="T340" s="1" t="s">
        <v>640</v>
      </c>
      <c r="U340" s="1">
        <v>1.00711752E8</v>
      </c>
      <c r="X340" s="1" t="s">
        <v>375</v>
      </c>
      <c r="Y340" s="1" t="s">
        <v>1533</v>
      </c>
      <c r="Z340" s="1" t="s">
        <v>37</v>
      </c>
    </row>
    <row r="341" hidden="1">
      <c r="A341" s="1" t="s">
        <v>1534</v>
      </c>
      <c r="B341" s="1" t="s">
        <v>1535</v>
      </c>
      <c r="C341" s="1" t="s">
        <v>1536</v>
      </c>
      <c r="D341" s="1" t="s">
        <v>27</v>
      </c>
      <c r="E341" s="1" t="s">
        <v>28</v>
      </c>
      <c r="F341" s="2">
        <v>3000000.0</v>
      </c>
      <c r="G341" s="1" t="s">
        <v>1537</v>
      </c>
      <c r="H341" s="4">
        <f>IFERROR(__xludf.DUMMYFUNCTION("DATE(INDEX(SPLIT(G341,""/""),,3),INDEX(SPLIT(G341,""/""),,2),INDEX(SPLIT(G341,""/""),,1))"),44154.0)</f>
        <v>44154</v>
      </c>
      <c r="I341" s="1" t="s">
        <v>109</v>
      </c>
      <c r="J341" s="4">
        <f>IFERROR(__xludf.DUMMYFUNCTION("DATE(INDEX(SPLIT(I341,""/""),,3),INDEX(SPLIT(I341,""/""),,2),INDEX(SPLIT(I341,""/""),,1))"),44834.0)</f>
        <v>44834</v>
      </c>
      <c r="L341" s="1">
        <v>0.0</v>
      </c>
      <c r="M341" s="1" t="s">
        <v>1376</v>
      </c>
      <c r="N341" s="1"/>
      <c r="O341" s="1" t="s">
        <v>30</v>
      </c>
      <c r="P341" s="1" t="s">
        <v>31</v>
      </c>
      <c r="Q341" s="1" t="s">
        <v>32</v>
      </c>
      <c r="R341" s="1" t="s">
        <v>32</v>
      </c>
      <c r="S341" s="1" t="s">
        <v>33</v>
      </c>
      <c r="T341" s="1" t="s">
        <v>1195</v>
      </c>
      <c r="U341" s="1">
        <v>1.006096E8</v>
      </c>
      <c r="X341" s="1" t="s">
        <v>490</v>
      </c>
      <c r="Y341" s="1" t="s">
        <v>1376</v>
      </c>
      <c r="Z341" s="1" t="s">
        <v>37</v>
      </c>
    </row>
    <row r="342">
      <c r="A342" s="1" t="s">
        <v>1538</v>
      </c>
      <c r="B342" s="1" t="s">
        <v>1144</v>
      </c>
      <c r="C342" s="1" t="s">
        <v>1539</v>
      </c>
      <c r="D342" s="1" t="s">
        <v>78</v>
      </c>
      <c r="E342" s="1" t="s">
        <v>28</v>
      </c>
      <c r="F342" s="2">
        <v>3000000.0</v>
      </c>
      <c r="G342" s="4">
        <v>44208.0</v>
      </c>
      <c r="H342" s="4">
        <f>IFERROR(__xludf.DUMMYFUNCTION("DATE(INDEX(SPLIT(G342,""/""),,3),INDEX(SPLIT(G342,""/""),,2),INDEX(SPLIT(G342,""/""),,1))"),44531.0)</f>
        <v>44531</v>
      </c>
      <c r="I342" s="4">
        <v>44872.0</v>
      </c>
      <c r="J342" s="4">
        <f>IFERROR(__xludf.DUMMYFUNCTION("DATE(INDEX(SPLIT(I342,""/""),,3),INDEX(SPLIT(I342,""/""),,2),INDEX(SPLIT(I342,""/""),,1))"),44753.0)</f>
        <v>44753</v>
      </c>
      <c r="L342" s="1">
        <v>0.0</v>
      </c>
      <c r="M342" s="1" t="s">
        <v>1146</v>
      </c>
      <c r="N342" s="1"/>
      <c r="O342" s="1" t="s">
        <v>30</v>
      </c>
      <c r="P342" s="1" t="s">
        <v>31</v>
      </c>
      <c r="Q342" s="1" t="s">
        <v>228</v>
      </c>
      <c r="R342" s="1" t="s">
        <v>228</v>
      </c>
      <c r="S342" s="1" t="s">
        <v>229</v>
      </c>
      <c r="T342" s="1" t="s">
        <v>1344</v>
      </c>
      <c r="U342" s="1">
        <v>1.0061139E8</v>
      </c>
      <c r="X342" s="1" t="s">
        <v>63</v>
      </c>
      <c r="Y342" s="1" t="s">
        <v>1540</v>
      </c>
      <c r="Z342" s="1" t="s">
        <v>37</v>
      </c>
    </row>
    <row r="343" hidden="1">
      <c r="A343" s="1" t="s">
        <v>1541</v>
      </c>
      <c r="B343" s="1" t="s">
        <v>1542</v>
      </c>
      <c r="C343" s="1" t="s">
        <v>1543</v>
      </c>
      <c r="D343" s="1" t="s">
        <v>27</v>
      </c>
      <c r="E343" s="1" t="s">
        <v>28</v>
      </c>
      <c r="F343" s="2">
        <v>3000000.0</v>
      </c>
      <c r="G343" s="1" t="s">
        <v>233</v>
      </c>
      <c r="H343" s="4">
        <f>IFERROR(__xludf.DUMMYFUNCTION("DATE(INDEX(SPLIT(G343,""/""),,3),INDEX(SPLIT(G343,""/""),,2),INDEX(SPLIT(G343,""/""),,1))"),44729.0)</f>
        <v>44729</v>
      </c>
      <c r="I343" s="1" t="s">
        <v>130</v>
      </c>
      <c r="J343" s="4">
        <f>IFERROR(__xludf.DUMMYFUNCTION("DATE(INDEX(SPLIT(I343,""/""),,3),INDEX(SPLIT(I343,""/""),,2),INDEX(SPLIT(I343,""/""),,1))"),44804.0)</f>
        <v>44804</v>
      </c>
      <c r="L343" s="1">
        <v>0.0</v>
      </c>
      <c r="M343" s="1" t="s">
        <v>1544</v>
      </c>
      <c r="N343" s="1"/>
      <c r="O343" s="1" t="s">
        <v>30</v>
      </c>
      <c r="P343" s="1" t="s">
        <v>31</v>
      </c>
      <c r="Q343" s="1" t="s">
        <v>71</v>
      </c>
      <c r="R343" s="1" t="s">
        <v>71</v>
      </c>
      <c r="S343" s="1" t="s">
        <v>72</v>
      </c>
      <c r="U343" s="1">
        <v>1.00619692E8</v>
      </c>
      <c r="X343" s="1" t="s">
        <v>74</v>
      </c>
      <c r="Y343" s="1" t="s">
        <v>1544</v>
      </c>
      <c r="Z343" s="1" t="s">
        <v>37</v>
      </c>
    </row>
    <row r="344" hidden="1">
      <c r="A344" s="1" t="s">
        <v>1545</v>
      </c>
      <c r="B344" s="1" t="s">
        <v>1546</v>
      </c>
      <c r="C344" s="1" t="s">
        <v>1547</v>
      </c>
      <c r="D344" s="1" t="s">
        <v>27</v>
      </c>
      <c r="E344" s="1" t="s">
        <v>28</v>
      </c>
      <c r="F344" s="2">
        <v>3000000.0</v>
      </c>
      <c r="G344" s="1" t="s">
        <v>1154</v>
      </c>
      <c r="H344" s="4">
        <f>IFERROR(__xludf.DUMMYFUNCTION("DATE(INDEX(SPLIT(G344,""/""),,3),INDEX(SPLIT(G344,""/""),,2),INDEX(SPLIT(G344,""/""),,1))"),44735.0)</f>
        <v>44735</v>
      </c>
      <c r="I344" s="4">
        <v>44601.0</v>
      </c>
      <c r="J344" s="4">
        <f>IFERROR(__xludf.DUMMYFUNCTION("DATE(INDEX(SPLIT(I344,""/""),,3),INDEX(SPLIT(I344,""/""),,2),INDEX(SPLIT(I344,""/""),,1))"),44806.0)</f>
        <v>44806</v>
      </c>
      <c r="L344" s="1">
        <v>0.0</v>
      </c>
      <c r="M344" s="1" t="s">
        <v>1548</v>
      </c>
      <c r="N344" s="1"/>
      <c r="O344" s="1" t="s">
        <v>30</v>
      </c>
      <c r="P344" s="1" t="s">
        <v>31</v>
      </c>
      <c r="Q344" s="1" t="s">
        <v>32</v>
      </c>
      <c r="R344" s="1" t="s">
        <v>32</v>
      </c>
      <c r="S344" s="1" t="s">
        <v>33</v>
      </c>
      <c r="U344" s="1">
        <v>1.01215106E8</v>
      </c>
      <c r="X344" s="1" t="s">
        <v>46</v>
      </c>
      <c r="Y344" s="1" t="s">
        <v>1548</v>
      </c>
      <c r="Z344" s="1" t="s">
        <v>37</v>
      </c>
    </row>
    <row r="345" hidden="1">
      <c r="A345" s="1" t="s">
        <v>1549</v>
      </c>
      <c r="B345" s="1" t="s">
        <v>896</v>
      </c>
      <c r="C345" s="1" t="s">
        <v>1550</v>
      </c>
      <c r="D345" s="1" t="s">
        <v>78</v>
      </c>
      <c r="E345" s="1" t="s">
        <v>28</v>
      </c>
      <c r="F345" s="2">
        <v>3000000.0</v>
      </c>
      <c r="G345" s="1" t="s">
        <v>1551</v>
      </c>
      <c r="H345" s="4">
        <f>IFERROR(__xludf.DUMMYFUNCTION("DATE(INDEX(SPLIT(G345,""/""),,3),INDEX(SPLIT(G345,""/""),,2),INDEX(SPLIT(G345,""/""),,1))"),44618.0)</f>
        <v>44618</v>
      </c>
      <c r="I345" s="1" t="s">
        <v>1097</v>
      </c>
      <c r="J345" s="4">
        <f>IFERROR(__xludf.DUMMYFUNCTION("DATE(INDEX(SPLIT(I345,""/""),,3),INDEX(SPLIT(I345,""/""),,2),INDEX(SPLIT(I345,""/""),,1))"),45107.0)</f>
        <v>45107</v>
      </c>
      <c r="L345" s="1">
        <v>0.0</v>
      </c>
      <c r="M345" s="1" t="s">
        <v>1552</v>
      </c>
      <c r="N345" s="1"/>
      <c r="O345" s="1" t="s">
        <v>30</v>
      </c>
      <c r="P345" s="1" t="s">
        <v>31</v>
      </c>
      <c r="Q345" s="1" t="s">
        <v>32</v>
      </c>
      <c r="R345" s="1" t="s">
        <v>32</v>
      </c>
      <c r="S345" s="1" t="s">
        <v>33</v>
      </c>
      <c r="T345" s="1" t="s">
        <v>1195</v>
      </c>
      <c r="U345" s="1">
        <v>1.00637597E8</v>
      </c>
      <c r="X345" s="1" t="s">
        <v>490</v>
      </c>
      <c r="Y345" s="1" t="s">
        <v>1196</v>
      </c>
      <c r="Z345" s="1" t="s">
        <v>37</v>
      </c>
    </row>
    <row r="346" hidden="1">
      <c r="A346" s="1" t="s">
        <v>1553</v>
      </c>
      <c r="B346" s="1" t="s">
        <v>301</v>
      </c>
      <c r="C346" s="1" t="s">
        <v>1554</v>
      </c>
      <c r="D346" s="1" t="s">
        <v>78</v>
      </c>
      <c r="E346" s="1" t="s">
        <v>28</v>
      </c>
      <c r="F346" s="2">
        <v>3000000.0</v>
      </c>
      <c r="G346" s="4">
        <v>44479.0</v>
      </c>
      <c r="H346" s="4">
        <f>IFERROR(__xludf.DUMMYFUNCTION("DATE(INDEX(SPLIT(G346,""/""),,3),INDEX(SPLIT(G346,""/""),,2),INDEX(SPLIT(G346,""/""),,1))"),44479.0)</f>
        <v>44479</v>
      </c>
      <c r="I346" s="1" t="s">
        <v>872</v>
      </c>
      <c r="J346" s="4">
        <f>IFERROR(__xludf.DUMMYFUNCTION("DATE(INDEX(SPLIT(I346,""/""),,3),INDEX(SPLIT(I346,""/""),,2),INDEX(SPLIT(I346,""/""),,1))"),44820.0)</f>
        <v>44820</v>
      </c>
      <c r="L346" s="1">
        <v>0.0</v>
      </c>
      <c r="M346" s="1" t="s">
        <v>873</v>
      </c>
      <c r="N346" s="1"/>
      <c r="O346" s="1" t="s">
        <v>30</v>
      </c>
      <c r="P346" s="1" t="s">
        <v>31</v>
      </c>
      <c r="Q346" s="1" t="s">
        <v>157</v>
      </c>
      <c r="R346" s="1" t="s">
        <v>157</v>
      </c>
      <c r="S346" s="1" t="s">
        <v>158</v>
      </c>
      <c r="U346" s="1">
        <v>1.00586701E8</v>
      </c>
      <c r="X346" s="1" t="s">
        <v>305</v>
      </c>
      <c r="Y346" s="1" t="s">
        <v>1103</v>
      </c>
      <c r="Z346" s="1" t="s">
        <v>37</v>
      </c>
    </row>
    <row r="347" hidden="1">
      <c r="A347" s="1" t="s">
        <v>1555</v>
      </c>
      <c r="B347" s="1" t="s">
        <v>645</v>
      </c>
      <c r="C347" s="1" t="s">
        <v>1556</v>
      </c>
      <c r="D347" s="1" t="s">
        <v>78</v>
      </c>
      <c r="E347" s="1" t="s">
        <v>28</v>
      </c>
      <c r="F347" s="2">
        <v>3000000.0</v>
      </c>
      <c r="G347" s="1" t="s">
        <v>1557</v>
      </c>
      <c r="H347" s="4">
        <f>IFERROR(__xludf.DUMMYFUNCTION("DATE(INDEX(SPLIT(G347,""/""),,3),INDEX(SPLIT(G347,""/""),,2),INDEX(SPLIT(G347,""/""),,1))"),43767.0)</f>
        <v>43767</v>
      </c>
      <c r="I347" s="1" t="s">
        <v>293</v>
      </c>
      <c r="J347" s="4">
        <f>IFERROR(__xludf.DUMMYFUNCTION("DATE(INDEX(SPLIT(I347,""/""),,3),INDEX(SPLIT(I347,""/""),,2),INDEX(SPLIT(I347,""/""),,1))"),44918.0)</f>
        <v>44918</v>
      </c>
      <c r="L347" s="1">
        <v>0.0</v>
      </c>
      <c r="M347" s="1" t="s">
        <v>259</v>
      </c>
      <c r="N347" s="1"/>
      <c r="O347" s="1" t="s">
        <v>30</v>
      </c>
      <c r="P347" s="1" t="s">
        <v>31</v>
      </c>
      <c r="Q347" s="1" t="s">
        <v>95</v>
      </c>
      <c r="R347" s="1" t="s">
        <v>95</v>
      </c>
      <c r="S347" s="1" t="s">
        <v>96</v>
      </c>
      <c r="T347" s="1" t="s">
        <v>1558</v>
      </c>
      <c r="U347" s="1">
        <v>1.00659114E8</v>
      </c>
      <c r="X347" s="1" t="s">
        <v>239</v>
      </c>
      <c r="Y347" s="1" t="s">
        <v>1076</v>
      </c>
      <c r="Z347" s="1" t="s">
        <v>37</v>
      </c>
    </row>
    <row r="348" hidden="1">
      <c r="A348" s="1" t="s">
        <v>1559</v>
      </c>
      <c r="B348" s="1" t="s">
        <v>630</v>
      </c>
      <c r="C348" s="1" t="s">
        <v>1560</v>
      </c>
      <c r="D348" s="1" t="s">
        <v>27</v>
      </c>
      <c r="E348" s="1" t="s">
        <v>28</v>
      </c>
      <c r="F348" s="2">
        <v>3000000.0</v>
      </c>
      <c r="G348" s="1" t="s">
        <v>632</v>
      </c>
      <c r="H348" s="4">
        <f>IFERROR(__xludf.DUMMYFUNCTION("DATE(INDEX(SPLIT(G348,""/""),,3),INDEX(SPLIT(G348,""/""),,2),INDEX(SPLIT(G348,""/""),,1))"),44484.0)</f>
        <v>44484</v>
      </c>
      <c r="I348" s="1" t="s">
        <v>203</v>
      </c>
      <c r="J348" s="4">
        <f>IFERROR(__xludf.DUMMYFUNCTION("DATE(INDEX(SPLIT(I348,""/""),,3),INDEX(SPLIT(I348,""/""),,2),INDEX(SPLIT(I348,""/""),,1))"),44925.0)</f>
        <v>44925</v>
      </c>
      <c r="L348" s="1">
        <v>0.0</v>
      </c>
      <c r="M348" s="1" t="s">
        <v>633</v>
      </c>
      <c r="N348" s="1"/>
      <c r="O348" s="1" t="s">
        <v>30</v>
      </c>
      <c r="P348" s="1" t="s">
        <v>31</v>
      </c>
      <c r="Q348" s="1" t="s">
        <v>53</v>
      </c>
      <c r="R348" s="1" t="s">
        <v>53</v>
      </c>
      <c r="S348" s="1" t="s">
        <v>54</v>
      </c>
      <c r="T348" s="1" t="s">
        <v>634</v>
      </c>
      <c r="U348" s="1">
        <v>1.00997154E8</v>
      </c>
      <c r="V348" s="1" t="s">
        <v>635</v>
      </c>
      <c r="W348" s="1" t="s">
        <v>199</v>
      </c>
      <c r="X348" s="1" t="s">
        <v>490</v>
      </c>
      <c r="Y348" s="1" t="s">
        <v>633</v>
      </c>
      <c r="Z348" s="1" t="s">
        <v>37</v>
      </c>
    </row>
    <row r="349" hidden="1">
      <c r="A349" s="1" t="s">
        <v>1561</v>
      </c>
      <c r="B349" s="1" t="s">
        <v>1562</v>
      </c>
      <c r="C349" s="1" t="s">
        <v>1563</v>
      </c>
      <c r="D349" s="1" t="s">
        <v>78</v>
      </c>
      <c r="E349" s="1" t="s">
        <v>28</v>
      </c>
      <c r="F349" s="2">
        <v>3000000.0</v>
      </c>
      <c r="G349" s="1" t="s">
        <v>1564</v>
      </c>
      <c r="H349" s="4">
        <f>IFERROR(__xludf.DUMMYFUNCTION("DATE(INDEX(SPLIT(G349,""/""),,3),INDEX(SPLIT(G349,""/""),,2),INDEX(SPLIT(G349,""/""),,1))"),43182.0)</f>
        <v>43182</v>
      </c>
      <c r="I349" s="1" t="s">
        <v>42</v>
      </c>
      <c r="J349" s="4">
        <f>IFERROR(__xludf.DUMMYFUNCTION("DATE(INDEX(SPLIT(I349,""/""),,3),INDEX(SPLIT(I349,""/""),,2),INDEX(SPLIT(I349,""/""),,1))"),44926.0)</f>
        <v>44926</v>
      </c>
      <c r="L349" s="1">
        <v>0.0</v>
      </c>
      <c r="M349" s="1" t="s">
        <v>1565</v>
      </c>
      <c r="N349" s="1"/>
      <c r="O349" s="1" t="s">
        <v>30</v>
      </c>
      <c r="P349" s="1" t="s">
        <v>31</v>
      </c>
      <c r="Q349" s="1" t="s">
        <v>157</v>
      </c>
      <c r="R349" s="1" t="s">
        <v>157</v>
      </c>
      <c r="S349" s="1" t="s">
        <v>158</v>
      </c>
      <c r="T349" s="1" t="s">
        <v>402</v>
      </c>
      <c r="U349" s="1">
        <v>1.00646908E8</v>
      </c>
      <c r="X349" s="1" t="s">
        <v>781</v>
      </c>
      <c r="Y349" s="1" t="s">
        <v>1566</v>
      </c>
      <c r="Z349" s="1" t="s">
        <v>37</v>
      </c>
    </row>
    <row r="350" hidden="1">
      <c r="A350" s="1" t="s">
        <v>1567</v>
      </c>
      <c r="B350" s="1" t="s">
        <v>152</v>
      </c>
      <c r="C350" s="1" t="s">
        <v>1568</v>
      </c>
      <c r="D350" s="1" t="s">
        <v>78</v>
      </c>
      <c r="E350" s="1" t="s">
        <v>28</v>
      </c>
      <c r="F350" s="2">
        <v>3000000.0</v>
      </c>
      <c r="G350" s="1" t="s">
        <v>1569</v>
      </c>
      <c r="H350" s="4">
        <f>IFERROR(__xludf.DUMMYFUNCTION("DATE(INDEX(SPLIT(G350,""/""),,3),INDEX(SPLIT(G350,""/""),,2),INDEX(SPLIT(G350,""/""),,1))"),44645.0)</f>
        <v>44645</v>
      </c>
      <c r="I350" s="1" t="s">
        <v>109</v>
      </c>
      <c r="J350" s="4">
        <f>IFERROR(__xludf.DUMMYFUNCTION("DATE(INDEX(SPLIT(I350,""/""),,3),INDEX(SPLIT(I350,""/""),,2),INDEX(SPLIT(I350,""/""),,1))"),44834.0)</f>
        <v>44834</v>
      </c>
      <c r="L350" s="1">
        <v>0.0</v>
      </c>
      <c r="M350" s="1" t="s">
        <v>156</v>
      </c>
      <c r="N350" s="1"/>
      <c r="O350" s="1" t="s">
        <v>30</v>
      </c>
      <c r="P350" s="1" t="s">
        <v>31</v>
      </c>
      <c r="Q350" s="1" t="s">
        <v>157</v>
      </c>
      <c r="R350" s="1" t="s">
        <v>157</v>
      </c>
      <c r="S350" s="1" t="s">
        <v>158</v>
      </c>
      <c r="U350" s="1">
        <v>1.00619165E8</v>
      </c>
      <c r="X350" s="1" t="s">
        <v>35</v>
      </c>
      <c r="Y350" s="1" t="s">
        <v>1570</v>
      </c>
      <c r="Z350" s="1" t="s">
        <v>37</v>
      </c>
    </row>
    <row r="351" hidden="1">
      <c r="A351" s="1" t="s">
        <v>1571</v>
      </c>
      <c r="B351" s="1" t="s">
        <v>1144</v>
      </c>
      <c r="C351" s="1" t="s">
        <v>1572</v>
      </c>
      <c r="D351" s="1" t="s">
        <v>27</v>
      </c>
      <c r="E351" s="1" t="s">
        <v>28</v>
      </c>
      <c r="F351" s="2">
        <v>3000000.0</v>
      </c>
      <c r="G351" s="4">
        <v>44867.0</v>
      </c>
      <c r="H351" s="4">
        <f>IFERROR(__xludf.DUMMYFUNCTION("DATE(INDEX(SPLIT(G351,""/""),,3),INDEX(SPLIT(G351,""/""),,2),INDEX(SPLIT(G351,""/""),,1))"),44603.0)</f>
        <v>44603</v>
      </c>
      <c r="I351" s="1" t="s">
        <v>130</v>
      </c>
      <c r="J351" s="4">
        <f>IFERROR(__xludf.DUMMYFUNCTION("DATE(INDEX(SPLIT(I351,""/""),,3),INDEX(SPLIT(I351,""/""),,2),INDEX(SPLIT(I351,""/""),,1))"),44804.0)</f>
        <v>44804</v>
      </c>
      <c r="L351" s="1">
        <v>0.0</v>
      </c>
      <c r="M351" s="1" t="s">
        <v>1573</v>
      </c>
      <c r="N351" s="1"/>
      <c r="O351" s="1" t="s">
        <v>30</v>
      </c>
      <c r="P351" s="1" t="s">
        <v>31</v>
      </c>
      <c r="Q351" s="1" t="s">
        <v>95</v>
      </c>
      <c r="R351" s="1" t="s">
        <v>95</v>
      </c>
      <c r="S351" s="1" t="s">
        <v>96</v>
      </c>
      <c r="T351" s="1" t="s">
        <v>1386</v>
      </c>
      <c r="U351" s="1">
        <v>1.00595231E8</v>
      </c>
      <c r="X351" s="1" t="s">
        <v>63</v>
      </c>
      <c r="Y351" s="1" t="s">
        <v>1573</v>
      </c>
      <c r="Z351" s="1" t="s">
        <v>37</v>
      </c>
    </row>
    <row r="352">
      <c r="A352" s="1" t="s">
        <v>1574</v>
      </c>
      <c r="B352" s="1" t="s">
        <v>357</v>
      </c>
      <c r="C352" s="1" t="s">
        <v>1575</v>
      </c>
      <c r="D352" s="1" t="s">
        <v>122</v>
      </c>
      <c r="E352" s="1" t="s">
        <v>28</v>
      </c>
      <c r="F352" s="2">
        <v>3000000.0</v>
      </c>
      <c r="G352" s="1" t="s">
        <v>233</v>
      </c>
      <c r="H352" s="4">
        <f>IFERROR(__xludf.DUMMYFUNCTION("DATE(INDEX(SPLIT(G352,""/""),,3),INDEX(SPLIT(G352,""/""),,2),INDEX(SPLIT(G352,""/""),,1))"),44729.0)</f>
        <v>44729</v>
      </c>
      <c r="I352" s="1" t="s">
        <v>518</v>
      </c>
      <c r="J352" s="4">
        <f>IFERROR(__xludf.DUMMYFUNCTION("DATE(INDEX(SPLIT(I352,""/""),,3),INDEX(SPLIT(I352,""/""),,2),INDEX(SPLIT(I352,""/""),,1))"),44757.0)</f>
        <v>44757</v>
      </c>
      <c r="L352" s="1">
        <v>0.0</v>
      </c>
      <c r="M352" s="1" t="s">
        <v>1576</v>
      </c>
      <c r="N352" s="1"/>
      <c r="O352" s="1" t="s">
        <v>30</v>
      </c>
      <c r="P352" s="1" t="s">
        <v>31</v>
      </c>
      <c r="Q352" s="1" t="s">
        <v>188</v>
      </c>
      <c r="R352" s="1" t="s">
        <v>188</v>
      </c>
      <c r="S352" s="1" t="s">
        <v>189</v>
      </c>
      <c r="T352" s="1" t="s">
        <v>1344</v>
      </c>
      <c r="U352" s="1">
        <v>1.00619007E8</v>
      </c>
      <c r="X352" s="1" t="s">
        <v>361</v>
      </c>
      <c r="Y352" s="1" t="s">
        <v>1577</v>
      </c>
      <c r="Z352" s="1" t="s">
        <v>37</v>
      </c>
    </row>
    <row r="353" hidden="1">
      <c r="A353" s="1" t="s">
        <v>1578</v>
      </c>
      <c r="B353" s="1" t="s">
        <v>1579</v>
      </c>
      <c r="C353" s="1" t="s">
        <v>1580</v>
      </c>
      <c r="D353" s="1" t="s">
        <v>122</v>
      </c>
      <c r="E353" s="1" t="s">
        <v>28</v>
      </c>
      <c r="F353" s="2">
        <v>3000000.0</v>
      </c>
      <c r="G353" s="1" t="s">
        <v>1581</v>
      </c>
      <c r="H353" s="4">
        <f>IFERROR(__xludf.DUMMYFUNCTION("DATE(INDEX(SPLIT(G353,""/""),,3),INDEX(SPLIT(G353,""/""),,2),INDEX(SPLIT(G353,""/""),,1))"),44453.0)</f>
        <v>44453</v>
      </c>
      <c r="I353" s="1" t="s">
        <v>42</v>
      </c>
      <c r="J353" s="4">
        <f>IFERROR(__xludf.DUMMYFUNCTION("DATE(INDEX(SPLIT(I353,""/""),,3),INDEX(SPLIT(I353,""/""),,2),INDEX(SPLIT(I353,""/""),,1))"),44926.0)</f>
        <v>44926</v>
      </c>
      <c r="L353" s="1">
        <v>0.0</v>
      </c>
      <c r="M353" s="1" t="s">
        <v>979</v>
      </c>
      <c r="N353" s="1"/>
      <c r="O353" s="1" t="s">
        <v>30</v>
      </c>
      <c r="P353" s="1" t="s">
        <v>31</v>
      </c>
      <c r="Q353" s="1" t="s">
        <v>235</v>
      </c>
      <c r="R353" s="1" t="s">
        <v>235</v>
      </c>
      <c r="S353" s="1" t="s">
        <v>236</v>
      </c>
      <c r="T353" s="1" t="s">
        <v>438</v>
      </c>
      <c r="U353" s="1">
        <v>1.00647262E8</v>
      </c>
      <c r="X353" s="1" t="s">
        <v>88</v>
      </c>
      <c r="Y353" s="1" t="s">
        <v>1582</v>
      </c>
      <c r="Z353" s="1" t="s">
        <v>37</v>
      </c>
    </row>
    <row r="354" hidden="1">
      <c r="A354" s="1" t="s">
        <v>1583</v>
      </c>
      <c r="B354" s="1" t="s">
        <v>301</v>
      </c>
      <c r="C354" s="1" t="s">
        <v>1584</v>
      </c>
      <c r="D354" s="1" t="s">
        <v>27</v>
      </c>
      <c r="E354" s="1" t="s">
        <v>28</v>
      </c>
      <c r="F354" s="2">
        <v>3000000.0</v>
      </c>
      <c r="G354" s="4">
        <v>44837.0</v>
      </c>
      <c r="H354" s="4">
        <f>IFERROR(__xludf.DUMMYFUNCTION("DATE(INDEX(SPLIT(G354,""/""),,3),INDEX(SPLIT(G354,""/""),,2),INDEX(SPLIT(G354,""/""),,1))"),44630.0)</f>
        <v>44630</v>
      </c>
      <c r="I354" s="1" t="s">
        <v>203</v>
      </c>
      <c r="J354" s="4">
        <f>IFERROR(__xludf.DUMMYFUNCTION("DATE(INDEX(SPLIT(I354,""/""),,3),INDEX(SPLIT(I354,""/""),,2),INDEX(SPLIT(I354,""/""),,1))"),44925.0)</f>
        <v>44925</v>
      </c>
      <c r="L354" s="1">
        <v>0.0</v>
      </c>
      <c r="M354" s="1" t="s">
        <v>746</v>
      </c>
      <c r="N354" s="1"/>
      <c r="O354" s="1" t="s">
        <v>30</v>
      </c>
      <c r="P354" s="1" t="s">
        <v>31</v>
      </c>
      <c r="Q354" s="1" t="s">
        <v>235</v>
      </c>
      <c r="R354" s="1" t="s">
        <v>235</v>
      </c>
      <c r="S354" s="1" t="s">
        <v>236</v>
      </c>
      <c r="T354" s="1" t="s">
        <v>438</v>
      </c>
      <c r="U354" s="1">
        <v>1.00616656E8</v>
      </c>
      <c r="X354" s="1" t="s">
        <v>305</v>
      </c>
      <c r="Y354" s="1" t="s">
        <v>747</v>
      </c>
      <c r="Z354" s="1" t="s">
        <v>206</v>
      </c>
    </row>
    <row r="355">
      <c r="A355" s="1" t="s">
        <v>1585</v>
      </c>
      <c r="B355" s="1" t="s">
        <v>1586</v>
      </c>
      <c r="C355" s="1" t="s">
        <v>1587</v>
      </c>
      <c r="D355" s="1" t="s">
        <v>122</v>
      </c>
      <c r="E355" s="1" t="s">
        <v>28</v>
      </c>
      <c r="F355" s="2">
        <v>3000000.0</v>
      </c>
      <c r="G355" s="4">
        <v>44835.0</v>
      </c>
      <c r="H355" s="4">
        <f>IFERROR(__xludf.DUMMYFUNCTION("DATE(INDEX(SPLIT(G355,""/""),,3),INDEX(SPLIT(G355,""/""),,2),INDEX(SPLIT(G355,""/""),,1))"),44571.0)</f>
        <v>44571</v>
      </c>
      <c r="I355" s="1" t="s">
        <v>503</v>
      </c>
      <c r="J355" s="4">
        <f>IFERROR(__xludf.DUMMYFUNCTION("DATE(INDEX(SPLIT(I355,""/""),,3),INDEX(SPLIT(I355,""/""),,2),INDEX(SPLIT(I355,""/""),,1))"),44736.0)</f>
        <v>44736</v>
      </c>
      <c r="L355" s="1">
        <v>0.0</v>
      </c>
      <c r="M355" s="1" t="s">
        <v>1588</v>
      </c>
      <c r="N355" s="1"/>
      <c r="O355" s="1" t="s">
        <v>30</v>
      </c>
      <c r="P355" s="1" t="s">
        <v>31</v>
      </c>
      <c r="Q355" s="1" t="s">
        <v>32</v>
      </c>
      <c r="R355" s="1" t="s">
        <v>32</v>
      </c>
      <c r="S355" s="1" t="s">
        <v>33</v>
      </c>
      <c r="T355" s="1" t="s">
        <v>402</v>
      </c>
      <c r="U355" s="1">
        <v>1.00611316E8</v>
      </c>
      <c r="X355" s="1" t="s">
        <v>117</v>
      </c>
      <c r="Y355" s="1" t="s">
        <v>1588</v>
      </c>
      <c r="Z355" s="1" t="s">
        <v>37</v>
      </c>
    </row>
    <row r="356">
      <c r="A356" s="1" t="s">
        <v>1589</v>
      </c>
      <c r="B356" s="1" t="s">
        <v>1590</v>
      </c>
      <c r="C356" s="1" t="s">
        <v>1591</v>
      </c>
      <c r="D356" s="1" t="s">
        <v>27</v>
      </c>
      <c r="E356" s="1" t="s">
        <v>28</v>
      </c>
      <c r="F356" s="2">
        <v>3000000.0</v>
      </c>
      <c r="G356" s="1" t="s">
        <v>779</v>
      </c>
      <c r="H356" s="4">
        <f>IFERROR(__xludf.DUMMYFUNCTION("DATE(INDEX(SPLIT(G356,""/""),,3),INDEX(SPLIT(G356,""/""),,2),INDEX(SPLIT(G356,""/""),,1))"),44734.0)</f>
        <v>44734</v>
      </c>
      <c r="I356" s="1" t="s">
        <v>69</v>
      </c>
      <c r="J356" s="4">
        <f>IFERROR(__xludf.DUMMYFUNCTION("DATE(INDEX(SPLIT(I356,""/""),,3),INDEX(SPLIT(I356,""/""),,2),INDEX(SPLIT(I356,""/""),,1))"),44773.0)</f>
        <v>44773</v>
      </c>
      <c r="L356" s="1">
        <v>0.0</v>
      </c>
      <c r="M356" s="1" t="s">
        <v>841</v>
      </c>
      <c r="N356" s="1"/>
      <c r="O356" s="1" t="s">
        <v>30</v>
      </c>
      <c r="P356" s="1" t="s">
        <v>31</v>
      </c>
      <c r="Q356" s="1" t="s">
        <v>95</v>
      </c>
      <c r="R356" s="1" t="s">
        <v>95</v>
      </c>
      <c r="S356" s="1" t="s">
        <v>96</v>
      </c>
      <c r="T356" s="1" t="s">
        <v>103</v>
      </c>
      <c r="U356" s="1">
        <v>1.00621664E8</v>
      </c>
      <c r="W356" s="1" t="s">
        <v>56</v>
      </c>
      <c r="X356" s="1" t="s">
        <v>46</v>
      </c>
      <c r="Y356" s="1" t="s">
        <v>1592</v>
      </c>
      <c r="Z356" s="1" t="s">
        <v>37</v>
      </c>
    </row>
    <row r="357" hidden="1">
      <c r="A357" s="1" t="s">
        <v>1593</v>
      </c>
      <c r="B357" s="1" t="s">
        <v>816</v>
      </c>
      <c r="C357" s="1" t="s">
        <v>1594</v>
      </c>
      <c r="D357" s="1" t="s">
        <v>27</v>
      </c>
      <c r="E357" s="1" t="s">
        <v>28</v>
      </c>
      <c r="F357" s="2">
        <v>3000000.0</v>
      </c>
      <c r="G357" s="4">
        <v>44389.0</v>
      </c>
      <c r="H357" s="4">
        <f>IFERROR(__xludf.DUMMYFUNCTION("DATE(INDEX(SPLIT(G357,""/""),,3),INDEX(SPLIT(G357,""/""),,2),INDEX(SPLIT(G357,""/""),,1))"),44537.0)</f>
        <v>44537</v>
      </c>
      <c r="I357" s="1" t="s">
        <v>281</v>
      </c>
      <c r="J357" s="4">
        <f>IFERROR(__xludf.DUMMYFUNCTION("DATE(INDEX(SPLIT(I357,""/""),,3),INDEX(SPLIT(I357,""/""),,2),INDEX(SPLIT(I357,""/""),,1))"),44865.0)</f>
        <v>44865</v>
      </c>
      <c r="L357" s="1">
        <v>0.0</v>
      </c>
      <c r="M357" s="1" t="s">
        <v>819</v>
      </c>
      <c r="N357" s="1"/>
      <c r="O357" s="1" t="s">
        <v>30</v>
      </c>
      <c r="P357" s="1" t="s">
        <v>31</v>
      </c>
      <c r="Q357" s="1" t="s">
        <v>53</v>
      </c>
      <c r="R357" s="1" t="s">
        <v>53</v>
      </c>
      <c r="S357" s="1" t="s">
        <v>54</v>
      </c>
      <c r="T357" s="1" t="s">
        <v>634</v>
      </c>
      <c r="U357" s="1">
        <v>1.00661738E8</v>
      </c>
      <c r="V357" s="1" t="s">
        <v>820</v>
      </c>
      <c r="W357" s="1" t="s">
        <v>199</v>
      </c>
      <c r="X357" s="1" t="s">
        <v>490</v>
      </c>
      <c r="Y357" s="1" t="s">
        <v>819</v>
      </c>
      <c r="Z357" s="1" t="s">
        <v>37</v>
      </c>
    </row>
    <row r="358" hidden="1">
      <c r="A358" s="1" t="s">
        <v>1595</v>
      </c>
      <c r="B358" s="1" t="s">
        <v>1596</v>
      </c>
      <c r="C358" s="1" t="s">
        <v>1597</v>
      </c>
      <c r="D358" s="1" t="s">
        <v>78</v>
      </c>
      <c r="E358" s="1" t="s">
        <v>28</v>
      </c>
      <c r="F358" s="2">
        <v>3000000.0</v>
      </c>
      <c r="G358" s="1" t="s">
        <v>1598</v>
      </c>
      <c r="H358" s="4">
        <f>IFERROR(__xludf.DUMMYFUNCTION("DATE(INDEX(SPLIT(G358,""/""),,3),INDEX(SPLIT(G358,""/""),,2),INDEX(SPLIT(G358,""/""),,1))"),44461.0)</f>
        <v>44461</v>
      </c>
      <c r="I358" s="1" t="s">
        <v>109</v>
      </c>
      <c r="J358" s="4">
        <f>IFERROR(__xludf.DUMMYFUNCTION("DATE(INDEX(SPLIT(I358,""/""),,3),INDEX(SPLIT(I358,""/""),,2),INDEX(SPLIT(I358,""/""),,1))"),44834.0)</f>
        <v>44834</v>
      </c>
      <c r="L358" s="1">
        <v>0.0</v>
      </c>
      <c r="M358" s="1" t="s">
        <v>441</v>
      </c>
      <c r="N358" s="1"/>
      <c r="O358" s="1" t="s">
        <v>30</v>
      </c>
      <c r="P358" s="1" t="s">
        <v>31</v>
      </c>
      <c r="Q358" s="1" t="s">
        <v>157</v>
      </c>
      <c r="R358" s="1" t="s">
        <v>157</v>
      </c>
      <c r="S358" s="1" t="s">
        <v>158</v>
      </c>
      <c r="T358" s="1" t="s">
        <v>442</v>
      </c>
      <c r="U358" s="1">
        <v>1.00581784E8</v>
      </c>
      <c r="X358" s="1" t="s">
        <v>125</v>
      </c>
      <c r="Y358" s="1" t="s">
        <v>1155</v>
      </c>
      <c r="Z358" s="1" t="s">
        <v>37</v>
      </c>
    </row>
    <row r="359">
      <c r="A359" s="1" t="s">
        <v>1599</v>
      </c>
      <c r="B359" s="1" t="s">
        <v>709</v>
      </c>
      <c r="C359" s="1" t="s">
        <v>1600</v>
      </c>
      <c r="D359" s="1" t="s">
        <v>27</v>
      </c>
      <c r="E359" s="1" t="s">
        <v>28</v>
      </c>
      <c r="F359" s="2">
        <v>3000000.0</v>
      </c>
      <c r="G359" s="1" t="s">
        <v>1581</v>
      </c>
      <c r="H359" s="4">
        <f>IFERROR(__xludf.DUMMYFUNCTION("DATE(INDEX(SPLIT(G359,""/""),,3),INDEX(SPLIT(G359,""/""),,2),INDEX(SPLIT(G359,""/""),,1))"),44453.0)</f>
        <v>44453</v>
      </c>
      <c r="I359" s="1" t="s">
        <v>607</v>
      </c>
      <c r="J359" s="4">
        <f>IFERROR(__xludf.DUMMYFUNCTION("DATE(INDEX(SPLIT(I359,""/""),,3),INDEX(SPLIT(I359,""/""),,2),INDEX(SPLIT(I359,""/""),,1))"),44770.0)</f>
        <v>44770</v>
      </c>
      <c r="L359" s="1">
        <v>0.0</v>
      </c>
      <c r="M359" s="1" t="s">
        <v>437</v>
      </c>
      <c r="N359" s="1"/>
      <c r="O359" s="1" t="s">
        <v>30</v>
      </c>
      <c r="P359" s="1" t="s">
        <v>31</v>
      </c>
      <c r="Q359" s="1" t="s">
        <v>235</v>
      </c>
      <c r="R359" s="1" t="s">
        <v>235</v>
      </c>
      <c r="S359" s="1" t="s">
        <v>236</v>
      </c>
      <c r="T359" s="1" t="s">
        <v>34</v>
      </c>
      <c r="U359" s="1">
        <v>1.00650375E8</v>
      </c>
      <c r="X359" s="1" t="s">
        <v>35</v>
      </c>
      <c r="Y359" s="1" t="s">
        <v>1601</v>
      </c>
      <c r="Z359" s="1" t="s">
        <v>37</v>
      </c>
    </row>
    <row r="360" hidden="1">
      <c r="A360" s="1" t="s">
        <v>1602</v>
      </c>
      <c r="B360" s="1" t="s">
        <v>1603</v>
      </c>
      <c r="C360" s="1" t="s">
        <v>1604</v>
      </c>
      <c r="D360" s="1" t="s">
        <v>27</v>
      </c>
      <c r="E360" s="1" t="s">
        <v>28</v>
      </c>
      <c r="F360" s="2">
        <v>3000000.0</v>
      </c>
      <c r="G360" s="4">
        <v>44563.0</v>
      </c>
      <c r="H360" s="4">
        <f>IFERROR(__xludf.DUMMYFUNCTION("DATE(INDEX(SPLIT(G360,""/""),,3),INDEX(SPLIT(G360,""/""),,2),INDEX(SPLIT(G360,""/""),,1))"),44593.0)</f>
        <v>44593</v>
      </c>
      <c r="I360" s="1" t="s">
        <v>569</v>
      </c>
      <c r="J360" s="4">
        <f>IFERROR(__xludf.DUMMYFUNCTION("DATE(INDEX(SPLIT(I360,""/""),,3),INDEX(SPLIT(I360,""/""),,2),INDEX(SPLIT(I360,""/""),,1))"),45016.0)</f>
        <v>45016</v>
      </c>
      <c r="L360" s="1">
        <v>0.0</v>
      </c>
      <c r="M360" s="1" t="s">
        <v>303</v>
      </c>
      <c r="N360" s="1"/>
      <c r="O360" s="1" t="s">
        <v>30</v>
      </c>
      <c r="P360" s="1" t="s">
        <v>31</v>
      </c>
      <c r="Q360" s="1" t="s">
        <v>95</v>
      </c>
      <c r="R360" s="1" t="s">
        <v>95</v>
      </c>
      <c r="S360" s="1" t="s">
        <v>96</v>
      </c>
      <c r="T360" s="1" t="s">
        <v>1386</v>
      </c>
      <c r="U360" s="1">
        <v>1.00623914E8</v>
      </c>
      <c r="X360" s="1" t="s">
        <v>81</v>
      </c>
      <c r="Y360" s="1" t="s">
        <v>1387</v>
      </c>
      <c r="Z360" s="1" t="s">
        <v>37</v>
      </c>
    </row>
    <row r="361">
      <c r="A361" s="1" t="s">
        <v>1605</v>
      </c>
      <c r="B361" s="1" t="s">
        <v>1606</v>
      </c>
      <c r="C361" s="1" t="s">
        <v>1607</v>
      </c>
      <c r="D361" s="1" t="s">
        <v>78</v>
      </c>
      <c r="E361" s="1" t="s">
        <v>28</v>
      </c>
      <c r="F361" s="2">
        <v>3000000.0</v>
      </c>
      <c r="G361" s="4">
        <v>44563.0</v>
      </c>
      <c r="H361" s="4">
        <f>IFERROR(__xludf.DUMMYFUNCTION("DATE(INDEX(SPLIT(G361,""/""),,3),INDEX(SPLIT(G361,""/""),,2),INDEX(SPLIT(G361,""/""),,1))"),44593.0)</f>
        <v>44593</v>
      </c>
      <c r="I361" s="1" t="s">
        <v>226</v>
      </c>
      <c r="J361" s="4">
        <f>IFERROR(__xludf.DUMMYFUNCTION("DATE(INDEX(SPLIT(I361,""/""),,3),INDEX(SPLIT(I361,""/""),,2),INDEX(SPLIT(I361,""/""),,1))"),44771.0)</f>
        <v>44771</v>
      </c>
      <c r="L361" s="1">
        <v>0.0</v>
      </c>
      <c r="M361" s="1" t="s">
        <v>211</v>
      </c>
      <c r="N361" s="1"/>
      <c r="O361" s="1" t="s">
        <v>30</v>
      </c>
      <c r="P361" s="1" t="s">
        <v>31</v>
      </c>
      <c r="Q361" s="1" t="s">
        <v>71</v>
      </c>
      <c r="R361" s="1" t="s">
        <v>71</v>
      </c>
      <c r="S361" s="1" t="s">
        <v>72</v>
      </c>
      <c r="T361" s="1" t="s">
        <v>136</v>
      </c>
      <c r="U361" s="1">
        <v>1.00590896E8</v>
      </c>
      <c r="X361" s="1" t="s">
        <v>74</v>
      </c>
      <c r="Y361" s="1" t="s">
        <v>211</v>
      </c>
      <c r="Z361" s="1" t="s">
        <v>37</v>
      </c>
    </row>
    <row r="362" hidden="1">
      <c r="A362" s="1" t="s">
        <v>1608</v>
      </c>
      <c r="B362" s="1" t="s">
        <v>1609</v>
      </c>
      <c r="C362" s="1" t="s">
        <v>1604</v>
      </c>
      <c r="D362" s="1" t="s">
        <v>27</v>
      </c>
      <c r="E362" s="1" t="s">
        <v>28</v>
      </c>
      <c r="F362" s="2">
        <v>3000000.0</v>
      </c>
      <c r="G362" s="4">
        <v>44563.0</v>
      </c>
      <c r="H362" s="4">
        <f>IFERROR(__xludf.DUMMYFUNCTION("DATE(INDEX(SPLIT(G362,""/""),,3),INDEX(SPLIT(G362,""/""),,2),INDEX(SPLIT(G362,""/""),,1))"),44593.0)</f>
        <v>44593</v>
      </c>
      <c r="I362" s="4">
        <v>44958.0</v>
      </c>
      <c r="J362" s="4">
        <f>IFERROR(__xludf.DUMMYFUNCTION("DATE(INDEX(SPLIT(I362,""/""),,3),INDEX(SPLIT(I362,""/""),,2),INDEX(SPLIT(I362,""/""),,1))"),44928.0)</f>
        <v>44928</v>
      </c>
      <c r="L362" s="1">
        <v>0.0</v>
      </c>
      <c r="M362" s="1" t="s">
        <v>1610</v>
      </c>
      <c r="N362" s="1"/>
      <c r="O362" s="1" t="s">
        <v>30</v>
      </c>
      <c r="P362" s="1" t="s">
        <v>31</v>
      </c>
      <c r="Q362" s="1" t="s">
        <v>53</v>
      </c>
      <c r="R362" s="1" t="s">
        <v>53</v>
      </c>
      <c r="S362" s="1" t="s">
        <v>54</v>
      </c>
      <c r="T362" s="1" t="s">
        <v>1386</v>
      </c>
      <c r="U362" s="1">
        <v>1.01141441E8</v>
      </c>
      <c r="X362" s="1" t="s">
        <v>81</v>
      </c>
      <c r="Y362" s="1" t="s">
        <v>1387</v>
      </c>
      <c r="Z362" s="1" t="s">
        <v>37</v>
      </c>
    </row>
    <row r="363" hidden="1">
      <c r="A363" s="1" t="s">
        <v>1611</v>
      </c>
      <c r="B363" s="1" t="s">
        <v>1612</v>
      </c>
      <c r="C363" s="1" t="s">
        <v>1613</v>
      </c>
      <c r="D363" s="1" t="s">
        <v>27</v>
      </c>
      <c r="E363" s="1" t="s">
        <v>28</v>
      </c>
      <c r="F363" s="2">
        <v>3000000.0</v>
      </c>
      <c r="G363" s="1" t="s">
        <v>1212</v>
      </c>
      <c r="H363" s="4">
        <f>IFERROR(__xludf.DUMMYFUNCTION("DATE(INDEX(SPLIT(G363,""/""),,3),INDEX(SPLIT(G363,""/""),,2),INDEX(SPLIT(G363,""/""),,1))"),44391.0)</f>
        <v>44391</v>
      </c>
      <c r="I363" s="1" t="s">
        <v>109</v>
      </c>
      <c r="J363" s="4">
        <f>IFERROR(__xludf.DUMMYFUNCTION("DATE(INDEX(SPLIT(I363,""/""),,3),INDEX(SPLIT(I363,""/""),,2),INDEX(SPLIT(I363,""/""),,1))"),44834.0)</f>
        <v>44834</v>
      </c>
      <c r="L363" s="1">
        <v>0.0</v>
      </c>
      <c r="M363" s="1" t="s">
        <v>1614</v>
      </c>
      <c r="N363" s="1"/>
      <c r="O363" s="1" t="s">
        <v>30</v>
      </c>
      <c r="P363" s="1" t="s">
        <v>31</v>
      </c>
      <c r="Q363" s="1" t="s">
        <v>32</v>
      </c>
      <c r="R363" s="1" t="s">
        <v>32</v>
      </c>
      <c r="S363" s="1" t="s">
        <v>33</v>
      </c>
      <c r="T363" s="1" t="s">
        <v>402</v>
      </c>
      <c r="U363" s="1">
        <v>1.00587799E8</v>
      </c>
      <c r="X363" s="1" t="s">
        <v>117</v>
      </c>
      <c r="Y363" s="1" t="s">
        <v>1615</v>
      </c>
      <c r="Z363" s="1" t="s">
        <v>37</v>
      </c>
    </row>
    <row r="364" hidden="1">
      <c r="A364" s="1" t="s">
        <v>1616</v>
      </c>
      <c r="B364" s="1" t="s">
        <v>1417</v>
      </c>
      <c r="C364" s="1" t="s">
        <v>1617</v>
      </c>
      <c r="D364" s="1" t="s">
        <v>27</v>
      </c>
      <c r="E364" s="1" t="s">
        <v>28</v>
      </c>
      <c r="F364" s="2">
        <v>3000000.0</v>
      </c>
      <c r="G364" s="1" t="s">
        <v>330</v>
      </c>
      <c r="H364" s="4">
        <f>IFERROR(__xludf.DUMMYFUNCTION("DATE(INDEX(SPLIT(G364,""/""),,3),INDEX(SPLIT(G364,""/""),,2),INDEX(SPLIT(G364,""/""),,1))"),44728.0)</f>
        <v>44728</v>
      </c>
      <c r="I364" s="1" t="s">
        <v>999</v>
      </c>
      <c r="J364" s="4">
        <f>IFERROR(__xludf.DUMMYFUNCTION("DATE(INDEX(SPLIT(I364,""/""),,3),INDEX(SPLIT(I364,""/""),,2),INDEX(SPLIT(I364,""/""),,1))"),44953.0)</f>
        <v>44953</v>
      </c>
      <c r="L364" s="1">
        <v>0.0</v>
      </c>
      <c r="M364" s="1" t="s">
        <v>318</v>
      </c>
      <c r="N364" s="1"/>
      <c r="O364" s="1" t="s">
        <v>30</v>
      </c>
      <c r="P364" s="1" t="s">
        <v>31</v>
      </c>
      <c r="Q364" s="1" t="s">
        <v>71</v>
      </c>
      <c r="R364" s="1" t="s">
        <v>71</v>
      </c>
      <c r="S364" s="1" t="s">
        <v>72</v>
      </c>
      <c r="T364" s="1" t="s">
        <v>73</v>
      </c>
      <c r="U364" s="1">
        <v>1.00654705E8</v>
      </c>
      <c r="X364" s="1" t="s">
        <v>74</v>
      </c>
      <c r="Y364" s="1" t="s">
        <v>318</v>
      </c>
      <c r="Z364" s="1" t="s">
        <v>37</v>
      </c>
    </row>
    <row r="365" hidden="1">
      <c r="A365" s="1" t="s">
        <v>1618</v>
      </c>
      <c r="B365" s="1" t="s">
        <v>1619</v>
      </c>
      <c r="C365" s="1" t="s">
        <v>1620</v>
      </c>
      <c r="D365" s="1" t="s">
        <v>27</v>
      </c>
      <c r="E365" s="1" t="s">
        <v>28</v>
      </c>
      <c r="F365" s="2">
        <v>3000000.0</v>
      </c>
      <c r="G365" s="4">
        <v>44449.0</v>
      </c>
      <c r="H365" s="4">
        <f>IFERROR(__xludf.DUMMYFUNCTION("DATE(INDEX(SPLIT(G365,""/""),,3),INDEX(SPLIT(G365,""/""),,2),INDEX(SPLIT(G365,""/""),,1))"),44478.0)</f>
        <v>44478</v>
      </c>
      <c r="I365" s="1" t="s">
        <v>109</v>
      </c>
      <c r="J365" s="4">
        <f>IFERROR(__xludf.DUMMYFUNCTION("DATE(INDEX(SPLIT(I365,""/""),,3),INDEX(SPLIT(I365,""/""),,2),INDEX(SPLIT(I365,""/""),,1))"),44834.0)</f>
        <v>44834</v>
      </c>
      <c r="L365" s="1">
        <v>0.0</v>
      </c>
      <c r="M365" s="1" t="s">
        <v>1621</v>
      </c>
      <c r="N365" s="1"/>
      <c r="O365" s="1" t="s">
        <v>30</v>
      </c>
      <c r="P365" s="1" t="s">
        <v>31</v>
      </c>
      <c r="Q365" s="1" t="s">
        <v>157</v>
      </c>
      <c r="R365" s="1" t="s">
        <v>157</v>
      </c>
      <c r="S365" s="1" t="s">
        <v>158</v>
      </c>
      <c r="T365" s="1" t="s">
        <v>159</v>
      </c>
      <c r="U365" s="1">
        <v>1.00650783E8</v>
      </c>
      <c r="X365" s="1" t="s">
        <v>117</v>
      </c>
      <c r="Y365" s="1" t="s">
        <v>1622</v>
      </c>
      <c r="Z365" s="1" t="s">
        <v>37</v>
      </c>
    </row>
    <row r="366" hidden="1">
      <c r="A366" s="1" t="s">
        <v>1623</v>
      </c>
      <c r="B366" s="1" t="s">
        <v>1624</v>
      </c>
      <c r="C366" s="1" t="s">
        <v>1625</v>
      </c>
      <c r="D366" s="1" t="s">
        <v>27</v>
      </c>
      <c r="E366" s="1" t="s">
        <v>28</v>
      </c>
      <c r="F366" s="2">
        <v>3000000.0</v>
      </c>
      <c r="G366" s="1" t="s">
        <v>359</v>
      </c>
      <c r="H366" s="4">
        <f>IFERROR(__xludf.DUMMYFUNCTION("DATE(INDEX(SPLIT(G366,""/""),,3),INDEX(SPLIT(G366,""/""),,2),INDEX(SPLIT(G366,""/""),,1))"),44740.0)</f>
        <v>44740</v>
      </c>
      <c r="I366" s="1" t="s">
        <v>109</v>
      </c>
      <c r="J366" s="4">
        <f>IFERROR(__xludf.DUMMYFUNCTION("DATE(INDEX(SPLIT(I366,""/""),,3),INDEX(SPLIT(I366,""/""),,2),INDEX(SPLIT(I366,""/""),,1))"),44834.0)</f>
        <v>44834</v>
      </c>
      <c r="L366" s="1">
        <v>0.0</v>
      </c>
      <c r="M366" s="1" t="s">
        <v>847</v>
      </c>
      <c r="N366" s="1"/>
      <c r="O366" s="1" t="s">
        <v>30</v>
      </c>
      <c r="P366" s="1" t="s">
        <v>31</v>
      </c>
      <c r="Q366" s="1" t="s">
        <v>157</v>
      </c>
      <c r="R366" s="1" t="s">
        <v>157</v>
      </c>
      <c r="S366" s="1" t="s">
        <v>158</v>
      </c>
      <c r="U366" s="1">
        <v>1.00652193E8</v>
      </c>
      <c r="X366" s="1" t="s">
        <v>125</v>
      </c>
      <c r="Y366" s="1" t="s">
        <v>847</v>
      </c>
      <c r="Z366" s="1" t="s">
        <v>37</v>
      </c>
    </row>
    <row r="367" hidden="1">
      <c r="A367" s="1" t="s">
        <v>1626</v>
      </c>
      <c r="B367" s="1" t="s">
        <v>177</v>
      </c>
      <c r="C367" s="1" t="s">
        <v>1627</v>
      </c>
      <c r="D367" s="1" t="s">
        <v>27</v>
      </c>
      <c r="E367" s="1" t="s">
        <v>28</v>
      </c>
      <c r="F367" s="2">
        <v>3000000.0</v>
      </c>
      <c r="G367" s="4">
        <v>44777.0</v>
      </c>
      <c r="H367" s="4">
        <f>IFERROR(__xludf.DUMMYFUNCTION("DATE(INDEX(SPLIT(G367,""/""),,3),INDEX(SPLIT(G367,""/""),,2),INDEX(SPLIT(G367,""/""),,1))"),44659.0)</f>
        <v>44659</v>
      </c>
      <c r="I367" s="1" t="s">
        <v>487</v>
      </c>
      <c r="J367" s="4">
        <f>IFERROR(__xludf.DUMMYFUNCTION("DATE(INDEX(SPLIT(I367,""/""),,3),INDEX(SPLIT(I367,""/""),,2),INDEX(SPLIT(I367,""/""),,1))"),44855.0)</f>
        <v>44855</v>
      </c>
      <c r="L367" s="1">
        <v>0.0</v>
      </c>
      <c r="M367" s="1" t="s">
        <v>180</v>
      </c>
      <c r="N367" s="1"/>
      <c r="O367" s="1" t="s">
        <v>30</v>
      </c>
      <c r="P367" s="1" t="s">
        <v>31</v>
      </c>
      <c r="Q367" s="1" t="s">
        <v>53</v>
      </c>
      <c r="R367" s="1" t="s">
        <v>53</v>
      </c>
      <c r="S367" s="1" t="s">
        <v>54</v>
      </c>
      <c r="T367" s="1" t="s">
        <v>181</v>
      </c>
      <c r="U367" s="1">
        <v>1.00650619E8</v>
      </c>
      <c r="X367" s="1" t="s">
        <v>74</v>
      </c>
      <c r="Y367" s="1" t="s">
        <v>180</v>
      </c>
      <c r="Z367" s="1" t="s">
        <v>37</v>
      </c>
    </row>
    <row r="368" hidden="1">
      <c r="A368" s="1" t="s">
        <v>1628</v>
      </c>
      <c r="B368" s="1" t="s">
        <v>1629</v>
      </c>
      <c r="C368" s="1" t="s">
        <v>1630</v>
      </c>
      <c r="D368" s="1" t="s">
        <v>27</v>
      </c>
      <c r="E368" s="1" t="s">
        <v>28</v>
      </c>
      <c r="F368" s="2">
        <v>3000000.0</v>
      </c>
      <c r="G368" s="1" t="s">
        <v>1631</v>
      </c>
      <c r="H368" s="4">
        <f>IFERROR(__xludf.DUMMYFUNCTION("DATE(INDEX(SPLIT(G368,""/""),,3),INDEX(SPLIT(G368,""/""),,2),INDEX(SPLIT(G368,""/""),,1))"),44000.0)</f>
        <v>44000</v>
      </c>
      <c r="I368" s="1" t="s">
        <v>473</v>
      </c>
      <c r="J368" s="4">
        <f>IFERROR(__xludf.DUMMYFUNCTION("DATE(INDEX(SPLIT(I368,""/""),,3),INDEX(SPLIT(I368,""/""),,2),INDEX(SPLIT(I368,""/""),,1))"),45044.0)</f>
        <v>45044</v>
      </c>
      <c r="L368" s="1">
        <v>0.0</v>
      </c>
      <c r="M368" s="1" t="s">
        <v>1000</v>
      </c>
      <c r="N368" s="1"/>
      <c r="O368" s="1" t="s">
        <v>30</v>
      </c>
      <c r="P368" s="1" t="s">
        <v>31</v>
      </c>
      <c r="Q368" s="1" t="s">
        <v>95</v>
      </c>
      <c r="R368" s="1" t="s">
        <v>95</v>
      </c>
      <c r="S368" s="1" t="s">
        <v>96</v>
      </c>
      <c r="T368" s="1" t="s">
        <v>311</v>
      </c>
      <c r="U368" s="1">
        <v>1.00623453E8</v>
      </c>
      <c r="X368" s="1" t="s">
        <v>410</v>
      </c>
      <c r="Y368" s="1" t="s">
        <v>1632</v>
      </c>
      <c r="Z368" s="1" t="s">
        <v>37</v>
      </c>
    </row>
    <row r="369" hidden="1">
      <c r="A369" s="1" t="s">
        <v>1633</v>
      </c>
      <c r="B369" s="1" t="s">
        <v>1634</v>
      </c>
      <c r="C369" s="1" t="s">
        <v>1635</v>
      </c>
      <c r="D369" s="1" t="s">
        <v>27</v>
      </c>
      <c r="E369" s="1" t="s">
        <v>28</v>
      </c>
      <c r="F369" s="2">
        <v>3000000.0</v>
      </c>
      <c r="G369" s="4">
        <v>44656.0</v>
      </c>
      <c r="H369" s="4">
        <f>IFERROR(__xludf.DUMMYFUNCTION("DATE(INDEX(SPLIT(G369,""/""),,3),INDEX(SPLIT(G369,""/""),,2),INDEX(SPLIT(G369,""/""),,1))"),44685.0)</f>
        <v>44685</v>
      </c>
      <c r="I369" s="4">
        <v>44932.0</v>
      </c>
      <c r="J369" s="4">
        <f>IFERROR(__xludf.DUMMYFUNCTION("DATE(INDEX(SPLIT(I369,""/""),,3),INDEX(SPLIT(I369,""/""),,2),INDEX(SPLIT(I369,""/""),,1))"),45078.0)</f>
        <v>45078</v>
      </c>
      <c r="L369" s="1">
        <v>0.0</v>
      </c>
      <c r="M369" s="1" t="s">
        <v>1194</v>
      </c>
      <c r="N369" s="1"/>
      <c r="O369" s="1" t="s">
        <v>30</v>
      </c>
      <c r="P369" s="1" t="s">
        <v>31</v>
      </c>
      <c r="Q369" s="1" t="s">
        <v>32</v>
      </c>
      <c r="R369" s="1" t="s">
        <v>32</v>
      </c>
      <c r="S369" s="1" t="s">
        <v>33</v>
      </c>
      <c r="T369" s="1" t="s">
        <v>1195</v>
      </c>
      <c r="U369" s="1">
        <v>1.00586863E8</v>
      </c>
      <c r="X369" s="1" t="s">
        <v>490</v>
      </c>
      <c r="Y369" s="1" t="s">
        <v>1636</v>
      </c>
      <c r="Z369" s="1" t="s">
        <v>37</v>
      </c>
    </row>
    <row r="370" hidden="1">
      <c r="A370" s="1" t="s">
        <v>1637</v>
      </c>
      <c r="B370" s="1" t="s">
        <v>532</v>
      </c>
      <c r="C370" s="1" t="s">
        <v>1638</v>
      </c>
      <c r="D370" s="1" t="s">
        <v>27</v>
      </c>
      <c r="E370" s="1" t="s">
        <v>28</v>
      </c>
      <c r="F370" s="2">
        <v>3000000.0</v>
      </c>
      <c r="G370" s="1" t="s">
        <v>551</v>
      </c>
      <c r="H370" s="4">
        <f>IFERROR(__xludf.DUMMYFUNCTION("DATE(INDEX(SPLIT(G370,""/""),,3),INDEX(SPLIT(G370,""/""),,2),INDEX(SPLIT(G370,""/""),,1))"),44701.0)</f>
        <v>44701</v>
      </c>
      <c r="I370" s="1" t="s">
        <v>1361</v>
      </c>
      <c r="J370" s="4">
        <f>IFERROR(__xludf.DUMMYFUNCTION("DATE(INDEX(SPLIT(I370,""/""),,3),INDEX(SPLIT(I370,""/""),,2),INDEX(SPLIT(I370,""/""),,1))"),44827.0)</f>
        <v>44827</v>
      </c>
      <c r="L370" s="1">
        <v>0.0</v>
      </c>
      <c r="M370" s="1" t="s">
        <v>1639</v>
      </c>
      <c r="N370" s="1"/>
      <c r="O370" s="1" t="s">
        <v>30</v>
      </c>
      <c r="P370" s="1" t="s">
        <v>31</v>
      </c>
      <c r="Q370" s="1" t="s">
        <v>53</v>
      </c>
      <c r="R370" s="1" t="s">
        <v>53</v>
      </c>
      <c r="S370" s="1" t="s">
        <v>54</v>
      </c>
      <c r="T370" s="1" t="s">
        <v>634</v>
      </c>
      <c r="U370" s="1">
        <v>1.0065462E8</v>
      </c>
      <c r="X370" s="1" t="s">
        <v>490</v>
      </c>
      <c r="Y370" s="1" t="s">
        <v>1640</v>
      </c>
      <c r="Z370" s="1" t="s">
        <v>37</v>
      </c>
    </row>
    <row r="371" hidden="1">
      <c r="A371" s="1" t="s">
        <v>1641</v>
      </c>
      <c r="B371" s="1" t="s">
        <v>120</v>
      </c>
      <c r="C371" s="1" t="s">
        <v>1642</v>
      </c>
      <c r="D371" s="1" t="s">
        <v>122</v>
      </c>
      <c r="E371" s="1" t="s">
        <v>28</v>
      </c>
      <c r="F371" s="2">
        <v>3000000.0</v>
      </c>
      <c r="G371" s="4">
        <v>44777.0</v>
      </c>
      <c r="H371" s="4">
        <f>IFERROR(__xludf.DUMMYFUNCTION("DATE(INDEX(SPLIT(G371,""/""),,3),INDEX(SPLIT(G371,""/""),,2),INDEX(SPLIT(G371,""/""),,1))"),44659.0)</f>
        <v>44659</v>
      </c>
      <c r="I371" s="1" t="s">
        <v>85</v>
      </c>
      <c r="J371" s="4">
        <f>IFERROR(__xludf.DUMMYFUNCTION("DATE(INDEX(SPLIT(I371,""/""),,3),INDEX(SPLIT(I371,""/""),,2),INDEX(SPLIT(I371,""/""),,1))"),44799.0)</f>
        <v>44799</v>
      </c>
      <c r="L371" s="1">
        <v>0.0</v>
      </c>
      <c r="M371" s="1" t="s">
        <v>1643</v>
      </c>
      <c r="N371" s="1"/>
      <c r="O371" s="1" t="s">
        <v>30</v>
      </c>
      <c r="P371" s="1" t="s">
        <v>31</v>
      </c>
      <c r="Q371" s="1" t="s">
        <v>53</v>
      </c>
      <c r="R371" s="1" t="s">
        <v>53</v>
      </c>
      <c r="S371" s="1" t="s">
        <v>54</v>
      </c>
      <c r="T371" s="1" t="s">
        <v>442</v>
      </c>
      <c r="U371" s="1">
        <v>1.00653977E8</v>
      </c>
      <c r="X371" s="1" t="s">
        <v>125</v>
      </c>
      <c r="Y371" s="1" t="s">
        <v>1644</v>
      </c>
      <c r="Z371" s="1" t="s">
        <v>37</v>
      </c>
    </row>
    <row r="372" hidden="1">
      <c r="A372" s="1" t="s">
        <v>1645</v>
      </c>
      <c r="B372" s="1" t="s">
        <v>1535</v>
      </c>
      <c r="C372" s="1" t="s">
        <v>1646</v>
      </c>
      <c r="D372" s="1" t="s">
        <v>78</v>
      </c>
      <c r="E372" s="1" t="s">
        <v>28</v>
      </c>
      <c r="F372" s="2">
        <v>3000000.0</v>
      </c>
      <c r="G372" s="1" t="s">
        <v>1647</v>
      </c>
      <c r="H372" s="4">
        <f>IFERROR(__xludf.DUMMYFUNCTION("DATE(INDEX(SPLIT(G372,""/""),,3),INDEX(SPLIT(G372,""/""),,2),INDEX(SPLIT(G372,""/""),,1))"),44004.0)</f>
        <v>44004</v>
      </c>
      <c r="I372" s="4">
        <v>44601.0</v>
      </c>
      <c r="J372" s="4">
        <f>IFERROR(__xludf.DUMMYFUNCTION("DATE(INDEX(SPLIT(I372,""/""),,3),INDEX(SPLIT(I372,""/""),,2),INDEX(SPLIT(I372,""/""),,1))"),44806.0)</f>
        <v>44806</v>
      </c>
      <c r="K372" s="1" t="s">
        <v>1648</v>
      </c>
      <c r="L372" s="1">
        <v>0.0</v>
      </c>
      <c r="M372" s="1" t="s">
        <v>1115</v>
      </c>
      <c r="N372" s="1"/>
      <c r="O372" s="1" t="s">
        <v>30</v>
      </c>
      <c r="P372" s="1" t="s">
        <v>31</v>
      </c>
      <c r="Q372" s="1" t="s">
        <v>157</v>
      </c>
      <c r="R372" s="1" t="s">
        <v>157</v>
      </c>
      <c r="S372" s="1" t="s">
        <v>158</v>
      </c>
      <c r="T372" s="1" t="s">
        <v>159</v>
      </c>
      <c r="U372" s="1">
        <v>1.00609827E8</v>
      </c>
      <c r="X372" s="1" t="s">
        <v>490</v>
      </c>
      <c r="Y372" s="1" t="s">
        <v>1649</v>
      </c>
      <c r="Z372" s="1" t="s">
        <v>37</v>
      </c>
    </row>
    <row r="373" hidden="1">
      <c r="A373" s="1" t="s">
        <v>1650</v>
      </c>
      <c r="B373" s="1" t="s">
        <v>1066</v>
      </c>
      <c r="C373" s="1" t="s">
        <v>1651</v>
      </c>
      <c r="D373" s="1" t="s">
        <v>27</v>
      </c>
      <c r="E373" s="1" t="s">
        <v>28</v>
      </c>
      <c r="F373" s="2">
        <v>3000000.0</v>
      </c>
      <c r="G373" s="1" t="s">
        <v>935</v>
      </c>
      <c r="H373" s="4">
        <f>IFERROR(__xludf.DUMMYFUNCTION("DATE(INDEX(SPLIT(G373,""/""),,3),INDEX(SPLIT(G373,""/""),,2),INDEX(SPLIT(G373,""/""),,1))"),44764.0)</f>
        <v>44764</v>
      </c>
      <c r="I373" s="1" t="s">
        <v>109</v>
      </c>
      <c r="J373" s="4">
        <f>IFERROR(__xludf.DUMMYFUNCTION("DATE(INDEX(SPLIT(I373,""/""),,3),INDEX(SPLIT(I373,""/""),,2),INDEX(SPLIT(I373,""/""),,1))"),44834.0)</f>
        <v>44834</v>
      </c>
      <c r="L373" s="1">
        <v>0.0</v>
      </c>
      <c r="M373" s="1" t="s">
        <v>1652</v>
      </c>
      <c r="N373" s="1"/>
      <c r="O373" s="1" t="s">
        <v>30</v>
      </c>
      <c r="P373" s="1" t="s">
        <v>31</v>
      </c>
      <c r="Q373" s="1" t="s">
        <v>188</v>
      </c>
      <c r="R373" s="1" t="s">
        <v>188</v>
      </c>
      <c r="S373" s="1" t="s">
        <v>189</v>
      </c>
      <c r="U373" s="1">
        <v>1.00614768E8</v>
      </c>
      <c r="X373" s="1" t="s">
        <v>125</v>
      </c>
      <c r="Y373" s="1" t="s">
        <v>1653</v>
      </c>
      <c r="Z373" s="1" t="s">
        <v>37</v>
      </c>
    </row>
    <row r="374" hidden="1">
      <c r="A374" s="1" t="s">
        <v>1654</v>
      </c>
      <c r="B374" s="1" t="s">
        <v>1655</v>
      </c>
      <c r="C374" s="1" t="s">
        <v>1656</v>
      </c>
      <c r="D374" s="1" t="s">
        <v>27</v>
      </c>
      <c r="E374" s="1" t="s">
        <v>28</v>
      </c>
      <c r="F374" s="2">
        <v>3000000.0</v>
      </c>
      <c r="G374" s="4">
        <v>44501.0</v>
      </c>
      <c r="H374" s="4">
        <f>IFERROR(__xludf.DUMMYFUNCTION("DATE(INDEX(SPLIT(G374,""/""),,3),INDEX(SPLIT(G374,""/""),,2),INDEX(SPLIT(G374,""/""),,1))"),44207.0)</f>
        <v>44207</v>
      </c>
      <c r="I374" s="1" t="s">
        <v>281</v>
      </c>
      <c r="J374" s="4">
        <f>IFERROR(__xludf.DUMMYFUNCTION("DATE(INDEX(SPLIT(I374,""/""),,3),INDEX(SPLIT(I374,""/""),,2),INDEX(SPLIT(I374,""/""),,1))"),44865.0)</f>
        <v>44865</v>
      </c>
      <c r="L374" s="1">
        <v>0.0</v>
      </c>
      <c r="M374" s="1" t="s">
        <v>633</v>
      </c>
      <c r="N374" s="1"/>
      <c r="O374" s="1" t="s">
        <v>30</v>
      </c>
      <c r="P374" s="1" t="s">
        <v>31</v>
      </c>
      <c r="Q374" s="1" t="s">
        <v>53</v>
      </c>
      <c r="R374" s="1" t="s">
        <v>53</v>
      </c>
      <c r="S374" s="1" t="s">
        <v>54</v>
      </c>
      <c r="T374" s="1" t="s">
        <v>634</v>
      </c>
      <c r="U374" s="1">
        <v>1.00997154E8</v>
      </c>
      <c r="X374" s="1" t="s">
        <v>490</v>
      </c>
      <c r="Y374" s="1" t="s">
        <v>633</v>
      </c>
      <c r="Z374" s="1" t="s">
        <v>37</v>
      </c>
    </row>
    <row r="375" hidden="1">
      <c r="A375" s="1" t="s">
        <v>1657</v>
      </c>
      <c r="B375" s="1" t="s">
        <v>177</v>
      </c>
      <c r="C375" s="1" t="s">
        <v>1658</v>
      </c>
      <c r="D375" s="1" t="s">
        <v>27</v>
      </c>
      <c r="E375" s="1" t="s">
        <v>28</v>
      </c>
      <c r="F375" s="2">
        <v>3000000.0</v>
      </c>
      <c r="G375" s="4">
        <v>44508.0</v>
      </c>
      <c r="H375" s="4">
        <f>IFERROR(__xludf.DUMMYFUNCTION("DATE(INDEX(SPLIT(G375,""/""),,3),INDEX(SPLIT(G375,""/""),,2),INDEX(SPLIT(G375,""/""),,1))"),44419.0)</f>
        <v>44419</v>
      </c>
      <c r="I375" s="1" t="s">
        <v>203</v>
      </c>
      <c r="J375" s="4">
        <f>IFERROR(__xludf.DUMMYFUNCTION("DATE(INDEX(SPLIT(I375,""/""),,3),INDEX(SPLIT(I375,""/""),,2),INDEX(SPLIT(I375,""/""),,1))"),44925.0)</f>
        <v>44925</v>
      </c>
      <c r="L375" s="1">
        <v>0.0</v>
      </c>
      <c r="M375" s="1" t="s">
        <v>898</v>
      </c>
      <c r="N375" s="1"/>
      <c r="O375" s="1" t="s">
        <v>30</v>
      </c>
      <c r="P375" s="1" t="s">
        <v>31</v>
      </c>
      <c r="Q375" s="1" t="s">
        <v>71</v>
      </c>
      <c r="R375" s="1" t="s">
        <v>71</v>
      </c>
      <c r="S375" s="1" t="s">
        <v>72</v>
      </c>
      <c r="T375" s="1" t="s">
        <v>615</v>
      </c>
      <c r="U375" s="1">
        <v>1.00589481E8</v>
      </c>
      <c r="V375" s="1" t="s">
        <v>1659</v>
      </c>
      <c r="W375" s="1" t="s">
        <v>199</v>
      </c>
      <c r="X375" s="1" t="s">
        <v>74</v>
      </c>
      <c r="Y375" s="1" t="s">
        <v>1660</v>
      </c>
      <c r="Z375" s="1" t="s">
        <v>37</v>
      </c>
    </row>
    <row r="376" hidden="1">
      <c r="A376" s="1" t="s">
        <v>1661</v>
      </c>
      <c r="B376" s="1" t="s">
        <v>301</v>
      </c>
      <c r="C376" s="1" t="s">
        <v>1662</v>
      </c>
      <c r="D376" s="1" t="s">
        <v>27</v>
      </c>
      <c r="E376" s="1" t="s">
        <v>28</v>
      </c>
      <c r="F376" s="2">
        <v>3000000.0</v>
      </c>
      <c r="G376" s="1" t="s">
        <v>1259</v>
      </c>
      <c r="H376" s="4">
        <f>IFERROR(__xludf.DUMMYFUNCTION("DATE(INDEX(SPLIT(G376,""/""),,3),INDEX(SPLIT(G376,""/""),,2),INDEX(SPLIT(G376,""/""),,1))"),44763.0)</f>
        <v>44763</v>
      </c>
      <c r="I376" s="1" t="s">
        <v>425</v>
      </c>
      <c r="J376" s="4">
        <f>IFERROR(__xludf.DUMMYFUNCTION("DATE(INDEX(SPLIT(I376,""/""),,3),INDEX(SPLIT(I376,""/""),,2),INDEX(SPLIT(I376,""/""),,1))"),44911.0)</f>
        <v>44911</v>
      </c>
      <c r="L376" s="1">
        <v>0.0</v>
      </c>
      <c r="M376" s="1" t="s">
        <v>746</v>
      </c>
      <c r="N376" s="1"/>
      <c r="O376" s="1" t="s">
        <v>30</v>
      </c>
      <c r="P376" s="1" t="s">
        <v>31</v>
      </c>
      <c r="Q376" s="1" t="s">
        <v>235</v>
      </c>
      <c r="R376" s="1" t="s">
        <v>235</v>
      </c>
      <c r="S376" s="1" t="s">
        <v>236</v>
      </c>
      <c r="T376" s="1" t="s">
        <v>197</v>
      </c>
      <c r="U376" s="1">
        <v>1.00616656E8</v>
      </c>
      <c r="X376" s="1" t="s">
        <v>305</v>
      </c>
      <c r="Y376" s="1" t="s">
        <v>1663</v>
      </c>
      <c r="Z376" s="1" t="s">
        <v>206</v>
      </c>
    </row>
    <row r="377" hidden="1">
      <c r="A377" s="1" t="s">
        <v>1664</v>
      </c>
      <c r="B377" s="1" t="s">
        <v>1665</v>
      </c>
      <c r="C377" s="1" t="s">
        <v>1666</v>
      </c>
      <c r="D377" s="1" t="s">
        <v>122</v>
      </c>
      <c r="E377" s="1" t="s">
        <v>28</v>
      </c>
      <c r="F377" s="2">
        <v>3000000.0</v>
      </c>
      <c r="G377" s="1" t="s">
        <v>41</v>
      </c>
      <c r="H377" s="4">
        <f>IFERROR(__xludf.DUMMYFUNCTION("DATE(INDEX(SPLIT(G377,""/""),,3),INDEX(SPLIT(G377,""/""),,2),INDEX(SPLIT(G377,""/""),,1))"),44607.0)</f>
        <v>44607</v>
      </c>
      <c r="I377" s="1" t="s">
        <v>130</v>
      </c>
      <c r="J377" s="4">
        <f>IFERROR(__xludf.DUMMYFUNCTION("DATE(INDEX(SPLIT(I377,""/""),,3),INDEX(SPLIT(I377,""/""),,2),INDEX(SPLIT(I377,""/""),,1))"),44804.0)</f>
        <v>44804</v>
      </c>
      <c r="L377" s="1">
        <v>0.0</v>
      </c>
      <c r="M377" s="1" t="s">
        <v>1194</v>
      </c>
      <c r="N377" s="1"/>
      <c r="O377" s="1" t="s">
        <v>30</v>
      </c>
      <c r="P377" s="1" t="s">
        <v>31</v>
      </c>
      <c r="Q377" s="1" t="s">
        <v>32</v>
      </c>
      <c r="R377" s="1" t="s">
        <v>32</v>
      </c>
      <c r="S377" s="1" t="s">
        <v>33</v>
      </c>
      <c r="T377" s="1" t="s">
        <v>1195</v>
      </c>
      <c r="U377" s="1">
        <v>1.00586863E8</v>
      </c>
      <c r="X377" s="1" t="s">
        <v>490</v>
      </c>
      <c r="Y377" s="1" t="s">
        <v>1196</v>
      </c>
      <c r="Z377" s="1" t="s">
        <v>37</v>
      </c>
    </row>
    <row r="378">
      <c r="A378" s="1" t="s">
        <v>1667</v>
      </c>
      <c r="B378" s="1" t="s">
        <v>1216</v>
      </c>
      <c r="C378" s="1" t="s">
        <v>1668</v>
      </c>
      <c r="D378" s="1" t="s">
        <v>122</v>
      </c>
      <c r="E378" s="1" t="s">
        <v>28</v>
      </c>
      <c r="F378" s="2">
        <v>3000000.0</v>
      </c>
      <c r="G378" s="4">
        <v>44902.0</v>
      </c>
      <c r="H378" s="4">
        <f>IFERROR(__xludf.DUMMYFUNCTION("DATE(INDEX(SPLIT(G378,""/""),,3),INDEX(SPLIT(G378,""/""),,2),INDEX(SPLIT(G378,""/""),,1))"),44754.0)</f>
        <v>44754</v>
      </c>
      <c r="I378" s="1" t="s">
        <v>226</v>
      </c>
      <c r="J378" s="4">
        <f>IFERROR(__xludf.DUMMYFUNCTION("DATE(INDEX(SPLIT(I378,""/""),,3),INDEX(SPLIT(I378,""/""),,2),INDEX(SPLIT(I378,""/""),,1))"),44771.0)</f>
        <v>44771</v>
      </c>
      <c r="L378" s="1">
        <v>0.0</v>
      </c>
      <c r="M378" s="1" t="s">
        <v>166</v>
      </c>
      <c r="N378" s="1"/>
      <c r="O378" s="1" t="s">
        <v>30</v>
      </c>
      <c r="P378" s="1" t="s">
        <v>31</v>
      </c>
      <c r="Q378" s="1" t="s">
        <v>53</v>
      </c>
      <c r="R378" s="1" t="s">
        <v>53</v>
      </c>
      <c r="S378" s="1" t="s">
        <v>54</v>
      </c>
      <c r="T378" s="1" t="s">
        <v>438</v>
      </c>
      <c r="U378" s="1">
        <v>1.00651094E8</v>
      </c>
      <c r="X378" s="1" t="s">
        <v>88</v>
      </c>
      <c r="Y378" s="1" t="s">
        <v>1669</v>
      </c>
      <c r="Z378" s="1" t="s">
        <v>37</v>
      </c>
    </row>
    <row r="379" hidden="1">
      <c r="A379" s="1" t="s">
        <v>1670</v>
      </c>
      <c r="B379" s="1" t="s">
        <v>1291</v>
      </c>
      <c r="C379" s="1" t="s">
        <v>1671</v>
      </c>
      <c r="D379" s="1" t="s">
        <v>122</v>
      </c>
      <c r="E379" s="1" t="s">
        <v>28</v>
      </c>
      <c r="F379" s="2">
        <v>3000000.0</v>
      </c>
      <c r="G379" s="4">
        <v>44292.0</v>
      </c>
      <c r="H379" s="4">
        <f>IFERROR(__xludf.DUMMYFUNCTION("DATE(INDEX(SPLIT(G379,""/""),,3),INDEX(SPLIT(G379,""/""),,2),INDEX(SPLIT(G379,""/""),,1))"),44351.0)</f>
        <v>44351</v>
      </c>
      <c r="I379" s="1" t="s">
        <v>281</v>
      </c>
      <c r="J379" s="4">
        <f>IFERROR(__xludf.DUMMYFUNCTION("DATE(INDEX(SPLIT(I379,""/""),,3),INDEX(SPLIT(I379,""/""),,2),INDEX(SPLIT(I379,""/""),,1))"),44865.0)</f>
        <v>44865</v>
      </c>
      <c r="L379" s="1">
        <v>0.0</v>
      </c>
      <c r="M379" s="1" t="s">
        <v>494</v>
      </c>
      <c r="N379" s="1"/>
      <c r="O379" s="1" t="s">
        <v>30</v>
      </c>
      <c r="P379" s="1" t="s">
        <v>31</v>
      </c>
      <c r="Q379" s="1" t="s">
        <v>95</v>
      </c>
      <c r="R379" s="1" t="s">
        <v>95</v>
      </c>
      <c r="S379" s="1" t="s">
        <v>96</v>
      </c>
      <c r="T379" s="1" t="s">
        <v>311</v>
      </c>
      <c r="U379" s="1">
        <v>1.0062347E8</v>
      </c>
      <c r="X379" s="1" t="s">
        <v>312</v>
      </c>
      <c r="Y379" s="1" t="s">
        <v>494</v>
      </c>
      <c r="Z379" s="1" t="s">
        <v>37</v>
      </c>
    </row>
    <row r="380" hidden="1">
      <c r="A380" s="1" t="s">
        <v>1672</v>
      </c>
      <c r="B380" s="1" t="s">
        <v>532</v>
      </c>
      <c r="C380" s="1" t="s">
        <v>1673</v>
      </c>
      <c r="D380" s="1" t="s">
        <v>27</v>
      </c>
      <c r="E380" s="1" t="s">
        <v>28</v>
      </c>
      <c r="F380" s="2">
        <v>3000000.0</v>
      </c>
      <c r="G380" s="1" t="s">
        <v>1674</v>
      </c>
      <c r="H380" s="4">
        <f>IFERROR(__xludf.DUMMYFUNCTION("DATE(INDEX(SPLIT(G380,""/""),,3),INDEX(SPLIT(G380,""/""),,2),INDEX(SPLIT(G380,""/""),,1))"),44617.0)</f>
        <v>44617</v>
      </c>
      <c r="I380" s="4">
        <v>44571.0</v>
      </c>
      <c r="J380" s="4">
        <f>IFERROR(__xludf.DUMMYFUNCTION("DATE(INDEX(SPLIT(I380,""/""),,3),INDEX(SPLIT(I380,""/""),,2),INDEX(SPLIT(I380,""/""),,1))"),44835.0)</f>
        <v>44835</v>
      </c>
      <c r="L380" s="1">
        <v>0.0</v>
      </c>
      <c r="M380" s="1" t="s">
        <v>1376</v>
      </c>
      <c r="N380" s="1"/>
      <c r="O380" s="1" t="s">
        <v>30</v>
      </c>
      <c r="P380" s="1" t="s">
        <v>31</v>
      </c>
      <c r="Q380" s="1" t="s">
        <v>32</v>
      </c>
      <c r="R380" s="1" t="s">
        <v>32</v>
      </c>
      <c r="S380" s="1" t="s">
        <v>33</v>
      </c>
      <c r="T380" s="1" t="s">
        <v>1195</v>
      </c>
      <c r="U380" s="1">
        <v>1.006096E8</v>
      </c>
      <c r="X380" s="1" t="s">
        <v>490</v>
      </c>
      <c r="Y380" s="1" t="s">
        <v>1675</v>
      </c>
      <c r="Z380" s="1" t="s">
        <v>37</v>
      </c>
    </row>
    <row r="381" hidden="1">
      <c r="A381" s="1" t="s">
        <v>1676</v>
      </c>
      <c r="B381" s="1" t="s">
        <v>849</v>
      </c>
      <c r="C381" s="1" t="s">
        <v>1677</v>
      </c>
      <c r="D381" s="1" t="s">
        <v>78</v>
      </c>
      <c r="E381" s="1" t="s">
        <v>28</v>
      </c>
      <c r="F381" s="2">
        <v>3000000.0</v>
      </c>
      <c r="G381" s="4">
        <v>44387.0</v>
      </c>
      <c r="H381" s="4">
        <f>IFERROR(__xludf.DUMMYFUNCTION("DATE(INDEX(SPLIT(G381,""/""),,3),INDEX(SPLIT(G381,""/""),,2),INDEX(SPLIT(G381,""/""),,1))"),44476.0)</f>
        <v>44476</v>
      </c>
      <c r="I381" s="1" t="s">
        <v>1678</v>
      </c>
      <c r="J381" s="4">
        <f>IFERROR(__xludf.DUMMYFUNCTION("DATE(INDEX(SPLIT(I381,""/""),,3),INDEX(SPLIT(I381,""/""),,2),INDEX(SPLIT(I381,""/""),,1))"),44819.0)</f>
        <v>44819</v>
      </c>
      <c r="L381" s="1">
        <v>0.0</v>
      </c>
      <c r="M381" s="1" t="s">
        <v>303</v>
      </c>
      <c r="N381" s="1"/>
      <c r="O381" s="1" t="s">
        <v>30</v>
      </c>
      <c r="P381" s="1" t="s">
        <v>31</v>
      </c>
      <c r="Q381" s="1" t="s">
        <v>95</v>
      </c>
      <c r="R381" s="1" t="s">
        <v>95</v>
      </c>
      <c r="S381" s="1" t="s">
        <v>96</v>
      </c>
      <c r="T381" s="1" t="s">
        <v>97</v>
      </c>
      <c r="U381" s="1">
        <v>1.00623914E8</v>
      </c>
      <c r="X381" s="1" t="s">
        <v>117</v>
      </c>
      <c r="Y381" s="1" t="s">
        <v>1679</v>
      </c>
      <c r="Z381" s="1" t="s">
        <v>37</v>
      </c>
    </row>
    <row r="382">
      <c r="A382" s="1" t="s">
        <v>1680</v>
      </c>
      <c r="B382" s="1" t="s">
        <v>896</v>
      </c>
      <c r="C382" s="1" t="s">
        <v>1681</v>
      </c>
      <c r="D382" s="1" t="s">
        <v>27</v>
      </c>
      <c r="E382" s="1" t="s">
        <v>28</v>
      </c>
      <c r="F382" s="2">
        <v>2995000.0</v>
      </c>
      <c r="G382" s="1" t="s">
        <v>154</v>
      </c>
      <c r="H382" s="4">
        <f>IFERROR(__xludf.DUMMYFUNCTION("DATE(INDEX(SPLIT(G382,""/""),,3),INDEX(SPLIT(G382,""/""),,2),INDEX(SPLIT(G382,""/""),,1))"),44670.0)</f>
        <v>44670</v>
      </c>
      <c r="I382" s="1" t="s">
        <v>226</v>
      </c>
      <c r="J382" s="4">
        <f>IFERROR(__xludf.DUMMYFUNCTION("DATE(INDEX(SPLIT(I382,""/""),,3),INDEX(SPLIT(I382,""/""),,2),INDEX(SPLIT(I382,""/""),,1))"),44771.0)</f>
        <v>44771</v>
      </c>
      <c r="L382" s="1">
        <v>0.0</v>
      </c>
      <c r="M382" s="1" t="s">
        <v>1682</v>
      </c>
      <c r="N382" s="1"/>
      <c r="O382" s="1" t="s">
        <v>30</v>
      </c>
      <c r="P382" s="1" t="s">
        <v>31</v>
      </c>
      <c r="Q382" s="1" t="s">
        <v>188</v>
      </c>
      <c r="R382" s="1" t="s">
        <v>188</v>
      </c>
      <c r="S382" s="1" t="s">
        <v>189</v>
      </c>
      <c r="T382" s="1" t="s">
        <v>537</v>
      </c>
      <c r="U382" s="1">
        <v>1.0062009E8</v>
      </c>
      <c r="X382" s="1" t="s">
        <v>490</v>
      </c>
      <c r="Y382" s="1" t="s">
        <v>1682</v>
      </c>
      <c r="Z382" s="1" t="s">
        <v>37</v>
      </c>
    </row>
    <row r="383">
      <c r="A383" s="1" t="s">
        <v>1683</v>
      </c>
      <c r="B383" s="1" t="s">
        <v>66</v>
      </c>
      <c r="C383" s="1" t="s">
        <v>1684</v>
      </c>
      <c r="D383" s="1" t="s">
        <v>122</v>
      </c>
      <c r="E383" s="1" t="s">
        <v>28</v>
      </c>
      <c r="F383" s="2">
        <v>2950000.0</v>
      </c>
      <c r="G383" s="4">
        <v>44902.0</v>
      </c>
      <c r="H383" s="4">
        <f>IFERROR(__xludf.DUMMYFUNCTION("DATE(INDEX(SPLIT(G383,""/""),,3),INDEX(SPLIT(G383,""/""),,2),INDEX(SPLIT(G383,""/""),,1))"),44754.0)</f>
        <v>44754</v>
      </c>
      <c r="I383" s="1" t="s">
        <v>226</v>
      </c>
      <c r="J383" s="4">
        <f>IFERROR(__xludf.DUMMYFUNCTION("DATE(INDEX(SPLIT(I383,""/""),,3),INDEX(SPLIT(I383,""/""),,2),INDEX(SPLIT(I383,""/""),,1))"),44771.0)</f>
        <v>44771</v>
      </c>
      <c r="L383" s="1">
        <v>0.0</v>
      </c>
      <c r="M383" s="1" t="s">
        <v>1685</v>
      </c>
      <c r="N383" s="1"/>
      <c r="O383" s="1" t="s">
        <v>30</v>
      </c>
      <c r="P383" s="1" t="s">
        <v>31</v>
      </c>
      <c r="Q383" s="1" t="s">
        <v>228</v>
      </c>
      <c r="R383" s="1" t="s">
        <v>228</v>
      </c>
      <c r="S383" s="1" t="s">
        <v>229</v>
      </c>
      <c r="T383" s="1" t="s">
        <v>513</v>
      </c>
      <c r="U383" s="1">
        <v>1.00612055E8</v>
      </c>
      <c r="X383" s="1" t="s">
        <v>74</v>
      </c>
      <c r="Y383" s="1" t="s">
        <v>1686</v>
      </c>
      <c r="Z383" s="1" t="s">
        <v>37</v>
      </c>
    </row>
    <row r="384">
      <c r="A384" s="1" t="s">
        <v>1687</v>
      </c>
      <c r="B384" s="1" t="s">
        <v>1291</v>
      </c>
      <c r="C384" s="1" t="s">
        <v>1688</v>
      </c>
      <c r="D384" s="1" t="s">
        <v>78</v>
      </c>
      <c r="E384" s="1" t="s">
        <v>28</v>
      </c>
      <c r="F384" s="2">
        <v>2900000.0</v>
      </c>
      <c r="G384" s="1" t="s">
        <v>1058</v>
      </c>
      <c r="H384" s="4">
        <f>IFERROR(__xludf.DUMMYFUNCTION("DATE(INDEX(SPLIT(G384,""/""),,3),INDEX(SPLIT(G384,""/""),,2),INDEX(SPLIT(G384,""/""),,1))"),44733.0)</f>
        <v>44733</v>
      </c>
      <c r="I384" s="1" t="s">
        <v>518</v>
      </c>
      <c r="J384" s="4">
        <f>IFERROR(__xludf.DUMMYFUNCTION("DATE(INDEX(SPLIT(I384,""/""),,3),INDEX(SPLIT(I384,""/""),,2),INDEX(SPLIT(I384,""/""),,1))"),44757.0)</f>
        <v>44757</v>
      </c>
      <c r="L384" s="1">
        <v>0.0</v>
      </c>
      <c r="M384" s="1" t="s">
        <v>1689</v>
      </c>
      <c r="N384" s="1"/>
      <c r="O384" s="1" t="s">
        <v>30</v>
      </c>
      <c r="P384" s="1" t="s">
        <v>31</v>
      </c>
      <c r="Q384" s="1" t="s">
        <v>53</v>
      </c>
      <c r="R384" s="1" t="s">
        <v>53</v>
      </c>
      <c r="S384" s="1" t="s">
        <v>54</v>
      </c>
      <c r="T384" s="1" t="s">
        <v>103</v>
      </c>
      <c r="U384" s="1">
        <v>1.00650657E8</v>
      </c>
      <c r="X384" s="1" t="s">
        <v>312</v>
      </c>
      <c r="Y384" s="1" t="s">
        <v>1690</v>
      </c>
      <c r="Z384" s="1" t="s">
        <v>37</v>
      </c>
    </row>
    <row r="385" hidden="1">
      <c r="A385" s="1" t="s">
        <v>1691</v>
      </c>
      <c r="B385" s="1" t="s">
        <v>1692</v>
      </c>
      <c r="C385" s="1" t="s">
        <v>1693</v>
      </c>
      <c r="D385" s="1" t="s">
        <v>122</v>
      </c>
      <c r="E385" s="1" t="s">
        <v>28</v>
      </c>
      <c r="F385" s="2">
        <v>2900000.0</v>
      </c>
      <c r="G385" s="1" t="s">
        <v>1694</v>
      </c>
      <c r="H385" s="4">
        <f>IFERROR(__xludf.DUMMYFUNCTION("DATE(INDEX(SPLIT(G385,""/""),,3),INDEX(SPLIT(G385,""/""),,2),INDEX(SPLIT(G385,""/""),,1))"),44516.0)</f>
        <v>44516</v>
      </c>
      <c r="I385" s="1" t="s">
        <v>130</v>
      </c>
      <c r="J385" s="4">
        <f>IFERROR(__xludf.DUMMYFUNCTION("DATE(INDEX(SPLIT(I385,""/""),,3),INDEX(SPLIT(I385,""/""),,2),INDEX(SPLIT(I385,""/""),,1))"),44804.0)</f>
        <v>44804</v>
      </c>
      <c r="K385" s="1" t="s">
        <v>1695</v>
      </c>
      <c r="L385" s="1">
        <v>0.0</v>
      </c>
      <c r="M385" s="1" t="s">
        <v>1200</v>
      </c>
      <c r="N385" s="1"/>
      <c r="O385" s="1" t="s">
        <v>30</v>
      </c>
      <c r="P385" s="1" t="s">
        <v>31</v>
      </c>
      <c r="Q385" s="1" t="s">
        <v>235</v>
      </c>
      <c r="R385" s="1" t="s">
        <v>235</v>
      </c>
      <c r="S385" s="1" t="s">
        <v>236</v>
      </c>
      <c r="T385" s="1" t="s">
        <v>438</v>
      </c>
      <c r="U385" s="1">
        <v>1.00586959E8</v>
      </c>
      <c r="X385" s="1" t="s">
        <v>88</v>
      </c>
      <c r="Y385" s="1" t="s">
        <v>979</v>
      </c>
      <c r="Z385" s="1" t="s">
        <v>37</v>
      </c>
    </row>
    <row r="386" hidden="1">
      <c r="A386" s="1" t="s">
        <v>1696</v>
      </c>
      <c r="B386" s="1" t="s">
        <v>806</v>
      </c>
      <c r="C386" s="1" t="s">
        <v>1697</v>
      </c>
      <c r="D386" s="1" t="s">
        <v>78</v>
      </c>
      <c r="E386" s="1" t="s">
        <v>28</v>
      </c>
      <c r="F386" s="2">
        <v>2900000.0</v>
      </c>
      <c r="G386" s="4">
        <v>44837.0</v>
      </c>
      <c r="H386" s="4">
        <f>IFERROR(__xludf.DUMMYFUNCTION("DATE(INDEX(SPLIT(G386,""/""),,3),INDEX(SPLIT(G386,""/""),,2),INDEX(SPLIT(G386,""/""),,1))"),44630.0)</f>
        <v>44630</v>
      </c>
      <c r="I386" s="4">
        <v>44569.0</v>
      </c>
      <c r="J386" s="4">
        <f>IFERROR(__xludf.DUMMYFUNCTION("DATE(INDEX(SPLIT(I386,""/""),,3),INDEX(SPLIT(I386,""/""),,2),INDEX(SPLIT(I386,""/""),,1))"),44774.0)</f>
        <v>44774</v>
      </c>
      <c r="L386" s="1">
        <v>0.0</v>
      </c>
      <c r="M386" s="1" t="s">
        <v>808</v>
      </c>
      <c r="N386" s="1"/>
      <c r="O386" s="1" t="s">
        <v>30</v>
      </c>
      <c r="P386" s="1" t="s">
        <v>31</v>
      </c>
      <c r="Q386" s="1" t="s">
        <v>228</v>
      </c>
      <c r="R386" s="1" t="s">
        <v>228</v>
      </c>
      <c r="S386" s="1" t="s">
        <v>229</v>
      </c>
      <c r="T386" s="1" t="s">
        <v>505</v>
      </c>
      <c r="U386" s="1">
        <v>1.00609871E8</v>
      </c>
      <c r="X386" s="1" t="s">
        <v>117</v>
      </c>
      <c r="Y386" s="1" t="s">
        <v>1698</v>
      </c>
      <c r="Z386" s="1" t="s">
        <v>37</v>
      </c>
    </row>
    <row r="387" hidden="1">
      <c r="A387" s="1" t="s">
        <v>1699</v>
      </c>
      <c r="B387" s="1" t="s">
        <v>954</v>
      </c>
      <c r="C387" s="1" t="s">
        <v>1700</v>
      </c>
      <c r="D387" s="1" t="s">
        <v>78</v>
      </c>
      <c r="E387" s="1" t="s">
        <v>28</v>
      </c>
      <c r="F387" s="2">
        <v>2850720.0</v>
      </c>
      <c r="G387" s="4">
        <v>44900.0</v>
      </c>
      <c r="H387" s="4">
        <f>IFERROR(__xludf.DUMMYFUNCTION("DATE(INDEX(SPLIT(G387,""/""),,3),INDEX(SPLIT(G387,""/""),,2),INDEX(SPLIT(G387,""/""),,1))"),44693.0)</f>
        <v>44693</v>
      </c>
      <c r="I387" s="4">
        <v>44571.0</v>
      </c>
      <c r="J387" s="4">
        <f>IFERROR(__xludf.DUMMYFUNCTION("DATE(INDEX(SPLIT(I387,""/""),,3),INDEX(SPLIT(I387,""/""),,2),INDEX(SPLIT(I387,""/""),,1))"),44835.0)</f>
        <v>44835</v>
      </c>
      <c r="L387" s="1">
        <v>0.0</v>
      </c>
      <c r="M387" s="1" t="s">
        <v>956</v>
      </c>
      <c r="N387" s="1"/>
      <c r="O387" s="1" t="s">
        <v>30</v>
      </c>
      <c r="P387" s="1" t="s">
        <v>31</v>
      </c>
      <c r="Q387" s="1" t="s">
        <v>71</v>
      </c>
      <c r="R387" s="1" t="s">
        <v>71</v>
      </c>
      <c r="S387" s="1" t="s">
        <v>72</v>
      </c>
      <c r="T387" s="1" t="s">
        <v>73</v>
      </c>
      <c r="U387" s="1">
        <v>1.00653499E8</v>
      </c>
      <c r="X387" s="1" t="s">
        <v>74</v>
      </c>
      <c r="Y387" s="1" t="s">
        <v>1337</v>
      </c>
      <c r="Z387" s="1" t="s">
        <v>37</v>
      </c>
    </row>
    <row r="388">
      <c r="A388" s="1" t="s">
        <v>1701</v>
      </c>
      <c r="B388" s="1" t="s">
        <v>1634</v>
      </c>
      <c r="C388" s="1" t="s">
        <v>1702</v>
      </c>
      <c r="D388" s="1" t="s">
        <v>68</v>
      </c>
      <c r="E388" s="1" t="s">
        <v>28</v>
      </c>
      <c r="F388" s="2">
        <v>2840000.0</v>
      </c>
      <c r="G388" s="1" t="s">
        <v>1703</v>
      </c>
      <c r="H388" s="4">
        <f>IFERROR(__xludf.DUMMYFUNCTION("DATE(INDEX(SPLIT(G388,""/""),,3),INDEX(SPLIT(G388,""/""),,2),INDEX(SPLIT(G388,""/""),,1))"),44576.0)</f>
        <v>44576</v>
      </c>
      <c r="I388" s="1" t="s">
        <v>935</v>
      </c>
      <c r="J388" s="4">
        <f>IFERROR(__xludf.DUMMYFUNCTION("DATE(INDEX(SPLIT(I388,""/""),,3),INDEX(SPLIT(I388,""/""),,2),INDEX(SPLIT(I388,""/""),,1))"),44764.0)</f>
        <v>44764</v>
      </c>
      <c r="L388" s="1">
        <v>0.0</v>
      </c>
      <c r="M388" s="1" t="s">
        <v>1704</v>
      </c>
      <c r="N388" s="1"/>
      <c r="O388" s="1" t="s">
        <v>30</v>
      </c>
      <c r="P388" s="1" t="s">
        <v>31</v>
      </c>
      <c r="Q388" s="1" t="s">
        <v>157</v>
      </c>
      <c r="R388" s="1" t="s">
        <v>157</v>
      </c>
      <c r="S388" s="1" t="s">
        <v>158</v>
      </c>
      <c r="T388" s="1" t="s">
        <v>442</v>
      </c>
      <c r="U388" s="1">
        <v>1.00654991E8</v>
      </c>
      <c r="X388" s="1" t="s">
        <v>490</v>
      </c>
      <c r="Y388" s="1" t="s">
        <v>244</v>
      </c>
      <c r="Z388" s="1" t="s">
        <v>37</v>
      </c>
    </row>
    <row r="389">
      <c r="A389" s="1" t="s">
        <v>1705</v>
      </c>
      <c r="B389" s="1" t="s">
        <v>532</v>
      </c>
      <c r="C389" s="1" t="s">
        <v>1706</v>
      </c>
      <c r="D389" s="1" t="s">
        <v>68</v>
      </c>
      <c r="E389" s="1" t="s">
        <v>28</v>
      </c>
      <c r="F389" s="2">
        <v>2814266.0</v>
      </c>
      <c r="G389" s="1" t="s">
        <v>1581</v>
      </c>
      <c r="H389" s="4">
        <f>IFERROR(__xludf.DUMMYFUNCTION("DATE(INDEX(SPLIT(G389,""/""),,3),INDEX(SPLIT(G389,""/""),,2),INDEX(SPLIT(G389,""/""),,1))"),44453.0)</f>
        <v>44453</v>
      </c>
      <c r="I389" s="1" t="s">
        <v>69</v>
      </c>
      <c r="J389" s="4">
        <f>IFERROR(__xludf.DUMMYFUNCTION("DATE(INDEX(SPLIT(I389,""/""),,3),INDEX(SPLIT(I389,""/""),,2),INDEX(SPLIT(I389,""/""),,1))"),44773.0)</f>
        <v>44773</v>
      </c>
      <c r="L389" s="1">
        <v>0.0</v>
      </c>
      <c r="M389" s="1" t="s">
        <v>1707</v>
      </c>
      <c r="N389" s="1"/>
      <c r="O389" s="1" t="s">
        <v>30</v>
      </c>
      <c r="P389" s="1" t="s">
        <v>31</v>
      </c>
      <c r="Q389" s="1" t="s">
        <v>53</v>
      </c>
      <c r="R389" s="1" t="s">
        <v>53</v>
      </c>
      <c r="S389" s="1" t="s">
        <v>54</v>
      </c>
      <c r="T389" s="1" t="s">
        <v>634</v>
      </c>
      <c r="U389" s="1">
        <v>1.00652169E8</v>
      </c>
      <c r="X389" s="1" t="s">
        <v>490</v>
      </c>
      <c r="Y389" s="1" t="s">
        <v>1707</v>
      </c>
      <c r="Z389" s="1" t="s">
        <v>37</v>
      </c>
    </row>
    <row r="390" hidden="1">
      <c r="A390" s="1" t="s">
        <v>1708</v>
      </c>
      <c r="B390" s="1" t="s">
        <v>1709</v>
      </c>
      <c r="C390" s="1" t="s">
        <v>1710</v>
      </c>
      <c r="D390" s="1" t="s">
        <v>78</v>
      </c>
      <c r="E390" s="1" t="s">
        <v>28</v>
      </c>
      <c r="F390" s="2">
        <v>2800000.0</v>
      </c>
      <c r="G390" s="1" t="s">
        <v>108</v>
      </c>
      <c r="H390" s="4">
        <f>IFERROR(__xludf.DUMMYFUNCTION("DATE(INDEX(SPLIT(G390,""/""),,3),INDEX(SPLIT(G390,""/""),,2),INDEX(SPLIT(G390,""/""),,1))"),44725.0)</f>
        <v>44725</v>
      </c>
      <c r="I390" s="1" t="s">
        <v>130</v>
      </c>
      <c r="J390" s="4">
        <f>IFERROR(__xludf.DUMMYFUNCTION("DATE(INDEX(SPLIT(I390,""/""),,3),INDEX(SPLIT(I390,""/""),,2),INDEX(SPLIT(I390,""/""),,1))"),44804.0)</f>
        <v>44804</v>
      </c>
      <c r="L390" s="1">
        <v>0.0</v>
      </c>
      <c r="M390" s="1" t="s">
        <v>216</v>
      </c>
      <c r="N390" s="1"/>
      <c r="O390" s="1" t="s">
        <v>30</v>
      </c>
      <c r="P390" s="1" t="s">
        <v>31</v>
      </c>
      <c r="Q390" s="1" t="s">
        <v>95</v>
      </c>
      <c r="R390" s="1" t="s">
        <v>95</v>
      </c>
      <c r="S390" s="1" t="s">
        <v>96</v>
      </c>
      <c r="T390" s="1" t="s">
        <v>311</v>
      </c>
      <c r="U390" s="1">
        <v>1.01200292E8</v>
      </c>
      <c r="X390" s="1" t="s">
        <v>312</v>
      </c>
      <c r="Y390" s="1" t="s">
        <v>1289</v>
      </c>
      <c r="Z390" s="1" t="s">
        <v>37</v>
      </c>
    </row>
    <row r="391" hidden="1">
      <c r="A391" s="1" t="s">
        <v>1711</v>
      </c>
      <c r="B391" s="1" t="s">
        <v>1712</v>
      </c>
      <c r="C391" s="1" t="s">
        <v>1713</v>
      </c>
      <c r="D391" s="1" t="s">
        <v>122</v>
      </c>
      <c r="E391" s="1" t="s">
        <v>28</v>
      </c>
      <c r="F391" s="2">
        <v>2800000.0</v>
      </c>
      <c r="G391" s="4">
        <v>43648.0</v>
      </c>
      <c r="H391" s="4">
        <f>IFERROR(__xludf.DUMMYFUNCTION("DATE(INDEX(SPLIT(G391,""/""),,3),INDEX(SPLIT(G391,""/""),,2),INDEX(SPLIT(G391,""/""),,1))"),43503.0)</f>
        <v>43503</v>
      </c>
      <c r="I391" s="1" t="s">
        <v>203</v>
      </c>
      <c r="J391" s="4">
        <f>IFERROR(__xludf.DUMMYFUNCTION("DATE(INDEX(SPLIT(I391,""/""),,3),INDEX(SPLIT(I391,""/""),,2),INDEX(SPLIT(I391,""/""),,1))"),44925.0)</f>
        <v>44925</v>
      </c>
      <c r="L391" s="1">
        <v>0.0</v>
      </c>
      <c r="M391" s="1" t="s">
        <v>1129</v>
      </c>
      <c r="N391" s="1"/>
      <c r="O391" s="1" t="s">
        <v>30</v>
      </c>
      <c r="P391" s="1" t="s">
        <v>31</v>
      </c>
      <c r="Q391" s="1" t="s">
        <v>157</v>
      </c>
      <c r="R391" s="1" t="s">
        <v>157</v>
      </c>
      <c r="S391" s="1" t="s">
        <v>158</v>
      </c>
      <c r="T391" s="1" t="s">
        <v>442</v>
      </c>
      <c r="U391" s="1">
        <v>1.00650786E8</v>
      </c>
      <c r="X391" s="1" t="s">
        <v>125</v>
      </c>
      <c r="Y391" s="1" t="s">
        <v>1129</v>
      </c>
      <c r="Z391" s="1" t="s">
        <v>37</v>
      </c>
    </row>
    <row r="392">
      <c r="A392" s="1" t="s">
        <v>1714</v>
      </c>
      <c r="B392" s="1" t="s">
        <v>427</v>
      </c>
      <c r="C392" s="1" t="s">
        <v>1715</v>
      </c>
      <c r="D392" s="1" t="s">
        <v>27</v>
      </c>
      <c r="E392" s="1" t="s">
        <v>28</v>
      </c>
      <c r="F392" s="2">
        <v>2800000.0</v>
      </c>
      <c r="G392" s="1" t="s">
        <v>1716</v>
      </c>
      <c r="H392" s="4">
        <f>IFERROR(__xludf.DUMMYFUNCTION("DATE(INDEX(SPLIT(G392,""/""),,3),INDEX(SPLIT(G392,""/""),,2),INDEX(SPLIT(G392,""/""),,1))"),44619.0)</f>
        <v>44619</v>
      </c>
      <c r="I392" s="1" t="s">
        <v>69</v>
      </c>
      <c r="J392" s="4">
        <f>IFERROR(__xludf.DUMMYFUNCTION("DATE(INDEX(SPLIT(I392,""/""),,3),INDEX(SPLIT(I392,""/""),,2),INDEX(SPLIT(I392,""/""),,1))"),44773.0)</f>
        <v>44773</v>
      </c>
      <c r="L392" s="1">
        <v>0.0</v>
      </c>
      <c r="M392" s="1" t="s">
        <v>770</v>
      </c>
      <c r="N392" s="1"/>
      <c r="O392" s="1" t="s">
        <v>30</v>
      </c>
      <c r="P392" s="1" t="s">
        <v>31</v>
      </c>
      <c r="Q392" s="1" t="s">
        <v>157</v>
      </c>
      <c r="R392" s="1" t="s">
        <v>157</v>
      </c>
      <c r="S392" s="1" t="s">
        <v>158</v>
      </c>
      <c r="T392" s="1" t="s">
        <v>442</v>
      </c>
      <c r="U392" s="1">
        <v>1.00623421E8</v>
      </c>
      <c r="X392" s="1" t="s">
        <v>125</v>
      </c>
      <c r="Y392" s="1" t="s">
        <v>770</v>
      </c>
      <c r="Z392" s="1" t="s">
        <v>37</v>
      </c>
    </row>
    <row r="393" hidden="1">
      <c r="A393" s="1" t="s">
        <v>1717</v>
      </c>
      <c r="B393" s="1" t="s">
        <v>1152</v>
      </c>
      <c r="C393" s="1" t="s">
        <v>1718</v>
      </c>
      <c r="D393" s="1" t="s">
        <v>78</v>
      </c>
      <c r="E393" s="1" t="s">
        <v>28</v>
      </c>
      <c r="F393" s="2">
        <v>2800000.0</v>
      </c>
      <c r="G393" s="4">
        <v>43993.0</v>
      </c>
      <c r="H393" s="4">
        <f>IFERROR(__xludf.DUMMYFUNCTION("DATE(INDEX(SPLIT(G393,""/""),,3),INDEX(SPLIT(G393,""/""),,2),INDEX(SPLIT(G393,""/""),,1))"),44141.0)</f>
        <v>44141</v>
      </c>
      <c r="I393" s="1" t="s">
        <v>42</v>
      </c>
      <c r="J393" s="4">
        <f>IFERROR(__xludf.DUMMYFUNCTION("DATE(INDEX(SPLIT(I393,""/""),,3),INDEX(SPLIT(I393,""/""),,2),INDEX(SPLIT(I393,""/""),,1))"),44926.0)</f>
        <v>44926</v>
      </c>
      <c r="L393" s="1">
        <v>0.0</v>
      </c>
      <c r="M393" s="1" t="s">
        <v>846</v>
      </c>
      <c r="N393" s="1"/>
      <c r="O393" s="1" t="s">
        <v>30</v>
      </c>
      <c r="P393" s="1" t="s">
        <v>31</v>
      </c>
      <c r="Q393" s="1" t="s">
        <v>157</v>
      </c>
      <c r="R393" s="1" t="s">
        <v>157</v>
      </c>
      <c r="S393" s="1" t="s">
        <v>158</v>
      </c>
      <c r="T393" s="1" t="s">
        <v>442</v>
      </c>
      <c r="U393" s="1">
        <v>1.00584422E8</v>
      </c>
      <c r="X393" s="1" t="s">
        <v>125</v>
      </c>
      <c r="Y393" s="1" t="s">
        <v>846</v>
      </c>
      <c r="Z393" s="1" t="s">
        <v>37</v>
      </c>
    </row>
    <row r="394" hidden="1">
      <c r="A394" s="1" t="s">
        <v>1719</v>
      </c>
      <c r="B394" s="1" t="s">
        <v>1720</v>
      </c>
      <c r="C394" s="1" t="s">
        <v>1721</v>
      </c>
      <c r="D394" s="1" t="s">
        <v>78</v>
      </c>
      <c r="E394" s="1" t="s">
        <v>28</v>
      </c>
      <c r="F394" s="2">
        <v>2800000.0</v>
      </c>
      <c r="G394" s="1" t="s">
        <v>1722</v>
      </c>
      <c r="H394" s="4">
        <f>IFERROR(__xludf.DUMMYFUNCTION("DATE(INDEX(SPLIT(G394,""/""),,3),INDEX(SPLIT(G394,""/""),,2),INDEX(SPLIT(G394,""/""),,1))"),44271.0)</f>
        <v>44271</v>
      </c>
      <c r="I394" s="1" t="s">
        <v>360</v>
      </c>
      <c r="J394" s="4">
        <f>IFERROR(__xludf.DUMMYFUNCTION("DATE(INDEX(SPLIT(I394,""/""),,3),INDEX(SPLIT(I394,""/""),,2),INDEX(SPLIT(I394,""/""),,1))"),44895.0)</f>
        <v>44895</v>
      </c>
      <c r="L394" s="1">
        <v>0.0</v>
      </c>
      <c r="M394" s="1" t="s">
        <v>1723</v>
      </c>
      <c r="N394" s="1"/>
      <c r="O394" s="1" t="s">
        <v>30</v>
      </c>
      <c r="P394" s="1" t="s">
        <v>31</v>
      </c>
      <c r="Q394" s="1" t="s">
        <v>157</v>
      </c>
      <c r="R394" s="1" t="s">
        <v>157</v>
      </c>
      <c r="S394" s="1" t="s">
        <v>158</v>
      </c>
      <c r="T394" s="1" t="s">
        <v>159</v>
      </c>
      <c r="U394" s="1">
        <v>1.00654085E8</v>
      </c>
      <c r="X394" s="1" t="s">
        <v>74</v>
      </c>
      <c r="Y394" s="1" t="s">
        <v>1723</v>
      </c>
      <c r="Z394" s="1" t="s">
        <v>37</v>
      </c>
    </row>
    <row r="395" hidden="1">
      <c r="A395" s="1" t="s">
        <v>1724</v>
      </c>
      <c r="B395" s="1" t="s">
        <v>1725</v>
      </c>
      <c r="C395" s="1" t="s">
        <v>1726</v>
      </c>
      <c r="D395" s="1" t="s">
        <v>78</v>
      </c>
      <c r="E395" s="1" t="s">
        <v>28</v>
      </c>
      <c r="F395" s="2">
        <v>2800000.0</v>
      </c>
      <c r="G395" s="4">
        <v>44806.0</v>
      </c>
      <c r="H395" s="4">
        <f>IFERROR(__xludf.DUMMYFUNCTION("DATE(INDEX(SPLIT(G395,""/""),,3),INDEX(SPLIT(G395,""/""),,2),INDEX(SPLIT(G395,""/""),,1))"),44601.0)</f>
        <v>44601</v>
      </c>
      <c r="I395" s="1" t="s">
        <v>109</v>
      </c>
      <c r="J395" s="4">
        <f>IFERROR(__xludf.DUMMYFUNCTION("DATE(INDEX(SPLIT(I395,""/""),,3),INDEX(SPLIT(I395,""/""),,2),INDEX(SPLIT(I395,""/""),,1))"),44834.0)</f>
        <v>44834</v>
      </c>
      <c r="L395" s="1">
        <v>0.0</v>
      </c>
      <c r="M395" s="1" t="s">
        <v>1137</v>
      </c>
      <c r="N395" s="1"/>
      <c r="O395" s="1" t="s">
        <v>30</v>
      </c>
      <c r="P395" s="1" t="s">
        <v>31</v>
      </c>
      <c r="Q395" s="1" t="s">
        <v>71</v>
      </c>
      <c r="R395" s="1" t="s">
        <v>71</v>
      </c>
      <c r="S395" s="1" t="s">
        <v>72</v>
      </c>
      <c r="T395" s="1" t="s">
        <v>73</v>
      </c>
      <c r="U395" s="1">
        <v>1.00589728E8</v>
      </c>
      <c r="Y395" s="1" t="s">
        <v>1138</v>
      </c>
      <c r="Z395" s="1" t="s">
        <v>37</v>
      </c>
    </row>
    <row r="396" hidden="1">
      <c r="A396" s="1" t="s">
        <v>1727</v>
      </c>
      <c r="B396" s="1" t="s">
        <v>1728</v>
      </c>
      <c r="C396" s="1" t="s">
        <v>1635</v>
      </c>
      <c r="D396" s="1" t="s">
        <v>27</v>
      </c>
      <c r="E396" s="1" t="s">
        <v>28</v>
      </c>
      <c r="F396" s="2">
        <v>2700000.0</v>
      </c>
      <c r="G396" s="4">
        <v>44656.0</v>
      </c>
      <c r="H396" s="4">
        <f>IFERROR(__xludf.DUMMYFUNCTION("DATE(INDEX(SPLIT(G396,""/""),,3),INDEX(SPLIT(G396,""/""),,2),INDEX(SPLIT(G396,""/""),,1))"),44685.0)</f>
        <v>44685</v>
      </c>
      <c r="I396" s="1" t="s">
        <v>1097</v>
      </c>
      <c r="J396" s="4">
        <f>IFERROR(__xludf.DUMMYFUNCTION("DATE(INDEX(SPLIT(I396,""/""),,3),INDEX(SPLIT(I396,""/""),,2),INDEX(SPLIT(I396,""/""),,1))"),45107.0)</f>
        <v>45107</v>
      </c>
      <c r="L396" s="1">
        <v>0.0</v>
      </c>
      <c r="M396" s="1" t="s">
        <v>1194</v>
      </c>
      <c r="N396" s="1"/>
      <c r="O396" s="1" t="s">
        <v>30</v>
      </c>
      <c r="P396" s="1" t="s">
        <v>31</v>
      </c>
      <c r="Q396" s="1" t="s">
        <v>32</v>
      </c>
      <c r="R396" s="1" t="s">
        <v>32</v>
      </c>
      <c r="S396" s="1" t="s">
        <v>33</v>
      </c>
      <c r="T396" s="1" t="s">
        <v>1195</v>
      </c>
      <c r="U396" s="1">
        <v>1.00586863E8</v>
      </c>
      <c r="X396" s="1" t="s">
        <v>125</v>
      </c>
      <c r="Y396" s="1" t="s">
        <v>1636</v>
      </c>
      <c r="Z396" s="1" t="s">
        <v>37</v>
      </c>
    </row>
    <row r="397" hidden="1">
      <c r="A397" s="1" t="s">
        <v>1729</v>
      </c>
      <c r="B397" s="1" t="s">
        <v>1730</v>
      </c>
      <c r="C397" s="1" t="s">
        <v>1731</v>
      </c>
      <c r="D397" s="1" t="s">
        <v>27</v>
      </c>
      <c r="E397" s="1" t="s">
        <v>28</v>
      </c>
      <c r="F397" s="2">
        <v>2700000.0</v>
      </c>
      <c r="G397" s="4">
        <v>44656.0</v>
      </c>
      <c r="H397" s="4">
        <f>IFERROR(__xludf.DUMMYFUNCTION("DATE(INDEX(SPLIT(G397,""/""),,3),INDEX(SPLIT(G397,""/""),,2),INDEX(SPLIT(G397,""/""),,1))"),44685.0)</f>
        <v>44685</v>
      </c>
      <c r="I397" s="1" t="s">
        <v>1732</v>
      </c>
      <c r="J397" s="4">
        <f>IFERROR(__xludf.DUMMYFUNCTION("DATE(INDEX(SPLIT(I397,""/""),,3),INDEX(SPLIT(I397,""/""),,2),INDEX(SPLIT(I397,""/""),,1))"),45092.0)</f>
        <v>45092</v>
      </c>
      <c r="L397" s="1">
        <v>0.0</v>
      </c>
      <c r="M397" s="1" t="s">
        <v>1194</v>
      </c>
      <c r="N397" s="1"/>
      <c r="O397" s="1" t="s">
        <v>30</v>
      </c>
      <c r="P397" s="1" t="s">
        <v>31</v>
      </c>
      <c r="Q397" s="1" t="s">
        <v>32</v>
      </c>
      <c r="R397" s="1" t="s">
        <v>32</v>
      </c>
      <c r="S397" s="1" t="s">
        <v>33</v>
      </c>
      <c r="T397" s="1" t="s">
        <v>1195</v>
      </c>
      <c r="U397" s="1">
        <v>1.00586863E8</v>
      </c>
      <c r="X397" s="1" t="s">
        <v>125</v>
      </c>
      <c r="Y397" s="1" t="s">
        <v>1636</v>
      </c>
      <c r="Z397" s="1" t="s">
        <v>37</v>
      </c>
    </row>
    <row r="398" hidden="1">
      <c r="A398" s="1" t="s">
        <v>1733</v>
      </c>
      <c r="B398" s="1" t="s">
        <v>1734</v>
      </c>
      <c r="C398" s="1" t="s">
        <v>1635</v>
      </c>
      <c r="D398" s="1" t="s">
        <v>27</v>
      </c>
      <c r="E398" s="1" t="s">
        <v>28</v>
      </c>
      <c r="F398" s="2">
        <v>2700000.0</v>
      </c>
      <c r="G398" s="4">
        <v>44656.0</v>
      </c>
      <c r="H398" s="4">
        <f>IFERROR(__xludf.DUMMYFUNCTION("DATE(INDEX(SPLIT(G398,""/""),,3),INDEX(SPLIT(G398,""/""),,2),INDEX(SPLIT(G398,""/""),,1))"),44685.0)</f>
        <v>44685</v>
      </c>
      <c r="I398" s="1" t="s">
        <v>1097</v>
      </c>
      <c r="J398" s="4">
        <f>IFERROR(__xludf.DUMMYFUNCTION("DATE(INDEX(SPLIT(I398,""/""),,3),INDEX(SPLIT(I398,""/""),,2),INDEX(SPLIT(I398,""/""),,1))"),45107.0)</f>
        <v>45107</v>
      </c>
      <c r="L398" s="1">
        <v>0.0</v>
      </c>
      <c r="M398" s="1" t="s">
        <v>1194</v>
      </c>
      <c r="N398" s="1"/>
      <c r="O398" s="1" t="s">
        <v>30</v>
      </c>
      <c r="P398" s="1" t="s">
        <v>31</v>
      </c>
      <c r="Q398" s="1" t="s">
        <v>32</v>
      </c>
      <c r="R398" s="1" t="s">
        <v>32</v>
      </c>
      <c r="S398" s="1" t="s">
        <v>33</v>
      </c>
      <c r="T398" s="1" t="s">
        <v>1195</v>
      </c>
      <c r="U398" s="1">
        <v>1.00586863E8</v>
      </c>
      <c r="X398" s="1" t="s">
        <v>125</v>
      </c>
      <c r="Y398" s="1" t="s">
        <v>1636</v>
      </c>
      <c r="Z398" s="1" t="s">
        <v>37</v>
      </c>
    </row>
    <row r="399" hidden="1">
      <c r="A399" s="1" t="s">
        <v>1735</v>
      </c>
      <c r="B399" s="1" t="s">
        <v>83</v>
      </c>
      <c r="C399" s="1" t="s">
        <v>1736</v>
      </c>
      <c r="D399" s="1" t="s">
        <v>27</v>
      </c>
      <c r="E399" s="1" t="s">
        <v>28</v>
      </c>
      <c r="F399" s="2">
        <v>2700000.0</v>
      </c>
      <c r="G399" s="1" t="s">
        <v>41</v>
      </c>
      <c r="H399" s="4">
        <f>IFERROR(__xludf.DUMMYFUNCTION("DATE(INDEX(SPLIT(G399,""/""),,3),INDEX(SPLIT(G399,""/""),,2),INDEX(SPLIT(G399,""/""),,1))"),44607.0)</f>
        <v>44607</v>
      </c>
      <c r="I399" s="4">
        <v>44573.0</v>
      </c>
      <c r="J399" s="4">
        <f>IFERROR(__xludf.DUMMYFUNCTION("DATE(INDEX(SPLIT(I399,""/""),,3),INDEX(SPLIT(I399,""/""),,2),INDEX(SPLIT(I399,""/""),,1))"),44896.0)</f>
        <v>44896</v>
      </c>
      <c r="L399" s="1">
        <v>0.0</v>
      </c>
      <c r="M399" s="1" t="s">
        <v>1737</v>
      </c>
      <c r="N399" s="1"/>
      <c r="O399" s="1" t="s">
        <v>30</v>
      </c>
      <c r="P399" s="1" t="s">
        <v>31</v>
      </c>
      <c r="Q399" s="1" t="s">
        <v>53</v>
      </c>
      <c r="R399" s="1" t="s">
        <v>53</v>
      </c>
      <c r="S399" s="1" t="s">
        <v>54</v>
      </c>
      <c r="T399" s="1" t="s">
        <v>1386</v>
      </c>
      <c r="U399" s="1">
        <v>1.00642067E8</v>
      </c>
      <c r="X399" s="1" t="s">
        <v>88</v>
      </c>
      <c r="Y399" s="1" t="s">
        <v>1387</v>
      </c>
      <c r="Z399" s="1" t="s">
        <v>37</v>
      </c>
    </row>
    <row r="400" hidden="1">
      <c r="A400" s="1" t="s">
        <v>1738</v>
      </c>
      <c r="B400" s="1" t="s">
        <v>39</v>
      </c>
      <c r="C400" s="1" t="s">
        <v>1739</v>
      </c>
      <c r="D400" s="1" t="s">
        <v>27</v>
      </c>
      <c r="E400" s="1" t="s">
        <v>28</v>
      </c>
      <c r="F400" s="2">
        <v>2700000.0</v>
      </c>
      <c r="G400" s="1" t="s">
        <v>1740</v>
      </c>
      <c r="H400" s="4">
        <f>IFERROR(__xludf.DUMMYFUNCTION("DATE(INDEX(SPLIT(G400,""/""),,3),INDEX(SPLIT(G400,""/""),,2),INDEX(SPLIT(G400,""/""),,1))"),44456.0)</f>
        <v>44456</v>
      </c>
      <c r="I400" s="1" t="s">
        <v>109</v>
      </c>
      <c r="J400" s="4">
        <f>IFERROR(__xludf.DUMMYFUNCTION("DATE(INDEX(SPLIT(I400,""/""),,3),INDEX(SPLIT(I400,""/""),,2),INDEX(SPLIT(I400,""/""),,1))"),44834.0)</f>
        <v>44834</v>
      </c>
      <c r="L400" s="1">
        <v>0.0</v>
      </c>
      <c r="M400" s="1" t="s">
        <v>1741</v>
      </c>
      <c r="N400" s="1"/>
      <c r="O400" s="1" t="s">
        <v>30</v>
      </c>
      <c r="P400" s="1" t="s">
        <v>31</v>
      </c>
      <c r="Q400" s="1" t="s">
        <v>32</v>
      </c>
      <c r="R400" s="1" t="s">
        <v>32</v>
      </c>
      <c r="S400" s="1" t="s">
        <v>33</v>
      </c>
      <c r="T400" s="1" t="s">
        <v>103</v>
      </c>
      <c r="U400" s="1">
        <v>1.00645852E8</v>
      </c>
      <c r="X400" s="1" t="s">
        <v>46</v>
      </c>
      <c r="Y400" s="1" t="s">
        <v>104</v>
      </c>
      <c r="Z400" s="1" t="s">
        <v>37</v>
      </c>
    </row>
    <row r="401" hidden="1">
      <c r="A401" s="1" t="s">
        <v>1742</v>
      </c>
      <c r="B401" s="1" t="s">
        <v>1743</v>
      </c>
      <c r="C401" s="1" t="s">
        <v>1744</v>
      </c>
      <c r="D401" s="1" t="s">
        <v>122</v>
      </c>
      <c r="E401" s="1" t="s">
        <v>28</v>
      </c>
      <c r="F401" s="2">
        <v>2600000.0</v>
      </c>
      <c r="G401" s="1" t="s">
        <v>751</v>
      </c>
      <c r="H401" s="4">
        <f>IFERROR(__xludf.DUMMYFUNCTION("DATE(INDEX(SPLIT(G401,""/""),,3),INDEX(SPLIT(G401,""/""),,2),INDEX(SPLIT(G401,""/""),,1))"),44519.0)</f>
        <v>44519</v>
      </c>
      <c r="I401" s="1" t="s">
        <v>130</v>
      </c>
      <c r="J401" s="4">
        <f>IFERROR(__xludf.DUMMYFUNCTION("DATE(INDEX(SPLIT(I401,""/""),,3),INDEX(SPLIT(I401,""/""),,2),INDEX(SPLIT(I401,""/""),,1))"),44804.0)</f>
        <v>44804</v>
      </c>
      <c r="L401" s="1">
        <v>0.0</v>
      </c>
      <c r="M401" s="1" t="s">
        <v>1745</v>
      </c>
      <c r="N401" s="1"/>
      <c r="O401" s="1" t="s">
        <v>30</v>
      </c>
      <c r="P401" s="1" t="s">
        <v>31</v>
      </c>
      <c r="Q401" s="1" t="s">
        <v>71</v>
      </c>
      <c r="R401" s="1" t="s">
        <v>71</v>
      </c>
      <c r="S401" s="1" t="s">
        <v>72</v>
      </c>
      <c r="T401" s="1" t="s">
        <v>136</v>
      </c>
      <c r="U401" s="1">
        <v>1.00582847E8</v>
      </c>
      <c r="X401" s="1" t="s">
        <v>74</v>
      </c>
      <c r="Y401" s="1" t="s">
        <v>1746</v>
      </c>
      <c r="Z401" s="1" t="s">
        <v>37</v>
      </c>
    </row>
    <row r="402" hidden="1">
      <c r="A402" s="1" t="s">
        <v>1747</v>
      </c>
      <c r="B402" s="1" t="s">
        <v>1748</v>
      </c>
      <c r="C402" s="1" t="s">
        <v>1749</v>
      </c>
      <c r="D402" s="1" t="s">
        <v>68</v>
      </c>
      <c r="E402" s="1" t="s">
        <v>28</v>
      </c>
      <c r="F402" s="2">
        <v>2600000.0</v>
      </c>
      <c r="G402" s="4">
        <v>44481.0</v>
      </c>
      <c r="H402" s="4">
        <f>IFERROR(__xludf.DUMMYFUNCTION("DATE(INDEX(SPLIT(G402,""/""),,3),INDEX(SPLIT(G402,""/""),,2),INDEX(SPLIT(G402,""/""),,1))"),44540.0)</f>
        <v>44540</v>
      </c>
      <c r="I402" s="1" t="s">
        <v>1750</v>
      </c>
      <c r="J402" s="4">
        <f>IFERROR(__xludf.DUMMYFUNCTION("DATE(INDEX(SPLIT(I402,""/""),,3),INDEX(SPLIT(I402,""/""),,2),INDEX(SPLIT(I402,""/""),,1))"),44802.0)</f>
        <v>44802</v>
      </c>
      <c r="L402" s="1">
        <v>0.0</v>
      </c>
      <c r="M402" s="1" t="s">
        <v>437</v>
      </c>
      <c r="N402" s="1"/>
      <c r="O402" s="1" t="s">
        <v>30</v>
      </c>
      <c r="P402" s="1" t="s">
        <v>31</v>
      </c>
      <c r="Q402" s="1" t="s">
        <v>235</v>
      </c>
      <c r="R402" s="1" t="s">
        <v>235</v>
      </c>
      <c r="S402" s="1" t="s">
        <v>236</v>
      </c>
      <c r="T402" s="1" t="s">
        <v>1349</v>
      </c>
      <c r="U402" s="1">
        <v>1.00650375E8</v>
      </c>
      <c r="X402" s="1" t="s">
        <v>88</v>
      </c>
      <c r="Y402" s="1" t="s">
        <v>437</v>
      </c>
      <c r="Z402" s="1" t="s">
        <v>37</v>
      </c>
    </row>
    <row r="403">
      <c r="A403" s="1" t="s">
        <v>1751</v>
      </c>
      <c r="B403" s="1" t="s">
        <v>948</v>
      </c>
      <c r="C403" s="1" t="s">
        <v>1752</v>
      </c>
      <c r="D403" s="1" t="s">
        <v>68</v>
      </c>
      <c r="E403" s="1" t="s">
        <v>28</v>
      </c>
      <c r="F403" s="2">
        <v>2600000.0</v>
      </c>
      <c r="G403" s="4">
        <v>44565.0</v>
      </c>
      <c r="H403" s="4">
        <f>IFERROR(__xludf.DUMMYFUNCTION("DATE(INDEX(SPLIT(G403,""/""),,3),INDEX(SPLIT(G403,""/""),,2),INDEX(SPLIT(G403,""/""),,1))"),44652.0)</f>
        <v>44652</v>
      </c>
      <c r="I403" s="1" t="s">
        <v>226</v>
      </c>
      <c r="J403" s="4">
        <f>IFERROR(__xludf.DUMMYFUNCTION("DATE(INDEX(SPLIT(I403,""/""),,3),INDEX(SPLIT(I403,""/""),,2),INDEX(SPLIT(I403,""/""),,1))"),44771.0)</f>
        <v>44771</v>
      </c>
      <c r="L403" s="1">
        <v>0.0</v>
      </c>
      <c r="M403" s="1" t="s">
        <v>1137</v>
      </c>
      <c r="N403" s="1"/>
      <c r="O403" s="1" t="s">
        <v>30</v>
      </c>
      <c r="P403" s="1" t="s">
        <v>31</v>
      </c>
      <c r="Q403" s="1" t="s">
        <v>71</v>
      </c>
      <c r="R403" s="1" t="s">
        <v>71</v>
      </c>
      <c r="S403" s="1" t="s">
        <v>72</v>
      </c>
      <c r="T403" s="1" t="s">
        <v>73</v>
      </c>
      <c r="U403" s="1">
        <v>1.00589728E8</v>
      </c>
      <c r="X403" s="1" t="s">
        <v>74</v>
      </c>
      <c r="Y403" s="1" t="s">
        <v>1137</v>
      </c>
      <c r="Z403" s="1" t="s">
        <v>37</v>
      </c>
    </row>
    <row r="404">
      <c r="A404" s="1" t="s">
        <v>1753</v>
      </c>
      <c r="B404" s="1" t="s">
        <v>1030</v>
      </c>
      <c r="C404" s="1" t="s">
        <v>1754</v>
      </c>
      <c r="D404" s="1" t="s">
        <v>68</v>
      </c>
      <c r="E404" s="1" t="s">
        <v>28</v>
      </c>
      <c r="F404" s="2">
        <v>2502000.0</v>
      </c>
      <c r="G404" s="4">
        <v>44626.0</v>
      </c>
      <c r="H404" s="4">
        <f>IFERROR(__xludf.DUMMYFUNCTION("DATE(INDEX(SPLIT(G404,""/""),,3),INDEX(SPLIT(G404,""/""),,2),INDEX(SPLIT(G404,""/""),,1))"),44715.0)</f>
        <v>44715</v>
      </c>
      <c r="I404" s="1" t="s">
        <v>226</v>
      </c>
      <c r="J404" s="4">
        <f>IFERROR(__xludf.DUMMYFUNCTION("DATE(INDEX(SPLIT(I404,""/""),,3),INDEX(SPLIT(I404,""/""),,2),INDEX(SPLIT(I404,""/""),,1))"),44771.0)</f>
        <v>44771</v>
      </c>
      <c r="L404" s="1">
        <v>0.0</v>
      </c>
      <c r="M404" s="1" t="s">
        <v>1755</v>
      </c>
      <c r="N404" s="1"/>
      <c r="O404" s="1" t="s">
        <v>30</v>
      </c>
      <c r="P404" s="1" t="s">
        <v>31</v>
      </c>
      <c r="Q404" s="1" t="s">
        <v>188</v>
      </c>
      <c r="R404" s="1" t="s">
        <v>188</v>
      </c>
      <c r="S404" s="1" t="s">
        <v>189</v>
      </c>
      <c r="U404" s="1">
        <v>1.00904603E8</v>
      </c>
      <c r="Y404" s="1" t="s">
        <v>1756</v>
      </c>
      <c r="Z404" s="1" t="s">
        <v>37</v>
      </c>
    </row>
    <row r="405">
      <c r="A405" s="1" t="s">
        <v>1757</v>
      </c>
      <c r="B405" s="1" t="s">
        <v>756</v>
      </c>
      <c r="C405" s="1" t="s">
        <v>1758</v>
      </c>
      <c r="D405" s="1" t="s">
        <v>78</v>
      </c>
      <c r="E405" s="1" t="s">
        <v>28</v>
      </c>
      <c r="F405" s="2">
        <v>2500000.0</v>
      </c>
      <c r="G405" s="1" t="s">
        <v>41</v>
      </c>
      <c r="H405" s="4">
        <f>IFERROR(__xludf.DUMMYFUNCTION("DATE(INDEX(SPLIT(G405,""/""),,3),INDEX(SPLIT(G405,""/""),,2),INDEX(SPLIT(G405,""/""),,1))"),44607.0)</f>
        <v>44607</v>
      </c>
      <c r="I405" s="1" t="s">
        <v>1244</v>
      </c>
      <c r="J405" s="4">
        <f>IFERROR(__xludf.DUMMYFUNCTION("DATE(INDEX(SPLIT(I405,""/""),,3),INDEX(SPLIT(I405,""/""),,2),INDEX(SPLIT(I405,""/""),,1))"),44742.0)</f>
        <v>44742</v>
      </c>
      <c r="L405" s="1">
        <v>0.0</v>
      </c>
      <c r="M405" s="1" t="s">
        <v>1759</v>
      </c>
      <c r="N405" s="1"/>
      <c r="O405" s="1" t="s">
        <v>30</v>
      </c>
      <c r="P405" s="1" t="s">
        <v>31</v>
      </c>
      <c r="Q405" s="1" t="s">
        <v>95</v>
      </c>
      <c r="R405" s="1" t="s">
        <v>95</v>
      </c>
      <c r="S405" s="1" t="s">
        <v>96</v>
      </c>
      <c r="T405" s="1" t="s">
        <v>602</v>
      </c>
      <c r="U405" s="1">
        <v>1.00596555E8</v>
      </c>
      <c r="X405" s="1" t="s">
        <v>88</v>
      </c>
      <c r="Y405" s="1" t="s">
        <v>1760</v>
      </c>
      <c r="Z405" s="1" t="s">
        <v>206</v>
      </c>
    </row>
    <row r="406" hidden="1">
      <c r="A406" s="1" t="s">
        <v>1761</v>
      </c>
      <c r="B406" s="1" t="s">
        <v>1762</v>
      </c>
      <c r="C406" s="1" t="s">
        <v>1763</v>
      </c>
      <c r="D406" s="1" t="s">
        <v>27</v>
      </c>
      <c r="E406" s="1" t="s">
        <v>28</v>
      </c>
      <c r="F406" s="2">
        <v>2500000.0</v>
      </c>
      <c r="G406" s="4">
        <v>44477.0</v>
      </c>
      <c r="H406" s="4">
        <f>IFERROR(__xludf.DUMMYFUNCTION("DATE(INDEX(SPLIT(G406,""/""),,3),INDEX(SPLIT(G406,""/""),,2),INDEX(SPLIT(G406,""/""),,1))"),44418.0)</f>
        <v>44418</v>
      </c>
      <c r="I406" s="1" t="s">
        <v>109</v>
      </c>
      <c r="J406" s="4">
        <f>IFERROR(__xludf.DUMMYFUNCTION("DATE(INDEX(SPLIT(I406,""/""),,3),INDEX(SPLIT(I406,""/""),,2),INDEX(SPLIT(I406,""/""),,1))"),44834.0)</f>
        <v>44834</v>
      </c>
      <c r="L406" s="1">
        <v>0.0</v>
      </c>
      <c r="M406" s="1" t="s">
        <v>898</v>
      </c>
      <c r="N406" s="1"/>
      <c r="O406" s="1" t="s">
        <v>30</v>
      </c>
      <c r="P406" s="1" t="s">
        <v>31</v>
      </c>
      <c r="Q406" s="1" t="s">
        <v>71</v>
      </c>
      <c r="R406" s="1" t="s">
        <v>71</v>
      </c>
      <c r="S406" s="1" t="s">
        <v>72</v>
      </c>
      <c r="T406" s="1" t="s">
        <v>615</v>
      </c>
      <c r="U406" s="1">
        <v>1.00589481E8</v>
      </c>
      <c r="V406" s="1" t="s">
        <v>1764</v>
      </c>
      <c r="W406" s="1" t="s">
        <v>199</v>
      </c>
      <c r="X406" s="1" t="s">
        <v>490</v>
      </c>
      <c r="Y406" s="1" t="s">
        <v>1660</v>
      </c>
      <c r="Z406" s="1" t="s">
        <v>37</v>
      </c>
    </row>
    <row r="407" hidden="1">
      <c r="A407" s="1" t="s">
        <v>1765</v>
      </c>
      <c r="B407" s="1" t="s">
        <v>246</v>
      </c>
      <c r="C407" s="1" t="s">
        <v>1766</v>
      </c>
      <c r="D407" s="1" t="s">
        <v>27</v>
      </c>
      <c r="E407" s="1" t="s">
        <v>28</v>
      </c>
      <c r="F407" s="2">
        <v>2500000.0</v>
      </c>
      <c r="G407" s="1" t="s">
        <v>1767</v>
      </c>
      <c r="H407" s="4">
        <f>IFERROR(__xludf.DUMMYFUNCTION("DATE(INDEX(SPLIT(G407,""/""),,3),INDEX(SPLIT(G407,""/""),,2),INDEX(SPLIT(G407,""/""),,1))"),44698.0)</f>
        <v>44698</v>
      </c>
      <c r="I407" s="1" t="s">
        <v>42</v>
      </c>
      <c r="J407" s="4">
        <f>IFERROR(__xludf.DUMMYFUNCTION("DATE(INDEX(SPLIT(I407,""/""),,3),INDEX(SPLIT(I407,""/""),,2),INDEX(SPLIT(I407,""/""),,1))"),44926.0)</f>
        <v>44926</v>
      </c>
      <c r="L407" s="1">
        <v>0.0</v>
      </c>
      <c r="M407" s="1" t="s">
        <v>249</v>
      </c>
      <c r="N407" s="1"/>
      <c r="O407" s="1" t="s">
        <v>30</v>
      </c>
      <c r="P407" s="1" t="s">
        <v>31</v>
      </c>
      <c r="Q407" s="1" t="s">
        <v>32</v>
      </c>
      <c r="R407" s="1" t="s">
        <v>32</v>
      </c>
      <c r="S407" s="1" t="s">
        <v>33</v>
      </c>
      <c r="T407" s="1" t="s">
        <v>34</v>
      </c>
      <c r="U407" s="1">
        <v>1.00617853E8</v>
      </c>
      <c r="X407" s="1" t="s">
        <v>35</v>
      </c>
      <c r="Y407" s="1" t="s">
        <v>1016</v>
      </c>
      <c r="Z407" s="1" t="s">
        <v>37</v>
      </c>
    </row>
    <row r="408" hidden="1">
      <c r="A408" s="1" t="s">
        <v>1768</v>
      </c>
      <c r="B408" s="1" t="s">
        <v>784</v>
      </c>
      <c r="C408" s="1" t="s">
        <v>1769</v>
      </c>
      <c r="D408" s="1" t="s">
        <v>27</v>
      </c>
      <c r="E408" s="1" t="s">
        <v>28</v>
      </c>
      <c r="F408" s="2">
        <v>2500000.0</v>
      </c>
      <c r="G408" s="4">
        <v>44810.0</v>
      </c>
      <c r="H408" s="4">
        <f>IFERROR(__xludf.DUMMYFUNCTION("DATE(INDEX(SPLIT(G408,""/""),,3),INDEX(SPLIT(G408,""/""),,2),INDEX(SPLIT(G408,""/""),,1))"),44721.0)</f>
        <v>44721</v>
      </c>
      <c r="I408" s="1" t="s">
        <v>42</v>
      </c>
      <c r="J408" s="4">
        <f>IFERROR(__xludf.DUMMYFUNCTION("DATE(INDEX(SPLIT(I408,""/""),,3),INDEX(SPLIT(I408,""/""),,2),INDEX(SPLIT(I408,""/""),,1))"),44926.0)</f>
        <v>44926</v>
      </c>
      <c r="L408" s="1">
        <v>0.0</v>
      </c>
      <c r="M408" s="1" t="s">
        <v>1398</v>
      </c>
      <c r="N408" s="1"/>
      <c r="O408" s="1" t="s">
        <v>30</v>
      </c>
      <c r="P408" s="1" t="s">
        <v>31</v>
      </c>
      <c r="Q408" s="1" t="s">
        <v>95</v>
      </c>
      <c r="R408" s="1" t="s">
        <v>95</v>
      </c>
      <c r="S408" s="1" t="s">
        <v>96</v>
      </c>
      <c r="T408" s="1" t="s">
        <v>111</v>
      </c>
      <c r="U408" s="1">
        <v>1.0061941E8</v>
      </c>
      <c r="X408" s="1" t="s">
        <v>63</v>
      </c>
      <c r="Y408" s="1" t="s">
        <v>1770</v>
      </c>
      <c r="Z408" s="1" t="s">
        <v>37</v>
      </c>
    </row>
    <row r="409">
      <c r="A409" s="1" t="s">
        <v>1771</v>
      </c>
      <c r="B409" s="1" t="s">
        <v>1772</v>
      </c>
      <c r="C409" s="1" t="s">
        <v>1773</v>
      </c>
      <c r="D409" s="1" t="s">
        <v>27</v>
      </c>
      <c r="E409" s="1" t="s">
        <v>28</v>
      </c>
      <c r="F409" s="2">
        <v>2500000.0</v>
      </c>
      <c r="G409" s="1" t="s">
        <v>1774</v>
      </c>
      <c r="H409" s="4">
        <f>IFERROR(__xludf.DUMMYFUNCTION("DATE(INDEX(SPLIT(G409,""/""),,3),INDEX(SPLIT(G409,""/""),,2),INDEX(SPLIT(G409,""/""),,1))"),44043.0)</f>
        <v>44043</v>
      </c>
      <c r="I409" s="1" t="s">
        <v>226</v>
      </c>
      <c r="J409" s="4">
        <f>IFERROR(__xludf.DUMMYFUNCTION("DATE(INDEX(SPLIT(I409,""/""),,3),INDEX(SPLIT(I409,""/""),,2),INDEX(SPLIT(I409,""/""),,1))"),44771.0)</f>
        <v>44771</v>
      </c>
      <c r="L409" s="1">
        <v>0.0</v>
      </c>
      <c r="M409" s="1" t="s">
        <v>524</v>
      </c>
      <c r="N409" s="1"/>
      <c r="O409" s="1" t="s">
        <v>30</v>
      </c>
      <c r="P409" s="1" t="s">
        <v>31</v>
      </c>
      <c r="Q409" s="1" t="s">
        <v>32</v>
      </c>
      <c r="R409" s="1" t="s">
        <v>32</v>
      </c>
      <c r="S409" s="1" t="s">
        <v>33</v>
      </c>
      <c r="T409" s="1" t="s">
        <v>159</v>
      </c>
      <c r="U409" s="1">
        <v>1.00627768E8</v>
      </c>
      <c r="X409" s="1" t="s">
        <v>81</v>
      </c>
      <c r="Y409" s="1" t="s">
        <v>1775</v>
      </c>
      <c r="Z409" s="1" t="s">
        <v>527</v>
      </c>
    </row>
    <row r="410" hidden="1">
      <c r="A410" s="1" t="s">
        <v>1776</v>
      </c>
      <c r="B410" s="1" t="s">
        <v>784</v>
      </c>
      <c r="C410" s="1" t="s">
        <v>1777</v>
      </c>
      <c r="D410" s="1" t="s">
        <v>27</v>
      </c>
      <c r="E410" s="1" t="s">
        <v>28</v>
      </c>
      <c r="F410" s="2">
        <v>2500000.0</v>
      </c>
      <c r="G410" s="4">
        <v>44806.0</v>
      </c>
      <c r="H410" s="4">
        <f>IFERROR(__xludf.DUMMYFUNCTION("DATE(INDEX(SPLIT(G410,""/""),,3),INDEX(SPLIT(G410,""/""),,2),INDEX(SPLIT(G410,""/""),,1))"),44601.0)</f>
        <v>44601</v>
      </c>
      <c r="I410" s="1" t="s">
        <v>548</v>
      </c>
      <c r="J410" s="4">
        <f>IFERROR(__xludf.DUMMYFUNCTION("DATE(INDEX(SPLIT(I410,""/""),,3),INDEX(SPLIT(I410,""/""),,2),INDEX(SPLIT(I410,""/""),,1))"),44946.0)</f>
        <v>44946</v>
      </c>
      <c r="L410" s="1">
        <v>0.0</v>
      </c>
      <c r="M410" s="1" t="s">
        <v>1398</v>
      </c>
      <c r="N410" s="1"/>
      <c r="O410" s="1" t="s">
        <v>30</v>
      </c>
      <c r="P410" s="1" t="s">
        <v>31</v>
      </c>
      <c r="Q410" s="1" t="s">
        <v>95</v>
      </c>
      <c r="R410" s="1" t="s">
        <v>95</v>
      </c>
      <c r="S410" s="1" t="s">
        <v>96</v>
      </c>
      <c r="T410" s="1" t="s">
        <v>111</v>
      </c>
      <c r="U410" s="1">
        <v>1.0061941E8</v>
      </c>
      <c r="V410" s="1" t="s">
        <v>1778</v>
      </c>
      <c r="W410" s="1" t="s">
        <v>199</v>
      </c>
      <c r="X410" s="1" t="s">
        <v>63</v>
      </c>
      <c r="Y410" s="1" t="s">
        <v>1398</v>
      </c>
      <c r="Z410" s="1" t="s">
        <v>37</v>
      </c>
    </row>
    <row r="411" hidden="1">
      <c r="A411" s="1" t="s">
        <v>1779</v>
      </c>
      <c r="B411" s="1" t="s">
        <v>1780</v>
      </c>
      <c r="C411" s="1" t="s">
        <v>1781</v>
      </c>
      <c r="D411" s="1" t="s">
        <v>122</v>
      </c>
      <c r="E411" s="1" t="s">
        <v>28</v>
      </c>
      <c r="F411" s="2">
        <v>2500000.0</v>
      </c>
      <c r="G411" s="4">
        <v>44567.0</v>
      </c>
      <c r="H411" s="4">
        <f>IFERROR(__xludf.DUMMYFUNCTION("DATE(INDEX(SPLIT(G411,""/""),,3),INDEX(SPLIT(G411,""/""),,2),INDEX(SPLIT(G411,""/""),,1))"),44713.0)</f>
        <v>44713</v>
      </c>
      <c r="I411" s="1" t="s">
        <v>42</v>
      </c>
      <c r="J411" s="4">
        <f>IFERROR(__xludf.DUMMYFUNCTION("DATE(INDEX(SPLIT(I411,""/""),,3),INDEX(SPLIT(I411,""/""),,2),INDEX(SPLIT(I411,""/""),,1))"),44926.0)</f>
        <v>44926</v>
      </c>
      <c r="L411" s="1">
        <v>0.0</v>
      </c>
      <c r="M411" s="1" t="s">
        <v>1782</v>
      </c>
      <c r="N411" s="1"/>
      <c r="O411" s="1" t="s">
        <v>30</v>
      </c>
      <c r="P411" s="1" t="s">
        <v>31</v>
      </c>
      <c r="Q411" s="1" t="s">
        <v>71</v>
      </c>
      <c r="R411" s="1" t="s">
        <v>71</v>
      </c>
      <c r="S411" s="1" t="s">
        <v>72</v>
      </c>
      <c r="U411" s="1">
        <v>1.00599944E8</v>
      </c>
      <c r="X411" s="1" t="s">
        <v>74</v>
      </c>
      <c r="Y411" s="1" t="s">
        <v>1782</v>
      </c>
      <c r="Z411" s="1" t="s">
        <v>1783</v>
      </c>
    </row>
    <row r="412" hidden="1">
      <c r="A412" s="1" t="s">
        <v>1784</v>
      </c>
      <c r="B412" s="1" t="s">
        <v>162</v>
      </c>
      <c r="C412" s="1" t="s">
        <v>1785</v>
      </c>
      <c r="D412" s="1" t="s">
        <v>27</v>
      </c>
      <c r="E412" s="1" t="s">
        <v>28</v>
      </c>
      <c r="F412" s="2">
        <v>2500000.0</v>
      </c>
      <c r="G412" s="1" t="s">
        <v>1786</v>
      </c>
      <c r="H412" s="4">
        <f>IFERROR(__xludf.DUMMYFUNCTION("DATE(INDEX(SPLIT(G412,""/""),,3),INDEX(SPLIT(G412,""/""),,2),INDEX(SPLIT(G412,""/""),,1))"),44709.0)</f>
        <v>44709</v>
      </c>
      <c r="I412" s="1" t="s">
        <v>130</v>
      </c>
      <c r="J412" s="4">
        <f>IFERROR(__xludf.DUMMYFUNCTION("DATE(INDEX(SPLIT(I412,""/""),,3),INDEX(SPLIT(I412,""/""),,2),INDEX(SPLIT(I412,""/""),,1))"),44804.0)</f>
        <v>44804</v>
      </c>
      <c r="L412" s="1">
        <v>0.0</v>
      </c>
      <c r="M412" s="1" t="s">
        <v>1787</v>
      </c>
      <c r="N412" s="1"/>
      <c r="O412" s="1" t="s">
        <v>30</v>
      </c>
      <c r="P412" s="1" t="s">
        <v>31</v>
      </c>
      <c r="Q412" s="1" t="s">
        <v>71</v>
      </c>
      <c r="R412" s="1" t="s">
        <v>71</v>
      </c>
      <c r="S412" s="1" t="s">
        <v>72</v>
      </c>
      <c r="T412" s="1" t="s">
        <v>136</v>
      </c>
      <c r="U412" s="1">
        <v>1.00635215E8</v>
      </c>
      <c r="X412" s="1" t="s">
        <v>117</v>
      </c>
      <c r="Y412" s="1" t="s">
        <v>1788</v>
      </c>
      <c r="Z412" s="1" t="s">
        <v>206</v>
      </c>
    </row>
    <row r="413" hidden="1">
      <c r="A413" s="1" t="s">
        <v>1789</v>
      </c>
      <c r="B413" s="1" t="s">
        <v>1790</v>
      </c>
      <c r="C413" s="1" t="s">
        <v>1791</v>
      </c>
      <c r="D413" s="1" t="s">
        <v>27</v>
      </c>
      <c r="E413" s="1" t="s">
        <v>28</v>
      </c>
      <c r="F413" s="2">
        <v>2500000.0</v>
      </c>
      <c r="G413" s="1" t="s">
        <v>164</v>
      </c>
      <c r="H413" s="4">
        <f>IFERROR(__xludf.DUMMYFUNCTION("DATE(INDEX(SPLIT(G413,""/""),,3),INDEX(SPLIT(G413,""/""),,2),INDEX(SPLIT(G413,""/""),,1))"),44706.0)</f>
        <v>44706</v>
      </c>
      <c r="I413" s="1" t="s">
        <v>281</v>
      </c>
      <c r="J413" s="4">
        <f>IFERROR(__xludf.DUMMYFUNCTION("DATE(INDEX(SPLIT(I413,""/""),,3),INDEX(SPLIT(I413,""/""),,2),INDEX(SPLIT(I413,""/""),,1))"),44865.0)</f>
        <v>44865</v>
      </c>
      <c r="L413" s="1">
        <v>0.0</v>
      </c>
      <c r="M413" s="1" t="s">
        <v>1792</v>
      </c>
      <c r="N413" s="1"/>
      <c r="O413" s="1" t="s">
        <v>30</v>
      </c>
      <c r="P413" s="1" t="s">
        <v>31</v>
      </c>
      <c r="Q413" s="1" t="s">
        <v>235</v>
      </c>
      <c r="R413" s="1" t="s">
        <v>235</v>
      </c>
      <c r="S413" s="1" t="s">
        <v>236</v>
      </c>
      <c r="T413" s="1" t="s">
        <v>438</v>
      </c>
      <c r="U413" s="1">
        <v>1.00964362E8</v>
      </c>
      <c r="X413" s="1" t="s">
        <v>88</v>
      </c>
      <c r="Y413" s="1" t="s">
        <v>1793</v>
      </c>
      <c r="Z413" s="1" t="s">
        <v>37</v>
      </c>
    </row>
    <row r="414" hidden="1">
      <c r="A414" s="1" t="s">
        <v>1794</v>
      </c>
      <c r="B414" s="1" t="s">
        <v>1790</v>
      </c>
      <c r="C414" s="1" t="s">
        <v>1795</v>
      </c>
      <c r="D414" s="1" t="s">
        <v>27</v>
      </c>
      <c r="E414" s="1" t="s">
        <v>28</v>
      </c>
      <c r="F414" s="2">
        <v>2500000.0</v>
      </c>
      <c r="G414" s="1" t="s">
        <v>164</v>
      </c>
      <c r="H414" s="4">
        <f>IFERROR(__xludf.DUMMYFUNCTION("DATE(INDEX(SPLIT(G414,""/""),,3),INDEX(SPLIT(G414,""/""),,2),INDEX(SPLIT(G414,""/""),,1))"),44706.0)</f>
        <v>44706</v>
      </c>
      <c r="I414" s="1" t="s">
        <v>281</v>
      </c>
      <c r="J414" s="4">
        <f>IFERROR(__xludf.DUMMYFUNCTION("DATE(INDEX(SPLIT(I414,""/""),,3),INDEX(SPLIT(I414,""/""),,2),INDEX(SPLIT(I414,""/""),,1))"),44865.0)</f>
        <v>44865</v>
      </c>
      <c r="L414" s="1">
        <v>0.0</v>
      </c>
      <c r="M414" s="1" t="s">
        <v>1792</v>
      </c>
      <c r="N414" s="1"/>
      <c r="O414" s="1" t="s">
        <v>30</v>
      </c>
      <c r="P414" s="1" t="s">
        <v>31</v>
      </c>
      <c r="Q414" s="1" t="s">
        <v>235</v>
      </c>
      <c r="R414" s="1" t="s">
        <v>235</v>
      </c>
      <c r="S414" s="1" t="s">
        <v>236</v>
      </c>
      <c r="T414" s="1" t="s">
        <v>438</v>
      </c>
      <c r="U414" s="1">
        <v>1.00964362E8</v>
      </c>
      <c r="X414" s="1" t="s">
        <v>88</v>
      </c>
      <c r="Y414" s="1" t="s">
        <v>1793</v>
      </c>
      <c r="Z414" s="1" t="s">
        <v>37</v>
      </c>
    </row>
    <row r="415" hidden="1">
      <c r="A415" s="1" t="s">
        <v>1796</v>
      </c>
      <c r="B415" s="1" t="s">
        <v>1797</v>
      </c>
      <c r="C415" s="1" t="s">
        <v>1798</v>
      </c>
      <c r="D415" s="1" t="s">
        <v>122</v>
      </c>
      <c r="E415" s="1" t="s">
        <v>28</v>
      </c>
      <c r="F415" s="2">
        <v>2500000.0</v>
      </c>
      <c r="G415" s="4">
        <v>44567.0</v>
      </c>
      <c r="H415" s="4">
        <f>IFERROR(__xludf.DUMMYFUNCTION("DATE(INDEX(SPLIT(G415,""/""),,3),INDEX(SPLIT(G415,""/""),,2),INDEX(SPLIT(G415,""/""),,1))"),44713.0)</f>
        <v>44713</v>
      </c>
      <c r="I415" s="1" t="s">
        <v>1799</v>
      </c>
      <c r="J415" s="4">
        <f>IFERROR(__xludf.DUMMYFUNCTION("DATE(INDEX(SPLIT(I415,""/""),,3),INDEX(SPLIT(I415,""/""),,2),INDEX(SPLIT(I415,""/""),,1))"),44788.0)</f>
        <v>44788</v>
      </c>
      <c r="L415" s="1">
        <v>0.0</v>
      </c>
      <c r="M415" s="1" t="s">
        <v>1207</v>
      </c>
      <c r="N415" s="1"/>
      <c r="O415" s="1" t="s">
        <v>30</v>
      </c>
      <c r="P415" s="1" t="s">
        <v>31</v>
      </c>
      <c r="Q415" s="1" t="s">
        <v>157</v>
      </c>
      <c r="R415" s="1" t="s">
        <v>157</v>
      </c>
      <c r="S415" s="1" t="s">
        <v>158</v>
      </c>
      <c r="T415" s="1" t="s">
        <v>1195</v>
      </c>
      <c r="U415" s="1">
        <v>1.00639495E8</v>
      </c>
      <c r="X415" s="1" t="s">
        <v>490</v>
      </c>
      <c r="Y415" s="1" t="s">
        <v>1800</v>
      </c>
      <c r="Z415" s="1" t="s">
        <v>37</v>
      </c>
    </row>
    <row r="416" hidden="1">
      <c r="A416" s="1" t="s">
        <v>1801</v>
      </c>
      <c r="B416" s="1" t="s">
        <v>1797</v>
      </c>
      <c r="C416" s="1" t="s">
        <v>1802</v>
      </c>
      <c r="D416" s="1" t="s">
        <v>122</v>
      </c>
      <c r="E416" s="1" t="s">
        <v>28</v>
      </c>
      <c r="F416" s="2">
        <v>2500000.0</v>
      </c>
      <c r="G416" s="4">
        <v>44567.0</v>
      </c>
      <c r="H416" s="4">
        <f>IFERROR(__xludf.DUMMYFUNCTION("DATE(INDEX(SPLIT(G416,""/""),,3),INDEX(SPLIT(G416,""/""),,2),INDEX(SPLIT(G416,""/""),,1))"),44713.0)</f>
        <v>44713</v>
      </c>
      <c r="I416" s="1" t="s">
        <v>1799</v>
      </c>
      <c r="J416" s="4">
        <f>IFERROR(__xludf.DUMMYFUNCTION("DATE(INDEX(SPLIT(I416,""/""),,3),INDEX(SPLIT(I416,""/""),,2),INDEX(SPLIT(I416,""/""),,1))"),44788.0)</f>
        <v>44788</v>
      </c>
      <c r="L416" s="1">
        <v>0.0</v>
      </c>
      <c r="M416" s="1" t="s">
        <v>1800</v>
      </c>
      <c r="N416" s="1"/>
      <c r="O416" s="1" t="s">
        <v>30</v>
      </c>
      <c r="P416" s="1" t="s">
        <v>31</v>
      </c>
      <c r="Q416" s="1" t="s">
        <v>32</v>
      </c>
      <c r="R416" s="1" t="s">
        <v>32</v>
      </c>
      <c r="S416" s="1" t="s">
        <v>33</v>
      </c>
      <c r="T416" s="1" t="s">
        <v>1195</v>
      </c>
      <c r="U416" s="1">
        <v>1.00610242E8</v>
      </c>
      <c r="X416" s="1" t="s">
        <v>490</v>
      </c>
      <c r="Y416" s="1" t="s">
        <v>1800</v>
      </c>
      <c r="Z416" s="1" t="s">
        <v>37</v>
      </c>
    </row>
    <row r="417">
      <c r="A417" s="1" t="s">
        <v>1803</v>
      </c>
      <c r="B417" s="1" t="s">
        <v>1804</v>
      </c>
      <c r="C417" s="1" t="s">
        <v>1805</v>
      </c>
      <c r="D417" s="1" t="s">
        <v>122</v>
      </c>
      <c r="E417" s="1" t="s">
        <v>28</v>
      </c>
      <c r="F417" s="2">
        <v>2500000.0</v>
      </c>
      <c r="G417" s="1" t="s">
        <v>1806</v>
      </c>
      <c r="H417" s="4">
        <f>IFERROR(__xludf.DUMMYFUNCTION("DATE(INDEX(SPLIT(G417,""/""),,3),INDEX(SPLIT(G417,""/""),,2),INDEX(SPLIT(G417,""/""),,1))"),44694.0)</f>
        <v>44694</v>
      </c>
      <c r="I417" s="1" t="s">
        <v>69</v>
      </c>
      <c r="J417" s="4">
        <f>IFERROR(__xludf.DUMMYFUNCTION("DATE(INDEX(SPLIT(I417,""/""),,3),INDEX(SPLIT(I417,""/""),,2),INDEX(SPLIT(I417,""/""),,1))"),44773.0)</f>
        <v>44773</v>
      </c>
      <c r="L417" s="1">
        <v>0.0</v>
      </c>
      <c r="M417" s="1" t="s">
        <v>1800</v>
      </c>
      <c r="N417" s="1"/>
      <c r="O417" s="1" t="s">
        <v>30</v>
      </c>
      <c r="P417" s="1" t="s">
        <v>31</v>
      </c>
      <c r="Q417" s="1" t="s">
        <v>32</v>
      </c>
      <c r="R417" s="1" t="s">
        <v>32</v>
      </c>
      <c r="S417" s="1" t="s">
        <v>33</v>
      </c>
      <c r="T417" s="1" t="s">
        <v>1195</v>
      </c>
      <c r="U417" s="1">
        <v>1.00610242E8</v>
      </c>
      <c r="X417" s="1" t="s">
        <v>490</v>
      </c>
      <c r="Y417" s="1" t="s">
        <v>1807</v>
      </c>
      <c r="Z417" s="1" t="s">
        <v>37</v>
      </c>
    </row>
    <row r="418" hidden="1">
      <c r="A418" s="1" t="s">
        <v>1808</v>
      </c>
      <c r="B418" s="1" t="s">
        <v>1809</v>
      </c>
      <c r="C418" s="1" t="s">
        <v>1810</v>
      </c>
      <c r="D418" s="1" t="s">
        <v>122</v>
      </c>
      <c r="E418" s="1" t="s">
        <v>28</v>
      </c>
      <c r="F418" s="2">
        <v>2500000.0</v>
      </c>
      <c r="G418" s="4">
        <v>44238.0</v>
      </c>
      <c r="H418" s="4">
        <f>IFERROR(__xludf.DUMMYFUNCTION("DATE(INDEX(SPLIT(G418,""/""),,3),INDEX(SPLIT(G418,""/""),,2),INDEX(SPLIT(G418,""/""),,1))"),44502.0)</f>
        <v>44502</v>
      </c>
      <c r="I418" s="4">
        <v>44813.0</v>
      </c>
      <c r="J418" s="4">
        <f>IFERROR(__xludf.DUMMYFUNCTION("DATE(INDEX(SPLIT(I418,""/""),,3),INDEX(SPLIT(I418,""/""),,2),INDEX(SPLIT(I418,""/""),,1))"),44813.0)</f>
        <v>44813</v>
      </c>
      <c r="L418" s="1">
        <v>0.0</v>
      </c>
      <c r="M418" s="1" t="s">
        <v>79</v>
      </c>
      <c r="N418" s="1"/>
      <c r="O418" s="1" t="s">
        <v>30</v>
      </c>
      <c r="P418" s="1" t="s">
        <v>31</v>
      </c>
      <c r="Q418" s="1" t="s">
        <v>32</v>
      </c>
      <c r="R418" s="1" t="s">
        <v>32</v>
      </c>
      <c r="S418" s="1" t="s">
        <v>33</v>
      </c>
      <c r="T418" s="1" t="s">
        <v>34</v>
      </c>
      <c r="U418" s="1">
        <v>1.00609569E8</v>
      </c>
      <c r="X418" s="1" t="s">
        <v>81</v>
      </c>
      <c r="Y418" s="1" t="s">
        <v>1811</v>
      </c>
      <c r="Z418" s="1" t="s">
        <v>37</v>
      </c>
    </row>
    <row r="419" hidden="1">
      <c r="A419" s="1" t="s">
        <v>1812</v>
      </c>
      <c r="B419" s="1" t="s">
        <v>434</v>
      </c>
      <c r="C419" s="1" t="s">
        <v>1813</v>
      </c>
      <c r="D419" s="1" t="s">
        <v>27</v>
      </c>
      <c r="E419" s="1" t="s">
        <v>28</v>
      </c>
      <c r="F419" s="2">
        <v>2500000.0</v>
      </c>
      <c r="G419" s="4">
        <v>44381.0</v>
      </c>
      <c r="H419" s="4">
        <f>IFERROR(__xludf.DUMMYFUNCTION("DATE(INDEX(SPLIT(G419,""/""),,3),INDEX(SPLIT(G419,""/""),,2),INDEX(SPLIT(G419,""/""),,1))"),44293.0)</f>
        <v>44293</v>
      </c>
      <c r="I419" s="1" t="s">
        <v>109</v>
      </c>
      <c r="J419" s="4">
        <f>IFERROR(__xludf.DUMMYFUNCTION("DATE(INDEX(SPLIT(I419,""/""),,3),INDEX(SPLIT(I419,""/""),,2),INDEX(SPLIT(I419,""/""),,1))"),44834.0)</f>
        <v>44834</v>
      </c>
      <c r="L419" s="1">
        <v>0.0</v>
      </c>
      <c r="M419" s="1" t="s">
        <v>1814</v>
      </c>
      <c r="N419" s="1"/>
      <c r="O419" s="1" t="s">
        <v>30</v>
      </c>
      <c r="P419" s="1" t="s">
        <v>31</v>
      </c>
      <c r="Q419" s="1" t="s">
        <v>95</v>
      </c>
      <c r="R419" s="1" t="s">
        <v>95</v>
      </c>
      <c r="S419" s="1" t="s">
        <v>96</v>
      </c>
      <c r="T419" s="1" t="s">
        <v>602</v>
      </c>
      <c r="U419" s="1">
        <v>1.00597983E8</v>
      </c>
      <c r="X419" s="1" t="s">
        <v>88</v>
      </c>
      <c r="Y419" s="1" t="s">
        <v>1814</v>
      </c>
      <c r="Z419" s="1" t="s">
        <v>206</v>
      </c>
    </row>
    <row r="420">
      <c r="A420" s="1" t="s">
        <v>1815</v>
      </c>
      <c r="B420" s="1" t="s">
        <v>1371</v>
      </c>
      <c r="C420" s="1" t="s">
        <v>1816</v>
      </c>
      <c r="D420" s="1" t="s">
        <v>27</v>
      </c>
      <c r="E420" s="1" t="s">
        <v>28</v>
      </c>
      <c r="F420" s="2">
        <v>2500000.0</v>
      </c>
      <c r="G420" s="1" t="s">
        <v>458</v>
      </c>
      <c r="H420" s="4">
        <f>IFERROR(__xludf.DUMMYFUNCTION("DATE(INDEX(SPLIT(G420,""/""),,3),INDEX(SPLIT(G420,""/""),,2),INDEX(SPLIT(G420,""/""),,1))"),44649.0)</f>
        <v>44649</v>
      </c>
      <c r="I420" s="1" t="s">
        <v>69</v>
      </c>
      <c r="J420" s="4">
        <f>IFERROR(__xludf.DUMMYFUNCTION("DATE(INDEX(SPLIT(I420,""/""),,3),INDEX(SPLIT(I420,""/""),,2),INDEX(SPLIT(I420,""/""),,1))"),44773.0)</f>
        <v>44773</v>
      </c>
      <c r="L420" s="1">
        <v>0.0</v>
      </c>
      <c r="M420" s="1" t="s">
        <v>1817</v>
      </c>
      <c r="N420" s="1"/>
      <c r="O420" s="1" t="s">
        <v>30</v>
      </c>
      <c r="P420" s="1" t="s">
        <v>31</v>
      </c>
      <c r="Q420" s="1" t="s">
        <v>95</v>
      </c>
      <c r="R420" s="1" t="s">
        <v>95</v>
      </c>
      <c r="S420" s="1" t="s">
        <v>96</v>
      </c>
      <c r="U420" s="1">
        <v>1.00610489E8</v>
      </c>
      <c r="X420" s="1" t="s">
        <v>63</v>
      </c>
      <c r="Y420" s="1" t="s">
        <v>1818</v>
      </c>
      <c r="Z420" s="1" t="s">
        <v>37</v>
      </c>
    </row>
    <row r="421" hidden="1">
      <c r="A421" s="1" t="s">
        <v>1819</v>
      </c>
      <c r="B421" s="1" t="s">
        <v>1820</v>
      </c>
      <c r="C421" s="1" t="s">
        <v>1821</v>
      </c>
      <c r="D421" s="1" t="s">
        <v>27</v>
      </c>
      <c r="E421" s="1" t="s">
        <v>28</v>
      </c>
      <c r="F421" s="2">
        <v>2500000.0</v>
      </c>
      <c r="G421" s="4">
        <v>44568.0</v>
      </c>
      <c r="H421" s="4">
        <f>IFERROR(__xludf.DUMMYFUNCTION("DATE(INDEX(SPLIT(G421,""/""),,3),INDEX(SPLIT(G421,""/""),,2),INDEX(SPLIT(G421,""/""),,1))"),44743.0)</f>
        <v>44743</v>
      </c>
      <c r="I421" s="1" t="s">
        <v>894</v>
      </c>
      <c r="J421" s="4">
        <f>IFERROR(__xludf.DUMMYFUNCTION("DATE(INDEX(SPLIT(I421,""/""),,3),INDEX(SPLIT(I421,""/""),,2),INDEX(SPLIT(I421,""/""),,1))"),45322.0)</f>
        <v>45322</v>
      </c>
      <c r="L421" s="1">
        <v>0.0</v>
      </c>
      <c r="M421" s="1" t="s">
        <v>299</v>
      </c>
      <c r="N421" s="1"/>
      <c r="O421" s="1" t="s">
        <v>30</v>
      </c>
      <c r="P421" s="1" t="s">
        <v>31</v>
      </c>
      <c r="Q421" s="1" t="s">
        <v>71</v>
      </c>
      <c r="R421" s="1" t="s">
        <v>71</v>
      </c>
      <c r="S421" s="1" t="s">
        <v>72</v>
      </c>
      <c r="U421" s="1">
        <v>1.00610483E8</v>
      </c>
      <c r="X421" s="1" t="s">
        <v>74</v>
      </c>
      <c r="Y421" s="1" t="s">
        <v>1822</v>
      </c>
      <c r="Z421" s="1" t="s">
        <v>37</v>
      </c>
    </row>
    <row r="422" hidden="1">
      <c r="A422" s="1" t="s">
        <v>1823</v>
      </c>
      <c r="B422" s="1" t="s">
        <v>1820</v>
      </c>
      <c r="C422" s="1" t="s">
        <v>1824</v>
      </c>
      <c r="D422" s="1" t="s">
        <v>27</v>
      </c>
      <c r="E422" s="1" t="s">
        <v>28</v>
      </c>
      <c r="F422" s="2">
        <v>2500000.0</v>
      </c>
      <c r="G422" s="4">
        <v>44568.0</v>
      </c>
      <c r="H422" s="4">
        <f>IFERROR(__xludf.DUMMYFUNCTION("DATE(INDEX(SPLIT(G422,""/""),,3),INDEX(SPLIT(G422,""/""),,2),INDEX(SPLIT(G422,""/""),,1))"),44743.0)</f>
        <v>44743</v>
      </c>
      <c r="I422" s="1" t="s">
        <v>535</v>
      </c>
      <c r="J422" s="4">
        <f>IFERROR(__xludf.DUMMYFUNCTION("DATE(INDEX(SPLIT(I422,""/""),,3),INDEX(SPLIT(I422,""/""),,2),INDEX(SPLIT(I422,""/""),,1))"),44957.0)</f>
        <v>44957</v>
      </c>
      <c r="L422" s="1">
        <v>0.0</v>
      </c>
      <c r="M422" s="1" t="s">
        <v>299</v>
      </c>
      <c r="N422" s="1"/>
      <c r="O422" s="1" t="s">
        <v>30</v>
      </c>
      <c r="P422" s="1" t="s">
        <v>31</v>
      </c>
      <c r="Q422" s="1" t="s">
        <v>71</v>
      </c>
      <c r="R422" s="1" t="s">
        <v>71</v>
      </c>
      <c r="S422" s="1" t="s">
        <v>72</v>
      </c>
      <c r="U422" s="1">
        <v>1.00610483E8</v>
      </c>
      <c r="X422" s="1" t="s">
        <v>74</v>
      </c>
      <c r="Y422" s="1" t="s">
        <v>1822</v>
      </c>
      <c r="Z422" s="1" t="s">
        <v>37</v>
      </c>
    </row>
    <row r="423" hidden="1">
      <c r="A423" s="1" t="s">
        <v>1825</v>
      </c>
      <c r="B423" s="1" t="s">
        <v>1826</v>
      </c>
      <c r="C423" s="1" t="s">
        <v>1827</v>
      </c>
      <c r="D423" s="1" t="s">
        <v>27</v>
      </c>
      <c r="E423" s="1" t="s">
        <v>28</v>
      </c>
      <c r="F423" s="2">
        <v>2500000.0</v>
      </c>
      <c r="G423" s="1" t="s">
        <v>275</v>
      </c>
      <c r="H423" s="4">
        <f>IFERROR(__xludf.DUMMYFUNCTION("DATE(INDEX(SPLIT(G423,""/""),,3),INDEX(SPLIT(G423,""/""),,2),INDEX(SPLIT(G423,""/""),,1))"),44462.0)</f>
        <v>44462</v>
      </c>
      <c r="I423" s="1" t="s">
        <v>109</v>
      </c>
      <c r="J423" s="4">
        <f>IFERROR(__xludf.DUMMYFUNCTION("DATE(INDEX(SPLIT(I423,""/""),,3),INDEX(SPLIT(I423,""/""),,2),INDEX(SPLIT(I423,""/""),,1))"),44834.0)</f>
        <v>44834</v>
      </c>
      <c r="L423" s="1">
        <v>0.0</v>
      </c>
      <c r="M423" s="1" t="s">
        <v>1828</v>
      </c>
      <c r="N423" s="1"/>
      <c r="O423" s="1" t="s">
        <v>30</v>
      </c>
      <c r="P423" s="1" t="s">
        <v>31</v>
      </c>
      <c r="Q423" s="1" t="s">
        <v>235</v>
      </c>
      <c r="R423" s="1" t="s">
        <v>235</v>
      </c>
      <c r="S423" s="1" t="s">
        <v>236</v>
      </c>
      <c r="T423" s="1" t="s">
        <v>1349</v>
      </c>
      <c r="U423" s="1">
        <v>1.00593918E8</v>
      </c>
      <c r="X423" s="1" t="s">
        <v>375</v>
      </c>
      <c r="Y423" s="1" t="s">
        <v>1829</v>
      </c>
      <c r="Z423" s="1" t="s">
        <v>37</v>
      </c>
    </row>
    <row r="424" hidden="1">
      <c r="A424" s="1" t="s">
        <v>1830</v>
      </c>
      <c r="B424" s="1" t="s">
        <v>1831</v>
      </c>
      <c r="C424" s="1" t="s">
        <v>1832</v>
      </c>
      <c r="D424" s="1" t="s">
        <v>27</v>
      </c>
      <c r="E424" s="1" t="s">
        <v>28</v>
      </c>
      <c r="F424" s="2">
        <v>2500000.0</v>
      </c>
      <c r="G424" s="4">
        <v>44901.0</v>
      </c>
      <c r="H424" s="4">
        <f>IFERROR(__xludf.DUMMYFUNCTION("DATE(INDEX(SPLIT(G424,""/""),,3),INDEX(SPLIT(G424,""/""),,2),INDEX(SPLIT(G424,""/""),,1))"),44724.0)</f>
        <v>44724</v>
      </c>
      <c r="I424" s="4">
        <v>44903.0</v>
      </c>
      <c r="J424" s="4">
        <f>IFERROR(__xludf.DUMMYFUNCTION("DATE(INDEX(SPLIT(I424,""/""),,3),INDEX(SPLIT(I424,""/""),,2),INDEX(SPLIT(I424,""/""),,1))"),44785.0)</f>
        <v>44785</v>
      </c>
      <c r="L424" s="1">
        <v>0.0</v>
      </c>
      <c r="M424" s="1" t="s">
        <v>1833</v>
      </c>
      <c r="N424" s="1"/>
      <c r="O424" s="1" t="s">
        <v>30</v>
      </c>
      <c r="P424" s="1" t="s">
        <v>31</v>
      </c>
      <c r="Q424" s="1" t="s">
        <v>53</v>
      </c>
      <c r="R424" s="1" t="s">
        <v>53</v>
      </c>
      <c r="S424" s="1" t="s">
        <v>54</v>
      </c>
      <c r="T424" s="1" t="s">
        <v>634</v>
      </c>
      <c r="U424" s="1">
        <v>1.0105484E8</v>
      </c>
      <c r="X424" s="1" t="s">
        <v>490</v>
      </c>
      <c r="Y424" s="1" t="s">
        <v>1833</v>
      </c>
      <c r="Z424" s="1" t="s">
        <v>37</v>
      </c>
    </row>
    <row r="425" hidden="1">
      <c r="A425" s="1" t="s">
        <v>1834</v>
      </c>
      <c r="B425" s="1" t="s">
        <v>1835</v>
      </c>
      <c r="C425" s="1" t="s">
        <v>1836</v>
      </c>
      <c r="D425" s="1" t="s">
        <v>122</v>
      </c>
      <c r="E425" s="1" t="s">
        <v>28</v>
      </c>
      <c r="F425" s="2">
        <v>2500000.0</v>
      </c>
      <c r="G425" s="1" t="s">
        <v>436</v>
      </c>
      <c r="H425" s="4">
        <f>IFERROR(__xludf.DUMMYFUNCTION("DATE(INDEX(SPLIT(G425,""/""),,3),INDEX(SPLIT(G425,""/""),,2),INDEX(SPLIT(G425,""/""),,1))"),44434.0)</f>
        <v>44434</v>
      </c>
      <c r="I425" s="1" t="s">
        <v>109</v>
      </c>
      <c r="J425" s="4">
        <f>IFERROR(__xludf.DUMMYFUNCTION("DATE(INDEX(SPLIT(I425,""/""),,3),INDEX(SPLIT(I425,""/""),,2),INDEX(SPLIT(I425,""/""),,1))"),44834.0)</f>
        <v>44834</v>
      </c>
      <c r="L425" s="1">
        <v>0.0</v>
      </c>
      <c r="M425" s="1" t="s">
        <v>898</v>
      </c>
      <c r="N425" s="1"/>
      <c r="O425" s="1" t="s">
        <v>30</v>
      </c>
      <c r="P425" s="1" t="s">
        <v>31</v>
      </c>
      <c r="Q425" s="1" t="s">
        <v>71</v>
      </c>
      <c r="R425" s="1" t="s">
        <v>71</v>
      </c>
      <c r="S425" s="1" t="s">
        <v>72</v>
      </c>
      <c r="T425" s="1" t="s">
        <v>615</v>
      </c>
      <c r="U425" s="1">
        <v>1.00589481E8</v>
      </c>
      <c r="X425" s="1" t="s">
        <v>490</v>
      </c>
      <c r="Y425" s="1" t="s">
        <v>898</v>
      </c>
      <c r="Z425" s="1" t="s">
        <v>37</v>
      </c>
    </row>
    <row r="426" hidden="1">
      <c r="A426" s="1" t="s">
        <v>1837</v>
      </c>
      <c r="B426" s="1" t="s">
        <v>1838</v>
      </c>
      <c r="C426" s="1" t="s">
        <v>1839</v>
      </c>
      <c r="D426" s="1" t="s">
        <v>27</v>
      </c>
      <c r="E426" s="1" t="s">
        <v>28</v>
      </c>
      <c r="F426" s="2">
        <v>2500000.0</v>
      </c>
      <c r="G426" s="1" t="s">
        <v>1170</v>
      </c>
      <c r="H426" s="4">
        <f>IFERROR(__xludf.DUMMYFUNCTION("DATE(INDEX(SPLIT(G426,""/""),,3),INDEX(SPLIT(G426,""/""),,2),INDEX(SPLIT(G426,""/""),,1))"),44336.0)</f>
        <v>44336</v>
      </c>
      <c r="I426" s="4">
        <v>44570.0</v>
      </c>
      <c r="J426" s="4">
        <f>IFERROR(__xludf.DUMMYFUNCTION("DATE(INDEX(SPLIT(I426,""/""),,3),INDEX(SPLIT(I426,""/""),,2),INDEX(SPLIT(I426,""/""),,1))"),44805.0)</f>
        <v>44805</v>
      </c>
      <c r="L426" s="1">
        <v>0.0</v>
      </c>
      <c r="M426" s="1" t="s">
        <v>1840</v>
      </c>
      <c r="N426" s="1"/>
      <c r="O426" s="1" t="s">
        <v>30</v>
      </c>
      <c r="P426" s="1" t="s">
        <v>31</v>
      </c>
      <c r="Q426" s="1" t="s">
        <v>71</v>
      </c>
      <c r="R426" s="1" t="s">
        <v>71</v>
      </c>
      <c r="S426" s="1" t="s">
        <v>72</v>
      </c>
      <c r="T426" s="1" t="s">
        <v>615</v>
      </c>
      <c r="U426" s="1">
        <v>1.00617113E8</v>
      </c>
      <c r="X426" s="1" t="s">
        <v>490</v>
      </c>
      <c r="Y426" s="1" t="s">
        <v>1841</v>
      </c>
      <c r="Z426" s="1" t="s">
        <v>37</v>
      </c>
    </row>
    <row r="427" hidden="1">
      <c r="A427" s="1" t="s">
        <v>1842</v>
      </c>
      <c r="B427" s="1" t="s">
        <v>1835</v>
      </c>
      <c r="C427" s="1" t="s">
        <v>1843</v>
      </c>
      <c r="D427" s="1" t="s">
        <v>27</v>
      </c>
      <c r="E427" s="1" t="s">
        <v>28</v>
      </c>
      <c r="F427" s="2">
        <v>2500000.0</v>
      </c>
      <c r="G427" s="1" t="s">
        <v>1004</v>
      </c>
      <c r="H427" s="4">
        <f>IFERROR(__xludf.DUMMYFUNCTION("DATE(INDEX(SPLIT(G427,""/""),,3),INDEX(SPLIT(G427,""/""),,2),INDEX(SPLIT(G427,""/""),,1))"),44582.0)</f>
        <v>44582</v>
      </c>
      <c r="I427" s="1" t="s">
        <v>109</v>
      </c>
      <c r="J427" s="4">
        <f>IFERROR(__xludf.DUMMYFUNCTION("DATE(INDEX(SPLIT(I427,""/""),,3),INDEX(SPLIT(I427,""/""),,2),INDEX(SPLIT(I427,""/""),,1))"),44834.0)</f>
        <v>44834</v>
      </c>
      <c r="L427" s="1">
        <v>0.0</v>
      </c>
      <c r="M427" s="1" t="s">
        <v>1032</v>
      </c>
      <c r="N427" s="1"/>
      <c r="O427" s="1" t="s">
        <v>30</v>
      </c>
      <c r="P427" s="1" t="s">
        <v>31</v>
      </c>
      <c r="Q427" s="1" t="s">
        <v>71</v>
      </c>
      <c r="R427" s="1" t="s">
        <v>71</v>
      </c>
      <c r="S427" s="1" t="s">
        <v>72</v>
      </c>
      <c r="T427" s="1" t="s">
        <v>615</v>
      </c>
      <c r="U427" s="1">
        <v>1.00609514E8</v>
      </c>
      <c r="X427" s="1" t="s">
        <v>490</v>
      </c>
      <c r="Y427" s="1" t="s">
        <v>1033</v>
      </c>
      <c r="Z427" s="1" t="s">
        <v>37</v>
      </c>
    </row>
    <row r="428" hidden="1">
      <c r="A428" s="1" t="s">
        <v>1844</v>
      </c>
      <c r="B428" s="1" t="s">
        <v>1845</v>
      </c>
      <c r="C428" s="1" t="s">
        <v>1846</v>
      </c>
      <c r="D428" s="1" t="s">
        <v>27</v>
      </c>
      <c r="E428" s="1" t="s">
        <v>28</v>
      </c>
      <c r="F428" s="2">
        <v>2500000.0</v>
      </c>
      <c r="G428" s="1" t="s">
        <v>1012</v>
      </c>
      <c r="H428" s="4">
        <f>IFERROR(__xludf.DUMMYFUNCTION("DATE(INDEX(SPLIT(G428,""/""),,3),INDEX(SPLIT(G428,""/""),,2),INDEX(SPLIT(G428,""/""),,1))"),44496.0)</f>
        <v>44496</v>
      </c>
      <c r="I428" s="4">
        <v>44571.0</v>
      </c>
      <c r="J428" s="4">
        <f>IFERROR(__xludf.DUMMYFUNCTION("DATE(INDEX(SPLIT(I428,""/""),,3),INDEX(SPLIT(I428,""/""),,2),INDEX(SPLIT(I428,""/""),,1))"),44835.0)</f>
        <v>44835</v>
      </c>
      <c r="L428" s="1">
        <v>0.0</v>
      </c>
      <c r="M428" s="1" t="s">
        <v>1032</v>
      </c>
      <c r="N428" s="1"/>
      <c r="O428" s="1" t="s">
        <v>30</v>
      </c>
      <c r="P428" s="1" t="s">
        <v>31</v>
      </c>
      <c r="Q428" s="1" t="s">
        <v>71</v>
      </c>
      <c r="R428" s="1" t="s">
        <v>71</v>
      </c>
      <c r="S428" s="1" t="s">
        <v>72</v>
      </c>
      <c r="T428" s="1" t="s">
        <v>615</v>
      </c>
      <c r="U428" s="1">
        <v>1.00609514E8</v>
      </c>
      <c r="X428" s="1" t="s">
        <v>490</v>
      </c>
      <c r="Y428" s="1" t="s">
        <v>1847</v>
      </c>
      <c r="Z428" s="1" t="s">
        <v>37</v>
      </c>
    </row>
    <row r="429" hidden="1">
      <c r="A429" s="1" t="s">
        <v>1848</v>
      </c>
      <c r="B429" s="1" t="s">
        <v>1849</v>
      </c>
      <c r="C429" s="1" t="s">
        <v>1850</v>
      </c>
      <c r="D429" s="1" t="s">
        <v>27</v>
      </c>
      <c r="E429" s="1" t="s">
        <v>28</v>
      </c>
      <c r="F429" s="2">
        <v>2500000.0</v>
      </c>
      <c r="G429" s="1" t="s">
        <v>1851</v>
      </c>
      <c r="H429" s="4">
        <f>IFERROR(__xludf.DUMMYFUNCTION("DATE(INDEX(SPLIT(G429,""/""),,3),INDEX(SPLIT(G429,""/""),,2),INDEX(SPLIT(G429,""/""),,1))"),44646.0)</f>
        <v>44646</v>
      </c>
      <c r="I429" s="1" t="s">
        <v>317</v>
      </c>
      <c r="J429" s="4">
        <f>IFERROR(__xludf.DUMMYFUNCTION("DATE(INDEX(SPLIT(I429,""/""),,3),INDEX(SPLIT(I429,""/""),,2),INDEX(SPLIT(I429,""/""),,1))"),44862.0)</f>
        <v>44862</v>
      </c>
      <c r="L429" s="1">
        <v>0.0</v>
      </c>
      <c r="M429" s="1" t="s">
        <v>303</v>
      </c>
      <c r="N429" s="1"/>
      <c r="O429" s="1" t="s">
        <v>30</v>
      </c>
      <c r="P429" s="1" t="s">
        <v>31</v>
      </c>
      <c r="Q429" s="1" t="s">
        <v>95</v>
      </c>
      <c r="R429" s="1" t="s">
        <v>95</v>
      </c>
      <c r="S429" s="1" t="s">
        <v>96</v>
      </c>
      <c r="T429" s="1" t="s">
        <v>304</v>
      </c>
      <c r="U429" s="1">
        <v>1.00623914E8</v>
      </c>
      <c r="X429" s="1" t="s">
        <v>254</v>
      </c>
      <c r="Y429" s="1" t="s">
        <v>1852</v>
      </c>
      <c r="Z429" s="1" t="s">
        <v>37</v>
      </c>
    </row>
    <row r="430">
      <c r="A430" s="1" t="s">
        <v>1853</v>
      </c>
      <c r="B430" s="1" t="s">
        <v>1854</v>
      </c>
      <c r="C430" s="1" t="s">
        <v>1855</v>
      </c>
      <c r="D430" s="1" t="s">
        <v>78</v>
      </c>
      <c r="E430" s="1" t="s">
        <v>28</v>
      </c>
      <c r="F430" s="2">
        <v>2500000.0</v>
      </c>
      <c r="G430" s="1" t="s">
        <v>343</v>
      </c>
      <c r="H430" s="4">
        <f>IFERROR(__xludf.DUMMYFUNCTION("DATE(INDEX(SPLIT(G430,""/""),,3),INDEX(SPLIT(G430,""/""),,2),INDEX(SPLIT(G430,""/""),,1))"),44761.0)</f>
        <v>44761</v>
      </c>
      <c r="I430" s="1" t="s">
        <v>226</v>
      </c>
      <c r="J430" s="4">
        <f>IFERROR(__xludf.DUMMYFUNCTION("DATE(INDEX(SPLIT(I430,""/""),,3),INDEX(SPLIT(I430,""/""),,2),INDEX(SPLIT(I430,""/""),,1))"),44771.0)</f>
        <v>44771</v>
      </c>
      <c r="L430" s="1">
        <v>0.0</v>
      </c>
      <c r="M430" s="1" t="s">
        <v>1856</v>
      </c>
      <c r="N430" s="1"/>
      <c r="O430" s="1" t="s">
        <v>30</v>
      </c>
      <c r="P430" s="1" t="s">
        <v>31</v>
      </c>
      <c r="Q430" s="1" t="s">
        <v>32</v>
      </c>
      <c r="R430" s="1" t="s">
        <v>32</v>
      </c>
      <c r="S430" s="1" t="s">
        <v>33</v>
      </c>
      <c r="T430" s="1" t="s">
        <v>103</v>
      </c>
      <c r="U430" s="1">
        <v>1.00587434E8</v>
      </c>
      <c r="X430" s="1" t="s">
        <v>63</v>
      </c>
      <c r="Y430" s="1" t="s">
        <v>1857</v>
      </c>
      <c r="Z430" s="1" t="s">
        <v>37</v>
      </c>
    </row>
    <row r="431" hidden="1">
      <c r="A431" s="1" t="s">
        <v>1858</v>
      </c>
      <c r="B431" s="1" t="s">
        <v>246</v>
      </c>
      <c r="C431" s="1" t="s">
        <v>1859</v>
      </c>
      <c r="D431" s="1" t="s">
        <v>78</v>
      </c>
      <c r="E431" s="1" t="s">
        <v>28</v>
      </c>
      <c r="F431" s="2">
        <v>2500000.0</v>
      </c>
      <c r="G431" s="1" t="s">
        <v>330</v>
      </c>
      <c r="H431" s="4">
        <f>IFERROR(__xludf.DUMMYFUNCTION("DATE(INDEX(SPLIT(G431,""/""),,3),INDEX(SPLIT(G431,""/""),,2),INDEX(SPLIT(G431,""/""),,1))"),44728.0)</f>
        <v>44728</v>
      </c>
      <c r="I431" s="1" t="s">
        <v>535</v>
      </c>
      <c r="J431" s="4">
        <f>IFERROR(__xludf.DUMMYFUNCTION("DATE(INDEX(SPLIT(I431,""/""),,3),INDEX(SPLIT(I431,""/""),,2),INDEX(SPLIT(I431,""/""),,1))"),44957.0)</f>
        <v>44957</v>
      </c>
      <c r="L431" s="1">
        <v>0.0</v>
      </c>
      <c r="M431" s="1" t="s">
        <v>156</v>
      </c>
      <c r="N431" s="1"/>
      <c r="O431" s="1" t="s">
        <v>30</v>
      </c>
      <c r="P431" s="1" t="s">
        <v>31</v>
      </c>
      <c r="Q431" s="1" t="s">
        <v>157</v>
      </c>
      <c r="R431" s="1" t="s">
        <v>157</v>
      </c>
      <c r="S431" s="1" t="s">
        <v>158</v>
      </c>
      <c r="U431" s="1">
        <v>1.00619165E8</v>
      </c>
      <c r="X431" s="1" t="s">
        <v>35</v>
      </c>
      <c r="Y431" s="1" t="s">
        <v>160</v>
      </c>
      <c r="Z431" s="1" t="s">
        <v>37</v>
      </c>
    </row>
    <row r="432" hidden="1">
      <c r="A432" s="1" t="s">
        <v>1860</v>
      </c>
      <c r="B432" s="1" t="s">
        <v>1861</v>
      </c>
      <c r="C432" s="1" t="s">
        <v>1862</v>
      </c>
      <c r="D432" s="1" t="s">
        <v>78</v>
      </c>
      <c r="E432" s="1" t="s">
        <v>28</v>
      </c>
      <c r="F432" s="2">
        <v>2500000.0</v>
      </c>
      <c r="G432" s="1" t="s">
        <v>1863</v>
      </c>
      <c r="H432" s="4">
        <f>IFERROR(__xludf.DUMMYFUNCTION("DATE(INDEX(SPLIT(G432,""/""),,3),INDEX(SPLIT(G432,""/""),,2),INDEX(SPLIT(G432,""/""),,1))"),44069.0)</f>
        <v>44069</v>
      </c>
      <c r="I432" s="1" t="s">
        <v>569</v>
      </c>
      <c r="J432" s="4">
        <f>IFERROR(__xludf.DUMMYFUNCTION("DATE(INDEX(SPLIT(I432,""/""),,3),INDEX(SPLIT(I432,""/""),,2),INDEX(SPLIT(I432,""/""),,1))"),45016.0)</f>
        <v>45016</v>
      </c>
      <c r="L432" s="1">
        <v>0.0</v>
      </c>
      <c r="M432" s="1" t="s">
        <v>1036</v>
      </c>
      <c r="N432" s="1"/>
      <c r="O432" s="1" t="s">
        <v>30</v>
      </c>
      <c r="P432" s="1" t="s">
        <v>31</v>
      </c>
      <c r="Q432" s="1" t="s">
        <v>95</v>
      </c>
      <c r="R432" s="1" t="s">
        <v>95</v>
      </c>
      <c r="S432" s="1" t="s">
        <v>96</v>
      </c>
      <c r="T432" s="1" t="s">
        <v>111</v>
      </c>
      <c r="U432" s="1">
        <v>1.00633489E8</v>
      </c>
      <c r="W432" s="1" t="s">
        <v>56</v>
      </c>
      <c r="X432" s="1" t="s">
        <v>305</v>
      </c>
      <c r="Y432" s="1" t="s">
        <v>1864</v>
      </c>
      <c r="Z432" s="1" t="s">
        <v>37</v>
      </c>
    </row>
    <row r="433">
      <c r="A433" s="1" t="s">
        <v>1865</v>
      </c>
      <c r="B433" s="1" t="s">
        <v>1866</v>
      </c>
      <c r="C433" s="1" t="s">
        <v>1867</v>
      </c>
      <c r="D433" s="1" t="s">
        <v>122</v>
      </c>
      <c r="E433" s="1" t="s">
        <v>28</v>
      </c>
      <c r="F433" s="2">
        <v>2500000.0</v>
      </c>
      <c r="G433" s="4">
        <v>44900.0</v>
      </c>
      <c r="H433" s="4">
        <f>IFERROR(__xludf.DUMMYFUNCTION("DATE(INDEX(SPLIT(G433,""/""),,3),INDEX(SPLIT(G433,""/""),,2),INDEX(SPLIT(G433,""/""),,1))"),44693.0)</f>
        <v>44693</v>
      </c>
      <c r="I433" s="4">
        <v>44658.0</v>
      </c>
      <c r="J433" s="4">
        <f>IFERROR(__xludf.DUMMYFUNCTION("DATE(INDEX(SPLIT(I433,""/""),,3),INDEX(SPLIT(I433,""/""),,2),INDEX(SPLIT(I433,""/""),,1))"),44746.0)</f>
        <v>44746</v>
      </c>
      <c r="L433" s="1">
        <v>0.0</v>
      </c>
      <c r="M433" s="1" t="s">
        <v>216</v>
      </c>
      <c r="N433" s="1"/>
      <c r="O433" s="1" t="s">
        <v>30</v>
      </c>
      <c r="P433" s="1" t="s">
        <v>31</v>
      </c>
      <c r="Q433" s="1" t="s">
        <v>95</v>
      </c>
      <c r="R433" s="1" t="s">
        <v>95</v>
      </c>
      <c r="S433" s="1" t="s">
        <v>96</v>
      </c>
      <c r="T433" s="1" t="s">
        <v>111</v>
      </c>
      <c r="U433" s="1">
        <v>1.01200292E8</v>
      </c>
      <c r="X433" s="1" t="s">
        <v>98</v>
      </c>
      <c r="Y433" s="1" t="s">
        <v>1868</v>
      </c>
      <c r="Z433" s="1" t="s">
        <v>37</v>
      </c>
    </row>
    <row r="434" hidden="1">
      <c r="A434" s="1" t="s">
        <v>1869</v>
      </c>
      <c r="B434" s="1" t="s">
        <v>1393</v>
      </c>
      <c r="C434" s="1" t="s">
        <v>1870</v>
      </c>
      <c r="D434" s="1" t="s">
        <v>122</v>
      </c>
      <c r="E434" s="1" t="s">
        <v>28</v>
      </c>
      <c r="F434" s="2">
        <v>2500000.0</v>
      </c>
      <c r="G434" s="1" t="s">
        <v>1871</v>
      </c>
      <c r="H434" s="4">
        <f>IFERROR(__xludf.DUMMYFUNCTION("DATE(INDEX(SPLIT(G434,""/""),,3),INDEX(SPLIT(G434,""/""),,2),INDEX(SPLIT(G434,""/""),,1))"),44252.0)</f>
        <v>44252</v>
      </c>
      <c r="I434" s="1" t="s">
        <v>109</v>
      </c>
      <c r="J434" s="4">
        <f>IFERROR(__xludf.DUMMYFUNCTION("DATE(INDEX(SPLIT(I434,""/""),,3),INDEX(SPLIT(I434,""/""),,2),INDEX(SPLIT(I434,""/""),,1))"),44834.0)</f>
        <v>44834</v>
      </c>
      <c r="L434" s="1">
        <v>0.0</v>
      </c>
      <c r="M434" s="1" t="s">
        <v>1200</v>
      </c>
      <c r="N434" s="1"/>
      <c r="O434" s="1" t="s">
        <v>30</v>
      </c>
      <c r="P434" s="1" t="s">
        <v>31</v>
      </c>
      <c r="Q434" s="1" t="s">
        <v>235</v>
      </c>
      <c r="R434" s="1" t="s">
        <v>235</v>
      </c>
      <c r="S434" s="1" t="s">
        <v>236</v>
      </c>
      <c r="T434" s="1" t="s">
        <v>438</v>
      </c>
      <c r="U434" s="1">
        <v>1.00586959E8</v>
      </c>
      <c r="X434" s="1" t="s">
        <v>88</v>
      </c>
      <c r="Y434" s="1" t="s">
        <v>979</v>
      </c>
      <c r="Z434" s="1" t="s">
        <v>37</v>
      </c>
    </row>
    <row r="435">
      <c r="A435" s="1" t="s">
        <v>1872</v>
      </c>
      <c r="B435" s="1" t="s">
        <v>896</v>
      </c>
      <c r="C435" s="1" t="s">
        <v>1873</v>
      </c>
      <c r="D435" s="1" t="s">
        <v>27</v>
      </c>
      <c r="E435" s="1" t="s">
        <v>28</v>
      </c>
      <c r="F435" s="2">
        <v>2500000.0</v>
      </c>
      <c r="G435" s="1" t="s">
        <v>586</v>
      </c>
      <c r="H435" s="4">
        <f>IFERROR(__xludf.DUMMYFUNCTION("DATE(INDEX(SPLIT(G435,""/""),,3),INDEX(SPLIT(G435,""/""),,2),INDEX(SPLIT(G435,""/""),,1))"),44726.0)</f>
        <v>44726</v>
      </c>
      <c r="I435" s="1" t="s">
        <v>69</v>
      </c>
      <c r="J435" s="4">
        <f>IFERROR(__xludf.DUMMYFUNCTION("DATE(INDEX(SPLIT(I435,""/""),,3),INDEX(SPLIT(I435,""/""),,2),INDEX(SPLIT(I435,""/""),,1))"),44773.0)</f>
        <v>44773</v>
      </c>
      <c r="L435" s="1">
        <v>0.0</v>
      </c>
      <c r="M435" s="1" t="s">
        <v>1874</v>
      </c>
      <c r="N435" s="1"/>
      <c r="O435" s="1" t="s">
        <v>30</v>
      </c>
      <c r="P435" s="1" t="s">
        <v>31</v>
      </c>
      <c r="Q435" s="1" t="s">
        <v>188</v>
      </c>
      <c r="R435" s="1" t="s">
        <v>188</v>
      </c>
      <c r="S435" s="1" t="s">
        <v>189</v>
      </c>
      <c r="T435" s="1" t="s">
        <v>537</v>
      </c>
      <c r="U435" s="1">
        <v>1.00637664E8</v>
      </c>
      <c r="X435" s="1" t="s">
        <v>490</v>
      </c>
      <c r="Y435" s="1" t="s">
        <v>1874</v>
      </c>
      <c r="Z435" s="1" t="s">
        <v>37</v>
      </c>
    </row>
    <row r="436" hidden="1">
      <c r="A436" s="1" t="s">
        <v>1875</v>
      </c>
      <c r="B436" s="1" t="s">
        <v>1113</v>
      </c>
      <c r="C436" s="1" t="s">
        <v>1876</v>
      </c>
      <c r="D436" s="1" t="s">
        <v>78</v>
      </c>
      <c r="E436" s="1" t="s">
        <v>28</v>
      </c>
      <c r="F436" s="2">
        <v>2500000.0</v>
      </c>
      <c r="G436" s="4">
        <v>44208.0</v>
      </c>
      <c r="H436" s="4">
        <f>IFERROR(__xludf.DUMMYFUNCTION("DATE(INDEX(SPLIT(G436,""/""),,3),INDEX(SPLIT(G436,""/""),,2),INDEX(SPLIT(G436,""/""),,1))"),44531.0)</f>
        <v>44531</v>
      </c>
      <c r="I436" s="4">
        <v>44662.0</v>
      </c>
      <c r="J436" s="4">
        <f>IFERROR(__xludf.DUMMYFUNCTION("DATE(INDEX(SPLIT(I436,""/""),,3),INDEX(SPLIT(I436,""/""),,2),INDEX(SPLIT(I436,""/""),,1))"),44869.0)</f>
        <v>44869</v>
      </c>
      <c r="L436" s="1">
        <v>0.0</v>
      </c>
      <c r="M436" s="1" t="s">
        <v>1115</v>
      </c>
      <c r="N436" s="1"/>
      <c r="O436" s="1" t="s">
        <v>30</v>
      </c>
      <c r="P436" s="1" t="s">
        <v>31</v>
      </c>
      <c r="Q436" s="1" t="s">
        <v>157</v>
      </c>
      <c r="R436" s="1" t="s">
        <v>157</v>
      </c>
      <c r="S436" s="1" t="s">
        <v>158</v>
      </c>
      <c r="T436" s="1" t="s">
        <v>159</v>
      </c>
      <c r="U436" s="1">
        <v>1.00609827E8</v>
      </c>
      <c r="X436" s="1" t="s">
        <v>490</v>
      </c>
      <c r="Y436" s="1" t="s">
        <v>1115</v>
      </c>
      <c r="Z436" s="1" t="s">
        <v>37</v>
      </c>
    </row>
    <row r="437" hidden="1">
      <c r="A437" s="1" t="s">
        <v>1877</v>
      </c>
      <c r="B437" s="1" t="s">
        <v>1878</v>
      </c>
      <c r="C437" s="1" t="s">
        <v>1879</v>
      </c>
      <c r="D437" s="1" t="s">
        <v>78</v>
      </c>
      <c r="E437" s="1" t="s">
        <v>28</v>
      </c>
      <c r="F437" s="2">
        <v>2500000.0</v>
      </c>
      <c r="G437" s="4">
        <v>44208.0</v>
      </c>
      <c r="H437" s="4">
        <f>IFERROR(__xludf.DUMMYFUNCTION("DATE(INDEX(SPLIT(G437,""/""),,3),INDEX(SPLIT(G437,""/""),,2),INDEX(SPLIT(G437,""/""),,1))"),44531.0)</f>
        <v>44531</v>
      </c>
      <c r="I437" s="1" t="s">
        <v>317</v>
      </c>
      <c r="J437" s="4">
        <f>IFERROR(__xludf.DUMMYFUNCTION("DATE(INDEX(SPLIT(I437,""/""),,3),INDEX(SPLIT(I437,""/""),,2),INDEX(SPLIT(I437,""/""),,1))"),44862.0)</f>
        <v>44862</v>
      </c>
      <c r="L437" s="1">
        <v>0.0</v>
      </c>
      <c r="M437" s="1" t="s">
        <v>1115</v>
      </c>
      <c r="N437" s="1"/>
      <c r="O437" s="1" t="s">
        <v>30</v>
      </c>
      <c r="P437" s="1" t="s">
        <v>31</v>
      </c>
      <c r="Q437" s="1" t="s">
        <v>157</v>
      </c>
      <c r="R437" s="1" t="s">
        <v>157</v>
      </c>
      <c r="S437" s="1" t="s">
        <v>158</v>
      </c>
      <c r="U437" s="1">
        <v>1.00609827E8</v>
      </c>
      <c r="X437" s="1" t="s">
        <v>490</v>
      </c>
      <c r="Y437" s="1" t="s">
        <v>1115</v>
      </c>
      <c r="Z437" s="1" t="s">
        <v>37</v>
      </c>
    </row>
    <row r="438" hidden="1">
      <c r="A438" s="1" t="s">
        <v>1880</v>
      </c>
      <c r="B438" s="1" t="s">
        <v>981</v>
      </c>
      <c r="C438" s="1" t="s">
        <v>1881</v>
      </c>
      <c r="D438" s="1" t="s">
        <v>78</v>
      </c>
      <c r="E438" s="1" t="s">
        <v>28</v>
      </c>
      <c r="F438" s="2">
        <v>2500000.0</v>
      </c>
      <c r="G438" s="4">
        <v>44208.0</v>
      </c>
      <c r="H438" s="4">
        <f>IFERROR(__xludf.DUMMYFUNCTION("DATE(INDEX(SPLIT(G438,""/""),,3),INDEX(SPLIT(G438,""/""),,2),INDEX(SPLIT(G438,""/""),,1))"),44531.0)</f>
        <v>44531</v>
      </c>
      <c r="I438" s="1" t="s">
        <v>317</v>
      </c>
      <c r="J438" s="4">
        <f>IFERROR(__xludf.DUMMYFUNCTION("DATE(INDEX(SPLIT(I438,""/""),,3),INDEX(SPLIT(I438,""/""),,2),INDEX(SPLIT(I438,""/""),,1))"),44862.0)</f>
        <v>44862</v>
      </c>
      <c r="L438" s="1">
        <v>0.0</v>
      </c>
      <c r="M438" s="1" t="s">
        <v>1115</v>
      </c>
      <c r="N438" s="1"/>
      <c r="O438" s="1" t="s">
        <v>30</v>
      </c>
      <c r="P438" s="1" t="s">
        <v>31</v>
      </c>
      <c r="Q438" s="1" t="s">
        <v>157</v>
      </c>
      <c r="R438" s="1" t="s">
        <v>157</v>
      </c>
      <c r="S438" s="1" t="s">
        <v>158</v>
      </c>
      <c r="U438" s="1">
        <v>1.00609827E8</v>
      </c>
      <c r="X438" s="1" t="s">
        <v>490</v>
      </c>
      <c r="Y438" s="1" t="s">
        <v>1115</v>
      </c>
      <c r="Z438" s="1" t="s">
        <v>37</v>
      </c>
    </row>
    <row r="439">
      <c r="A439" s="1" t="s">
        <v>1882</v>
      </c>
      <c r="B439" s="1" t="s">
        <v>223</v>
      </c>
      <c r="C439" s="1" t="s">
        <v>1883</v>
      </c>
      <c r="D439" s="1" t="s">
        <v>78</v>
      </c>
      <c r="E439" s="1" t="s">
        <v>28</v>
      </c>
      <c r="F439" s="2">
        <v>2500000.0</v>
      </c>
      <c r="G439" s="4">
        <v>44623.0</v>
      </c>
      <c r="H439" s="4">
        <f>IFERROR(__xludf.DUMMYFUNCTION("DATE(INDEX(SPLIT(G439,""/""),,3),INDEX(SPLIT(G439,""/""),,2),INDEX(SPLIT(G439,""/""),,1))"),44623.0)</f>
        <v>44623</v>
      </c>
      <c r="I439" s="1" t="s">
        <v>518</v>
      </c>
      <c r="J439" s="4">
        <f>IFERROR(__xludf.DUMMYFUNCTION("DATE(INDEX(SPLIT(I439,""/""),,3),INDEX(SPLIT(I439,""/""),,2),INDEX(SPLIT(I439,""/""),,1))"),44757.0)</f>
        <v>44757</v>
      </c>
      <c r="L439" s="1">
        <v>0.0</v>
      </c>
      <c r="M439" s="1" t="s">
        <v>1741</v>
      </c>
      <c r="N439" s="1"/>
      <c r="O439" s="1" t="s">
        <v>30</v>
      </c>
      <c r="P439" s="1" t="s">
        <v>31</v>
      </c>
      <c r="Q439" s="1" t="s">
        <v>32</v>
      </c>
      <c r="R439" s="1" t="s">
        <v>32</v>
      </c>
      <c r="S439" s="1" t="s">
        <v>33</v>
      </c>
      <c r="T439" s="1" t="s">
        <v>34</v>
      </c>
      <c r="U439" s="1">
        <v>1.00645852E8</v>
      </c>
      <c r="X439" s="1" t="s">
        <v>81</v>
      </c>
      <c r="Y439" s="1" t="s">
        <v>1884</v>
      </c>
      <c r="Z439" s="1" t="s">
        <v>37</v>
      </c>
    </row>
    <row r="440" hidden="1">
      <c r="A440" s="1" t="s">
        <v>1885</v>
      </c>
      <c r="B440" s="1" t="s">
        <v>39</v>
      </c>
      <c r="C440" s="1" t="s">
        <v>1886</v>
      </c>
      <c r="D440" s="1" t="s">
        <v>27</v>
      </c>
      <c r="E440" s="1" t="s">
        <v>28</v>
      </c>
      <c r="F440" s="2">
        <v>2500000.0</v>
      </c>
      <c r="G440" s="1" t="s">
        <v>935</v>
      </c>
      <c r="H440" s="4">
        <f>IFERROR(__xludf.DUMMYFUNCTION("DATE(INDEX(SPLIT(G440,""/""),,3),INDEX(SPLIT(G440,""/""),,2),INDEX(SPLIT(G440,""/""),,1))"),44764.0)</f>
        <v>44764</v>
      </c>
      <c r="I440" s="1" t="s">
        <v>1887</v>
      </c>
      <c r="J440" s="4">
        <f>IFERROR(__xludf.DUMMYFUNCTION("DATE(INDEX(SPLIT(I440,""/""),,3),INDEX(SPLIT(I440,""/""),,2),INDEX(SPLIT(I440,""/""),,1))"),45030.0)</f>
        <v>45030</v>
      </c>
      <c r="L440" s="1">
        <v>0.0</v>
      </c>
      <c r="M440" s="1" t="s">
        <v>841</v>
      </c>
      <c r="N440" s="1"/>
      <c r="O440" s="1" t="s">
        <v>30</v>
      </c>
      <c r="P440" s="1" t="s">
        <v>31</v>
      </c>
      <c r="Q440" s="1" t="s">
        <v>95</v>
      </c>
      <c r="R440" s="1" t="s">
        <v>95</v>
      </c>
      <c r="S440" s="1" t="s">
        <v>96</v>
      </c>
      <c r="U440" s="1">
        <v>1.00621664E8</v>
      </c>
      <c r="X440" s="1" t="s">
        <v>46</v>
      </c>
      <c r="Y440" s="1" t="s">
        <v>842</v>
      </c>
      <c r="Z440" s="1" t="s">
        <v>37</v>
      </c>
    </row>
    <row r="441" hidden="1">
      <c r="A441" s="1" t="s">
        <v>1888</v>
      </c>
      <c r="B441" s="1" t="s">
        <v>39</v>
      </c>
      <c r="C441" s="1" t="s">
        <v>1889</v>
      </c>
      <c r="D441" s="1" t="s">
        <v>27</v>
      </c>
      <c r="E441" s="1" t="s">
        <v>28</v>
      </c>
      <c r="F441" s="2">
        <v>2500000.0</v>
      </c>
      <c r="G441" s="1" t="s">
        <v>935</v>
      </c>
      <c r="H441" s="4">
        <f>IFERROR(__xludf.DUMMYFUNCTION("DATE(INDEX(SPLIT(G441,""/""),,3),INDEX(SPLIT(G441,""/""),,2),INDEX(SPLIT(G441,""/""),,1))"),44764.0)</f>
        <v>44764</v>
      </c>
      <c r="I441" s="1" t="s">
        <v>1890</v>
      </c>
      <c r="J441" s="4">
        <f>IFERROR(__xludf.DUMMYFUNCTION("DATE(INDEX(SPLIT(I441,""/""),,3),INDEX(SPLIT(I441,""/""),,2),INDEX(SPLIT(I441,""/""),,1))"),45184.0)</f>
        <v>45184</v>
      </c>
      <c r="L441" s="1">
        <v>0.0</v>
      </c>
      <c r="M441" s="1" t="s">
        <v>841</v>
      </c>
      <c r="N441" s="1"/>
      <c r="O441" s="1" t="s">
        <v>30</v>
      </c>
      <c r="P441" s="1" t="s">
        <v>31</v>
      </c>
      <c r="Q441" s="1" t="s">
        <v>95</v>
      </c>
      <c r="R441" s="1" t="s">
        <v>95</v>
      </c>
      <c r="S441" s="1" t="s">
        <v>96</v>
      </c>
      <c r="U441" s="1">
        <v>1.00621664E8</v>
      </c>
      <c r="X441" s="1" t="s">
        <v>46</v>
      </c>
      <c r="Y441" s="1" t="s">
        <v>842</v>
      </c>
      <c r="Z441" s="1" t="s">
        <v>37</v>
      </c>
    </row>
    <row r="442" hidden="1">
      <c r="A442" s="1" t="s">
        <v>1891</v>
      </c>
      <c r="B442" s="1" t="s">
        <v>127</v>
      </c>
      <c r="C442" s="1" t="s">
        <v>1892</v>
      </c>
      <c r="D442" s="1" t="s">
        <v>27</v>
      </c>
      <c r="E442" s="1" t="s">
        <v>28</v>
      </c>
      <c r="F442" s="2">
        <v>2500000.0</v>
      </c>
      <c r="G442" s="1" t="s">
        <v>1893</v>
      </c>
      <c r="H442" s="4">
        <f>IFERROR(__xludf.DUMMYFUNCTION("DATE(INDEX(SPLIT(G442,""/""),,3),INDEX(SPLIT(G442,""/""),,2),INDEX(SPLIT(G442,""/""),,1))"),44308.0)</f>
        <v>44308</v>
      </c>
      <c r="I442" s="1" t="s">
        <v>569</v>
      </c>
      <c r="J442" s="4">
        <f>IFERROR(__xludf.DUMMYFUNCTION("DATE(INDEX(SPLIT(I442,""/""),,3),INDEX(SPLIT(I442,""/""),,2),INDEX(SPLIT(I442,""/""),,1))"),45016.0)</f>
        <v>45016</v>
      </c>
      <c r="L442" s="1">
        <v>0.0</v>
      </c>
      <c r="M442" s="1" t="s">
        <v>79</v>
      </c>
      <c r="N442" s="1"/>
      <c r="O442" s="1" t="s">
        <v>30</v>
      </c>
      <c r="P442" s="1" t="s">
        <v>31</v>
      </c>
      <c r="Q442" s="1" t="s">
        <v>32</v>
      </c>
      <c r="R442" s="1" t="s">
        <v>32</v>
      </c>
      <c r="S442" s="1" t="s">
        <v>33</v>
      </c>
      <c r="U442" s="1">
        <v>1.00609569E8</v>
      </c>
      <c r="X442" s="1" t="s">
        <v>81</v>
      </c>
      <c r="Y442" s="1" t="s">
        <v>79</v>
      </c>
      <c r="Z442" s="1" t="s">
        <v>37</v>
      </c>
    </row>
    <row r="443" hidden="1">
      <c r="A443" s="1" t="s">
        <v>1894</v>
      </c>
      <c r="B443" s="1" t="s">
        <v>1113</v>
      </c>
      <c r="C443" s="1" t="s">
        <v>1895</v>
      </c>
      <c r="D443" s="1" t="s">
        <v>122</v>
      </c>
      <c r="E443" s="1" t="s">
        <v>28</v>
      </c>
      <c r="F443" s="2">
        <v>2500000.0</v>
      </c>
      <c r="G443" s="4">
        <v>44208.0</v>
      </c>
      <c r="H443" s="4">
        <f>IFERROR(__xludf.DUMMYFUNCTION("DATE(INDEX(SPLIT(G443,""/""),,3),INDEX(SPLIT(G443,""/""),,2),INDEX(SPLIT(G443,""/""),,1))"),44531.0)</f>
        <v>44531</v>
      </c>
      <c r="I443" s="4">
        <v>44662.0</v>
      </c>
      <c r="J443" s="4">
        <f>IFERROR(__xludf.DUMMYFUNCTION("DATE(INDEX(SPLIT(I443,""/""),,3),INDEX(SPLIT(I443,""/""),,2),INDEX(SPLIT(I443,""/""),,1))"),44869.0)</f>
        <v>44869</v>
      </c>
      <c r="L443" s="1">
        <v>0.0</v>
      </c>
      <c r="M443" s="1" t="s">
        <v>1115</v>
      </c>
      <c r="N443" s="1"/>
      <c r="O443" s="1" t="s">
        <v>30</v>
      </c>
      <c r="P443" s="1" t="s">
        <v>31</v>
      </c>
      <c r="Q443" s="1" t="s">
        <v>157</v>
      </c>
      <c r="R443" s="1" t="s">
        <v>157</v>
      </c>
      <c r="S443" s="1" t="s">
        <v>158</v>
      </c>
      <c r="T443" s="1" t="s">
        <v>159</v>
      </c>
      <c r="U443" s="1">
        <v>1.00609827E8</v>
      </c>
      <c r="X443" s="1" t="s">
        <v>490</v>
      </c>
      <c r="Y443" s="1" t="s">
        <v>1115</v>
      </c>
      <c r="Z443" s="1" t="s">
        <v>37</v>
      </c>
    </row>
    <row r="444">
      <c r="A444" s="1" t="s">
        <v>1896</v>
      </c>
      <c r="B444" s="1" t="s">
        <v>1144</v>
      </c>
      <c r="C444" s="1" t="s">
        <v>1897</v>
      </c>
      <c r="D444" s="1" t="s">
        <v>78</v>
      </c>
      <c r="E444" s="1" t="s">
        <v>28</v>
      </c>
      <c r="F444" s="2">
        <v>2500000.0</v>
      </c>
      <c r="G444" s="4">
        <v>44836.0</v>
      </c>
      <c r="H444" s="4">
        <f>IFERROR(__xludf.DUMMYFUNCTION("DATE(INDEX(SPLIT(G444,""/""),,3),INDEX(SPLIT(G444,""/""),,2),INDEX(SPLIT(G444,""/""),,1))"),44602.0)</f>
        <v>44602</v>
      </c>
      <c r="I444" s="1" t="s">
        <v>1244</v>
      </c>
      <c r="J444" s="4">
        <f>IFERROR(__xludf.DUMMYFUNCTION("DATE(INDEX(SPLIT(I444,""/""),,3),INDEX(SPLIT(I444,""/""),,2),INDEX(SPLIT(I444,""/""),,1))"),44742.0)</f>
        <v>44742</v>
      </c>
      <c r="L444" s="1">
        <v>0.0</v>
      </c>
      <c r="M444" s="1" t="s">
        <v>1146</v>
      </c>
      <c r="N444" s="1"/>
      <c r="O444" s="1" t="s">
        <v>30</v>
      </c>
      <c r="P444" s="1" t="s">
        <v>31</v>
      </c>
      <c r="Q444" s="1" t="s">
        <v>228</v>
      </c>
      <c r="R444" s="1" t="s">
        <v>228</v>
      </c>
      <c r="S444" s="1" t="s">
        <v>229</v>
      </c>
      <c r="T444" s="1" t="s">
        <v>1344</v>
      </c>
      <c r="U444" s="1">
        <v>1.0061139E8</v>
      </c>
      <c r="W444" s="1" t="s">
        <v>1898</v>
      </c>
      <c r="X444" s="1" t="s">
        <v>63</v>
      </c>
      <c r="Y444" s="1" t="s">
        <v>1899</v>
      </c>
      <c r="Z444" s="1" t="s">
        <v>37</v>
      </c>
    </row>
    <row r="445" hidden="1">
      <c r="A445" s="1" t="s">
        <v>1900</v>
      </c>
      <c r="B445" s="1" t="s">
        <v>408</v>
      </c>
      <c r="C445" s="1" t="s">
        <v>1901</v>
      </c>
      <c r="D445" s="1" t="s">
        <v>27</v>
      </c>
      <c r="E445" s="1" t="s">
        <v>28</v>
      </c>
      <c r="F445" s="2">
        <v>2500000.0</v>
      </c>
      <c r="G445" s="4">
        <v>44564.0</v>
      </c>
      <c r="H445" s="4">
        <f>IFERROR(__xludf.DUMMYFUNCTION("DATE(INDEX(SPLIT(G445,""/""),,3),INDEX(SPLIT(G445,""/""),,2),INDEX(SPLIT(G445,""/""),,1))"),44621.0)</f>
        <v>44621</v>
      </c>
      <c r="I445" s="4">
        <v>44570.0</v>
      </c>
      <c r="J445" s="4">
        <f>IFERROR(__xludf.DUMMYFUNCTION("DATE(INDEX(SPLIT(I445,""/""),,3),INDEX(SPLIT(I445,""/""),,2),INDEX(SPLIT(I445,""/""),,1))"),44805.0)</f>
        <v>44805</v>
      </c>
      <c r="L445" s="1">
        <v>0.0</v>
      </c>
      <c r="M445" s="1" t="s">
        <v>277</v>
      </c>
      <c r="N445" s="1"/>
      <c r="O445" s="1" t="s">
        <v>30</v>
      </c>
      <c r="P445" s="1" t="s">
        <v>31</v>
      </c>
      <c r="Q445" s="1" t="s">
        <v>32</v>
      </c>
      <c r="R445" s="1" t="s">
        <v>32</v>
      </c>
      <c r="S445" s="1" t="s">
        <v>33</v>
      </c>
      <c r="T445" s="1" t="s">
        <v>103</v>
      </c>
      <c r="U445" s="1">
        <v>1.00608828E8</v>
      </c>
      <c r="X445" s="1" t="s">
        <v>410</v>
      </c>
      <c r="Y445" s="1" t="s">
        <v>842</v>
      </c>
      <c r="Z445" s="1" t="s">
        <v>37</v>
      </c>
    </row>
    <row r="446" hidden="1">
      <c r="A446" s="1" t="s">
        <v>1902</v>
      </c>
      <c r="B446" s="1" t="s">
        <v>1371</v>
      </c>
      <c r="C446" s="1" t="s">
        <v>1903</v>
      </c>
      <c r="D446" s="1" t="s">
        <v>27</v>
      </c>
      <c r="E446" s="1" t="s">
        <v>28</v>
      </c>
      <c r="F446" s="2">
        <v>2500000.0</v>
      </c>
      <c r="G446" s="4">
        <v>44872.0</v>
      </c>
      <c r="H446" s="4">
        <f>IFERROR(__xludf.DUMMYFUNCTION("DATE(INDEX(SPLIT(G446,""/""),,3),INDEX(SPLIT(G446,""/""),,2),INDEX(SPLIT(G446,""/""),,1))"),44753.0)</f>
        <v>44753</v>
      </c>
      <c r="I446" s="1" t="s">
        <v>430</v>
      </c>
      <c r="J446" s="4">
        <f>IFERROR(__xludf.DUMMYFUNCTION("DATE(INDEX(SPLIT(I446,""/""),,3),INDEX(SPLIT(I446,""/""),,2),INDEX(SPLIT(I446,""/""),,1))"),44985.0)</f>
        <v>44985</v>
      </c>
      <c r="L446" s="1">
        <v>0.0</v>
      </c>
      <c r="M446" s="1" t="s">
        <v>1904</v>
      </c>
      <c r="N446" s="1"/>
      <c r="O446" s="1" t="s">
        <v>30</v>
      </c>
      <c r="P446" s="1" t="s">
        <v>31</v>
      </c>
      <c r="Q446" s="1" t="s">
        <v>95</v>
      </c>
      <c r="R446" s="1" t="s">
        <v>95</v>
      </c>
      <c r="S446" s="1" t="s">
        <v>96</v>
      </c>
      <c r="T446" s="1" t="s">
        <v>111</v>
      </c>
      <c r="U446" s="1">
        <v>1.0059365E8</v>
      </c>
      <c r="X446" s="1" t="s">
        <v>63</v>
      </c>
      <c r="Y446" s="1" t="s">
        <v>1904</v>
      </c>
      <c r="Z446" s="1" t="s">
        <v>37</v>
      </c>
    </row>
    <row r="447" hidden="1">
      <c r="A447" s="1" t="s">
        <v>1905</v>
      </c>
      <c r="B447" s="1" t="s">
        <v>612</v>
      </c>
      <c r="C447" s="1" t="s">
        <v>1906</v>
      </c>
      <c r="D447" s="1" t="s">
        <v>27</v>
      </c>
      <c r="E447" s="1" t="s">
        <v>28</v>
      </c>
      <c r="F447" s="2">
        <v>2500000.0</v>
      </c>
      <c r="G447" s="1" t="s">
        <v>359</v>
      </c>
      <c r="H447" s="4">
        <f>IFERROR(__xludf.DUMMYFUNCTION("DATE(INDEX(SPLIT(G447,""/""),,3),INDEX(SPLIT(G447,""/""),,2),INDEX(SPLIT(G447,""/""),,1))"),44740.0)</f>
        <v>44740</v>
      </c>
      <c r="I447" s="1" t="s">
        <v>425</v>
      </c>
      <c r="J447" s="4">
        <f>IFERROR(__xludf.DUMMYFUNCTION("DATE(INDEX(SPLIT(I447,""/""),,3),INDEX(SPLIT(I447,""/""),,2),INDEX(SPLIT(I447,""/""),,1))"),44911.0)</f>
        <v>44911</v>
      </c>
      <c r="L447" s="1">
        <v>0.0</v>
      </c>
      <c r="M447" s="1" t="s">
        <v>1115</v>
      </c>
      <c r="N447" s="1"/>
      <c r="O447" s="1" t="s">
        <v>30</v>
      </c>
      <c r="P447" s="1" t="s">
        <v>31</v>
      </c>
      <c r="Q447" s="1" t="s">
        <v>157</v>
      </c>
      <c r="R447" s="1" t="s">
        <v>157</v>
      </c>
      <c r="S447" s="1" t="s">
        <v>158</v>
      </c>
      <c r="U447" s="1">
        <v>1.00609827E8</v>
      </c>
      <c r="X447" s="1" t="s">
        <v>490</v>
      </c>
      <c r="Y447" s="1" t="s">
        <v>1115</v>
      </c>
      <c r="Z447" s="1" t="s">
        <v>37</v>
      </c>
    </row>
    <row r="448" hidden="1">
      <c r="A448" s="1" t="s">
        <v>1907</v>
      </c>
      <c r="B448" s="1" t="s">
        <v>120</v>
      </c>
      <c r="C448" s="1" t="s">
        <v>1908</v>
      </c>
      <c r="D448" s="1" t="s">
        <v>27</v>
      </c>
      <c r="E448" s="1" t="s">
        <v>28</v>
      </c>
      <c r="F448" s="2">
        <v>2500000.0</v>
      </c>
      <c r="G448" s="1" t="s">
        <v>1442</v>
      </c>
      <c r="H448" s="4">
        <f>IFERROR(__xludf.DUMMYFUNCTION("DATE(INDEX(SPLIT(G448,""/""),,3),INDEX(SPLIT(G448,""/""),,2),INDEX(SPLIT(G448,""/""),,1))"),44727.0)</f>
        <v>44727</v>
      </c>
      <c r="I448" s="1" t="s">
        <v>1909</v>
      </c>
      <c r="J448" s="4">
        <f>IFERROR(__xludf.DUMMYFUNCTION("DATE(INDEX(SPLIT(I448,""/""),,3),INDEX(SPLIT(I448,""/""),,2),INDEX(SPLIT(I448,""/""),,1))"),44883.0)</f>
        <v>44883</v>
      </c>
      <c r="L448" s="1">
        <v>0.0</v>
      </c>
      <c r="M448" s="1" t="s">
        <v>166</v>
      </c>
      <c r="N448" s="1"/>
      <c r="O448" s="1" t="s">
        <v>30</v>
      </c>
      <c r="P448" s="1" t="s">
        <v>31</v>
      </c>
      <c r="Q448" s="1" t="s">
        <v>53</v>
      </c>
      <c r="R448" s="1" t="s">
        <v>53</v>
      </c>
      <c r="S448" s="1" t="s">
        <v>54</v>
      </c>
      <c r="U448" s="1">
        <v>1.00651094E8</v>
      </c>
      <c r="X448" s="1" t="s">
        <v>125</v>
      </c>
      <c r="Y448" s="1" t="s">
        <v>1910</v>
      </c>
      <c r="Z448" s="1" t="s">
        <v>37</v>
      </c>
    </row>
    <row r="449" hidden="1">
      <c r="A449" s="1" t="s">
        <v>1911</v>
      </c>
      <c r="B449" s="1" t="s">
        <v>1185</v>
      </c>
      <c r="C449" s="1" t="s">
        <v>1912</v>
      </c>
      <c r="D449" s="1" t="s">
        <v>78</v>
      </c>
      <c r="E449" s="1" t="s">
        <v>28</v>
      </c>
      <c r="F449" s="2">
        <v>2500000.0</v>
      </c>
      <c r="G449" s="1" t="s">
        <v>1092</v>
      </c>
      <c r="H449" s="4">
        <f>IFERROR(__xludf.DUMMYFUNCTION("DATE(INDEX(SPLIT(G449,""/""),,3),INDEX(SPLIT(G449,""/""),,2),INDEX(SPLIT(G449,""/""),,1))"),44489.0)</f>
        <v>44489</v>
      </c>
      <c r="I449" s="4">
        <v>44992.0</v>
      </c>
      <c r="J449" s="4">
        <f>IFERROR(__xludf.DUMMYFUNCTION("DATE(INDEX(SPLIT(I449,""/""),,3),INDEX(SPLIT(I449,""/""),,2),INDEX(SPLIT(I449,""/""),,1))"),45110.0)</f>
        <v>45110</v>
      </c>
      <c r="L449" s="1">
        <v>0.0</v>
      </c>
      <c r="M449" s="1" t="s">
        <v>1187</v>
      </c>
      <c r="N449" s="1"/>
      <c r="O449" s="1" t="s">
        <v>30</v>
      </c>
      <c r="P449" s="1" t="s">
        <v>31</v>
      </c>
      <c r="Q449" s="1" t="s">
        <v>95</v>
      </c>
      <c r="R449" s="1" t="s">
        <v>95</v>
      </c>
      <c r="S449" s="1" t="s">
        <v>96</v>
      </c>
      <c r="T449" s="1" t="s">
        <v>97</v>
      </c>
      <c r="U449" s="1">
        <v>1.00633643E8</v>
      </c>
      <c r="X449" s="1" t="s">
        <v>190</v>
      </c>
      <c r="Y449" s="1" t="s">
        <v>1187</v>
      </c>
      <c r="Z449" s="1" t="s">
        <v>37</v>
      </c>
    </row>
    <row r="450">
      <c r="A450" s="1" t="s">
        <v>1913</v>
      </c>
      <c r="B450" s="1" t="s">
        <v>1772</v>
      </c>
      <c r="C450" s="1" t="s">
        <v>1914</v>
      </c>
      <c r="D450" s="1" t="s">
        <v>27</v>
      </c>
      <c r="E450" s="1" t="s">
        <v>28</v>
      </c>
      <c r="F450" s="2">
        <v>2400000.0</v>
      </c>
      <c r="G450" s="4">
        <v>44113.0</v>
      </c>
      <c r="H450" s="4">
        <f>IFERROR(__xludf.DUMMYFUNCTION("DATE(INDEX(SPLIT(G450,""/""),,3),INDEX(SPLIT(G450,""/""),,2),INDEX(SPLIT(G450,""/""),,1))"),44084.0)</f>
        <v>44084</v>
      </c>
      <c r="I450" s="1" t="s">
        <v>226</v>
      </c>
      <c r="J450" s="4">
        <f>IFERROR(__xludf.DUMMYFUNCTION("DATE(INDEX(SPLIT(I450,""/""),,3),INDEX(SPLIT(I450,""/""),,2),INDEX(SPLIT(I450,""/""),,1))"),44771.0)</f>
        <v>44771</v>
      </c>
      <c r="L450" s="1">
        <v>0.0</v>
      </c>
      <c r="M450" s="1" t="s">
        <v>524</v>
      </c>
      <c r="N450" s="1"/>
      <c r="O450" s="1" t="s">
        <v>30</v>
      </c>
      <c r="P450" s="1" t="s">
        <v>31</v>
      </c>
      <c r="Q450" s="1" t="s">
        <v>32</v>
      </c>
      <c r="R450" s="1" t="s">
        <v>32</v>
      </c>
      <c r="S450" s="1" t="s">
        <v>33</v>
      </c>
      <c r="T450" s="1" t="s">
        <v>159</v>
      </c>
      <c r="U450" s="1">
        <v>1.00627768E8</v>
      </c>
      <c r="X450" s="1" t="s">
        <v>81</v>
      </c>
      <c r="Y450" s="1" t="s">
        <v>524</v>
      </c>
      <c r="Z450" s="1" t="s">
        <v>527</v>
      </c>
    </row>
    <row r="451" hidden="1">
      <c r="A451" s="1" t="s">
        <v>1915</v>
      </c>
      <c r="B451" s="1" t="s">
        <v>1916</v>
      </c>
      <c r="C451" s="1" t="s">
        <v>1917</v>
      </c>
      <c r="D451" s="1" t="s">
        <v>27</v>
      </c>
      <c r="E451" s="1" t="s">
        <v>28</v>
      </c>
      <c r="F451" s="2">
        <v>2400000.0</v>
      </c>
      <c r="G451" s="1" t="s">
        <v>41</v>
      </c>
      <c r="H451" s="4">
        <f>IFERROR(__xludf.DUMMYFUNCTION("DATE(INDEX(SPLIT(G451,""/""),,3),INDEX(SPLIT(G451,""/""),,2),INDEX(SPLIT(G451,""/""),,1))"),44607.0)</f>
        <v>44607</v>
      </c>
      <c r="I451" s="4">
        <v>44573.0</v>
      </c>
      <c r="J451" s="4">
        <f>IFERROR(__xludf.DUMMYFUNCTION("DATE(INDEX(SPLIT(I451,""/""),,3),INDEX(SPLIT(I451,""/""),,2),INDEX(SPLIT(I451,""/""),,1))"),44896.0)</f>
        <v>44896</v>
      </c>
      <c r="L451" s="1">
        <v>0.0</v>
      </c>
      <c r="M451" s="1" t="s">
        <v>1918</v>
      </c>
      <c r="N451" s="1"/>
      <c r="O451" s="1" t="s">
        <v>30</v>
      </c>
      <c r="P451" s="1" t="s">
        <v>31</v>
      </c>
      <c r="Q451" s="1" t="s">
        <v>53</v>
      </c>
      <c r="R451" s="1" t="s">
        <v>53</v>
      </c>
      <c r="S451" s="1" t="s">
        <v>54</v>
      </c>
      <c r="T451" s="1" t="s">
        <v>1386</v>
      </c>
      <c r="U451" s="1">
        <v>1.00638639E8</v>
      </c>
      <c r="X451" s="1" t="s">
        <v>609</v>
      </c>
      <c r="Y451" s="1" t="s">
        <v>1387</v>
      </c>
      <c r="Z451" s="1" t="s">
        <v>206</v>
      </c>
    </row>
    <row r="452">
      <c r="A452" s="1" t="s">
        <v>1919</v>
      </c>
      <c r="B452" s="1" t="s">
        <v>1216</v>
      </c>
      <c r="C452" s="1" t="s">
        <v>1920</v>
      </c>
      <c r="D452" s="1" t="s">
        <v>122</v>
      </c>
      <c r="E452" s="1" t="s">
        <v>28</v>
      </c>
      <c r="F452" s="2">
        <v>2400000.0</v>
      </c>
      <c r="G452" s="1" t="s">
        <v>354</v>
      </c>
      <c r="H452" s="4">
        <f>IFERROR(__xludf.DUMMYFUNCTION("DATE(INDEX(SPLIT(G452,""/""),,3),INDEX(SPLIT(G452,""/""),,2),INDEX(SPLIT(G452,""/""),,1))"),44673.0)</f>
        <v>44673</v>
      </c>
      <c r="I452" s="1" t="s">
        <v>607</v>
      </c>
      <c r="J452" s="4">
        <f>IFERROR(__xludf.DUMMYFUNCTION("DATE(INDEX(SPLIT(I452,""/""),,3),INDEX(SPLIT(I452,""/""),,2),INDEX(SPLIT(I452,""/""),,1))"),44770.0)</f>
        <v>44770</v>
      </c>
      <c r="L452" s="1">
        <v>0.0</v>
      </c>
      <c r="M452" s="1" t="s">
        <v>1921</v>
      </c>
      <c r="N452" s="1"/>
      <c r="O452" s="1" t="s">
        <v>30</v>
      </c>
      <c r="P452" s="1" t="s">
        <v>31</v>
      </c>
      <c r="Q452" s="1" t="s">
        <v>235</v>
      </c>
      <c r="R452" s="1" t="s">
        <v>235</v>
      </c>
      <c r="S452" s="1" t="s">
        <v>236</v>
      </c>
      <c r="T452" s="1" t="s">
        <v>753</v>
      </c>
      <c r="U452" s="1">
        <v>1.00612834E8</v>
      </c>
      <c r="X452" s="1" t="s">
        <v>88</v>
      </c>
      <c r="Y452" s="1" t="s">
        <v>1922</v>
      </c>
      <c r="Z452" s="1" t="s">
        <v>206</v>
      </c>
    </row>
    <row r="453" hidden="1">
      <c r="A453" s="1" t="s">
        <v>1923</v>
      </c>
      <c r="B453" s="1" t="s">
        <v>1772</v>
      </c>
      <c r="C453" s="1" t="s">
        <v>1924</v>
      </c>
      <c r="D453" s="1" t="s">
        <v>78</v>
      </c>
      <c r="E453" s="1" t="s">
        <v>28</v>
      </c>
      <c r="F453" s="2">
        <v>2400000.0</v>
      </c>
      <c r="G453" s="1" t="s">
        <v>711</v>
      </c>
      <c r="H453" s="4">
        <f>IFERROR(__xludf.DUMMYFUNCTION("DATE(INDEX(SPLIT(G453,""/""),,3),INDEX(SPLIT(G453,""/""),,2),INDEX(SPLIT(G453,""/""),,1))"),44279.0)</f>
        <v>44279</v>
      </c>
      <c r="I453" s="4">
        <v>44843.0</v>
      </c>
      <c r="J453" s="4">
        <f>IFERROR(__xludf.DUMMYFUNCTION("DATE(INDEX(SPLIT(I453,""/""),,3),INDEX(SPLIT(I453,""/""),,2),INDEX(SPLIT(I453,""/""),,1))"),44814.0)</f>
        <v>44814</v>
      </c>
      <c r="L453" s="1">
        <v>0.0</v>
      </c>
      <c r="M453" s="1" t="s">
        <v>1925</v>
      </c>
      <c r="N453" s="1"/>
      <c r="O453" s="1" t="s">
        <v>30</v>
      </c>
      <c r="P453" s="1" t="s">
        <v>31</v>
      </c>
      <c r="Q453" s="1" t="s">
        <v>32</v>
      </c>
      <c r="R453" s="1" t="s">
        <v>32</v>
      </c>
      <c r="S453" s="1" t="s">
        <v>33</v>
      </c>
      <c r="T453" s="1" t="s">
        <v>1926</v>
      </c>
      <c r="U453" s="1">
        <v>1.00626539E8</v>
      </c>
      <c r="X453" s="1" t="s">
        <v>81</v>
      </c>
      <c r="Y453" s="1" t="s">
        <v>740</v>
      </c>
      <c r="Z453" s="1" t="s">
        <v>527</v>
      </c>
    </row>
    <row r="454">
      <c r="A454" s="1" t="s">
        <v>1927</v>
      </c>
      <c r="B454" s="1" t="s">
        <v>1590</v>
      </c>
      <c r="C454" s="1" t="s">
        <v>1928</v>
      </c>
      <c r="D454" s="1" t="s">
        <v>122</v>
      </c>
      <c r="E454" s="1" t="s">
        <v>28</v>
      </c>
      <c r="F454" s="2">
        <v>2400000.0</v>
      </c>
      <c r="G454" s="1" t="s">
        <v>940</v>
      </c>
      <c r="H454" s="4">
        <f>IFERROR(__xludf.DUMMYFUNCTION("DATE(INDEX(SPLIT(G454,""/""),,3),INDEX(SPLIT(G454,""/""),,2),INDEX(SPLIT(G454,""/""),,1))"),44574.0)</f>
        <v>44574</v>
      </c>
      <c r="I454" s="1" t="s">
        <v>414</v>
      </c>
      <c r="J454" s="4">
        <f>IFERROR(__xludf.DUMMYFUNCTION("DATE(INDEX(SPLIT(I454,""/""),,3),INDEX(SPLIT(I454,""/""),,2),INDEX(SPLIT(I454,""/""),,1))"),44772.0)</f>
        <v>44772</v>
      </c>
      <c r="L454" s="1">
        <v>0.0</v>
      </c>
      <c r="M454" s="1" t="s">
        <v>1434</v>
      </c>
      <c r="N454" s="1"/>
      <c r="O454" s="1" t="s">
        <v>30</v>
      </c>
      <c r="P454" s="1" t="s">
        <v>31</v>
      </c>
      <c r="Q454" s="1" t="s">
        <v>95</v>
      </c>
      <c r="R454" s="1" t="s">
        <v>95</v>
      </c>
      <c r="S454" s="1" t="s">
        <v>96</v>
      </c>
      <c r="T454" s="1" t="s">
        <v>97</v>
      </c>
      <c r="U454" s="1">
        <v>1.00613841E8</v>
      </c>
      <c r="X454" s="1" t="s">
        <v>46</v>
      </c>
      <c r="Y454" s="1" t="s">
        <v>1929</v>
      </c>
      <c r="Z454" s="1" t="s">
        <v>37</v>
      </c>
    </row>
    <row r="455">
      <c r="A455" s="1" t="s">
        <v>1930</v>
      </c>
      <c r="B455" s="1" t="s">
        <v>1931</v>
      </c>
      <c r="C455" s="1" t="s">
        <v>1932</v>
      </c>
      <c r="D455" s="1" t="s">
        <v>68</v>
      </c>
      <c r="E455" s="1" t="s">
        <v>28</v>
      </c>
      <c r="F455" s="2">
        <v>2400000.0</v>
      </c>
      <c r="G455" s="4">
        <v>44626.0</v>
      </c>
      <c r="H455" s="4">
        <f>IFERROR(__xludf.DUMMYFUNCTION("DATE(INDEX(SPLIT(G455,""/""),,3),INDEX(SPLIT(G455,""/""),,2),INDEX(SPLIT(G455,""/""),,1))"),44715.0)</f>
        <v>44715</v>
      </c>
      <c r="I455" s="1" t="s">
        <v>226</v>
      </c>
      <c r="J455" s="4">
        <f>IFERROR(__xludf.DUMMYFUNCTION("DATE(INDEX(SPLIT(I455,""/""),,3),INDEX(SPLIT(I455,""/""),,2),INDEX(SPLIT(I455,""/""),,1))"),44771.0)</f>
        <v>44771</v>
      </c>
      <c r="L455" s="1">
        <v>0.0</v>
      </c>
      <c r="M455" s="1" t="s">
        <v>211</v>
      </c>
      <c r="N455" s="1"/>
      <c r="O455" s="1" t="s">
        <v>30</v>
      </c>
      <c r="P455" s="1" t="s">
        <v>31</v>
      </c>
      <c r="Q455" s="1" t="s">
        <v>71</v>
      </c>
      <c r="R455" s="1" t="s">
        <v>71</v>
      </c>
      <c r="S455" s="1" t="s">
        <v>72</v>
      </c>
      <c r="T455" s="1" t="s">
        <v>136</v>
      </c>
      <c r="U455" s="1">
        <v>1.00590896E8</v>
      </c>
      <c r="X455" s="1" t="s">
        <v>74</v>
      </c>
      <c r="Y455" s="1" t="s">
        <v>211</v>
      </c>
      <c r="Z455" s="1" t="s">
        <v>37</v>
      </c>
    </row>
    <row r="456" hidden="1">
      <c r="A456" s="1" t="s">
        <v>1933</v>
      </c>
      <c r="B456" s="1" t="s">
        <v>546</v>
      </c>
      <c r="C456" s="1" t="s">
        <v>1934</v>
      </c>
      <c r="D456" s="1" t="s">
        <v>27</v>
      </c>
      <c r="E456" s="1" t="s">
        <v>28</v>
      </c>
      <c r="F456" s="2">
        <v>2400000.0</v>
      </c>
      <c r="G456" s="4">
        <v>44598.0</v>
      </c>
      <c r="H456" s="4">
        <f>IFERROR(__xludf.DUMMYFUNCTION("DATE(INDEX(SPLIT(G456,""/""),,3),INDEX(SPLIT(G456,""/""),,2),INDEX(SPLIT(G456,""/""),,1))"),44714.0)</f>
        <v>44714</v>
      </c>
      <c r="I456" s="4">
        <v>45201.0</v>
      </c>
      <c r="J456" s="4">
        <f>IFERROR(__xludf.DUMMYFUNCTION("DATE(INDEX(SPLIT(I456,""/""),,3),INDEX(SPLIT(I456,""/""),,2),INDEX(SPLIT(I456,""/""),,1))"),44967.0)</f>
        <v>44967</v>
      </c>
      <c r="L456" s="1">
        <v>0.0</v>
      </c>
      <c r="M456" s="1" t="s">
        <v>318</v>
      </c>
      <c r="N456" s="1"/>
      <c r="O456" s="1" t="s">
        <v>30</v>
      </c>
      <c r="P456" s="1" t="s">
        <v>31</v>
      </c>
      <c r="Q456" s="1" t="s">
        <v>71</v>
      </c>
      <c r="R456" s="1" t="s">
        <v>71</v>
      </c>
      <c r="S456" s="1" t="s">
        <v>72</v>
      </c>
      <c r="T456" s="1" t="s">
        <v>73</v>
      </c>
      <c r="U456" s="1">
        <v>1.00654705E8</v>
      </c>
      <c r="X456" s="1" t="s">
        <v>74</v>
      </c>
      <c r="Y456" s="1" t="s">
        <v>318</v>
      </c>
      <c r="Z456" s="1" t="s">
        <v>37</v>
      </c>
    </row>
    <row r="457" hidden="1">
      <c r="A457" s="1" t="s">
        <v>1935</v>
      </c>
      <c r="B457" s="1" t="s">
        <v>948</v>
      </c>
      <c r="C457" s="1" t="s">
        <v>1936</v>
      </c>
      <c r="D457" s="1" t="s">
        <v>27</v>
      </c>
      <c r="E457" s="1" t="s">
        <v>28</v>
      </c>
      <c r="F457" s="2">
        <v>2396257.0</v>
      </c>
      <c r="G457" s="1" t="s">
        <v>1740</v>
      </c>
      <c r="H457" s="4">
        <f>IFERROR(__xludf.DUMMYFUNCTION("DATE(INDEX(SPLIT(G457,""/""),,3),INDEX(SPLIT(G457,""/""),,2),INDEX(SPLIT(G457,""/""),,1))"),44456.0)</f>
        <v>44456</v>
      </c>
      <c r="I457" s="1" t="s">
        <v>109</v>
      </c>
      <c r="J457" s="4">
        <f>IFERROR(__xludf.DUMMYFUNCTION("DATE(INDEX(SPLIT(I457,""/""),,3),INDEX(SPLIT(I457,""/""),,2),INDEX(SPLIT(I457,""/""),,1))"),44834.0)</f>
        <v>44834</v>
      </c>
      <c r="L457" s="1">
        <v>0.0</v>
      </c>
      <c r="M457" s="1" t="s">
        <v>1937</v>
      </c>
      <c r="N457" s="1"/>
      <c r="O457" s="1" t="s">
        <v>30</v>
      </c>
      <c r="P457" s="1" t="s">
        <v>31</v>
      </c>
      <c r="Q457" s="1" t="s">
        <v>157</v>
      </c>
      <c r="R457" s="1" t="s">
        <v>157</v>
      </c>
      <c r="S457" s="1" t="s">
        <v>158</v>
      </c>
      <c r="T457" s="1" t="s">
        <v>159</v>
      </c>
      <c r="U457" s="1">
        <v>1.00649264E8</v>
      </c>
      <c r="X457" s="1" t="s">
        <v>74</v>
      </c>
      <c r="Y457" s="1" t="s">
        <v>1938</v>
      </c>
      <c r="Z457" s="1" t="s">
        <v>37</v>
      </c>
    </row>
    <row r="458">
      <c r="A458" s="1" t="s">
        <v>1939</v>
      </c>
      <c r="B458" s="1" t="s">
        <v>954</v>
      </c>
      <c r="C458" s="1" t="s">
        <v>1940</v>
      </c>
      <c r="D458" s="1" t="s">
        <v>27</v>
      </c>
      <c r="E458" s="1" t="s">
        <v>28</v>
      </c>
      <c r="F458" s="2">
        <v>2390000.0</v>
      </c>
      <c r="G458" s="4">
        <v>44777.0</v>
      </c>
      <c r="H458" s="4">
        <f>IFERROR(__xludf.DUMMYFUNCTION("DATE(INDEX(SPLIT(G458,""/""),,3),INDEX(SPLIT(G458,""/""),,2),INDEX(SPLIT(G458,""/""),,1))"),44659.0)</f>
        <v>44659</v>
      </c>
      <c r="I458" s="1" t="s">
        <v>1244</v>
      </c>
      <c r="J458" s="4">
        <f>IFERROR(__xludf.DUMMYFUNCTION("DATE(INDEX(SPLIT(I458,""/""),,3),INDEX(SPLIT(I458,""/""),,2),INDEX(SPLIT(I458,""/""),,1))"),44742.0)</f>
        <v>44742</v>
      </c>
      <c r="L458" s="1">
        <v>0.0</v>
      </c>
      <c r="M458" s="1" t="s">
        <v>1941</v>
      </c>
      <c r="N458" s="1"/>
      <c r="O458" s="1" t="s">
        <v>30</v>
      </c>
      <c r="P458" s="1" t="s">
        <v>31</v>
      </c>
      <c r="Q458" s="1" t="s">
        <v>71</v>
      </c>
      <c r="R458" s="1" t="s">
        <v>71</v>
      </c>
      <c r="S458" s="1" t="s">
        <v>72</v>
      </c>
      <c r="T458" s="1" t="s">
        <v>73</v>
      </c>
      <c r="U458" s="1">
        <v>1.00649673E8</v>
      </c>
      <c r="X458" s="1" t="s">
        <v>74</v>
      </c>
      <c r="Y458" s="1" t="s">
        <v>957</v>
      </c>
      <c r="Z458" s="1" t="s">
        <v>37</v>
      </c>
    </row>
    <row r="459" hidden="1">
      <c r="A459" s="1" t="s">
        <v>1942</v>
      </c>
      <c r="B459" s="1" t="s">
        <v>83</v>
      </c>
      <c r="C459" s="1" t="s">
        <v>1943</v>
      </c>
      <c r="D459" s="1" t="s">
        <v>68</v>
      </c>
      <c r="E459" s="1" t="s">
        <v>28</v>
      </c>
      <c r="F459" s="2">
        <v>2300000.0</v>
      </c>
      <c r="G459" s="1" t="s">
        <v>429</v>
      </c>
      <c r="H459" s="4">
        <f>IFERROR(__xludf.DUMMYFUNCTION("DATE(INDEX(SPLIT(G459,""/""),,3),INDEX(SPLIT(G459,""/""),,2),INDEX(SPLIT(G459,""/""),,1))"),44739.0)</f>
        <v>44739</v>
      </c>
      <c r="I459" s="1" t="s">
        <v>130</v>
      </c>
      <c r="J459" s="4">
        <f>IFERROR(__xludf.DUMMYFUNCTION("DATE(INDEX(SPLIT(I459,""/""),,3),INDEX(SPLIT(I459,""/""),,2),INDEX(SPLIT(I459,""/""),,1))"),44804.0)</f>
        <v>44804</v>
      </c>
      <c r="L459" s="1">
        <v>0.0</v>
      </c>
      <c r="M459" s="1" t="s">
        <v>1944</v>
      </c>
      <c r="N459" s="1"/>
      <c r="O459" s="1" t="s">
        <v>30</v>
      </c>
      <c r="P459" s="1" t="s">
        <v>31</v>
      </c>
      <c r="Q459" s="1" t="s">
        <v>235</v>
      </c>
      <c r="R459" s="1" t="s">
        <v>235</v>
      </c>
      <c r="S459" s="1" t="s">
        <v>236</v>
      </c>
      <c r="T459" s="1" t="s">
        <v>753</v>
      </c>
      <c r="U459" s="1">
        <v>1.00628186E8</v>
      </c>
      <c r="V459" s="1" t="s">
        <v>1945</v>
      </c>
      <c r="W459" s="1" t="s">
        <v>717</v>
      </c>
      <c r="X459" s="1" t="s">
        <v>88</v>
      </c>
      <c r="Y459" s="1" t="s">
        <v>1946</v>
      </c>
      <c r="Z459" s="1" t="s">
        <v>37</v>
      </c>
    </row>
    <row r="460" hidden="1">
      <c r="A460" s="1" t="s">
        <v>1947</v>
      </c>
      <c r="B460" s="1" t="s">
        <v>162</v>
      </c>
      <c r="C460" s="1" t="s">
        <v>1948</v>
      </c>
      <c r="D460" s="1" t="s">
        <v>122</v>
      </c>
      <c r="E460" s="1" t="s">
        <v>28</v>
      </c>
      <c r="F460" s="2">
        <v>2250000.0</v>
      </c>
      <c r="G460" s="1" t="s">
        <v>836</v>
      </c>
      <c r="H460" s="4">
        <f>IFERROR(__xludf.DUMMYFUNCTION("DATE(INDEX(SPLIT(G460,""/""),,3),INDEX(SPLIT(G460,""/""),,2),INDEX(SPLIT(G460,""/""),,1))"),44610.0)</f>
        <v>44610</v>
      </c>
      <c r="I460" s="4">
        <v>44601.0</v>
      </c>
      <c r="J460" s="4">
        <f>IFERROR(__xludf.DUMMYFUNCTION("DATE(INDEX(SPLIT(I460,""/""),,3),INDEX(SPLIT(I460,""/""),,2),INDEX(SPLIT(I460,""/""),,1))"),44806.0)</f>
        <v>44806</v>
      </c>
      <c r="L460" s="1">
        <v>0.0</v>
      </c>
      <c r="M460" s="1" t="s">
        <v>303</v>
      </c>
      <c r="N460" s="1"/>
      <c r="O460" s="1" t="s">
        <v>30</v>
      </c>
      <c r="P460" s="1" t="s">
        <v>31</v>
      </c>
      <c r="Q460" s="1" t="s">
        <v>95</v>
      </c>
      <c r="R460" s="1" t="s">
        <v>95</v>
      </c>
      <c r="S460" s="1" t="s">
        <v>96</v>
      </c>
      <c r="T460" s="1" t="s">
        <v>97</v>
      </c>
      <c r="U460" s="1">
        <v>1.00623914E8</v>
      </c>
      <c r="X460" s="1" t="s">
        <v>117</v>
      </c>
      <c r="Y460" s="1" t="s">
        <v>578</v>
      </c>
      <c r="Z460" s="1" t="s">
        <v>37</v>
      </c>
    </row>
    <row r="461" hidden="1">
      <c r="A461" s="1" t="s">
        <v>1949</v>
      </c>
      <c r="B461" s="1" t="s">
        <v>1826</v>
      </c>
      <c r="C461" s="1" t="s">
        <v>1950</v>
      </c>
      <c r="D461" s="1" t="s">
        <v>78</v>
      </c>
      <c r="E461" s="1" t="s">
        <v>28</v>
      </c>
      <c r="F461" s="2">
        <v>2250000.0</v>
      </c>
      <c r="G461" s="1" t="s">
        <v>275</v>
      </c>
      <c r="H461" s="4">
        <f>IFERROR(__xludf.DUMMYFUNCTION("DATE(INDEX(SPLIT(G461,""/""),,3),INDEX(SPLIT(G461,""/""),,2),INDEX(SPLIT(G461,""/""),,1))"),44462.0)</f>
        <v>44462</v>
      </c>
      <c r="I461" s="1" t="s">
        <v>109</v>
      </c>
      <c r="J461" s="4">
        <f>IFERROR(__xludf.DUMMYFUNCTION("DATE(INDEX(SPLIT(I461,""/""),,3),INDEX(SPLIT(I461,""/""),,2),INDEX(SPLIT(I461,""/""),,1))"),44834.0)</f>
        <v>44834</v>
      </c>
      <c r="L461" s="1">
        <v>0.0</v>
      </c>
      <c r="M461" s="1" t="s">
        <v>1828</v>
      </c>
      <c r="N461" s="1"/>
      <c r="O461" s="1" t="s">
        <v>30</v>
      </c>
      <c r="P461" s="1" t="s">
        <v>31</v>
      </c>
      <c r="Q461" s="1" t="s">
        <v>235</v>
      </c>
      <c r="R461" s="1" t="s">
        <v>235</v>
      </c>
      <c r="S461" s="1" t="s">
        <v>236</v>
      </c>
      <c r="T461" s="1" t="s">
        <v>1349</v>
      </c>
      <c r="U461" s="1">
        <v>1.00593918E8</v>
      </c>
      <c r="W461" s="1" t="s">
        <v>56</v>
      </c>
      <c r="X461" s="1" t="s">
        <v>375</v>
      </c>
      <c r="Y461" s="1" t="s">
        <v>1829</v>
      </c>
      <c r="Z461" s="1" t="s">
        <v>37</v>
      </c>
    </row>
    <row r="462" hidden="1">
      <c r="A462" s="1" t="s">
        <v>1951</v>
      </c>
      <c r="B462" s="1" t="s">
        <v>672</v>
      </c>
      <c r="C462" s="1" t="s">
        <v>1952</v>
      </c>
      <c r="D462" s="1" t="s">
        <v>27</v>
      </c>
      <c r="E462" s="1" t="s">
        <v>28</v>
      </c>
      <c r="F462" s="2">
        <v>2200000.0</v>
      </c>
      <c r="G462" s="1" t="s">
        <v>518</v>
      </c>
      <c r="H462" s="4">
        <f>IFERROR(__xludf.DUMMYFUNCTION("DATE(INDEX(SPLIT(G462,""/""),,3),INDEX(SPLIT(G462,""/""),,2),INDEX(SPLIT(G462,""/""),,1))"),44757.0)</f>
        <v>44757</v>
      </c>
      <c r="I462" s="1" t="s">
        <v>535</v>
      </c>
      <c r="J462" s="4">
        <f>IFERROR(__xludf.DUMMYFUNCTION("DATE(INDEX(SPLIT(I462,""/""),,3),INDEX(SPLIT(I462,""/""),,2),INDEX(SPLIT(I462,""/""),,1))"),44957.0)</f>
        <v>44957</v>
      </c>
      <c r="L462" s="1">
        <v>0.0</v>
      </c>
      <c r="M462" s="1" t="s">
        <v>1953</v>
      </c>
      <c r="N462" s="1"/>
      <c r="O462" s="1" t="s">
        <v>30</v>
      </c>
      <c r="P462" s="1" t="s">
        <v>31</v>
      </c>
      <c r="Q462" s="1" t="s">
        <v>53</v>
      </c>
      <c r="R462" s="1" t="s">
        <v>53</v>
      </c>
      <c r="S462" s="1" t="s">
        <v>54</v>
      </c>
      <c r="T462" s="1" t="s">
        <v>438</v>
      </c>
      <c r="U462" s="1">
        <v>1.01026035E8</v>
      </c>
      <c r="X462" s="1" t="s">
        <v>88</v>
      </c>
      <c r="Y462" s="1" t="s">
        <v>1954</v>
      </c>
      <c r="Z462" s="1" t="s">
        <v>37</v>
      </c>
    </row>
    <row r="463">
      <c r="A463" s="1" t="s">
        <v>1955</v>
      </c>
      <c r="B463" s="1" t="s">
        <v>1956</v>
      </c>
      <c r="C463" s="1" t="s">
        <v>1957</v>
      </c>
      <c r="D463" s="1" t="s">
        <v>68</v>
      </c>
      <c r="E463" s="1" t="s">
        <v>28</v>
      </c>
      <c r="F463" s="2">
        <v>2200000.0</v>
      </c>
      <c r="G463" s="1" t="s">
        <v>1958</v>
      </c>
      <c r="H463" s="4">
        <f>IFERROR(__xludf.DUMMYFUNCTION("DATE(INDEX(SPLIT(G463,""/""),,3),INDEX(SPLIT(G463,""/""),,2),INDEX(SPLIT(G463,""/""),,1))"),44583.0)</f>
        <v>44583</v>
      </c>
      <c r="I463" s="1" t="s">
        <v>1244</v>
      </c>
      <c r="J463" s="4">
        <f>IFERROR(__xludf.DUMMYFUNCTION("DATE(INDEX(SPLIT(I463,""/""),,3),INDEX(SPLIT(I463,""/""),,2),INDEX(SPLIT(I463,""/""),,1))"),44742.0)</f>
        <v>44742</v>
      </c>
      <c r="L463" s="1">
        <v>0.0</v>
      </c>
      <c r="M463" s="1" t="s">
        <v>1959</v>
      </c>
      <c r="N463" s="1"/>
      <c r="O463" s="1" t="s">
        <v>30</v>
      </c>
      <c r="P463" s="1" t="s">
        <v>31</v>
      </c>
      <c r="Q463" s="1" t="s">
        <v>228</v>
      </c>
      <c r="R463" s="1" t="s">
        <v>228</v>
      </c>
      <c r="S463" s="1" t="s">
        <v>229</v>
      </c>
      <c r="T463" s="1" t="s">
        <v>640</v>
      </c>
      <c r="U463" s="1">
        <v>1.00955805E8</v>
      </c>
      <c r="X463" s="1" t="s">
        <v>98</v>
      </c>
      <c r="Y463" s="1" t="s">
        <v>1959</v>
      </c>
      <c r="Z463" s="1" t="s">
        <v>37</v>
      </c>
    </row>
    <row r="464">
      <c r="A464" s="1" t="s">
        <v>1960</v>
      </c>
      <c r="B464" s="1" t="s">
        <v>672</v>
      </c>
      <c r="C464" s="1" t="s">
        <v>1961</v>
      </c>
      <c r="D464" s="1" t="s">
        <v>68</v>
      </c>
      <c r="E464" s="1" t="s">
        <v>28</v>
      </c>
      <c r="F464" s="2">
        <v>2200000.0</v>
      </c>
      <c r="G464" s="1" t="s">
        <v>1288</v>
      </c>
      <c r="H464" s="4">
        <f>IFERROR(__xludf.DUMMYFUNCTION("DATE(INDEX(SPLIT(G464,""/""),,3),INDEX(SPLIT(G464,""/""),,2),INDEX(SPLIT(G464,""/""),,1))"),44707.0)</f>
        <v>44707</v>
      </c>
      <c r="I464" s="4">
        <v>44568.0</v>
      </c>
      <c r="J464" s="4">
        <f>IFERROR(__xludf.DUMMYFUNCTION("DATE(INDEX(SPLIT(I464,""/""),,3),INDEX(SPLIT(I464,""/""),,2),INDEX(SPLIT(I464,""/""),,1))"),44743.0)</f>
        <v>44743</v>
      </c>
      <c r="L464" s="1">
        <v>0.0</v>
      </c>
      <c r="M464" s="1" t="s">
        <v>1953</v>
      </c>
      <c r="N464" s="1"/>
      <c r="O464" s="1" t="s">
        <v>30</v>
      </c>
      <c r="P464" s="1" t="s">
        <v>31</v>
      </c>
      <c r="Q464" s="1" t="s">
        <v>53</v>
      </c>
      <c r="R464" s="1" t="s">
        <v>53</v>
      </c>
      <c r="S464" s="1" t="s">
        <v>54</v>
      </c>
      <c r="T464" s="1" t="s">
        <v>438</v>
      </c>
      <c r="U464" s="1">
        <v>1.01026035E8</v>
      </c>
      <c r="X464" s="1" t="s">
        <v>88</v>
      </c>
      <c r="Y464" s="1" t="s">
        <v>1954</v>
      </c>
      <c r="Z464" s="1" t="s">
        <v>37</v>
      </c>
    </row>
    <row r="465" hidden="1">
      <c r="A465" s="1" t="s">
        <v>1962</v>
      </c>
      <c r="B465" s="1" t="s">
        <v>1963</v>
      </c>
      <c r="C465" s="1" t="s">
        <v>1964</v>
      </c>
      <c r="D465" s="1" t="s">
        <v>78</v>
      </c>
      <c r="E465" s="1" t="s">
        <v>28</v>
      </c>
      <c r="F465" s="2">
        <v>2200000.0</v>
      </c>
      <c r="G465" s="1" t="s">
        <v>1551</v>
      </c>
      <c r="H465" s="4">
        <f>IFERROR(__xludf.DUMMYFUNCTION("DATE(INDEX(SPLIT(G465,""/""),,3),INDEX(SPLIT(G465,""/""),,2),INDEX(SPLIT(G465,""/""),,1))"),44618.0)</f>
        <v>44618</v>
      </c>
      <c r="I465" s="1" t="s">
        <v>215</v>
      </c>
      <c r="J465" s="4">
        <f>IFERROR(__xludf.DUMMYFUNCTION("DATE(INDEX(SPLIT(I465,""/""),,3),INDEX(SPLIT(I465,""/""),,2),INDEX(SPLIT(I465,""/""),,1))"),45093.0)</f>
        <v>45093</v>
      </c>
      <c r="L465" s="1">
        <v>0.0</v>
      </c>
      <c r="M465" s="1" t="s">
        <v>1194</v>
      </c>
      <c r="N465" s="1"/>
      <c r="O465" s="1" t="s">
        <v>30</v>
      </c>
      <c r="P465" s="1" t="s">
        <v>31</v>
      </c>
      <c r="Q465" s="1" t="s">
        <v>32</v>
      </c>
      <c r="R465" s="1" t="s">
        <v>32</v>
      </c>
      <c r="S465" s="1" t="s">
        <v>33</v>
      </c>
      <c r="T465" s="1" t="s">
        <v>1195</v>
      </c>
      <c r="U465" s="1">
        <v>1.00586863E8</v>
      </c>
      <c r="X465" s="1" t="s">
        <v>490</v>
      </c>
      <c r="Y465" s="1" t="s">
        <v>1196</v>
      </c>
      <c r="Z465" s="1" t="s">
        <v>37</v>
      </c>
    </row>
    <row r="466" hidden="1">
      <c r="A466" s="1" t="s">
        <v>1965</v>
      </c>
      <c r="B466" s="1" t="s">
        <v>1966</v>
      </c>
      <c r="C466" s="1" t="s">
        <v>1635</v>
      </c>
      <c r="D466" s="1" t="s">
        <v>27</v>
      </c>
      <c r="E466" s="1" t="s">
        <v>28</v>
      </c>
      <c r="F466" s="2">
        <v>2200000.0</v>
      </c>
      <c r="G466" s="4">
        <v>44656.0</v>
      </c>
      <c r="H466" s="4">
        <f>IFERROR(__xludf.DUMMYFUNCTION("DATE(INDEX(SPLIT(G466,""/""),,3),INDEX(SPLIT(G466,""/""),,2),INDEX(SPLIT(G466,""/""),,1))"),44685.0)</f>
        <v>44685</v>
      </c>
      <c r="I466" s="1" t="s">
        <v>1097</v>
      </c>
      <c r="J466" s="4">
        <f>IFERROR(__xludf.DUMMYFUNCTION("DATE(INDEX(SPLIT(I466,""/""),,3),INDEX(SPLIT(I466,""/""),,2),INDEX(SPLIT(I466,""/""),,1))"),45107.0)</f>
        <v>45107</v>
      </c>
      <c r="L466" s="1">
        <v>0.0</v>
      </c>
      <c r="M466" s="1" t="s">
        <v>1194</v>
      </c>
      <c r="N466" s="1"/>
      <c r="O466" s="1" t="s">
        <v>30</v>
      </c>
      <c r="P466" s="1" t="s">
        <v>31</v>
      </c>
      <c r="Q466" s="1" t="s">
        <v>32</v>
      </c>
      <c r="R466" s="1" t="s">
        <v>32</v>
      </c>
      <c r="S466" s="1" t="s">
        <v>33</v>
      </c>
      <c r="T466" s="1" t="s">
        <v>1195</v>
      </c>
      <c r="U466" s="1">
        <v>1.00586863E8</v>
      </c>
      <c r="X466" s="1" t="s">
        <v>125</v>
      </c>
      <c r="Y466" s="1" t="s">
        <v>1636</v>
      </c>
      <c r="Z466" s="1" t="s">
        <v>37</v>
      </c>
    </row>
    <row r="467" hidden="1">
      <c r="A467" s="1" t="s">
        <v>1967</v>
      </c>
      <c r="B467" s="1" t="s">
        <v>1535</v>
      </c>
      <c r="C467" s="1" t="s">
        <v>1968</v>
      </c>
      <c r="D467" s="1" t="s">
        <v>27</v>
      </c>
      <c r="E467" s="1" t="s">
        <v>28</v>
      </c>
      <c r="F467" s="2">
        <v>2200000.0</v>
      </c>
      <c r="G467" s="1" t="s">
        <v>1259</v>
      </c>
      <c r="H467" s="4">
        <f>IFERROR(__xludf.DUMMYFUNCTION("DATE(INDEX(SPLIT(G467,""/""),,3),INDEX(SPLIT(G467,""/""),,2),INDEX(SPLIT(G467,""/""),,1))"),44763.0)</f>
        <v>44763</v>
      </c>
      <c r="I467" s="1" t="s">
        <v>921</v>
      </c>
      <c r="J467" s="4">
        <f>IFERROR(__xludf.DUMMYFUNCTION("DATE(INDEX(SPLIT(I467,""/""),,3),INDEX(SPLIT(I467,""/""),,2),INDEX(SPLIT(I467,""/""),,1))"),44981.0)</f>
        <v>44981</v>
      </c>
      <c r="L467" s="1">
        <v>0.0</v>
      </c>
      <c r="M467" s="1" t="s">
        <v>1704</v>
      </c>
      <c r="N467" s="1"/>
      <c r="O467" s="1" t="s">
        <v>30</v>
      </c>
      <c r="P467" s="1" t="s">
        <v>31</v>
      </c>
      <c r="Q467" s="1" t="s">
        <v>157</v>
      </c>
      <c r="R467" s="1" t="s">
        <v>157</v>
      </c>
      <c r="S467" s="1" t="s">
        <v>158</v>
      </c>
      <c r="T467" s="1" t="s">
        <v>442</v>
      </c>
      <c r="U467" s="1">
        <v>1.00654991E8</v>
      </c>
      <c r="X467" s="1" t="s">
        <v>490</v>
      </c>
      <c r="Y467" s="1" t="s">
        <v>1969</v>
      </c>
      <c r="Z467" s="1" t="s">
        <v>37</v>
      </c>
    </row>
    <row r="468" hidden="1">
      <c r="A468" s="1" t="s">
        <v>1970</v>
      </c>
      <c r="B468" s="1" t="s">
        <v>1971</v>
      </c>
      <c r="C468" s="1" t="s">
        <v>1972</v>
      </c>
      <c r="D468" s="1" t="s">
        <v>122</v>
      </c>
      <c r="E468" s="1" t="s">
        <v>28</v>
      </c>
      <c r="F468" s="2">
        <v>2200000.0</v>
      </c>
      <c r="G468" s="1" t="s">
        <v>518</v>
      </c>
      <c r="H468" s="4">
        <f>IFERROR(__xludf.DUMMYFUNCTION("DATE(INDEX(SPLIT(G468,""/""),,3),INDEX(SPLIT(G468,""/""),,2),INDEX(SPLIT(G468,""/""),,1))"),44757.0)</f>
        <v>44757</v>
      </c>
      <c r="I468" s="1" t="s">
        <v>130</v>
      </c>
      <c r="J468" s="4">
        <f>IFERROR(__xludf.DUMMYFUNCTION("DATE(INDEX(SPLIT(I468,""/""),,3),INDEX(SPLIT(I468,""/""),,2),INDEX(SPLIT(I468,""/""),,1))"),44804.0)</f>
        <v>44804</v>
      </c>
      <c r="L468" s="1">
        <v>0.0</v>
      </c>
      <c r="M468" s="1" t="s">
        <v>79</v>
      </c>
      <c r="N468" s="1"/>
      <c r="O468" s="1" t="s">
        <v>30</v>
      </c>
      <c r="P468" s="1" t="s">
        <v>31</v>
      </c>
      <c r="Q468" s="1" t="s">
        <v>32</v>
      </c>
      <c r="R468" s="1" t="s">
        <v>32</v>
      </c>
      <c r="S468" s="1" t="s">
        <v>33</v>
      </c>
      <c r="T468" s="1" t="s">
        <v>34</v>
      </c>
      <c r="U468" s="1">
        <v>1.00609569E8</v>
      </c>
      <c r="X468" s="1" t="s">
        <v>35</v>
      </c>
      <c r="Y468" s="1" t="s">
        <v>878</v>
      </c>
      <c r="Z468" s="1" t="s">
        <v>37</v>
      </c>
    </row>
    <row r="469">
      <c r="A469" s="1" t="s">
        <v>1973</v>
      </c>
      <c r="B469" s="1" t="s">
        <v>1144</v>
      </c>
      <c r="C469" s="1" t="s">
        <v>1974</v>
      </c>
      <c r="D469" s="1" t="s">
        <v>68</v>
      </c>
      <c r="E469" s="1" t="s">
        <v>28</v>
      </c>
      <c r="F469" s="2">
        <v>2150000.0</v>
      </c>
      <c r="G469" s="1" t="s">
        <v>624</v>
      </c>
      <c r="H469" s="4">
        <f>IFERROR(__xludf.DUMMYFUNCTION("DATE(INDEX(SPLIT(G469,""/""),,3),INDEX(SPLIT(G469,""/""),,2),INDEX(SPLIT(G469,""/""),,1))"),44642.0)</f>
        <v>44642</v>
      </c>
      <c r="I469" s="1" t="s">
        <v>108</v>
      </c>
      <c r="J469" s="4">
        <f>IFERROR(__xludf.DUMMYFUNCTION("DATE(INDEX(SPLIT(I469,""/""),,3),INDEX(SPLIT(I469,""/""),,2),INDEX(SPLIT(I469,""/""),,1))"),44725.0)</f>
        <v>44725</v>
      </c>
      <c r="L469" s="1">
        <v>0.0</v>
      </c>
      <c r="M469" s="1" t="s">
        <v>1146</v>
      </c>
      <c r="N469" s="1"/>
      <c r="O469" s="1" t="s">
        <v>30</v>
      </c>
      <c r="P469" s="1" t="s">
        <v>31</v>
      </c>
      <c r="Q469" s="1" t="s">
        <v>228</v>
      </c>
      <c r="R469" s="1" t="s">
        <v>228</v>
      </c>
      <c r="S469" s="1" t="s">
        <v>229</v>
      </c>
      <c r="U469" s="1">
        <v>1.0061139E8</v>
      </c>
      <c r="V469" s="1" t="s">
        <v>1975</v>
      </c>
      <c r="W469" s="1" t="s">
        <v>717</v>
      </c>
      <c r="X469" s="1" t="s">
        <v>63</v>
      </c>
      <c r="Y469" s="1" t="s">
        <v>1976</v>
      </c>
      <c r="Z469" s="1" t="s">
        <v>37</v>
      </c>
    </row>
    <row r="470" hidden="1">
      <c r="A470" s="1" t="s">
        <v>1977</v>
      </c>
      <c r="B470" s="1" t="s">
        <v>555</v>
      </c>
      <c r="C470" s="1" t="s">
        <v>1978</v>
      </c>
      <c r="D470" s="1" t="s">
        <v>78</v>
      </c>
      <c r="E470" s="1" t="s">
        <v>28</v>
      </c>
      <c r="F470" s="2">
        <v>2100000.0</v>
      </c>
      <c r="G470" s="1" t="s">
        <v>1979</v>
      </c>
      <c r="H470" s="4">
        <f>IFERROR(__xludf.DUMMYFUNCTION("DATE(INDEX(SPLIT(G470,""/""),,3),INDEX(SPLIT(G470,""/""),,2),INDEX(SPLIT(G470,""/""),,1))"),44305.0)</f>
        <v>44305</v>
      </c>
      <c r="I470" s="4">
        <v>44689.0</v>
      </c>
      <c r="J470" s="4">
        <f>IFERROR(__xludf.DUMMYFUNCTION("DATE(INDEX(SPLIT(I470,""/""),,3),INDEX(SPLIT(I470,""/""),,2),INDEX(SPLIT(I470,""/""),,1))"),44778.0)</f>
        <v>44778</v>
      </c>
      <c r="L470" s="1">
        <v>0.0</v>
      </c>
      <c r="M470" s="1" t="s">
        <v>558</v>
      </c>
      <c r="N470" s="1"/>
      <c r="O470" s="1" t="s">
        <v>30</v>
      </c>
      <c r="P470" s="1" t="s">
        <v>31</v>
      </c>
      <c r="Q470" s="1" t="s">
        <v>53</v>
      </c>
      <c r="R470" s="1" t="s">
        <v>53</v>
      </c>
      <c r="S470" s="1" t="s">
        <v>54</v>
      </c>
      <c r="T470" s="1" t="s">
        <v>87</v>
      </c>
      <c r="U470" s="1">
        <v>1.00653597E8</v>
      </c>
      <c r="X470" s="1" t="s">
        <v>88</v>
      </c>
      <c r="Y470" s="1" t="s">
        <v>558</v>
      </c>
      <c r="Z470" s="1" t="s">
        <v>37</v>
      </c>
    </row>
    <row r="471" hidden="1">
      <c r="A471" s="1" t="s">
        <v>1980</v>
      </c>
      <c r="B471" s="1" t="s">
        <v>566</v>
      </c>
      <c r="C471" s="1" t="s">
        <v>572</v>
      </c>
      <c r="D471" s="1" t="s">
        <v>78</v>
      </c>
      <c r="E471" s="1" t="s">
        <v>28</v>
      </c>
      <c r="F471" s="2">
        <v>2100000.0</v>
      </c>
      <c r="G471" s="4">
        <v>44318.0</v>
      </c>
      <c r="H471" s="4">
        <f>IFERROR(__xludf.DUMMYFUNCTION("DATE(INDEX(SPLIT(G471,""/""),,3),INDEX(SPLIT(G471,""/""),,2),INDEX(SPLIT(G471,""/""),,1))"),44232.0)</f>
        <v>44232</v>
      </c>
      <c r="I471" s="4">
        <v>44988.0</v>
      </c>
      <c r="J471" s="4">
        <f>IFERROR(__xludf.DUMMYFUNCTION("DATE(INDEX(SPLIT(I471,""/""),,3),INDEX(SPLIT(I471,""/""),,2),INDEX(SPLIT(I471,""/""),,1))"),44988.0)</f>
        <v>44988</v>
      </c>
      <c r="L471" s="1">
        <v>0.0</v>
      </c>
      <c r="M471" s="1" t="s">
        <v>570</v>
      </c>
      <c r="N471" s="1"/>
      <c r="O471" s="1" t="s">
        <v>30</v>
      </c>
      <c r="P471" s="1" t="s">
        <v>31</v>
      </c>
      <c r="Q471" s="1" t="s">
        <v>157</v>
      </c>
      <c r="R471" s="1" t="s">
        <v>157</v>
      </c>
      <c r="S471" s="1" t="s">
        <v>158</v>
      </c>
      <c r="T471" s="1" t="s">
        <v>571</v>
      </c>
      <c r="U471" s="1">
        <v>1.00586314E8</v>
      </c>
      <c r="W471" s="1" t="s">
        <v>56</v>
      </c>
      <c r="X471" s="1" t="s">
        <v>63</v>
      </c>
      <c r="Y471" s="1" t="s">
        <v>570</v>
      </c>
      <c r="Z471" s="1" t="s">
        <v>37</v>
      </c>
    </row>
    <row r="472">
      <c r="A472" s="1" t="s">
        <v>1981</v>
      </c>
      <c r="B472" s="1" t="s">
        <v>516</v>
      </c>
      <c r="C472" s="1" t="s">
        <v>1982</v>
      </c>
      <c r="D472" s="1" t="s">
        <v>78</v>
      </c>
      <c r="E472" s="1" t="s">
        <v>28</v>
      </c>
      <c r="F472" s="2">
        <v>2050000.0</v>
      </c>
      <c r="G472" s="1" t="s">
        <v>518</v>
      </c>
      <c r="H472" s="4">
        <f>IFERROR(__xludf.DUMMYFUNCTION("DATE(INDEX(SPLIT(G472,""/""),,3),INDEX(SPLIT(G472,""/""),,2),INDEX(SPLIT(G472,""/""),,1))"),44757.0)</f>
        <v>44757</v>
      </c>
      <c r="I472" s="1" t="s">
        <v>69</v>
      </c>
      <c r="J472" s="4">
        <f>IFERROR(__xludf.DUMMYFUNCTION("DATE(INDEX(SPLIT(I472,""/""),,3),INDEX(SPLIT(I472,""/""),,2),INDEX(SPLIT(I472,""/""),,1))"),44773.0)</f>
        <v>44773</v>
      </c>
      <c r="L472" s="1">
        <v>0.0</v>
      </c>
      <c r="M472" s="1" t="s">
        <v>1576</v>
      </c>
      <c r="N472" s="1"/>
      <c r="O472" s="1" t="s">
        <v>30</v>
      </c>
      <c r="P472" s="1" t="s">
        <v>31</v>
      </c>
      <c r="Q472" s="1" t="s">
        <v>188</v>
      </c>
      <c r="R472" s="1" t="s">
        <v>188</v>
      </c>
      <c r="S472" s="1" t="s">
        <v>189</v>
      </c>
      <c r="U472" s="1">
        <v>1.00619007E8</v>
      </c>
      <c r="X472" s="1" t="s">
        <v>254</v>
      </c>
      <c r="Y472" s="1" t="s">
        <v>1983</v>
      </c>
      <c r="Z472" s="1" t="s">
        <v>37</v>
      </c>
    </row>
    <row r="473" hidden="1">
      <c r="A473" s="1" t="s">
        <v>1984</v>
      </c>
      <c r="B473" s="1" t="s">
        <v>1634</v>
      </c>
      <c r="C473" s="1" t="s">
        <v>1985</v>
      </c>
      <c r="D473" s="1" t="s">
        <v>27</v>
      </c>
      <c r="E473" s="1" t="s">
        <v>28</v>
      </c>
      <c r="F473" s="2">
        <v>2000000.0</v>
      </c>
      <c r="G473" s="4">
        <v>44868.0</v>
      </c>
      <c r="H473" s="4">
        <f>IFERROR(__xludf.DUMMYFUNCTION("DATE(INDEX(SPLIT(G473,""/""),,3),INDEX(SPLIT(G473,""/""),,2),INDEX(SPLIT(G473,""/""),,1))"),44631.0)</f>
        <v>44631</v>
      </c>
      <c r="I473" s="1" t="s">
        <v>569</v>
      </c>
      <c r="J473" s="4">
        <f>IFERROR(__xludf.DUMMYFUNCTION("DATE(INDEX(SPLIT(I473,""/""),,3),INDEX(SPLIT(I473,""/""),,2),INDEX(SPLIT(I473,""/""),,1))"),45016.0)</f>
        <v>45016</v>
      </c>
      <c r="L473" s="1">
        <v>0.0</v>
      </c>
      <c r="M473" s="1" t="s">
        <v>614</v>
      </c>
      <c r="N473" s="1"/>
      <c r="O473" s="1" t="s">
        <v>30</v>
      </c>
      <c r="P473" s="1" t="s">
        <v>31</v>
      </c>
      <c r="Q473" s="1" t="s">
        <v>71</v>
      </c>
      <c r="R473" s="1" t="s">
        <v>71</v>
      </c>
      <c r="S473" s="1" t="s">
        <v>72</v>
      </c>
      <c r="T473" s="1" t="s">
        <v>615</v>
      </c>
      <c r="U473" s="1">
        <v>1.00869732E8</v>
      </c>
      <c r="X473" s="1" t="s">
        <v>490</v>
      </c>
      <c r="Y473" s="1" t="s">
        <v>1841</v>
      </c>
      <c r="Z473" s="1" t="s">
        <v>37</v>
      </c>
    </row>
    <row r="474" hidden="1">
      <c r="A474" s="1" t="s">
        <v>1986</v>
      </c>
      <c r="B474" s="1" t="s">
        <v>1511</v>
      </c>
      <c r="C474" s="1" t="s">
        <v>1987</v>
      </c>
      <c r="D474" s="1" t="s">
        <v>78</v>
      </c>
      <c r="E474" s="1" t="s">
        <v>28</v>
      </c>
      <c r="F474" s="2">
        <v>2000000.0</v>
      </c>
      <c r="G474" s="4">
        <v>44868.0</v>
      </c>
      <c r="H474" s="4">
        <f>IFERROR(__xludf.DUMMYFUNCTION("DATE(INDEX(SPLIT(G474,""/""),,3),INDEX(SPLIT(G474,""/""),,2),INDEX(SPLIT(G474,""/""),,1))"),44631.0)</f>
        <v>44631</v>
      </c>
      <c r="I474" s="1" t="s">
        <v>473</v>
      </c>
      <c r="J474" s="4">
        <f>IFERROR(__xludf.DUMMYFUNCTION("DATE(INDEX(SPLIT(I474,""/""),,3),INDEX(SPLIT(I474,""/""),,2),INDEX(SPLIT(I474,""/""),,1))"),45044.0)</f>
        <v>45044</v>
      </c>
      <c r="L474" s="1">
        <v>0.0</v>
      </c>
      <c r="M474" s="1" t="s">
        <v>614</v>
      </c>
      <c r="N474" s="1"/>
      <c r="O474" s="1" t="s">
        <v>30</v>
      </c>
      <c r="P474" s="1" t="s">
        <v>31</v>
      </c>
      <c r="Q474" s="1" t="s">
        <v>71</v>
      </c>
      <c r="R474" s="1" t="s">
        <v>71</v>
      </c>
      <c r="S474" s="1" t="s">
        <v>72</v>
      </c>
      <c r="T474" s="1" t="s">
        <v>615</v>
      </c>
      <c r="U474" s="1">
        <v>1.00869732E8</v>
      </c>
      <c r="X474" s="1" t="s">
        <v>490</v>
      </c>
      <c r="Y474" s="1" t="s">
        <v>1841</v>
      </c>
      <c r="Z474" s="1" t="s">
        <v>37</v>
      </c>
    </row>
    <row r="475" hidden="1">
      <c r="A475" s="1" t="s">
        <v>1988</v>
      </c>
      <c r="B475" s="1" t="s">
        <v>612</v>
      </c>
      <c r="C475" s="1" t="s">
        <v>1989</v>
      </c>
      <c r="D475" s="1" t="s">
        <v>27</v>
      </c>
      <c r="E475" s="1" t="s">
        <v>28</v>
      </c>
      <c r="F475" s="2">
        <v>2000000.0</v>
      </c>
      <c r="G475" s="4">
        <v>44868.0</v>
      </c>
      <c r="H475" s="4">
        <f>IFERROR(__xludf.DUMMYFUNCTION("DATE(INDEX(SPLIT(G475,""/""),,3),INDEX(SPLIT(G475,""/""),,2),INDEX(SPLIT(G475,""/""),,1))"),44631.0)</f>
        <v>44631</v>
      </c>
      <c r="I475" s="4">
        <v>44662.0</v>
      </c>
      <c r="J475" s="4">
        <f>IFERROR(__xludf.DUMMYFUNCTION("DATE(INDEX(SPLIT(I475,""/""),,3),INDEX(SPLIT(I475,""/""),,2),INDEX(SPLIT(I475,""/""),,1))"),44869.0)</f>
        <v>44869</v>
      </c>
      <c r="L475" s="1">
        <v>0.0</v>
      </c>
      <c r="M475" s="1" t="s">
        <v>614</v>
      </c>
      <c r="N475" s="1"/>
      <c r="O475" s="1" t="s">
        <v>30</v>
      </c>
      <c r="P475" s="1" t="s">
        <v>31</v>
      </c>
      <c r="Q475" s="1" t="s">
        <v>71</v>
      </c>
      <c r="R475" s="1" t="s">
        <v>71</v>
      </c>
      <c r="S475" s="1" t="s">
        <v>72</v>
      </c>
      <c r="T475" s="1" t="s">
        <v>615</v>
      </c>
      <c r="U475" s="1">
        <v>1.00869732E8</v>
      </c>
      <c r="X475" s="1" t="s">
        <v>490</v>
      </c>
      <c r="Y475" s="1" t="s">
        <v>1841</v>
      </c>
      <c r="Z475" s="1" t="s">
        <v>37</v>
      </c>
    </row>
    <row r="476" hidden="1">
      <c r="A476" s="1" t="s">
        <v>1990</v>
      </c>
      <c r="B476" s="1" t="s">
        <v>1991</v>
      </c>
      <c r="C476" s="1" t="s">
        <v>1987</v>
      </c>
      <c r="D476" s="1" t="s">
        <v>27</v>
      </c>
      <c r="E476" s="1" t="s">
        <v>28</v>
      </c>
      <c r="F476" s="2">
        <v>2000000.0</v>
      </c>
      <c r="G476" s="4">
        <v>44868.0</v>
      </c>
      <c r="H476" s="4">
        <f>IFERROR(__xludf.DUMMYFUNCTION("DATE(INDEX(SPLIT(G476,""/""),,3),INDEX(SPLIT(G476,""/""),,2),INDEX(SPLIT(G476,""/""),,1))"),44631.0)</f>
        <v>44631</v>
      </c>
      <c r="I476" s="4">
        <v>44816.0</v>
      </c>
      <c r="J476" s="4">
        <f>IFERROR(__xludf.DUMMYFUNCTION("DATE(INDEX(SPLIT(I476,""/""),,3),INDEX(SPLIT(I476,""/""),,2),INDEX(SPLIT(I476,""/""),,1))"),44904.0)</f>
        <v>44904</v>
      </c>
      <c r="L476" s="1">
        <v>0.0</v>
      </c>
      <c r="M476" s="1" t="s">
        <v>614</v>
      </c>
      <c r="N476" s="1"/>
      <c r="O476" s="1" t="s">
        <v>30</v>
      </c>
      <c r="P476" s="1" t="s">
        <v>31</v>
      </c>
      <c r="Q476" s="1" t="s">
        <v>71</v>
      </c>
      <c r="R476" s="1" t="s">
        <v>71</v>
      </c>
      <c r="S476" s="1" t="s">
        <v>72</v>
      </c>
      <c r="T476" s="1" t="s">
        <v>615</v>
      </c>
      <c r="U476" s="1">
        <v>1.00869732E8</v>
      </c>
      <c r="X476" s="1" t="s">
        <v>490</v>
      </c>
      <c r="Y476" s="1" t="s">
        <v>1841</v>
      </c>
      <c r="Z476" s="1" t="s">
        <v>37</v>
      </c>
    </row>
    <row r="477" hidden="1">
      <c r="A477" s="1" t="s">
        <v>1992</v>
      </c>
      <c r="B477" s="1" t="s">
        <v>1762</v>
      </c>
      <c r="C477" s="1" t="s">
        <v>1987</v>
      </c>
      <c r="D477" s="1" t="s">
        <v>27</v>
      </c>
      <c r="E477" s="1" t="s">
        <v>28</v>
      </c>
      <c r="F477" s="2">
        <v>2000000.0</v>
      </c>
      <c r="G477" s="4">
        <v>44868.0</v>
      </c>
      <c r="H477" s="4">
        <f>IFERROR(__xludf.DUMMYFUNCTION("DATE(INDEX(SPLIT(G477,""/""),,3),INDEX(SPLIT(G477,""/""),,2),INDEX(SPLIT(G477,""/""),,1))"),44631.0)</f>
        <v>44631</v>
      </c>
      <c r="I477" s="1" t="s">
        <v>42</v>
      </c>
      <c r="J477" s="4">
        <f>IFERROR(__xludf.DUMMYFUNCTION("DATE(INDEX(SPLIT(I477,""/""),,3),INDEX(SPLIT(I477,""/""),,2),INDEX(SPLIT(I477,""/""),,1))"),44926.0)</f>
        <v>44926</v>
      </c>
      <c r="L477" s="1">
        <v>0.0</v>
      </c>
      <c r="M477" s="1" t="s">
        <v>614</v>
      </c>
      <c r="N477" s="1"/>
      <c r="O477" s="1" t="s">
        <v>30</v>
      </c>
      <c r="P477" s="1" t="s">
        <v>31</v>
      </c>
      <c r="Q477" s="1" t="s">
        <v>71</v>
      </c>
      <c r="R477" s="1" t="s">
        <v>71</v>
      </c>
      <c r="S477" s="1" t="s">
        <v>72</v>
      </c>
      <c r="T477" s="1" t="s">
        <v>615</v>
      </c>
      <c r="U477" s="1">
        <v>1.00869732E8</v>
      </c>
      <c r="X477" s="1" t="s">
        <v>490</v>
      </c>
      <c r="Y477" s="1" t="s">
        <v>1841</v>
      </c>
      <c r="Z477" s="1" t="s">
        <v>37</v>
      </c>
    </row>
    <row r="478" hidden="1">
      <c r="A478" s="1" t="s">
        <v>1993</v>
      </c>
      <c r="B478" s="1" t="s">
        <v>1994</v>
      </c>
      <c r="C478" s="1" t="s">
        <v>1987</v>
      </c>
      <c r="D478" s="1" t="s">
        <v>27</v>
      </c>
      <c r="E478" s="1" t="s">
        <v>28</v>
      </c>
      <c r="F478" s="2">
        <v>2000000.0</v>
      </c>
      <c r="G478" s="4">
        <v>44868.0</v>
      </c>
      <c r="H478" s="4">
        <f>IFERROR(__xludf.DUMMYFUNCTION("DATE(INDEX(SPLIT(G478,""/""),,3),INDEX(SPLIT(G478,""/""),,2),INDEX(SPLIT(G478,""/""),,1))"),44631.0)</f>
        <v>44631</v>
      </c>
      <c r="I478" s="1" t="s">
        <v>1097</v>
      </c>
      <c r="J478" s="4">
        <f>IFERROR(__xludf.DUMMYFUNCTION("DATE(INDEX(SPLIT(I478,""/""),,3),INDEX(SPLIT(I478,""/""),,2),INDEX(SPLIT(I478,""/""),,1))"),45107.0)</f>
        <v>45107</v>
      </c>
      <c r="L478" s="1">
        <v>0.0</v>
      </c>
      <c r="M478" s="1" t="s">
        <v>614</v>
      </c>
      <c r="N478" s="1"/>
      <c r="O478" s="1" t="s">
        <v>30</v>
      </c>
      <c r="P478" s="1" t="s">
        <v>31</v>
      </c>
      <c r="Q478" s="1" t="s">
        <v>71</v>
      </c>
      <c r="R478" s="1" t="s">
        <v>71</v>
      </c>
      <c r="S478" s="1" t="s">
        <v>72</v>
      </c>
      <c r="T478" s="1" t="s">
        <v>615</v>
      </c>
      <c r="U478" s="1">
        <v>1.00869732E8</v>
      </c>
      <c r="X478" s="1" t="s">
        <v>490</v>
      </c>
      <c r="Y478" s="1" t="s">
        <v>1841</v>
      </c>
      <c r="Z478" s="1" t="s">
        <v>37</v>
      </c>
    </row>
    <row r="479" hidden="1">
      <c r="A479" s="1" t="s">
        <v>1995</v>
      </c>
      <c r="B479" s="1" t="s">
        <v>617</v>
      </c>
      <c r="C479" s="1" t="s">
        <v>1604</v>
      </c>
      <c r="D479" s="1" t="s">
        <v>27</v>
      </c>
      <c r="E479" s="1" t="s">
        <v>28</v>
      </c>
      <c r="F479" s="2">
        <v>2000000.0</v>
      </c>
      <c r="G479" s="4">
        <v>44563.0</v>
      </c>
      <c r="H479" s="4">
        <f>IFERROR(__xludf.DUMMYFUNCTION("DATE(INDEX(SPLIT(G479,""/""),,3),INDEX(SPLIT(G479,""/""),,2),INDEX(SPLIT(G479,""/""),,1))"),44593.0)</f>
        <v>44593</v>
      </c>
      <c r="I479" s="1" t="s">
        <v>1996</v>
      </c>
      <c r="J479" s="4">
        <f>IFERROR(__xludf.DUMMYFUNCTION("DATE(INDEX(SPLIT(I479,""/""),,3),INDEX(SPLIT(I479,""/""),,2),INDEX(SPLIT(I479,""/""),,1))"),45247.0)</f>
        <v>45247</v>
      </c>
      <c r="L479" s="1">
        <v>0.0</v>
      </c>
      <c r="M479" s="1" t="s">
        <v>1496</v>
      </c>
      <c r="N479" s="1"/>
      <c r="O479" s="1" t="s">
        <v>30</v>
      </c>
      <c r="P479" s="1" t="s">
        <v>31</v>
      </c>
      <c r="Q479" s="1" t="s">
        <v>53</v>
      </c>
      <c r="R479" s="1" t="s">
        <v>53</v>
      </c>
      <c r="S479" s="1" t="s">
        <v>54</v>
      </c>
      <c r="T479" s="1" t="s">
        <v>1386</v>
      </c>
      <c r="U479" s="1">
        <v>1.00610014E8</v>
      </c>
      <c r="X479" s="1" t="s">
        <v>81</v>
      </c>
      <c r="Y479" s="1" t="s">
        <v>1387</v>
      </c>
      <c r="Z479" s="1" t="s">
        <v>37</v>
      </c>
    </row>
    <row r="480" hidden="1">
      <c r="A480" s="1" t="s">
        <v>1997</v>
      </c>
      <c r="B480" s="1" t="s">
        <v>76</v>
      </c>
      <c r="C480" s="1" t="s">
        <v>1998</v>
      </c>
      <c r="D480" s="1" t="s">
        <v>27</v>
      </c>
      <c r="E480" s="1" t="s">
        <v>28</v>
      </c>
      <c r="F480" s="2">
        <v>2000000.0</v>
      </c>
      <c r="G480" s="4">
        <v>44563.0</v>
      </c>
      <c r="H480" s="4">
        <f>IFERROR(__xludf.DUMMYFUNCTION("DATE(INDEX(SPLIT(G480,""/""),,3),INDEX(SPLIT(G480,""/""),,2),INDEX(SPLIT(G480,""/""),,1))"),44593.0)</f>
        <v>44593</v>
      </c>
      <c r="I480" s="4">
        <v>44958.0</v>
      </c>
      <c r="J480" s="4">
        <f>IFERROR(__xludf.DUMMYFUNCTION("DATE(INDEX(SPLIT(I480,""/""),,3),INDEX(SPLIT(I480,""/""),,2),INDEX(SPLIT(I480,""/""),,1))"),44928.0)</f>
        <v>44928</v>
      </c>
      <c r="L480" s="1">
        <v>0.0</v>
      </c>
      <c r="M480" s="1" t="s">
        <v>1610</v>
      </c>
      <c r="N480" s="1"/>
      <c r="O480" s="1" t="s">
        <v>30</v>
      </c>
      <c r="P480" s="1" t="s">
        <v>31</v>
      </c>
      <c r="Q480" s="1" t="s">
        <v>53</v>
      </c>
      <c r="R480" s="1" t="s">
        <v>53</v>
      </c>
      <c r="S480" s="1" t="s">
        <v>54</v>
      </c>
      <c r="T480" s="1" t="s">
        <v>1386</v>
      </c>
      <c r="U480" s="1">
        <v>1.01141441E8</v>
      </c>
      <c r="X480" s="1" t="s">
        <v>81</v>
      </c>
      <c r="Y480" s="1" t="s">
        <v>1387</v>
      </c>
      <c r="Z480" s="1" t="s">
        <v>37</v>
      </c>
    </row>
    <row r="481" hidden="1">
      <c r="A481" s="1" t="s">
        <v>1999</v>
      </c>
      <c r="B481" s="1" t="s">
        <v>2000</v>
      </c>
      <c r="C481" s="1" t="s">
        <v>2001</v>
      </c>
      <c r="D481" s="1" t="s">
        <v>27</v>
      </c>
      <c r="E481" s="1" t="s">
        <v>28</v>
      </c>
      <c r="F481" s="2">
        <v>2000000.0</v>
      </c>
      <c r="G481" s="4">
        <v>44383.0</v>
      </c>
      <c r="H481" s="4">
        <f>IFERROR(__xludf.DUMMYFUNCTION("DATE(INDEX(SPLIT(G481,""/""),,3),INDEX(SPLIT(G481,""/""),,2),INDEX(SPLIT(G481,""/""),,1))"),44354.0)</f>
        <v>44354</v>
      </c>
      <c r="I481" s="1" t="s">
        <v>2002</v>
      </c>
      <c r="J481" s="4">
        <f>IFERROR(__xludf.DUMMYFUNCTION("DATE(INDEX(SPLIT(I481,""/""),,3),INDEX(SPLIT(I481,""/""),,2),INDEX(SPLIT(I481,""/""),,1))"),45009.0)</f>
        <v>45009</v>
      </c>
      <c r="L481" s="1">
        <v>0.0</v>
      </c>
      <c r="M481" s="1" t="s">
        <v>1084</v>
      </c>
      <c r="N481" s="1"/>
      <c r="O481" s="1" t="s">
        <v>30</v>
      </c>
      <c r="P481" s="1" t="s">
        <v>31</v>
      </c>
      <c r="Q481" s="1" t="s">
        <v>32</v>
      </c>
      <c r="R481" s="1" t="s">
        <v>32</v>
      </c>
      <c r="S481" s="1" t="s">
        <v>33</v>
      </c>
      <c r="T481" s="1" t="s">
        <v>34</v>
      </c>
      <c r="U481" s="1">
        <v>1.00601386E8</v>
      </c>
      <c r="V481" s="1" t="s">
        <v>2003</v>
      </c>
      <c r="W481" s="1" t="s">
        <v>199</v>
      </c>
      <c r="X481" s="1" t="s">
        <v>81</v>
      </c>
      <c r="Y481" s="1" t="s">
        <v>1084</v>
      </c>
      <c r="Z481" s="1" t="s">
        <v>37</v>
      </c>
    </row>
    <row r="482">
      <c r="A482" s="1" t="s">
        <v>2004</v>
      </c>
      <c r="B482" s="1" t="s">
        <v>954</v>
      </c>
      <c r="C482" s="1" t="s">
        <v>2005</v>
      </c>
      <c r="D482" s="1" t="s">
        <v>27</v>
      </c>
      <c r="E482" s="1" t="s">
        <v>28</v>
      </c>
      <c r="F482" s="2">
        <v>2000000.0</v>
      </c>
      <c r="G482" s="4">
        <v>44656.0</v>
      </c>
      <c r="H482" s="4">
        <f>IFERROR(__xludf.DUMMYFUNCTION("DATE(INDEX(SPLIT(G482,""/""),,3),INDEX(SPLIT(G482,""/""),,2),INDEX(SPLIT(G482,""/""),,1))"),44685.0)</f>
        <v>44685</v>
      </c>
      <c r="I482" s="1" t="s">
        <v>1244</v>
      </c>
      <c r="J482" s="4">
        <f>IFERROR(__xludf.DUMMYFUNCTION("DATE(INDEX(SPLIT(I482,""/""),,3),INDEX(SPLIT(I482,""/""),,2),INDEX(SPLIT(I482,""/""),,1))"),44742.0)</f>
        <v>44742</v>
      </c>
      <c r="L482" s="1">
        <v>0.0</v>
      </c>
      <c r="M482" s="1" t="s">
        <v>1723</v>
      </c>
      <c r="N482" s="1"/>
      <c r="O482" s="1" t="s">
        <v>30</v>
      </c>
      <c r="P482" s="1" t="s">
        <v>31</v>
      </c>
      <c r="Q482" s="1" t="s">
        <v>157</v>
      </c>
      <c r="R482" s="1" t="s">
        <v>157</v>
      </c>
      <c r="S482" s="1" t="s">
        <v>158</v>
      </c>
      <c r="T482" s="1" t="s">
        <v>159</v>
      </c>
      <c r="U482" s="1">
        <v>1.00654085E8</v>
      </c>
      <c r="X482" s="1" t="s">
        <v>74</v>
      </c>
      <c r="Y482" s="1" t="s">
        <v>1723</v>
      </c>
      <c r="Z482" s="1" t="s">
        <v>37</v>
      </c>
    </row>
    <row r="483" hidden="1">
      <c r="A483" s="1" t="s">
        <v>2006</v>
      </c>
      <c r="B483" s="1" t="s">
        <v>1634</v>
      </c>
      <c r="C483" s="1" t="s">
        <v>2007</v>
      </c>
      <c r="D483" s="1" t="s">
        <v>122</v>
      </c>
      <c r="E483" s="1" t="s">
        <v>28</v>
      </c>
      <c r="F483" s="2">
        <v>2000000.0</v>
      </c>
      <c r="G483" s="1" t="s">
        <v>1012</v>
      </c>
      <c r="H483" s="4">
        <f>IFERROR(__xludf.DUMMYFUNCTION("DATE(INDEX(SPLIT(G483,""/""),,3),INDEX(SPLIT(G483,""/""),,2),INDEX(SPLIT(G483,""/""),,1))"),44496.0)</f>
        <v>44496</v>
      </c>
      <c r="I483" s="1" t="s">
        <v>130</v>
      </c>
      <c r="J483" s="4">
        <f>IFERROR(__xludf.DUMMYFUNCTION("DATE(INDEX(SPLIT(I483,""/""),,3),INDEX(SPLIT(I483,""/""),,2),INDEX(SPLIT(I483,""/""),,1))"),44804.0)</f>
        <v>44804</v>
      </c>
      <c r="L483" s="1">
        <v>0.0</v>
      </c>
      <c r="M483" s="1" t="s">
        <v>1621</v>
      </c>
      <c r="N483" s="1"/>
      <c r="O483" s="1" t="s">
        <v>30</v>
      </c>
      <c r="P483" s="1" t="s">
        <v>31</v>
      </c>
      <c r="Q483" s="1" t="s">
        <v>157</v>
      </c>
      <c r="R483" s="1" t="s">
        <v>157</v>
      </c>
      <c r="S483" s="1" t="s">
        <v>158</v>
      </c>
      <c r="T483" s="1" t="s">
        <v>159</v>
      </c>
      <c r="U483" s="1">
        <v>1.00650783E8</v>
      </c>
      <c r="X483" s="1" t="s">
        <v>490</v>
      </c>
      <c r="Y483" s="1" t="s">
        <v>244</v>
      </c>
      <c r="Z483" s="1" t="s">
        <v>37</v>
      </c>
    </row>
    <row r="484" hidden="1">
      <c r="A484" s="1" t="s">
        <v>2008</v>
      </c>
      <c r="B484" s="1" t="s">
        <v>2009</v>
      </c>
      <c r="C484" s="1" t="s">
        <v>2010</v>
      </c>
      <c r="D484" s="1" t="s">
        <v>27</v>
      </c>
      <c r="E484" s="1" t="s">
        <v>28</v>
      </c>
      <c r="F484" s="2">
        <v>2000000.0</v>
      </c>
      <c r="G484" s="4">
        <v>44656.0</v>
      </c>
      <c r="H484" s="4">
        <f>IFERROR(__xludf.DUMMYFUNCTION("DATE(INDEX(SPLIT(G484,""/""),,3),INDEX(SPLIT(G484,""/""),,2),INDEX(SPLIT(G484,""/""),,1))"),44685.0)</f>
        <v>44685</v>
      </c>
      <c r="I484" s="1" t="s">
        <v>109</v>
      </c>
      <c r="J484" s="4">
        <f>IFERROR(__xludf.DUMMYFUNCTION("DATE(INDEX(SPLIT(I484,""/""),,3),INDEX(SPLIT(I484,""/""),,2),INDEX(SPLIT(I484,""/""),,1))"),44834.0)</f>
        <v>44834</v>
      </c>
      <c r="L484" s="1">
        <v>0.0</v>
      </c>
      <c r="M484" s="1" t="s">
        <v>1052</v>
      </c>
      <c r="N484" s="1"/>
      <c r="O484" s="1" t="s">
        <v>30</v>
      </c>
      <c r="P484" s="1" t="s">
        <v>31</v>
      </c>
      <c r="Q484" s="1" t="s">
        <v>235</v>
      </c>
      <c r="R484" s="1" t="s">
        <v>235</v>
      </c>
      <c r="S484" s="1" t="s">
        <v>236</v>
      </c>
      <c r="U484" s="1">
        <v>1.00650344E8</v>
      </c>
      <c r="X484" s="1" t="s">
        <v>239</v>
      </c>
      <c r="Y484" s="1" t="s">
        <v>1053</v>
      </c>
      <c r="Z484" s="1" t="s">
        <v>37</v>
      </c>
    </row>
    <row r="485" hidden="1">
      <c r="A485" s="1" t="s">
        <v>2011</v>
      </c>
      <c r="B485" s="1" t="s">
        <v>2012</v>
      </c>
      <c r="C485" s="1" t="s">
        <v>2013</v>
      </c>
      <c r="D485" s="1" t="s">
        <v>27</v>
      </c>
      <c r="E485" s="1" t="s">
        <v>28</v>
      </c>
      <c r="F485" s="2">
        <v>2000000.0</v>
      </c>
      <c r="G485" s="1" t="s">
        <v>472</v>
      </c>
      <c r="H485" s="4">
        <f>IFERROR(__xludf.DUMMYFUNCTION("DATE(INDEX(SPLIT(G485,""/""),,3),INDEX(SPLIT(G485,""/""),,2),INDEX(SPLIT(G485,""/""),,1))"),44760.0)</f>
        <v>44760</v>
      </c>
      <c r="I485" s="1" t="s">
        <v>1097</v>
      </c>
      <c r="J485" s="4">
        <f>IFERROR(__xludf.DUMMYFUNCTION("DATE(INDEX(SPLIT(I485,""/""),,3),INDEX(SPLIT(I485,""/""),,2),INDEX(SPLIT(I485,""/""),,1))"),45107.0)</f>
        <v>45107</v>
      </c>
      <c r="L485" s="1">
        <v>0.0</v>
      </c>
      <c r="M485" s="1" t="s">
        <v>1723</v>
      </c>
      <c r="N485" s="1"/>
      <c r="O485" s="1" t="s">
        <v>30</v>
      </c>
      <c r="P485" s="1" t="s">
        <v>31</v>
      </c>
      <c r="Q485" s="1" t="s">
        <v>157</v>
      </c>
      <c r="R485" s="1" t="s">
        <v>157</v>
      </c>
      <c r="S485" s="1" t="s">
        <v>158</v>
      </c>
      <c r="U485" s="1">
        <v>1.00654085E8</v>
      </c>
      <c r="X485" s="1" t="s">
        <v>74</v>
      </c>
      <c r="Y485" s="1" t="s">
        <v>2014</v>
      </c>
      <c r="Z485" s="1" t="s">
        <v>37</v>
      </c>
    </row>
    <row r="486" hidden="1">
      <c r="A486" s="1" t="s">
        <v>2015</v>
      </c>
      <c r="B486" s="1" t="s">
        <v>2016</v>
      </c>
      <c r="C486" s="1" t="s">
        <v>2017</v>
      </c>
      <c r="D486" s="1" t="s">
        <v>78</v>
      </c>
      <c r="E486" s="1" t="s">
        <v>28</v>
      </c>
      <c r="F486" s="2">
        <v>2000000.0</v>
      </c>
      <c r="G486" s="1" t="s">
        <v>333</v>
      </c>
      <c r="H486" s="4">
        <f>IFERROR(__xludf.DUMMYFUNCTION("DATE(INDEX(SPLIT(G486,""/""),,3),INDEX(SPLIT(G486,""/""),,2),INDEX(SPLIT(G486,""/""),,1))"),44669.0)</f>
        <v>44669</v>
      </c>
      <c r="I486" s="4">
        <v>44570.0</v>
      </c>
      <c r="J486" s="4">
        <f>IFERROR(__xludf.DUMMYFUNCTION("DATE(INDEX(SPLIT(I486,""/""),,3),INDEX(SPLIT(I486,""/""),,2),INDEX(SPLIT(I486,""/""),,1))"),44805.0)</f>
        <v>44805</v>
      </c>
      <c r="L486" s="1">
        <v>0.0</v>
      </c>
      <c r="M486" s="1" t="s">
        <v>1239</v>
      </c>
      <c r="N486" s="1"/>
      <c r="O486" s="1" t="s">
        <v>30</v>
      </c>
      <c r="P486" s="1" t="s">
        <v>31</v>
      </c>
      <c r="Q486" s="1" t="s">
        <v>71</v>
      </c>
      <c r="R486" s="1" t="s">
        <v>71</v>
      </c>
      <c r="S486" s="1" t="s">
        <v>72</v>
      </c>
      <c r="T486" s="1" t="s">
        <v>136</v>
      </c>
      <c r="U486" s="1">
        <v>1.00943277E8</v>
      </c>
      <c r="X486" s="1" t="s">
        <v>74</v>
      </c>
      <c r="Y486" s="1" t="s">
        <v>1239</v>
      </c>
      <c r="Z486" s="1" t="s">
        <v>37</v>
      </c>
    </row>
    <row r="487" hidden="1">
      <c r="A487" s="1" t="s">
        <v>2018</v>
      </c>
      <c r="B487" s="1" t="s">
        <v>120</v>
      </c>
      <c r="C487" s="1" t="s">
        <v>2019</v>
      </c>
      <c r="D487" s="1" t="s">
        <v>27</v>
      </c>
      <c r="E487" s="1" t="s">
        <v>28</v>
      </c>
      <c r="F487" s="2">
        <v>2000000.0</v>
      </c>
      <c r="G487" s="4">
        <v>44748.0</v>
      </c>
      <c r="H487" s="4">
        <f>IFERROR(__xludf.DUMMYFUNCTION("DATE(INDEX(SPLIT(G487,""/""),,3),INDEX(SPLIT(G487,""/""),,2),INDEX(SPLIT(G487,""/""),,1))"),44719.0)</f>
        <v>44719</v>
      </c>
      <c r="I487" s="1" t="s">
        <v>872</v>
      </c>
      <c r="J487" s="4">
        <f>IFERROR(__xludf.DUMMYFUNCTION("DATE(INDEX(SPLIT(I487,""/""),,3),INDEX(SPLIT(I487,""/""),,2),INDEX(SPLIT(I487,""/""),,1))"),44820.0)</f>
        <v>44820</v>
      </c>
      <c r="L487" s="1">
        <v>0.0</v>
      </c>
      <c r="M487" s="1" t="s">
        <v>2020</v>
      </c>
      <c r="N487" s="1"/>
      <c r="O487" s="1" t="s">
        <v>30</v>
      </c>
      <c r="P487" s="1" t="s">
        <v>31</v>
      </c>
      <c r="Q487" s="1" t="s">
        <v>157</v>
      </c>
      <c r="R487" s="1" t="s">
        <v>157</v>
      </c>
      <c r="S487" s="1" t="s">
        <v>158</v>
      </c>
      <c r="U487" s="1">
        <v>1.00650678E8</v>
      </c>
      <c r="X487" s="1" t="s">
        <v>125</v>
      </c>
      <c r="Y487" s="1" t="s">
        <v>2021</v>
      </c>
      <c r="Z487" s="1" t="s">
        <v>37</v>
      </c>
    </row>
    <row r="488" hidden="1">
      <c r="A488" s="1" t="s">
        <v>2022</v>
      </c>
      <c r="B488" s="1" t="s">
        <v>2023</v>
      </c>
      <c r="C488" s="1" t="s">
        <v>2024</v>
      </c>
      <c r="D488" s="1" t="s">
        <v>122</v>
      </c>
      <c r="E488" s="1" t="s">
        <v>28</v>
      </c>
      <c r="F488" s="2">
        <v>2000000.0</v>
      </c>
      <c r="G488" s="1" t="s">
        <v>2025</v>
      </c>
      <c r="H488" s="4">
        <f>IFERROR(__xludf.DUMMYFUNCTION("DATE(INDEX(SPLIT(G488,""/""),,3),INDEX(SPLIT(G488,""/""),,2),INDEX(SPLIT(G488,""/""),,1))"),44664.0)</f>
        <v>44664</v>
      </c>
      <c r="I488" s="1" t="s">
        <v>2026</v>
      </c>
      <c r="J488" s="4">
        <f>IFERROR(__xludf.DUMMYFUNCTION("DATE(INDEX(SPLIT(I488,""/""),,3),INDEX(SPLIT(I488,""/""),,2),INDEX(SPLIT(I488,""/""),,1))"),45061.0)</f>
        <v>45061</v>
      </c>
      <c r="L488" s="1">
        <v>0.0</v>
      </c>
      <c r="M488" s="1" t="s">
        <v>2027</v>
      </c>
      <c r="N488" s="1"/>
      <c r="O488" s="1" t="s">
        <v>30</v>
      </c>
      <c r="P488" s="1" t="s">
        <v>31</v>
      </c>
      <c r="Q488" s="1" t="s">
        <v>228</v>
      </c>
      <c r="R488" s="1" t="s">
        <v>228</v>
      </c>
      <c r="S488" s="1" t="s">
        <v>229</v>
      </c>
      <c r="T488" s="1" t="s">
        <v>513</v>
      </c>
      <c r="U488" s="1">
        <v>1.00587894E8</v>
      </c>
      <c r="X488" s="1" t="s">
        <v>2028</v>
      </c>
      <c r="Y488" s="1" t="s">
        <v>2027</v>
      </c>
      <c r="Z488" s="1" t="s">
        <v>527</v>
      </c>
    </row>
    <row r="489" hidden="1">
      <c r="A489" s="1" t="s">
        <v>2029</v>
      </c>
      <c r="B489" s="1" t="s">
        <v>2030</v>
      </c>
      <c r="C489" s="1" t="s">
        <v>2031</v>
      </c>
      <c r="D489" s="1" t="s">
        <v>27</v>
      </c>
      <c r="E489" s="1" t="s">
        <v>28</v>
      </c>
      <c r="F489" s="2">
        <v>2000000.0</v>
      </c>
      <c r="G489" s="1" t="s">
        <v>418</v>
      </c>
      <c r="H489" s="4">
        <f>IFERROR(__xludf.DUMMYFUNCTION("DATE(INDEX(SPLIT(G489,""/""),,3),INDEX(SPLIT(G489,""/""),,2),INDEX(SPLIT(G489,""/""),,1))"),44755.0)</f>
        <v>44755</v>
      </c>
      <c r="I489" s="1" t="s">
        <v>317</v>
      </c>
      <c r="J489" s="4">
        <f>IFERROR(__xludf.DUMMYFUNCTION("DATE(INDEX(SPLIT(I489,""/""),,3),INDEX(SPLIT(I489,""/""),,2),INDEX(SPLIT(I489,""/""),,1))"),44862.0)</f>
        <v>44862</v>
      </c>
      <c r="L489" s="1">
        <v>0.0</v>
      </c>
      <c r="M489" s="1" t="s">
        <v>2032</v>
      </c>
      <c r="N489" s="1"/>
      <c r="O489" s="1" t="s">
        <v>30</v>
      </c>
      <c r="P489" s="1" t="s">
        <v>31</v>
      </c>
      <c r="Q489" s="1" t="s">
        <v>71</v>
      </c>
      <c r="R489" s="1" t="s">
        <v>71</v>
      </c>
      <c r="S489" s="1" t="s">
        <v>72</v>
      </c>
      <c r="T489" s="1" t="s">
        <v>73</v>
      </c>
      <c r="U489" s="1">
        <v>1.00929557E8</v>
      </c>
      <c r="X489" s="1" t="s">
        <v>74</v>
      </c>
      <c r="Y489" s="1" t="s">
        <v>2032</v>
      </c>
      <c r="Z489" s="1" t="s">
        <v>206</v>
      </c>
    </row>
    <row r="490">
      <c r="A490" s="1" t="s">
        <v>2033</v>
      </c>
      <c r="B490" s="1" t="s">
        <v>2034</v>
      </c>
      <c r="C490" s="1" t="s">
        <v>2035</v>
      </c>
      <c r="D490" s="1" t="s">
        <v>78</v>
      </c>
      <c r="E490" s="1" t="s">
        <v>28</v>
      </c>
      <c r="F490" s="2">
        <v>2000000.0</v>
      </c>
      <c r="G490" s="1" t="s">
        <v>233</v>
      </c>
      <c r="H490" s="4">
        <f>IFERROR(__xludf.DUMMYFUNCTION("DATE(INDEX(SPLIT(G490,""/""),,3),INDEX(SPLIT(G490,""/""),,2),INDEX(SPLIT(G490,""/""),,1))"),44729.0)</f>
        <v>44729</v>
      </c>
      <c r="I490" s="1" t="s">
        <v>69</v>
      </c>
      <c r="J490" s="4">
        <f>IFERROR(__xludf.DUMMYFUNCTION("DATE(INDEX(SPLIT(I490,""/""),,3),INDEX(SPLIT(I490,""/""),,2),INDEX(SPLIT(I490,""/""),,1))"),44773.0)</f>
        <v>44773</v>
      </c>
      <c r="L490" s="1">
        <v>0.0</v>
      </c>
      <c r="M490" s="1" t="s">
        <v>211</v>
      </c>
      <c r="N490" s="1"/>
      <c r="O490" s="1" t="s">
        <v>30</v>
      </c>
      <c r="P490" s="1" t="s">
        <v>31</v>
      </c>
      <c r="Q490" s="1" t="s">
        <v>71</v>
      </c>
      <c r="R490" s="1" t="s">
        <v>71</v>
      </c>
      <c r="S490" s="1" t="s">
        <v>72</v>
      </c>
      <c r="T490" s="1" t="s">
        <v>136</v>
      </c>
      <c r="U490" s="1">
        <v>1.00590896E8</v>
      </c>
      <c r="X490" s="1" t="s">
        <v>74</v>
      </c>
      <c r="Y490" s="1" t="s">
        <v>2036</v>
      </c>
      <c r="Z490" s="1" t="s">
        <v>37</v>
      </c>
    </row>
    <row r="491">
      <c r="A491" s="1" t="s">
        <v>2037</v>
      </c>
      <c r="B491" s="1" t="s">
        <v>127</v>
      </c>
      <c r="C491" s="1" t="s">
        <v>2038</v>
      </c>
      <c r="D491" s="1" t="s">
        <v>27</v>
      </c>
      <c r="E491" s="1" t="s">
        <v>28</v>
      </c>
      <c r="F491" s="2">
        <v>2000000.0</v>
      </c>
      <c r="G491" s="4">
        <v>44747.0</v>
      </c>
      <c r="H491" s="4">
        <f>IFERROR(__xludf.DUMMYFUNCTION("DATE(INDEX(SPLIT(G491,""/""),,3),INDEX(SPLIT(G491,""/""),,2),INDEX(SPLIT(G491,""/""),,1))"),44688.0)</f>
        <v>44688</v>
      </c>
      <c r="I491" s="1" t="s">
        <v>69</v>
      </c>
      <c r="J491" s="4">
        <f>IFERROR(__xludf.DUMMYFUNCTION("DATE(INDEX(SPLIT(I491,""/""),,3),INDEX(SPLIT(I491,""/""),,2),INDEX(SPLIT(I491,""/""),,1))"),44773.0)</f>
        <v>44773</v>
      </c>
      <c r="L491" s="1">
        <v>0.0</v>
      </c>
      <c r="M491" s="1" t="s">
        <v>2039</v>
      </c>
      <c r="N491" s="1"/>
      <c r="O491" s="1" t="s">
        <v>30</v>
      </c>
      <c r="P491" s="1" t="s">
        <v>31</v>
      </c>
      <c r="Q491" s="1" t="s">
        <v>157</v>
      </c>
      <c r="R491" s="1" t="s">
        <v>157</v>
      </c>
      <c r="S491" s="1" t="s">
        <v>158</v>
      </c>
      <c r="U491" s="1">
        <v>1.00656722E8</v>
      </c>
      <c r="X491" s="1" t="s">
        <v>81</v>
      </c>
      <c r="Y491" s="1" t="s">
        <v>621</v>
      </c>
      <c r="Z491" s="1" t="s">
        <v>37</v>
      </c>
    </row>
    <row r="492" hidden="1">
      <c r="A492" s="1" t="s">
        <v>2040</v>
      </c>
      <c r="B492" s="1" t="s">
        <v>997</v>
      </c>
      <c r="C492" s="1" t="s">
        <v>2041</v>
      </c>
      <c r="D492" s="1" t="s">
        <v>27</v>
      </c>
      <c r="E492" s="1" t="s">
        <v>28</v>
      </c>
      <c r="F492" s="2">
        <v>2000000.0</v>
      </c>
      <c r="G492" s="4">
        <v>44747.0</v>
      </c>
      <c r="H492" s="4">
        <f>IFERROR(__xludf.DUMMYFUNCTION("DATE(INDEX(SPLIT(G492,""/""),,3),INDEX(SPLIT(G492,""/""),,2),INDEX(SPLIT(G492,""/""),,1))"),44688.0)</f>
        <v>44688</v>
      </c>
      <c r="I492" s="1" t="s">
        <v>2042</v>
      </c>
      <c r="J492" s="4">
        <f>IFERROR(__xludf.DUMMYFUNCTION("DATE(INDEX(SPLIT(I492,""/""),,3),INDEX(SPLIT(I492,""/""),,2),INDEX(SPLIT(I492,""/""),,1))"),45169.0)</f>
        <v>45169</v>
      </c>
      <c r="L492" s="1">
        <v>0.0</v>
      </c>
      <c r="M492" s="1" t="s">
        <v>2043</v>
      </c>
      <c r="N492" s="1"/>
      <c r="O492" s="1" t="s">
        <v>30</v>
      </c>
      <c r="P492" s="1" t="s">
        <v>31</v>
      </c>
      <c r="Q492" s="1" t="s">
        <v>53</v>
      </c>
      <c r="R492" s="1" t="s">
        <v>53</v>
      </c>
      <c r="S492" s="1" t="s">
        <v>54</v>
      </c>
      <c r="U492" s="1">
        <v>1.00624533E8</v>
      </c>
      <c r="X492" s="1" t="s">
        <v>410</v>
      </c>
      <c r="Y492" s="1" t="s">
        <v>507</v>
      </c>
      <c r="Z492" s="1" t="s">
        <v>206</v>
      </c>
    </row>
    <row r="493" hidden="1">
      <c r="A493" s="1" t="s">
        <v>2044</v>
      </c>
      <c r="B493" s="1" t="s">
        <v>997</v>
      </c>
      <c r="C493" s="1" t="s">
        <v>2045</v>
      </c>
      <c r="D493" s="1" t="s">
        <v>27</v>
      </c>
      <c r="E493" s="1" t="s">
        <v>28</v>
      </c>
      <c r="F493" s="2">
        <v>2000000.0</v>
      </c>
      <c r="G493" s="4">
        <v>44747.0</v>
      </c>
      <c r="H493" s="4">
        <f>IFERROR(__xludf.DUMMYFUNCTION("DATE(INDEX(SPLIT(G493,""/""),,3),INDEX(SPLIT(G493,""/""),,2),INDEX(SPLIT(G493,""/""),,1))"),44688.0)</f>
        <v>44688</v>
      </c>
      <c r="I493" s="1" t="s">
        <v>430</v>
      </c>
      <c r="J493" s="4">
        <f>IFERROR(__xludf.DUMMYFUNCTION("DATE(INDEX(SPLIT(I493,""/""),,3),INDEX(SPLIT(I493,""/""),,2),INDEX(SPLIT(I493,""/""),,1))"),44985.0)</f>
        <v>44985</v>
      </c>
      <c r="L493" s="1">
        <v>0.0</v>
      </c>
      <c r="M493" s="1" t="s">
        <v>2043</v>
      </c>
      <c r="N493" s="1"/>
      <c r="O493" s="1" t="s">
        <v>30</v>
      </c>
      <c r="P493" s="1" t="s">
        <v>31</v>
      </c>
      <c r="Q493" s="1" t="s">
        <v>53</v>
      </c>
      <c r="R493" s="1" t="s">
        <v>53</v>
      </c>
      <c r="S493" s="1" t="s">
        <v>54</v>
      </c>
      <c r="U493" s="1">
        <v>1.00624533E8</v>
      </c>
      <c r="X493" s="1" t="s">
        <v>410</v>
      </c>
      <c r="Y493" s="1" t="s">
        <v>507</v>
      </c>
      <c r="Z493" s="1" t="s">
        <v>206</v>
      </c>
    </row>
    <row r="494" hidden="1">
      <c r="A494" s="1" t="s">
        <v>2046</v>
      </c>
      <c r="B494" s="1" t="s">
        <v>1198</v>
      </c>
      <c r="C494" s="1" t="s">
        <v>2047</v>
      </c>
      <c r="D494" s="1" t="s">
        <v>27</v>
      </c>
      <c r="E494" s="1" t="s">
        <v>28</v>
      </c>
      <c r="F494" s="2">
        <v>2000000.0</v>
      </c>
      <c r="G494" s="4">
        <v>44777.0</v>
      </c>
      <c r="H494" s="4">
        <f>IFERROR(__xludf.DUMMYFUNCTION("DATE(INDEX(SPLIT(G494,""/""),,3),INDEX(SPLIT(G494,""/""),,2),INDEX(SPLIT(G494,""/""),,1))"),44659.0)</f>
        <v>44659</v>
      </c>
      <c r="I494" s="1" t="s">
        <v>203</v>
      </c>
      <c r="J494" s="4">
        <f>IFERROR(__xludf.DUMMYFUNCTION("DATE(INDEX(SPLIT(I494,""/""),,3),INDEX(SPLIT(I494,""/""),,2),INDEX(SPLIT(I494,""/""),,1))"),44925.0)</f>
        <v>44925</v>
      </c>
      <c r="L494" s="1">
        <v>0.0</v>
      </c>
      <c r="M494" s="1" t="s">
        <v>941</v>
      </c>
      <c r="N494" s="1"/>
      <c r="O494" s="1" t="s">
        <v>30</v>
      </c>
      <c r="P494" s="1" t="s">
        <v>31</v>
      </c>
      <c r="Q494" s="1" t="s">
        <v>235</v>
      </c>
      <c r="R494" s="1" t="s">
        <v>235</v>
      </c>
      <c r="S494" s="1" t="s">
        <v>236</v>
      </c>
      <c r="T494" s="1" t="s">
        <v>438</v>
      </c>
      <c r="U494" s="1">
        <v>1.00652846E8</v>
      </c>
      <c r="X494" s="1" t="s">
        <v>88</v>
      </c>
      <c r="Y494" s="1" t="s">
        <v>1045</v>
      </c>
      <c r="Z494" s="1" t="s">
        <v>37</v>
      </c>
    </row>
    <row r="495" hidden="1">
      <c r="A495" s="1" t="s">
        <v>2048</v>
      </c>
      <c r="B495" s="1" t="s">
        <v>127</v>
      </c>
      <c r="C495" s="1" t="s">
        <v>2049</v>
      </c>
      <c r="D495" s="1" t="s">
        <v>27</v>
      </c>
      <c r="E495" s="1" t="s">
        <v>28</v>
      </c>
      <c r="F495" s="2">
        <v>2000000.0</v>
      </c>
      <c r="G495" s="4">
        <v>44747.0</v>
      </c>
      <c r="H495" s="4">
        <f>IFERROR(__xludf.DUMMYFUNCTION("DATE(INDEX(SPLIT(G495,""/""),,3),INDEX(SPLIT(G495,""/""),,2),INDEX(SPLIT(G495,""/""),,1))"),44688.0)</f>
        <v>44688</v>
      </c>
      <c r="I495" s="1" t="s">
        <v>109</v>
      </c>
      <c r="J495" s="4">
        <f>IFERROR(__xludf.DUMMYFUNCTION("DATE(INDEX(SPLIT(I495,""/""),,3),INDEX(SPLIT(I495,""/""),,2),INDEX(SPLIT(I495,""/""),,1))"),44834.0)</f>
        <v>44834</v>
      </c>
      <c r="L495" s="1">
        <v>0.0</v>
      </c>
      <c r="M495" s="1" t="s">
        <v>2039</v>
      </c>
      <c r="N495" s="1"/>
      <c r="O495" s="1" t="s">
        <v>30</v>
      </c>
      <c r="P495" s="1" t="s">
        <v>31</v>
      </c>
      <c r="Q495" s="1" t="s">
        <v>157</v>
      </c>
      <c r="R495" s="1" t="s">
        <v>157</v>
      </c>
      <c r="S495" s="1" t="s">
        <v>158</v>
      </c>
      <c r="U495" s="1">
        <v>1.00656722E8</v>
      </c>
      <c r="X495" s="1" t="s">
        <v>81</v>
      </c>
      <c r="Y495" s="1" t="s">
        <v>621</v>
      </c>
      <c r="Z495" s="1" t="s">
        <v>37</v>
      </c>
    </row>
    <row r="496" hidden="1">
      <c r="A496" s="1" t="s">
        <v>2050</v>
      </c>
      <c r="B496" s="1" t="s">
        <v>580</v>
      </c>
      <c r="C496" s="1" t="s">
        <v>2051</v>
      </c>
      <c r="D496" s="1" t="s">
        <v>27</v>
      </c>
      <c r="E496" s="1" t="s">
        <v>28</v>
      </c>
      <c r="F496" s="2">
        <v>2000000.0</v>
      </c>
      <c r="G496" s="4">
        <v>44292.0</v>
      </c>
      <c r="H496" s="4">
        <f>IFERROR(__xludf.DUMMYFUNCTION("DATE(INDEX(SPLIT(G496,""/""),,3),INDEX(SPLIT(G496,""/""),,2),INDEX(SPLIT(G496,""/""),,1))"),44351.0)</f>
        <v>44351</v>
      </c>
      <c r="I496" s="4">
        <v>44571.0</v>
      </c>
      <c r="J496" s="4">
        <f>IFERROR(__xludf.DUMMYFUNCTION("DATE(INDEX(SPLIT(I496,""/""),,3),INDEX(SPLIT(I496,""/""),,2),INDEX(SPLIT(I496,""/""),,1))"),44835.0)</f>
        <v>44835</v>
      </c>
      <c r="L496" s="1">
        <v>0.0</v>
      </c>
      <c r="M496" s="1" t="s">
        <v>1084</v>
      </c>
      <c r="N496" s="1"/>
      <c r="O496" s="1" t="s">
        <v>30</v>
      </c>
      <c r="P496" s="1" t="s">
        <v>31</v>
      </c>
      <c r="Q496" s="1" t="s">
        <v>32</v>
      </c>
      <c r="R496" s="1" t="s">
        <v>32</v>
      </c>
      <c r="S496" s="1" t="s">
        <v>33</v>
      </c>
      <c r="T496" s="1" t="s">
        <v>34</v>
      </c>
      <c r="U496" s="1">
        <v>1.00601386E8</v>
      </c>
      <c r="V496" s="1" t="s">
        <v>2052</v>
      </c>
      <c r="W496" s="1" t="s">
        <v>199</v>
      </c>
      <c r="X496" s="1" t="s">
        <v>81</v>
      </c>
      <c r="Y496" s="1" t="s">
        <v>1084</v>
      </c>
      <c r="Z496" s="1" t="s">
        <v>37</v>
      </c>
    </row>
    <row r="497" hidden="1">
      <c r="A497" s="1" t="s">
        <v>2053</v>
      </c>
      <c r="B497" s="1" t="s">
        <v>1606</v>
      </c>
      <c r="C497" s="1" t="s">
        <v>2054</v>
      </c>
      <c r="D497" s="1" t="s">
        <v>68</v>
      </c>
      <c r="E497" s="1" t="s">
        <v>28</v>
      </c>
      <c r="F497" s="2">
        <v>2000000.0</v>
      </c>
      <c r="G497" s="1" t="s">
        <v>2055</v>
      </c>
      <c r="H497" s="4">
        <f>IFERROR(__xludf.DUMMYFUNCTION("DATE(INDEX(SPLIT(G497,""/""),,3),INDEX(SPLIT(G497,""/""),,2),INDEX(SPLIT(G497,""/""),,1))"),44497.0)</f>
        <v>44497</v>
      </c>
      <c r="I497" s="4">
        <v>44937.0</v>
      </c>
      <c r="J497" s="4">
        <f>IFERROR(__xludf.DUMMYFUNCTION("DATE(INDEX(SPLIT(I497,""/""),,3),INDEX(SPLIT(I497,""/""),,2),INDEX(SPLIT(I497,""/""),,1))"),45231.0)</f>
        <v>45231</v>
      </c>
      <c r="K497" s="1" t="s">
        <v>2056</v>
      </c>
      <c r="L497" s="1">
        <v>0.0</v>
      </c>
      <c r="M497" s="1" t="s">
        <v>2057</v>
      </c>
      <c r="N497" s="1"/>
      <c r="O497" s="1" t="s">
        <v>30</v>
      </c>
      <c r="P497" s="1" t="s">
        <v>31</v>
      </c>
      <c r="Q497" s="1" t="s">
        <v>71</v>
      </c>
      <c r="R497" s="1" t="s">
        <v>71</v>
      </c>
      <c r="S497" s="1" t="s">
        <v>72</v>
      </c>
      <c r="T497" s="1" t="s">
        <v>136</v>
      </c>
      <c r="U497" s="1">
        <v>1.01078216E8</v>
      </c>
      <c r="X497" s="1" t="s">
        <v>74</v>
      </c>
      <c r="Y497" s="1" t="s">
        <v>2058</v>
      </c>
      <c r="Z497" s="1" t="s">
        <v>206</v>
      </c>
    </row>
    <row r="498" hidden="1">
      <c r="A498" s="1" t="s">
        <v>2059</v>
      </c>
      <c r="B498" s="1" t="s">
        <v>997</v>
      </c>
      <c r="C498" s="1" t="s">
        <v>2060</v>
      </c>
      <c r="D498" s="1" t="s">
        <v>27</v>
      </c>
      <c r="E498" s="1" t="s">
        <v>28</v>
      </c>
      <c r="F498" s="2">
        <v>2000000.0</v>
      </c>
      <c r="G498" s="1" t="s">
        <v>330</v>
      </c>
      <c r="H498" s="4">
        <f>IFERROR(__xludf.DUMMYFUNCTION("DATE(INDEX(SPLIT(G498,""/""),,3),INDEX(SPLIT(G498,""/""),,2),INDEX(SPLIT(G498,""/""),,1))"),44728.0)</f>
        <v>44728</v>
      </c>
      <c r="I498" s="1" t="s">
        <v>430</v>
      </c>
      <c r="J498" s="4">
        <f>IFERROR(__xludf.DUMMYFUNCTION("DATE(INDEX(SPLIT(I498,""/""),,3),INDEX(SPLIT(I498,""/""),,2),INDEX(SPLIT(I498,""/""),,1))"),44985.0)</f>
        <v>44985</v>
      </c>
      <c r="L498" s="1">
        <v>0.0</v>
      </c>
      <c r="M498" s="1" t="s">
        <v>2043</v>
      </c>
      <c r="N498" s="1"/>
      <c r="O498" s="1" t="s">
        <v>30</v>
      </c>
      <c r="P498" s="1" t="s">
        <v>31</v>
      </c>
      <c r="Q498" s="1" t="s">
        <v>53</v>
      </c>
      <c r="R498" s="1" t="s">
        <v>53</v>
      </c>
      <c r="S498" s="1" t="s">
        <v>54</v>
      </c>
      <c r="U498" s="1">
        <v>1.00624533E8</v>
      </c>
      <c r="X498" s="1" t="s">
        <v>410</v>
      </c>
      <c r="Y498" s="1" t="s">
        <v>2061</v>
      </c>
      <c r="Z498" s="1" t="s">
        <v>206</v>
      </c>
    </row>
    <row r="499" hidden="1">
      <c r="A499" s="1" t="s">
        <v>2062</v>
      </c>
      <c r="B499" s="1" t="s">
        <v>301</v>
      </c>
      <c r="C499" s="1" t="s">
        <v>2063</v>
      </c>
      <c r="D499" s="1" t="s">
        <v>78</v>
      </c>
      <c r="E499" s="1" t="s">
        <v>28</v>
      </c>
      <c r="F499" s="2">
        <v>2000000.0</v>
      </c>
      <c r="G499" s="1" t="s">
        <v>2064</v>
      </c>
      <c r="H499" s="4">
        <f>IFERROR(__xludf.DUMMYFUNCTION("DATE(INDEX(SPLIT(G499,""/""),,3),INDEX(SPLIT(G499,""/""),,2),INDEX(SPLIT(G499,""/""),,1))"),44616.0)</f>
        <v>44616</v>
      </c>
      <c r="I499" s="4">
        <v>44751.0</v>
      </c>
      <c r="J499" s="4">
        <f>IFERROR(__xludf.DUMMYFUNCTION("DATE(INDEX(SPLIT(I499,""/""),,3),INDEX(SPLIT(I499,""/""),,2),INDEX(SPLIT(I499,""/""),,1))"),44811.0)</f>
        <v>44811</v>
      </c>
      <c r="L499" s="1">
        <v>0.0</v>
      </c>
      <c r="M499" s="1" t="s">
        <v>873</v>
      </c>
      <c r="N499" s="1"/>
      <c r="O499" s="1" t="s">
        <v>30</v>
      </c>
      <c r="P499" s="1" t="s">
        <v>31</v>
      </c>
      <c r="Q499" s="1" t="s">
        <v>157</v>
      </c>
      <c r="R499" s="1" t="s">
        <v>157</v>
      </c>
      <c r="S499" s="1" t="s">
        <v>158</v>
      </c>
      <c r="U499" s="1">
        <v>1.00586701E8</v>
      </c>
      <c r="X499" s="1" t="s">
        <v>305</v>
      </c>
      <c r="Y499" s="1" t="s">
        <v>874</v>
      </c>
      <c r="Z499" s="1" t="s">
        <v>37</v>
      </c>
    </row>
    <row r="500">
      <c r="A500" s="1" t="s">
        <v>2065</v>
      </c>
      <c r="B500" s="1" t="s">
        <v>1854</v>
      </c>
      <c r="C500" s="1" t="s">
        <v>2066</v>
      </c>
      <c r="D500" s="1" t="s">
        <v>27</v>
      </c>
      <c r="E500" s="1" t="s">
        <v>28</v>
      </c>
      <c r="F500" s="2">
        <v>2000000.0</v>
      </c>
      <c r="G500" s="4">
        <v>44656.0</v>
      </c>
      <c r="H500" s="4">
        <f>IFERROR(__xludf.DUMMYFUNCTION("DATE(INDEX(SPLIT(G500,""/""),,3),INDEX(SPLIT(G500,""/""),,2),INDEX(SPLIT(G500,""/""),,1))"),44685.0)</f>
        <v>44685</v>
      </c>
      <c r="I500" s="4">
        <v>44568.0</v>
      </c>
      <c r="J500" s="4">
        <f>IFERROR(__xludf.DUMMYFUNCTION("DATE(INDEX(SPLIT(I500,""/""),,3),INDEX(SPLIT(I500,""/""),,2),INDEX(SPLIT(I500,""/""),,1))"),44743.0)</f>
        <v>44743</v>
      </c>
      <c r="L500" s="1">
        <v>0.0</v>
      </c>
      <c r="M500" s="1" t="s">
        <v>2067</v>
      </c>
      <c r="N500" s="1"/>
      <c r="O500" s="1" t="s">
        <v>30</v>
      </c>
      <c r="P500" s="1" t="s">
        <v>31</v>
      </c>
      <c r="Q500" s="1" t="s">
        <v>95</v>
      </c>
      <c r="R500" s="1" t="s">
        <v>95</v>
      </c>
      <c r="S500" s="1" t="s">
        <v>96</v>
      </c>
      <c r="T500" s="1" t="s">
        <v>111</v>
      </c>
      <c r="U500" s="1">
        <v>1.00631322E8</v>
      </c>
      <c r="X500" s="1" t="s">
        <v>63</v>
      </c>
      <c r="Y500" s="1" t="s">
        <v>2068</v>
      </c>
      <c r="Z500" s="1" t="s">
        <v>37</v>
      </c>
    </row>
    <row r="501" hidden="1">
      <c r="A501" s="1" t="s">
        <v>2069</v>
      </c>
      <c r="B501" s="1" t="s">
        <v>2070</v>
      </c>
      <c r="C501" s="1" t="s">
        <v>2071</v>
      </c>
      <c r="D501" s="1" t="s">
        <v>27</v>
      </c>
      <c r="E501" s="1" t="s">
        <v>28</v>
      </c>
      <c r="F501" s="2">
        <v>2000000.0</v>
      </c>
      <c r="G501" s="4">
        <v>44900.0</v>
      </c>
      <c r="H501" s="4">
        <f>IFERROR(__xludf.DUMMYFUNCTION("DATE(INDEX(SPLIT(G501,""/""),,3),INDEX(SPLIT(G501,""/""),,2),INDEX(SPLIT(G501,""/""),,1))"),44693.0)</f>
        <v>44693</v>
      </c>
      <c r="I501" s="1" t="s">
        <v>360</v>
      </c>
      <c r="J501" s="4">
        <f>IFERROR(__xludf.DUMMYFUNCTION("DATE(INDEX(SPLIT(I501,""/""),,3),INDEX(SPLIT(I501,""/""),,2),INDEX(SPLIT(I501,""/""),,1))"),44895.0)</f>
        <v>44895</v>
      </c>
      <c r="L501" s="1">
        <v>0.0</v>
      </c>
      <c r="M501" s="1" t="s">
        <v>2072</v>
      </c>
      <c r="N501" s="1"/>
      <c r="O501" s="1" t="s">
        <v>30</v>
      </c>
      <c r="P501" s="1" t="s">
        <v>31</v>
      </c>
      <c r="Q501" s="1" t="s">
        <v>71</v>
      </c>
      <c r="R501" s="1" t="s">
        <v>71</v>
      </c>
      <c r="S501" s="1" t="s">
        <v>72</v>
      </c>
      <c r="T501" s="1" t="s">
        <v>136</v>
      </c>
      <c r="U501" s="1">
        <v>1.00628181E8</v>
      </c>
      <c r="X501" s="1" t="s">
        <v>74</v>
      </c>
      <c r="Y501" s="1" t="s">
        <v>2072</v>
      </c>
      <c r="Z501" s="1" t="s">
        <v>37</v>
      </c>
    </row>
    <row r="502" hidden="1">
      <c r="A502" s="1" t="s">
        <v>2073</v>
      </c>
      <c r="B502" s="1" t="s">
        <v>2074</v>
      </c>
      <c r="C502" s="1" t="s">
        <v>1604</v>
      </c>
      <c r="D502" s="1" t="s">
        <v>27</v>
      </c>
      <c r="E502" s="1" t="s">
        <v>28</v>
      </c>
      <c r="F502" s="2">
        <v>2000000.0</v>
      </c>
      <c r="G502" s="4">
        <v>44867.0</v>
      </c>
      <c r="H502" s="4">
        <f>IFERROR(__xludf.DUMMYFUNCTION("DATE(INDEX(SPLIT(G502,""/""),,3),INDEX(SPLIT(G502,""/""),,2),INDEX(SPLIT(G502,""/""),,1))"),44603.0)</f>
        <v>44603</v>
      </c>
      <c r="I502" s="4">
        <v>44570.0</v>
      </c>
      <c r="J502" s="4">
        <f>IFERROR(__xludf.DUMMYFUNCTION("DATE(INDEX(SPLIT(I502,""/""),,3),INDEX(SPLIT(I502,""/""),,2),INDEX(SPLIT(I502,""/""),,1))"),44805.0)</f>
        <v>44805</v>
      </c>
      <c r="L502" s="1">
        <v>0.0</v>
      </c>
      <c r="M502" s="1" t="s">
        <v>303</v>
      </c>
      <c r="N502" s="1"/>
      <c r="O502" s="1" t="s">
        <v>30</v>
      </c>
      <c r="P502" s="1" t="s">
        <v>31</v>
      </c>
      <c r="Q502" s="1" t="s">
        <v>95</v>
      </c>
      <c r="R502" s="1" t="s">
        <v>95</v>
      </c>
      <c r="S502" s="1" t="s">
        <v>96</v>
      </c>
      <c r="T502" s="1" t="s">
        <v>1386</v>
      </c>
      <c r="U502" s="1">
        <v>1.00623914E8</v>
      </c>
      <c r="X502" s="1" t="s">
        <v>81</v>
      </c>
      <c r="Y502" s="1" t="s">
        <v>1387</v>
      </c>
      <c r="Z502" s="1" t="s">
        <v>37</v>
      </c>
    </row>
    <row r="503" hidden="1">
      <c r="A503" s="1" t="s">
        <v>2075</v>
      </c>
      <c r="B503" s="1" t="s">
        <v>546</v>
      </c>
      <c r="C503" s="1" t="s">
        <v>2076</v>
      </c>
      <c r="D503" s="1" t="s">
        <v>122</v>
      </c>
      <c r="E503" s="1" t="s">
        <v>28</v>
      </c>
      <c r="F503" s="2">
        <v>2000000.0</v>
      </c>
      <c r="G503" s="1" t="s">
        <v>2077</v>
      </c>
      <c r="H503" s="4">
        <f>IFERROR(__xludf.DUMMYFUNCTION("DATE(INDEX(SPLIT(G503,""/""),,3),INDEX(SPLIT(G503,""/""),,2),INDEX(SPLIT(G503,""/""),,1))"),44700.0)</f>
        <v>44700</v>
      </c>
      <c r="I503" s="1" t="s">
        <v>360</v>
      </c>
      <c r="J503" s="4">
        <f>IFERROR(__xludf.DUMMYFUNCTION("DATE(INDEX(SPLIT(I503,""/""),,3),INDEX(SPLIT(I503,""/""),,2),INDEX(SPLIT(I503,""/""),,1))"),44895.0)</f>
        <v>44895</v>
      </c>
      <c r="L503" s="1">
        <v>0.0</v>
      </c>
      <c r="M503" s="1" t="s">
        <v>1409</v>
      </c>
      <c r="N503" s="1"/>
      <c r="O503" s="1" t="s">
        <v>30</v>
      </c>
      <c r="P503" s="1" t="s">
        <v>31</v>
      </c>
      <c r="Q503" s="1" t="s">
        <v>71</v>
      </c>
      <c r="R503" s="1" t="s">
        <v>71</v>
      </c>
      <c r="S503" s="1" t="s">
        <v>72</v>
      </c>
      <c r="T503" s="1" t="s">
        <v>73</v>
      </c>
      <c r="U503" s="1">
        <v>1.00613761E8</v>
      </c>
      <c r="V503" s="1" t="s">
        <v>2078</v>
      </c>
      <c r="W503" s="1" t="s">
        <v>45</v>
      </c>
      <c r="X503" s="1" t="s">
        <v>74</v>
      </c>
      <c r="Y503" s="1" t="s">
        <v>1409</v>
      </c>
      <c r="Z503" s="1" t="s">
        <v>37</v>
      </c>
    </row>
    <row r="504" hidden="1">
      <c r="A504" s="1" t="s">
        <v>2079</v>
      </c>
      <c r="B504" s="1" t="s">
        <v>784</v>
      </c>
      <c r="C504" s="1" t="s">
        <v>2080</v>
      </c>
      <c r="D504" s="1" t="s">
        <v>27</v>
      </c>
      <c r="E504" s="1" t="s">
        <v>28</v>
      </c>
      <c r="F504" s="2">
        <v>2000000.0</v>
      </c>
      <c r="G504" s="1" t="s">
        <v>557</v>
      </c>
      <c r="H504" s="4">
        <f>IFERROR(__xludf.DUMMYFUNCTION("DATE(INDEX(SPLIT(G504,""/""),,3),INDEX(SPLIT(G504,""/""),,2),INDEX(SPLIT(G504,""/""),,1))"),44439.0)</f>
        <v>44439</v>
      </c>
      <c r="I504" s="1" t="s">
        <v>109</v>
      </c>
      <c r="J504" s="4">
        <f>IFERROR(__xludf.DUMMYFUNCTION("DATE(INDEX(SPLIT(I504,""/""),,3),INDEX(SPLIT(I504,""/""),,2),INDEX(SPLIT(I504,""/""),,1))"),44834.0)</f>
        <v>44834</v>
      </c>
      <c r="L504" s="1">
        <v>0.0</v>
      </c>
      <c r="M504" s="1" t="s">
        <v>1398</v>
      </c>
      <c r="N504" s="1"/>
      <c r="O504" s="1" t="s">
        <v>30</v>
      </c>
      <c r="P504" s="1" t="s">
        <v>31</v>
      </c>
      <c r="Q504" s="1" t="s">
        <v>95</v>
      </c>
      <c r="R504" s="1" t="s">
        <v>95</v>
      </c>
      <c r="S504" s="1" t="s">
        <v>96</v>
      </c>
      <c r="T504" s="1" t="s">
        <v>111</v>
      </c>
      <c r="U504" s="1">
        <v>1.0061941E8</v>
      </c>
      <c r="X504" s="1" t="s">
        <v>63</v>
      </c>
      <c r="Y504" s="1" t="s">
        <v>2081</v>
      </c>
      <c r="Z504" s="1" t="s">
        <v>37</v>
      </c>
    </row>
    <row r="505" hidden="1">
      <c r="A505" s="1" t="s">
        <v>2082</v>
      </c>
      <c r="B505" s="1" t="s">
        <v>427</v>
      </c>
      <c r="C505" s="1" t="s">
        <v>2083</v>
      </c>
      <c r="D505" s="1" t="s">
        <v>27</v>
      </c>
      <c r="E505" s="1" t="s">
        <v>28</v>
      </c>
      <c r="F505" s="2">
        <v>2000000.0</v>
      </c>
      <c r="G505" s="1" t="s">
        <v>185</v>
      </c>
      <c r="H505" s="4">
        <f>IFERROR(__xludf.DUMMYFUNCTION("DATE(INDEX(SPLIT(G505,""/""),,3),INDEX(SPLIT(G505,""/""),,2),INDEX(SPLIT(G505,""/""),,1))"),44741.0)</f>
        <v>44741</v>
      </c>
      <c r="I505" s="1" t="s">
        <v>1097</v>
      </c>
      <c r="J505" s="4">
        <f>IFERROR(__xludf.DUMMYFUNCTION("DATE(INDEX(SPLIT(I505,""/""),,3),INDEX(SPLIT(I505,""/""),,2),INDEX(SPLIT(I505,""/""),,1))"),45107.0)</f>
        <v>45107</v>
      </c>
      <c r="L505" s="1">
        <v>0.0</v>
      </c>
      <c r="M505" s="1" t="s">
        <v>863</v>
      </c>
      <c r="N505" s="1"/>
      <c r="O505" s="1" t="s">
        <v>30</v>
      </c>
      <c r="P505" s="1" t="s">
        <v>31</v>
      </c>
      <c r="Q505" s="1" t="s">
        <v>32</v>
      </c>
      <c r="R505" s="1" t="s">
        <v>32</v>
      </c>
      <c r="S505" s="1" t="s">
        <v>33</v>
      </c>
      <c r="U505" s="1">
        <v>1.00650568E8</v>
      </c>
      <c r="X505" s="1" t="s">
        <v>125</v>
      </c>
      <c r="Y505" s="1" t="s">
        <v>432</v>
      </c>
      <c r="Z505" s="1" t="s">
        <v>37</v>
      </c>
    </row>
    <row r="506" hidden="1">
      <c r="A506" s="1" t="s">
        <v>2084</v>
      </c>
      <c r="B506" s="1" t="s">
        <v>370</v>
      </c>
      <c r="C506" s="1" t="s">
        <v>2085</v>
      </c>
      <c r="D506" s="1" t="s">
        <v>27</v>
      </c>
      <c r="E506" s="1" t="s">
        <v>28</v>
      </c>
      <c r="F506" s="2">
        <v>2000000.0</v>
      </c>
      <c r="G506" s="1" t="s">
        <v>225</v>
      </c>
      <c r="H506" s="4">
        <f>IFERROR(__xludf.DUMMYFUNCTION("DATE(INDEX(SPLIT(G506,""/""),,3),INDEX(SPLIT(G506,""/""),,2),INDEX(SPLIT(G506,""/""),,1))"),44518.0)</f>
        <v>44518</v>
      </c>
      <c r="I506" s="1" t="s">
        <v>109</v>
      </c>
      <c r="J506" s="4">
        <f>IFERROR(__xludf.DUMMYFUNCTION("DATE(INDEX(SPLIT(I506,""/""),,3),INDEX(SPLIT(I506,""/""),,2),INDEX(SPLIT(I506,""/""),,1))"),44834.0)</f>
        <v>44834</v>
      </c>
      <c r="L506" s="1">
        <v>0.0</v>
      </c>
      <c r="M506" s="1" t="s">
        <v>2086</v>
      </c>
      <c r="N506" s="1"/>
      <c r="O506" s="1" t="s">
        <v>30</v>
      </c>
      <c r="P506" s="1" t="s">
        <v>31</v>
      </c>
      <c r="Q506" s="1" t="s">
        <v>235</v>
      </c>
      <c r="R506" s="1" t="s">
        <v>235</v>
      </c>
      <c r="S506" s="1" t="s">
        <v>236</v>
      </c>
      <c r="T506" s="1" t="s">
        <v>237</v>
      </c>
      <c r="U506" s="1">
        <v>1.00647488E8</v>
      </c>
      <c r="X506" s="1" t="s">
        <v>239</v>
      </c>
      <c r="Y506" s="1" t="s">
        <v>234</v>
      </c>
      <c r="Z506" s="1" t="s">
        <v>37</v>
      </c>
    </row>
    <row r="507" hidden="1">
      <c r="A507" s="1" t="s">
        <v>2087</v>
      </c>
      <c r="B507" s="1" t="s">
        <v>427</v>
      </c>
      <c r="C507" s="1" t="s">
        <v>2088</v>
      </c>
      <c r="D507" s="1" t="s">
        <v>27</v>
      </c>
      <c r="E507" s="1" t="s">
        <v>28</v>
      </c>
      <c r="F507" s="2">
        <v>2000000.0</v>
      </c>
      <c r="G507" s="1" t="s">
        <v>185</v>
      </c>
      <c r="H507" s="4">
        <f>IFERROR(__xludf.DUMMYFUNCTION("DATE(INDEX(SPLIT(G507,""/""),,3),INDEX(SPLIT(G507,""/""),,2),INDEX(SPLIT(G507,""/""),,1))"),44741.0)</f>
        <v>44741</v>
      </c>
      <c r="I507" s="1" t="s">
        <v>1097</v>
      </c>
      <c r="J507" s="4">
        <f>IFERROR(__xludf.DUMMYFUNCTION("DATE(INDEX(SPLIT(I507,""/""),,3),INDEX(SPLIT(I507,""/""),,2),INDEX(SPLIT(I507,""/""),,1))"),45107.0)</f>
        <v>45107</v>
      </c>
      <c r="L507" s="1">
        <v>0.0</v>
      </c>
      <c r="M507" s="1" t="s">
        <v>431</v>
      </c>
      <c r="N507" s="1"/>
      <c r="O507" s="1" t="s">
        <v>30</v>
      </c>
      <c r="P507" s="1" t="s">
        <v>31</v>
      </c>
      <c r="Q507" s="1" t="s">
        <v>157</v>
      </c>
      <c r="R507" s="1" t="s">
        <v>157</v>
      </c>
      <c r="S507" s="1" t="s">
        <v>158</v>
      </c>
      <c r="U507" s="1">
        <v>1.00650064E8</v>
      </c>
      <c r="X507" s="1" t="s">
        <v>125</v>
      </c>
      <c r="Y507" s="1" t="s">
        <v>432</v>
      </c>
      <c r="Z507" s="1" t="s">
        <v>37</v>
      </c>
    </row>
    <row r="508" hidden="1">
      <c r="A508" s="1" t="s">
        <v>2089</v>
      </c>
      <c r="B508" s="1" t="s">
        <v>427</v>
      </c>
      <c r="C508" s="1" t="s">
        <v>2090</v>
      </c>
      <c r="D508" s="1" t="s">
        <v>27</v>
      </c>
      <c r="E508" s="1" t="s">
        <v>28</v>
      </c>
      <c r="F508" s="2">
        <v>2000000.0</v>
      </c>
      <c r="G508" s="1" t="s">
        <v>185</v>
      </c>
      <c r="H508" s="4">
        <f>IFERROR(__xludf.DUMMYFUNCTION("DATE(INDEX(SPLIT(G508,""/""),,3),INDEX(SPLIT(G508,""/""),,2),INDEX(SPLIT(G508,""/""),,1))"),44741.0)</f>
        <v>44741</v>
      </c>
      <c r="I508" s="1" t="s">
        <v>1097</v>
      </c>
      <c r="J508" s="4">
        <f>IFERROR(__xludf.DUMMYFUNCTION("DATE(INDEX(SPLIT(I508,""/""),,3),INDEX(SPLIT(I508,""/""),,2),INDEX(SPLIT(I508,""/""),,1))"),45107.0)</f>
        <v>45107</v>
      </c>
      <c r="L508" s="1">
        <v>0.0</v>
      </c>
      <c r="M508" s="1" t="s">
        <v>431</v>
      </c>
      <c r="N508" s="1"/>
      <c r="O508" s="1" t="s">
        <v>30</v>
      </c>
      <c r="P508" s="1" t="s">
        <v>31</v>
      </c>
      <c r="Q508" s="1" t="s">
        <v>157</v>
      </c>
      <c r="R508" s="1" t="s">
        <v>157</v>
      </c>
      <c r="S508" s="1" t="s">
        <v>158</v>
      </c>
      <c r="U508" s="1">
        <v>1.00650064E8</v>
      </c>
      <c r="X508" s="1" t="s">
        <v>125</v>
      </c>
      <c r="Y508" s="1" t="s">
        <v>432</v>
      </c>
      <c r="Z508" s="1" t="s">
        <v>37</v>
      </c>
    </row>
    <row r="509" hidden="1">
      <c r="A509" s="1" t="s">
        <v>2091</v>
      </c>
      <c r="B509" s="1" t="s">
        <v>427</v>
      </c>
      <c r="C509" s="1" t="s">
        <v>2092</v>
      </c>
      <c r="D509" s="1" t="s">
        <v>27</v>
      </c>
      <c r="E509" s="1" t="s">
        <v>28</v>
      </c>
      <c r="F509" s="2">
        <v>2000000.0</v>
      </c>
      <c r="G509" s="1" t="s">
        <v>185</v>
      </c>
      <c r="H509" s="4">
        <f>IFERROR(__xludf.DUMMYFUNCTION("DATE(INDEX(SPLIT(G509,""/""),,3),INDEX(SPLIT(G509,""/""),,2),INDEX(SPLIT(G509,""/""),,1))"),44741.0)</f>
        <v>44741</v>
      </c>
      <c r="I509" s="1" t="s">
        <v>1097</v>
      </c>
      <c r="J509" s="4">
        <f>IFERROR(__xludf.DUMMYFUNCTION("DATE(INDEX(SPLIT(I509,""/""),,3),INDEX(SPLIT(I509,""/""),,2),INDEX(SPLIT(I509,""/""),,1))"),45107.0)</f>
        <v>45107</v>
      </c>
      <c r="L509" s="1">
        <v>0.0</v>
      </c>
      <c r="M509" s="1" t="s">
        <v>431</v>
      </c>
      <c r="N509" s="1"/>
      <c r="O509" s="1" t="s">
        <v>30</v>
      </c>
      <c r="P509" s="1" t="s">
        <v>31</v>
      </c>
      <c r="Q509" s="1" t="s">
        <v>157</v>
      </c>
      <c r="R509" s="1" t="s">
        <v>157</v>
      </c>
      <c r="S509" s="1" t="s">
        <v>158</v>
      </c>
      <c r="U509" s="1">
        <v>1.00650064E8</v>
      </c>
      <c r="X509" s="1" t="s">
        <v>125</v>
      </c>
      <c r="Y509" s="1" t="s">
        <v>432</v>
      </c>
      <c r="Z509" s="1" t="s">
        <v>37</v>
      </c>
    </row>
    <row r="510">
      <c r="A510" s="1" t="s">
        <v>2093</v>
      </c>
      <c r="B510" s="1" t="s">
        <v>2094</v>
      </c>
      <c r="C510" s="1" t="s">
        <v>2095</v>
      </c>
      <c r="D510" s="1" t="s">
        <v>68</v>
      </c>
      <c r="E510" s="1" t="s">
        <v>28</v>
      </c>
      <c r="F510" s="2">
        <v>2000000.0</v>
      </c>
      <c r="G510" s="4">
        <v>44717.0</v>
      </c>
      <c r="H510" s="4">
        <f>IFERROR(__xludf.DUMMYFUNCTION("DATE(INDEX(SPLIT(G510,""/""),,3),INDEX(SPLIT(G510,""/""),,2),INDEX(SPLIT(G510,""/""),,1))"),44687.0)</f>
        <v>44687</v>
      </c>
      <c r="I510" s="1" t="s">
        <v>1244</v>
      </c>
      <c r="J510" s="4">
        <f>IFERROR(__xludf.DUMMYFUNCTION("DATE(INDEX(SPLIT(I510,""/""),,3),INDEX(SPLIT(I510,""/""),,2),INDEX(SPLIT(I510,""/""),,1))"),44742.0)</f>
        <v>44742</v>
      </c>
      <c r="L510" s="1">
        <v>0.0</v>
      </c>
      <c r="M510" s="1" t="s">
        <v>2096</v>
      </c>
      <c r="N510" s="1"/>
      <c r="O510" s="1" t="s">
        <v>30</v>
      </c>
      <c r="P510" s="1" t="s">
        <v>31</v>
      </c>
      <c r="Q510" s="1" t="s">
        <v>228</v>
      </c>
      <c r="R510" s="1" t="s">
        <v>228</v>
      </c>
      <c r="S510" s="1" t="s">
        <v>229</v>
      </c>
      <c r="T510" s="1" t="s">
        <v>640</v>
      </c>
      <c r="U510" s="1">
        <v>1.00619128E8</v>
      </c>
      <c r="V510" s="1" t="s">
        <v>2097</v>
      </c>
      <c r="W510" s="1" t="s">
        <v>45</v>
      </c>
      <c r="X510" s="1" t="s">
        <v>46</v>
      </c>
      <c r="Y510" s="1" t="s">
        <v>2096</v>
      </c>
      <c r="Z510" s="1" t="s">
        <v>37</v>
      </c>
    </row>
    <row r="511" hidden="1">
      <c r="A511" s="1" t="s">
        <v>2098</v>
      </c>
      <c r="B511" s="1" t="s">
        <v>2099</v>
      </c>
      <c r="C511" s="1" t="s">
        <v>2100</v>
      </c>
      <c r="D511" s="1" t="s">
        <v>78</v>
      </c>
      <c r="E511" s="1" t="s">
        <v>28</v>
      </c>
      <c r="F511" s="2">
        <v>2000000.0</v>
      </c>
      <c r="G511" s="1" t="s">
        <v>2101</v>
      </c>
      <c r="H511" s="4">
        <f>IFERROR(__xludf.DUMMYFUNCTION("DATE(INDEX(SPLIT(G511,""/""),,3),INDEX(SPLIT(G511,""/""),,2),INDEX(SPLIT(G511,""/""),,1))"),44579.0)</f>
        <v>44579</v>
      </c>
      <c r="I511" s="1" t="s">
        <v>2102</v>
      </c>
      <c r="J511" s="4">
        <f>IFERROR(__xludf.DUMMYFUNCTION("DATE(INDEX(SPLIT(I511,""/""),,3),INDEX(SPLIT(I511,""/""),,2),INDEX(SPLIT(I511,""/""),,1))"),45045.0)</f>
        <v>45045</v>
      </c>
      <c r="L511" s="1">
        <v>0.0</v>
      </c>
      <c r="M511" s="1" t="s">
        <v>1129</v>
      </c>
      <c r="N511" s="1"/>
      <c r="O511" s="1" t="s">
        <v>30</v>
      </c>
      <c r="P511" s="1" t="s">
        <v>31</v>
      </c>
      <c r="Q511" s="1" t="s">
        <v>157</v>
      </c>
      <c r="R511" s="1" t="s">
        <v>157</v>
      </c>
      <c r="S511" s="1" t="s">
        <v>158</v>
      </c>
      <c r="T511" s="1" t="s">
        <v>442</v>
      </c>
      <c r="U511" s="1">
        <v>1.00650786E8</v>
      </c>
      <c r="X511" s="1" t="s">
        <v>125</v>
      </c>
      <c r="Y511" s="1" t="s">
        <v>847</v>
      </c>
      <c r="Z511" s="1" t="s">
        <v>37</v>
      </c>
    </row>
    <row r="512" hidden="1">
      <c r="A512" s="1" t="s">
        <v>2103</v>
      </c>
      <c r="B512" s="1" t="s">
        <v>546</v>
      </c>
      <c r="C512" s="1" t="s">
        <v>2104</v>
      </c>
      <c r="D512" s="1" t="s">
        <v>78</v>
      </c>
      <c r="E512" s="1" t="s">
        <v>28</v>
      </c>
      <c r="F512" s="2">
        <v>2000000.0</v>
      </c>
      <c r="G512" s="1" t="s">
        <v>2105</v>
      </c>
      <c r="H512" s="4">
        <f>IFERROR(__xludf.DUMMYFUNCTION("DATE(INDEX(SPLIT(G512,""/""),,3),INDEX(SPLIT(G512,""/""),,2),INDEX(SPLIT(G512,""/""),,1))"),44340.0)</f>
        <v>44340</v>
      </c>
      <c r="I512" s="1" t="s">
        <v>42</v>
      </c>
      <c r="J512" s="4">
        <f>IFERROR(__xludf.DUMMYFUNCTION("DATE(INDEX(SPLIT(I512,""/""),,3),INDEX(SPLIT(I512,""/""),,2),INDEX(SPLIT(I512,""/""),,1))"),44926.0)</f>
        <v>44926</v>
      </c>
      <c r="L512" s="1">
        <v>0.0</v>
      </c>
      <c r="M512" s="1" t="s">
        <v>2106</v>
      </c>
      <c r="N512" s="1"/>
      <c r="O512" s="1" t="s">
        <v>30</v>
      </c>
      <c r="P512" s="1" t="s">
        <v>31</v>
      </c>
      <c r="Q512" s="1" t="s">
        <v>71</v>
      </c>
      <c r="R512" s="1" t="s">
        <v>71</v>
      </c>
      <c r="S512" s="1" t="s">
        <v>72</v>
      </c>
      <c r="T512" s="1" t="s">
        <v>73</v>
      </c>
      <c r="U512" s="1">
        <v>1.0061108E8</v>
      </c>
      <c r="X512" s="1" t="s">
        <v>74</v>
      </c>
      <c r="Y512" s="1" t="s">
        <v>2107</v>
      </c>
      <c r="Z512" s="1" t="s">
        <v>37</v>
      </c>
    </row>
    <row r="513" hidden="1">
      <c r="A513" s="1" t="s">
        <v>2108</v>
      </c>
      <c r="B513" s="1" t="s">
        <v>1070</v>
      </c>
      <c r="C513" s="1" t="s">
        <v>2109</v>
      </c>
      <c r="D513" s="1" t="s">
        <v>27</v>
      </c>
      <c r="E513" s="1" t="s">
        <v>28</v>
      </c>
      <c r="F513" s="2">
        <v>2000000.0</v>
      </c>
      <c r="G513" s="1" t="s">
        <v>2110</v>
      </c>
      <c r="H513" s="4">
        <f>IFERROR(__xludf.DUMMYFUNCTION("DATE(INDEX(SPLIT(G513,""/""),,3),INDEX(SPLIT(G513,""/""),,2),INDEX(SPLIT(G513,""/""),,1))"),44650.0)</f>
        <v>44650</v>
      </c>
      <c r="I513" s="1" t="s">
        <v>2111</v>
      </c>
      <c r="J513" s="4">
        <f>IFERROR(__xludf.DUMMYFUNCTION("DATE(INDEX(SPLIT(I513,""/""),,3),INDEX(SPLIT(I513,""/""),,2),INDEX(SPLIT(I513,""/""),,1))"),44914.0)</f>
        <v>44914</v>
      </c>
      <c r="L513" s="1">
        <v>0.0</v>
      </c>
      <c r="M513" s="1" t="s">
        <v>1704</v>
      </c>
      <c r="N513" s="1"/>
      <c r="O513" s="1" t="s">
        <v>30</v>
      </c>
      <c r="P513" s="1" t="s">
        <v>31</v>
      </c>
      <c r="Q513" s="1" t="s">
        <v>157</v>
      </c>
      <c r="R513" s="1" t="s">
        <v>157</v>
      </c>
      <c r="S513" s="1" t="s">
        <v>158</v>
      </c>
      <c r="U513" s="1">
        <v>1.00654991E8</v>
      </c>
      <c r="X513" s="1" t="s">
        <v>305</v>
      </c>
      <c r="Y513" s="1" t="s">
        <v>1072</v>
      </c>
      <c r="Z513" s="1" t="s">
        <v>37</v>
      </c>
    </row>
    <row r="514">
      <c r="A514" s="1" t="s">
        <v>2112</v>
      </c>
      <c r="B514" s="1" t="s">
        <v>954</v>
      </c>
      <c r="C514" s="1" t="s">
        <v>2113</v>
      </c>
      <c r="D514" s="1" t="s">
        <v>27</v>
      </c>
      <c r="E514" s="1" t="s">
        <v>28</v>
      </c>
      <c r="F514" s="2">
        <v>2000000.0</v>
      </c>
      <c r="G514" s="4">
        <v>44777.0</v>
      </c>
      <c r="H514" s="4">
        <f>IFERROR(__xludf.DUMMYFUNCTION("DATE(INDEX(SPLIT(G514,""/""),,3),INDEX(SPLIT(G514,""/""),,2),INDEX(SPLIT(G514,""/""),,1))"),44659.0)</f>
        <v>44659</v>
      </c>
      <c r="I514" s="1" t="s">
        <v>1244</v>
      </c>
      <c r="J514" s="4">
        <f>IFERROR(__xludf.DUMMYFUNCTION("DATE(INDEX(SPLIT(I514,""/""),,3),INDEX(SPLIT(I514,""/""),,2),INDEX(SPLIT(I514,""/""),,1))"),44742.0)</f>
        <v>44742</v>
      </c>
      <c r="L514" s="1">
        <v>0.0</v>
      </c>
      <c r="M514" s="1" t="s">
        <v>1941</v>
      </c>
      <c r="N514" s="1"/>
      <c r="O514" s="1" t="s">
        <v>30</v>
      </c>
      <c r="P514" s="1" t="s">
        <v>31</v>
      </c>
      <c r="Q514" s="1" t="s">
        <v>71</v>
      </c>
      <c r="R514" s="1" t="s">
        <v>71</v>
      </c>
      <c r="S514" s="1" t="s">
        <v>72</v>
      </c>
      <c r="T514" s="1" t="s">
        <v>73</v>
      </c>
      <c r="U514" s="1">
        <v>1.00649673E8</v>
      </c>
      <c r="X514" s="1" t="s">
        <v>74</v>
      </c>
      <c r="Y514" s="1" t="s">
        <v>957</v>
      </c>
      <c r="Z514" s="1" t="s">
        <v>37</v>
      </c>
    </row>
    <row r="515" hidden="1">
      <c r="A515" s="1" t="s">
        <v>2114</v>
      </c>
      <c r="B515" s="1" t="s">
        <v>1612</v>
      </c>
      <c r="C515" s="1" t="s">
        <v>2115</v>
      </c>
      <c r="D515" s="1" t="s">
        <v>27</v>
      </c>
      <c r="E515" s="1" t="s">
        <v>28</v>
      </c>
      <c r="F515" s="2">
        <v>2000000.0</v>
      </c>
      <c r="G515" s="1" t="s">
        <v>2116</v>
      </c>
      <c r="H515" s="4">
        <f>IFERROR(__xludf.DUMMYFUNCTION("DATE(INDEX(SPLIT(G515,""/""),,3),INDEX(SPLIT(G515,""/""),,2),INDEX(SPLIT(G515,""/""),,1))"),44620.0)</f>
        <v>44620</v>
      </c>
      <c r="I515" s="4">
        <v>44569.0</v>
      </c>
      <c r="J515" s="4">
        <f>IFERROR(__xludf.DUMMYFUNCTION("DATE(INDEX(SPLIT(I515,""/""),,3),INDEX(SPLIT(I515,""/""),,2),INDEX(SPLIT(I515,""/""),,1))"),44774.0)</f>
        <v>44774</v>
      </c>
      <c r="L515" s="1">
        <v>0.0</v>
      </c>
      <c r="M515" s="1" t="s">
        <v>1284</v>
      </c>
      <c r="N515" s="1"/>
      <c r="O515" s="1" t="s">
        <v>30</v>
      </c>
      <c r="P515" s="1" t="s">
        <v>31</v>
      </c>
      <c r="Q515" s="1" t="s">
        <v>32</v>
      </c>
      <c r="R515" s="1" t="s">
        <v>32</v>
      </c>
      <c r="S515" s="1" t="s">
        <v>33</v>
      </c>
      <c r="T515" s="1" t="s">
        <v>402</v>
      </c>
      <c r="U515" s="1">
        <v>1.00626898E8</v>
      </c>
      <c r="X515" s="1" t="s">
        <v>117</v>
      </c>
      <c r="Y515" s="1" t="s">
        <v>1284</v>
      </c>
      <c r="Z515" s="1" t="s">
        <v>37</v>
      </c>
    </row>
    <row r="516">
      <c r="A516" s="1" t="s">
        <v>2117</v>
      </c>
      <c r="B516" s="1" t="s">
        <v>816</v>
      </c>
      <c r="C516" s="1" t="s">
        <v>2118</v>
      </c>
      <c r="D516" s="1" t="s">
        <v>78</v>
      </c>
      <c r="E516" s="1" t="s">
        <v>28</v>
      </c>
      <c r="F516" s="2">
        <v>2000000.0</v>
      </c>
      <c r="G516" s="4">
        <v>44599.0</v>
      </c>
      <c r="H516" s="4">
        <f>IFERROR(__xludf.DUMMYFUNCTION("DATE(INDEX(SPLIT(G516,""/""),,3),INDEX(SPLIT(G516,""/""),,2),INDEX(SPLIT(G516,""/""),,1))"),44744.0)</f>
        <v>44744</v>
      </c>
      <c r="I516" s="1" t="s">
        <v>226</v>
      </c>
      <c r="J516" s="4">
        <f>IFERROR(__xludf.DUMMYFUNCTION("DATE(INDEX(SPLIT(I516,""/""),,3),INDEX(SPLIT(I516,""/""),,2),INDEX(SPLIT(I516,""/""),,1))"),44771.0)</f>
        <v>44771</v>
      </c>
      <c r="L516" s="1">
        <v>0.0</v>
      </c>
      <c r="M516" s="1" t="s">
        <v>819</v>
      </c>
      <c r="N516" s="1"/>
      <c r="O516" s="1" t="s">
        <v>30</v>
      </c>
      <c r="P516" s="1" t="s">
        <v>31</v>
      </c>
      <c r="Q516" s="1" t="s">
        <v>53</v>
      </c>
      <c r="R516" s="1" t="s">
        <v>53</v>
      </c>
      <c r="S516" s="1" t="s">
        <v>54</v>
      </c>
      <c r="T516" s="1" t="s">
        <v>634</v>
      </c>
      <c r="U516" s="1">
        <v>1.00661738E8</v>
      </c>
      <c r="X516" s="1" t="s">
        <v>490</v>
      </c>
      <c r="Y516" s="1" t="s">
        <v>2119</v>
      </c>
      <c r="Z516" s="1" t="s">
        <v>37</v>
      </c>
    </row>
    <row r="517" hidden="1">
      <c r="A517" s="1" t="s">
        <v>2120</v>
      </c>
      <c r="B517" s="1" t="s">
        <v>2121</v>
      </c>
      <c r="C517" s="1" t="s">
        <v>2122</v>
      </c>
      <c r="D517" s="1" t="s">
        <v>27</v>
      </c>
      <c r="E517" s="1" t="s">
        <v>28</v>
      </c>
      <c r="F517" s="2">
        <v>2000000.0</v>
      </c>
      <c r="G517" s="1" t="s">
        <v>1521</v>
      </c>
      <c r="H517" s="4">
        <f>IFERROR(__xludf.DUMMYFUNCTION("DATE(INDEX(SPLIT(G517,""/""),,3),INDEX(SPLIT(G517,""/""),,2),INDEX(SPLIT(G517,""/""),,1))"),44756.0)</f>
        <v>44756</v>
      </c>
      <c r="I517" s="4">
        <v>44570.0</v>
      </c>
      <c r="J517" s="4">
        <f>IFERROR(__xludf.DUMMYFUNCTION("DATE(INDEX(SPLIT(I517,""/""),,3),INDEX(SPLIT(I517,""/""),,2),INDEX(SPLIT(I517,""/""),,1))"),44805.0)</f>
        <v>44805</v>
      </c>
      <c r="L517" s="1">
        <v>0.0</v>
      </c>
      <c r="M517" s="1" t="s">
        <v>2123</v>
      </c>
      <c r="N517" s="1"/>
      <c r="O517" s="1" t="s">
        <v>30</v>
      </c>
      <c r="P517" s="1" t="s">
        <v>31</v>
      </c>
      <c r="Q517" s="1" t="s">
        <v>157</v>
      </c>
      <c r="R517" s="1" t="s">
        <v>157</v>
      </c>
      <c r="S517" s="1" t="s">
        <v>158</v>
      </c>
      <c r="U517" s="1">
        <v>1.00589248E8</v>
      </c>
      <c r="X517" s="1" t="s">
        <v>88</v>
      </c>
      <c r="Y517" s="1" t="s">
        <v>2124</v>
      </c>
      <c r="Z517" s="1" t="s">
        <v>37</v>
      </c>
    </row>
    <row r="518">
      <c r="A518" s="1" t="s">
        <v>2125</v>
      </c>
      <c r="B518" s="1" t="s">
        <v>1436</v>
      </c>
      <c r="C518" s="1" t="s">
        <v>2126</v>
      </c>
      <c r="D518" s="1" t="s">
        <v>27</v>
      </c>
      <c r="E518" s="1" t="s">
        <v>28</v>
      </c>
      <c r="F518" s="2">
        <v>2000000.0</v>
      </c>
      <c r="G518" s="4">
        <v>44657.0</v>
      </c>
      <c r="H518" s="4">
        <f>IFERROR(__xludf.DUMMYFUNCTION("DATE(INDEX(SPLIT(G518,""/""),,3),INDEX(SPLIT(G518,""/""),,2),INDEX(SPLIT(G518,""/""),,1))"),44716.0)</f>
        <v>44716</v>
      </c>
      <c r="I518" s="4">
        <v>44872.0</v>
      </c>
      <c r="J518" s="4">
        <f>IFERROR(__xludf.DUMMYFUNCTION("DATE(INDEX(SPLIT(I518,""/""),,3),INDEX(SPLIT(I518,""/""),,2),INDEX(SPLIT(I518,""/""),,1))"),44753.0)</f>
        <v>44753</v>
      </c>
      <c r="L518" s="1">
        <v>0.0</v>
      </c>
      <c r="M518" s="1" t="s">
        <v>1452</v>
      </c>
      <c r="N518" s="1"/>
      <c r="O518" s="1" t="s">
        <v>30</v>
      </c>
      <c r="P518" s="1" t="s">
        <v>31</v>
      </c>
      <c r="Q518" s="1" t="s">
        <v>32</v>
      </c>
      <c r="R518" s="1" t="s">
        <v>32</v>
      </c>
      <c r="S518" s="1" t="s">
        <v>33</v>
      </c>
      <c r="T518" s="1" t="s">
        <v>103</v>
      </c>
      <c r="U518" s="1">
        <v>1.00643044E8</v>
      </c>
      <c r="X518" s="1" t="s">
        <v>410</v>
      </c>
      <c r="Y518" s="1" t="s">
        <v>1452</v>
      </c>
      <c r="Z518" s="1" t="s">
        <v>206</v>
      </c>
    </row>
    <row r="519" hidden="1">
      <c r="A519" s="1" t="s">
        <v>2127</v>
      </c>
      <c r="B519" s="1" t="s">
        <v>2128</v>
      </c>
      <c r="C519" s="1" t="s">
        <v>2129</v>
      </c>
      <c r="D519" s="1" t="s">
        <v>78</v>
      </c>
      <c r="E519" s="1" t="s">
        <v>28</v>
      </c>
      <c r="F519" s="2">
        <v>2000000.0</v>
      </c>
      <c r="G519" s="4">
        <v>44839.0</v>
      </c>
      <c r="H519" s="4">
        <f>IFERROR(__xludf.DUMMYFUNCTION("DATE(INDEX(SPLIT(G519,""/""),,3),INDEX(SPLIT(G519,""/""),,2),INDEX(SPLIT(G519,""/""),,1))"),44691.0)</f>
        <v>44691</v>
      </c>
      <c r="I519" s="1" t="s">
        <v>134</v>
      </c>
      <c r="J519" s="4">
        <f>IFERROR(__xludf.DUMMYFUNCTION("DATE(INDEX(SPLIT(I519,""/""),,3),INDEX(SPLIT(I519,""/""),,2),INDEX(SPLIT(I519,""/""),,1))"),44792.0)</f>
        <v>44792</v>
      </c>
      <c r="L519" s="1">
        <v>0.0</v>
      </c>
      <c r="M519" s="1" t="s">
        <v>1200</v>
      </c>
      <c r="N519" s="1"/>
      <c r="O519" s="1" t="s">
        <v>30</v>
      </c>
      <c r="P519" s="1" t="s">
        <v>31</v>
      </c>
      <c r="Q519" s="1" t="s">
        <v>235</v>
      </c>
      <c r="R519" s="1" t="s">
        <v>235</v>
      </c>
      <c r="S519" s="1" t="s">
        <v>236</v>
      </c>
      <c r="T519" s="1" t="s">
        <v>438</v>
      </c>
      <c r="U519" s="1">
        <v>1.00586959E8</v>
      </c>
      <c r="X519" s="1" t="s">
        <v>88</v>
      </c>
      <c r="Y519" s="1" t="s">
        <v>979</v>
      </c>
      <c r="Z519" s="1" t="s">
        <v>37</v>
      </c>
    </row>
    <row r="520" hidden="1">
      <c r="A520" s="1" t="s">
        <v>2130</v>
      </c>
      <c r="B520" s="1" t="s">
        <v>2131</v>
      </c>
      <c r="C520" s="1" t="s">
        <v>2132</v>
      </c>
      <c r="D520" s="1" t="s">
        <v>27</v>
      </c>
      <c r="E520" s="1" t="s">
        <v>28</v>
      </c>
      <c r="F520" s="2">
        <v>2000000.0</v>
      </c>
      <c r="G520" s="1" t="s">
        <v>867</v>
      </c>
      <c r="H520" s="4">
        <f>IFERROR(__xludf.DUMMYFUNCTION("DATE(INDEX(SPLIT(G520,""/""),,3),INDEX(SPLIT(G520,""/""),,2),INDEX(SPLIT(G520,""/""),,1))"),44363.0)</f>
        <v>44363</v>
      </c>
      <c r="I520" s="1" t="s">
        <v>109</v>
      </c>
      <c r="J520" s="4">
        <f>IFERROR(__xludf.DUMMYFUNCTION("DATE(INDEX(SPLIT(I520,""/""),,3),INDEX(SPLIT(I520,""/""),,2),INDEX(SPLIT(I520,""/""),,1))"),44834.0)</f>
        <v>44834</v>
      </c>
      <c r="L520" s="1">
        <v>0.0</v>
      </c>
      <c r="M520" s="1" t="s">
        <v>1814</v>
      </c>
      <c r="N520" s="1"/>
      <c r="O520" s="1" t="s">
        <v>30</v>
      </c>
      <c r="P520" s="1" t="s">
        <v>31</v>
      </c>
      <c r="Q520" s="1" t="s">
        <v>95</v>
      </c>
      <c r="R520" s="1" t="s">
        <v>95</v>
      </c>
      <c r="S520" s="1" t="s">
        <v>96</v>
      </c>
      <c r="T520" s="1" t="s">
        <v>260</v>
      </c>
      <c r="U520" s="1">
        <v>1.00597983E8</v>
      </c>
      <c r="X520" s="1" t="s">
        <v>239</v>
      </c>
      <c r="Y520" s="1" t="s">
        <v>2133</v>
      </c>
      <c r="Z520" s="1" t="s">
        <v>206</v>
      </c>
    </row>
    <row r="521" hidden="1">
      <c r="A521" s="1" t="s">
        <v>2134</v>
      </c>
      <c r="B521" s="1" t="s">
        <v>2135</v>
      </c>
      <c r="C521" s="1" t="s">
        <v>2136</v>
      </c>
      <c r="D521" s="1" t="s">
        <v>27</v>
      </c>
      <c r="E521" s="1" t="s">
        <v>28</v>
      </c>
      <c r="F521" s="2">
        <v>2000000.0</v>
      </c>
      <c r="G521" s="1" t="s">
        <v>503</v>
      </c>
      <c r="H521" s="4">
        <f>IFERROR(__xludf.DUMMYFUNCTION("DATE(INDEX(SPLIT(G521,""/""),,3),INDEX(SPLIT(G521,""/""),,2),INDEX(SPLIT(G521,""/""),,1))"),44736.0)</f>
        <v>44736</v>
      </c>
      <c r="I521" s="1" t="s">
        <v>42</v>
      </c>
      <c r="J521" s="4">
        <f>IFERROR(__xludf.DUMMYFUNCTION("DATE(INDEX(SPLIT(I521,""/""),,3),INDEX(SPLIT(I521,""/""),,2),INDEX(SPLIT(I521,""/""),,1))"),44926.0)</f>
        <v>44926</v>
      </c>
      <c r="L521" s="1">
        <v>0.0</v>
      </c>
      <c r="M521" s="1" t="s">
        <v>216</v>
      </c>
      <c r="N521" s="1"/>
      <c r="O521" s="1" t="s">
        <v>30</v>
      </c>
      <c r="P521" s="1" t="s">
        <v>31</v>
      </c>
      <c r="Q521" s="1" t="s">
        <v>95</v>
      </c>
      <c r="R521" s="1" t="s">
        <v>95</v>
      </c>
      <c r="S521" s="1" t="s">
        <v>96</v>
      </c>
      <c r="T521" s="1" t="s">
        <v>311</v>
      </c>
      <c r="U521" s="1">
        <v>1.01200292E8</v>
      </c>
      <c r="V521" s="1" t="s">
        <v>2137</v>
      </c>
      <c r="W521" s="1" t="s">
        <v>199</v>
      </c>
      <c r="X521" s="1" t="s">
        <v>361</v>
      </c>
      <c r="Y521" s="1" t="s">
        <v>2138</v>
      </c>
      <c r="Z521" s="1" t="s">
        <v>37</v>
      </c>
    </row>
    <row r="522" hidden="1">
      <c r="A522" s="1" t="s">
        <v>2139</v>
      </c>
      <c r="B522" s="1" t="s">
        <v>2140</v>
      </c>
      <c r="C522" s="1" t="s">
        <v>2141</v>
      </c>
      <c r="D522" s="1" t="s">
        <v>27</v>
      </c>
      <c r="E522" s="1" t="s">
        <v>28</v>
      </c>
      <c r="F522" s="2">
        <v>2000000.0</v>
      </c>
      <c r="G522" s="4">
        <v>44902.0</v>
      </c>
      <c r="H522" s="4">
        <f>IFERROR(__xludf.DUMMYFUNCTION("DATE(INDEX(SPLIT(G522,""/""),,3),INDEX(SPLIT(G522,""/""),,2),INDEX(SPLIT(G522,""/""),,1))"),44754.0)</f>
        <v>44754</v>
      </c>
      <c r="I522" s="1" t="s">
        <v>109</v>
      </c>
      <c r="J522" s="4">
        <f>IFERROR(__xludf.DUMMYFUNCTION("DATE(INDEX(SPLIT(I522,""/""),,3),INDEX(SPLIT(I522,""/""),,2),INDEX(SPLIT(I522,""/""),,1))"),44834.0)</f>
        <v>44834</v>
      </c>
      <c r="L522" s="1">
        <v>0.0</v>
      </c>
      <c r="M522" s="1" t="s">
        <v>1707</v>
      </c>
      <c r="N522" s="1"/>
      <c r="O522" s="1" t="s">
        <v>30</v>
      </c>
      <c r="P522" s="1" t="s">
        <v>31</v>
      </c>
      <c r="Q522" s="1" t="s">
        <v>53</v>
      </c>
      <c r="R522" s="1" t="s">
        <v>53</v>
      </c>
      <c r="S522" s="1" t="s">
        <v>54</v>
      </c>
      <c r="T522" s="1" t="s">
        <v>634</v>
      </c>
      <c r="U522" s="1">
        <v>1.00652169E8</v>
      </c>
      <c r="X522" s="1" t="s">
        <v>117</v>
      </c>
      <c r="Y522" s="1" t="s">
        <v>819</v>
      </c>
      <c r="Z522" s="1" t="s">
        <v>37</v>
      </c>
    </row>
    <row r="523" hidden="1">
      <c r="A523" s="1" t="s">
        <v>2142</v>
      </c>
      <c r="B523" s="1" t="s">
        <v>1612</v>
      </c>
      <c r="C523" s="1" t="s">
        <v>2143</v>
      </c>
      <c r="D523" s="1" t="s">
        <v>27</v>
      </c>
      <c r="E523" s="1" t="s">
        <v>28</v>
      </c>
      <c r="F523" s="2">
        <v>2000000.0</v>
      </c>
      <c r="G523" s="4">
        <v>44599.0</v>
      </c>
      <c r="H523" s="4">
        <f>IFERROR(__xludf.DUMMYFUNCTION("DATE(INDEX(SPLIT(G523,""/""),,3),INDEX(SPLIT(G523,""/""),,2),INDEX(SPLIT(G523,""/""),,1))"),44744.0)</f>
        <v>44744</v>
      </c>
      <c r="I523" s="1" t="s">
        <v>535</v>
      </c>
      <c r="J523" s="4">
        <f>IFERROR(__xludf.DUMMYFUNCTION("DATE(INDEX(SPLIT(I523,""/""),,3),INDEX(SPLIT(I523,""/""),,2),INDEX(SPLIT(I523,""/""),,1))"),44957.0)</f>
        <v>44957</v>
      </c>
      <c r="L523" s="1">
        <v>0.0</v>
      </c>
      <c r="M523" s="1" t="s">
        <v>1284</v>
      </c>
      <c r="N523" s="1"/>
      <c r="O523" s="1" t="s">
        <v>30</v>
      </c>
      <c r="P523" s="1" t="s">
        <v>31</v>
      </c>
      <c r="Q523" s="1" t="s">
        <v>32</v>
      </c>
      <c r="R523" s="1" t="s">
        <v>32</v>
      </c>
      <c r="S523" s="1" t="s">
        <v>33</v>
      </c>
      <c r="U523" s="1">
        <v>1.00626898E8</v>
      </c>
      <c r="X523" s="1" t="s">
        <v>117</v>
      </c>
      <c r="Y523" s="1" t="s">
        <v>1284</v>
      </c>
      <c r="Z523" s="1" t="s">
        <v>37</v>
      </c>
    </row>
    <row r="524" hidden="1">
      <c r="A524" s="1" t="s">
        <v>2144</v>
      </c>
      <c r="B524" s="1" t="s">
        <v>2145</v>
      </c>
      <c r="C524" s="1" t="s">
        <v>2146</v>
      </c>
      <c r="D524" s="1" t="s">
        <v>27</v>
      </c>
      <c r="E524" s="1" t="s">
        <v>28</v>
      </c>
      <c r="F524" s="2">
        <v>2000000.0</v>
      </c>
      <c r="G524" s="1" t="s">
        <v>1154</v>
      </c>
      <c r="H524" s="4">
        <f>IFERROR(__xludf.DUMMYFUNCTION("DATE(INDEX(SPLIT(G524,""/""),,3),INDEX(SPLIT(G524,""/""),,2),INDEX(SPLIT(G524,""/""),,1))"),44735.0)</f>
        <v>44735</v>
      </c>
      <c r="I524" s="1" t="s">
        <v>425</v>
      </c>
      <c r="J524" s="4">
        <f>IFERROR(__xludf.DUMMYFUNCTION("DATE(INDEX(SPLIT(I524,""/""),,3),INDEX(SPLIT(I524,""/""),,2),INDEX(SPLIT(I524,""/""),,1))"),44911.0)</f>
        <v>44911</v>
      </c>
      <c r="L524" s="1">
        <v>0.0</v>
      </c>
      <c r="M524" s="1" t="s">
        <v>2147</v>
      </c>
      <c r="N524" s="1"/>
      <c r="O524" s="1" t="s">
        <v>30</v>
      </c>
      <c r="P524" s="1" t="s">
        <v>31</v>
      </c>
      <c r="Q524" s="1" t="s">
        <v>235</v>
      </c>
      <c r="R524" s="1" t="s">
        <v>235</v>
      </c>
      <c r="S524" s="1" t="s">
        <v>236</v>
      </c>
      <c r="T524" s="1" t="s">
        <v>237</v>
      </c>
      <c r="U524" s="1">
        <v>1.00647935E8</v>
      </c>
      <c r="V524" s="1" t="s">
        <v>2148</v>
      </c>
      <c r="W524" s="1" t="s">
        <v>199</v>
      </c>
      <c r="X524" s="1" t="s">
        <v>239</v>
      </c>
      <c r="Y524" s="1" t="s">
        <v>2147</v>
      </c>
      <c r="Z524" s="1" t="s">
        <v>37</v>
      </c>
    </row>
    <row r="525" hidden="1">
      <c r="A525" s="1" t="s">
        <v>2149</v>
      </c>
      <c r="B525" s="1" t="s">
        <v>2150</v>
      </c>
      <c r="C525" s="1" t="s">
        <v>2151</v>
      </c>
      <c r="D525" s="1" t="s">
        <v>27</v>
      </c>
      <c r="E525" s="1" t="s">
        <v>28</v>
      </c>
      <c r="F525" s="2">
        <v>2000000.0</v>
      </c>
      <c r="G525" s="4">
        <v>44348.0</v>
      </c>
      <c r="H525" s="4">
        <f>IFERROR(__xludf.DUMMYFUNCTION("DATE(INDEX(SPLIT(G525,""/""),,3),INDEX(SPLIT(G525,""/""),,2),INDEX(SPLIT(G525,""/""),,1))"),44202.0)</f>
        <v>44202</v>
      </c>
      <c r="I525" s="1" t="s">
        <v>360</v>
      </c>
      <c r="J525" s="4">
        <f>IFERROR(__xludf.DUMMYFUNCTION("DATE(INDEX(SPLIT(I525,""/""),,3),INDEX(SPLIT(I525,""/""),,2),INDEX(SPLIT(I525,""/""),,1))"),44895.0)</f>
        <v>44895</v>
      </c>
      <c r="L525" s="1">
        <v>0.0</v>
      </c>
      <c r="M525" s="1" t="s">
        <v>878</v>
      </c>
      <c r="N525" s="1"/>
      <c r="O525" s="1" t="s">
        <v>30</v>
      </c>
      <c r="P525" s="1" t="s">
        <v>31</v>
      </c>
      <c r="Q525" s="1" t="s">
        <v>32</v>
      </c>
      <c r="R525" s="1" t="s">
        <v>32</v>
      </c>
      <c r="S525" s="1" t="s">
        <v>33</v>
      </c>
      <c r="T525" s="1" t="s">
        <v>159</v>
      </c>
      <c r="U525" s="1">
        <v>1.00686761E8</v>
      </c>
      <c r="X525" s="1" t="s">
        <v>35</v>
      </c>
      <c r="Y525" s="1" t="s">
        <v>740</v>
      </c>
      <c r="Z525" s="1" t="s">
        <v>527</v>
      </c>
    </row>
    <row r="526" hidden="1">
      <c r="A526" s="1" t="s">
        <v>2152</v>
      </c>
      <c r="B526" s="1" t="s">
        <v>2153</v>
      </c>
      <c r="C526" s="1" t="s">
        <v>2154</v>
      </c>
      <c r="D526" s="1" t="s">
        <v>78</v>
      </c>
      <c r="E526" s="1" t="s">
        <v>28</v>
      </c>
      <c r="F526" s="2">
        <v>2000000.0</v>
      </c>
      <c r="G526" s="1" t="s">
        <v>862</v>
      </c>
      <c r="H526" s="4">
        <f>IFERROR(__xludf.DUMMYFUNCTION("DATE(INDEX(SPLIT(G526,""/""),,3),INDEX(SPLIT(G526,""/""),,2),INDEX(SPLIT(G526,""/""),,1))"),44699.0)</f>
        <v>44699</v>
      </c>
      <c r="I526" s="4">
        <v>44570.0</v>
      </c>
      <c r="J526" s="4">
        <f>IFERROR(__xludf.DUMMYFUNCTION("DATE(INDEX(SPLIT(I526,""/""),,3),INDEX(SPLIT(I526,""/""),,2),INDEX(SPLIT(I526,""/""),,1))"),44805.0)</f>
        <v>44805</v>
      </c>
      <c r="L526" s="1">
        <v>0.0</v>
      </c>
      <c r="M526" s="1" t="s">
        <v>494</v>
      </c>
      <c r="N526" s="1"/>
      <c r="O526" s="1" t="s">
        <v>30</v>
      </c>
      <c r="P526" s="1" t="s">
        <v>31</v>
      </c>
      <c r="Q526" s="1" t="s">
        <v>95</v>
      </c>
      <c r="R526" s="1" t="s">
        <v>95</v>
      </c>
      <c r="S526" s="1" t="s">
        <v>96</v>
      </c>
      <c r="T526" s="1" t="s">
        <v>62</v>
      </c>
      <c r="U526" s="1">
        <v>1.0062347E8</v>
      </c>
      <c r="X526" s="1" t="s">
        <v>289</v>
      </c>
      <c r="Y526" s="1" t="s">
        <v>494</v>
      </c>
      <c r="Z526" s="1" t="s">
        <v>37</v>
      </c>
    </row>
    <row r="527" hidden="1">
      <c r="A527" s="1" t="s">
        <v>2155</v>
      </c>
      <c r="B527" s="1" t="s">
        <v>1070</v>
      </c>
      <c r="C527" s="1" t="s">
        <v>2156</v>
      </c>
      <c r="D527" s="1" t="s">
        <v>27</v>
      </c>
      <c r="E527" s="1" t="s">
        <v>28</v>
      </c>
      <c r="F527" s="2">
        <v>2000000.0</v>
      </c>
      <c r="G527" s="4">
        <v>44208.0</v>
      </c>
      <c r="H527" s="4">
        <f>IFERROR(__xludf.DUMMYFUNCTION("DATE(INDEX(SPLIT(G527,""/""),,3),INDEX(SPLIT(G527,""/""),,2),INDEX(SPLIT(G527,""/""),,1))"),44531.0)</f>
        <v>44531</v>
      </c>
      <c r="I527" s="1" t="s">
        <v>130</v>
      </c>
      <c r="J527" s="4">
        <f>IFERROR(__xludf.DUMMYFUNCTION("DATE(INDEX(SPLIT(I527,""/""),,3),INDEX(SPLIT(I527,""/""),,2),INDEX(SPLIT(I527,""/""),,1))"),44804.0)</f>
        <v>44804</v>
      </c>
      <c r="L527" s="1">
        <v>0.0</v>
      </c>
      <c r="M527" s="1" t="s">
        <v>2157</v>
      </c>
      <c r="N527" s="1"/>
      <c r="O527" s="1" t="s">
        <v>30</v>
      </c>
      <c r="P527" s="1" t="s">
        <v>31</v>
      </c>
      <c r="Q527" s="1" t="s">
        <v>228</v>
      </c>
      <c r="R527" s="1" t="s">
        <v>228</v>
      </c>
      <c r="S527" s="1" t="s">
        <v>229</v>
      </c>
      <c r="T527" s="1" t="s">
        <v>513</v>
      </c>
      <c r="U527" s="1">
        <v>1.0065343E8</v>
      </c>
      <c r="X527" s="1" t="s">
        <v>305</v>
      </c>
      <c r="Y527" s="1" t="s">
        <v>2157</v>
      </c>
      <c r="Z527" s="1" t="s">
        <v>37</v>
      </c>
    </row>
    <row r="528" hidden="1">
      <c r="A528" s="1" t="s">
        <v>2158</v>
      </c>
      <c r="B528" s="1" t="s">
        <v>2159</v>
      </c>
      <c r="C528" s="1" t="s">
        <v>2160</v>
      </c>
      <c r="D528" s="1" t="s">
        <v>27</v>
      </c>
      <c r="E528" s="1" t="s">
        <v>28</v>
      </c>
      <c r="F528" s="2">
        <v>2000000.0</v>
      </c>
      <c r="G528" s="1" t="s">
        <v>1442</v>
      </c>
      <c r="H528" s="4">
        <f>IFERROR(__xludf.DUMMYFUNCTION("DATE(INDEX(SPLIT(G528,""/""),,3),INDEX(SPLIT(G528,""/""),,2),INDEX(SPLIT(G528,""/""),,1))"),44727.0)</f>
        <v>44727</v>
      </c>
      <c r="I528" s="4">
        <v>44813.0</v>
      </c>
      <c r="J528" s="4">
        <f>IFERROR(__xludf.DUMMYFUNCTION("DATE(INDEX(SPLIT(I528,""/""),,3),INDEX(SPLIT(I528,""/""),,2),INDEX(SPLIT(I528,""/""),,1))"),44813.0)</f>
        <v>44813</v>
      </c>
      <c r="L528" s="1">
        <v>0.0</v>
      </c>
      <c r="M528" s="1" t="s">
        <v>823</v>
      </c>
      <c r="N528" s="1"/>
      <c r="O528" s="1" t="s">
        <v>30</v>
      </c>
      <c r="P528" s="1" t="s">
        <v>31</v>
      </c>
      <c r="Q528" s="1" t="s">
        <v>95</v>
      </c>
      <c r="R528" s="1" t="s">
        <v>95</v>
      </c>
      <c r="S528" s="1" t="s">
        <v>96</v>
      </c>
      <c r="T528" s="1" t="s">
        <v>489</v>
      </c>
      <c r="U528" s="1">
        <v>1.00629729E8</v>
      </c>
      <c r="X528" s="1" t="s">
        <v>74</v>
      </c>
      <c r="Y528" s="1" t="s">
        <v>2161</v>
      </c>
      <c r="Z528" s="1" t="s">
        <v>37</v>
      </c>
    </row>
    <row r="529" hidden="1">
      <c r="A529" s="1" t="s">
        <v>2162</v>
      </c>
      <c r="B529" s="1" t="s">
        <v>1237</v>
      </c>
      <c r="C529" s="1" t="s">
        <v>2163</v>
      </c>
      <c r="D529" s="1" t="s">
        <v>27</v>
      </c>
      <c r="E529" s="1" t="s">
        <v>28</v>
      </c>
      <c r="F529" s="2">
        <v>2000000.0</v>
      </c>
      <c r="G529" s="1" t="s">
        <v>1281</v>
      </c>
      <c r="H529" s="4">
        <f>IFERROR(__xludf.DUMMYFUNCTION("DATE(INDEX(SPLIT(G529,""/""),,3),INDEX(SPLIT(G529,""/""),,2),INDEX(SPLIT(G529,""/""),,1))"),44469.0)</f>
        <v>44469</v>
      </c>
      <c r="I529" s="1" t="s">
        <v>109</v>
      </c>
      <c r="J529" s="4">
        <f>IFERROR(__xludf.DUMMYFUNCTION("DATE(INDEX(SPLIT(I529,""/""),,3),INDEX(SPLIT(I529,""/""),,2),INDEX(SPLIT(I529,""/""),,1))"),44834.0)</f>
        <v>44834</v>
      </c>
      <c r="L529" s="1">
        <v>0.0</v>
      </c>
      <c r="M529" s="1" t="s">
        <v>1544</v>
      </c>
      <c r="N529" s="1"/>
      <c r="O529" s="1" t="s">
        <v>30</v>
      </c>
      <c r="P529" s="1" t="s">
        <v>31</v>
      </c>
      <c r="Q529" s="1" t="s">
        <v>71</v>
      </c>
      <c r="R529" s="1" t="s">
        <v>71</v>
      </c>
      <c r="S529" s="1" t="s">
        <v>72</v>
      </c>
      <c r="T529" s="1" t="s">
        <v>136</v>
      </c>
      <c r="U529" s="1">
        <v>1.00619692E8</v>
      </c>
      <c r="X529" s="1" t="s">
        <v>74</v>
      </c>
      <c r="Y529" s="1" t="s">
        <v>2164</v>
      </c>
      <c r="Z529" s="1" t="s">
        <v>37</v>
      </c>
    </row>
    <row r="530" hidden="1">
      <c r="A530" s="1" t="s">
        <v>2165</v>
      </c>
      <c r="B530" s="1" t="s">
        <v>2166</v>
      </c>
      <c r="C530" s="1" t="s">
        <v>2167</v>
      </c>
      <c r="D530" s="1" t="s">
        <v>122</v>
      </c>
      <c r="E530" s="1" t="s">
        <v>28</v>
      </c>
      <c r="F530" s="2">
        <v>2000000.0</v>
      </c>
      <c r="G530" s="4">
        <v>44806.0</v>
      </c>
      <c r="H530" s="4">
        <f>IFERROR(__xludf.DUMMYFUNCTION("DATE(INDEX(SPLIT(G530,""/""),,3),INDEX(SPLIT(G530,""/""),,2),INDEX(SPLIT(G530,""/""),,1))"),44601.0)</f>
        <v>44601</v>
      </c>
      <c r="I530" s="4">
        <v>44903.0</v>
      </c>
      <c r="J530" s="4">
        <f>IFERROR(__xludf.DUMMYFUNCTION("DATE(INDEX(SPLIT(I530,""/""),,3),INDEX(SPLIT(I530,""/""),,2),INDEX(SPLIT(I530,""/""),,1))"),44785.0)</f>
        <v>44785</v>
      </c>
      <c r="L530" s="1">
        <v>0.0</v>
      </c>
      <c r="M530" s="1" t="s">
        <v>1723</v>
      </c>
      <c r="N530" s="1"/>
      <c r="O530" s="1" t="s">
        <v>30</v>
      </c>
      <c r="P530" s="1" t="s">
        <v>31</v>
      </c>
      <c r="Q530" s="1" t="s">
        <v>157</v>
      </c>
      <c r="R530" s="1" t="s">
        <v>157</v>
      </c>
      <c r="S530" s="1" t="s">
        <v>158</v>
      </c>
      <c r="T530" s="1" t="s">
        <v>159</v>
      </c>
      <c r="U530" s="1">
        <v>1.00654085E8</v>
      </c>
      <c r="X530" s="1" t="s">
        <v>74</v>
      </c>
      <c r="Y530" s="1" t="s">
        <v>1723</v>
      </c>
      <c r="Z530" s="1" t="s">
        <v>37</v>
      </c>
    </row>
    <row r="531">
      <c r="A531" s="1" t="s">
        <v>2168</v>
      </c>
      <c r="B531" s="1" t="s">
        <v>2169</v>
      </c>
      <c r="C531" s="1" t="s">
        <v>2170</v>
      </c>
      <c r="D531" s="1" t="s">
        <v>78</v>
      </c>
      <c r="E531" s="1" t="s">
        <v>28</v>
      </c>
      <c r="F531" s="2">
        <v>2000000.0</v>
      </c>
      <c r="G531" s="4">
        <v>44686.0</v>
      </c>
      <c r="H531" s="4">
        <f>IFERROR(__xludf.DUMMYFUNCTION("DATE(INDEX(SPLIT(G531,""/""),,3),INDEX(SPLIT(G531,""/""),,2),INDEX(SPLIT(G531,""/""),,1))"),44686.0)</f>
        <v>44686</v>
      </c>
      <c r="I531" s="1" t="s">
        <v>226</v>
      </c>
      <c r="J531" s="4">
        <f>IFERROR(__xludf.DUMMYFUNCTION("DATE(INDEX(SPLIT(I531,""/""),,3),INDEX(SPLIT(I531,""/""),,2),INDEX(SPLIT(I531,""/""),,1))"),44771.0)</f>
        <v>44771</v>
      </c>
      <c r="L531" s="1">
        <v>0.0</v>
      </c>
      <c r="M531" s="1" t="s">
        <v>2171</v>
      </c>
      <c r="N531" s="1"/>
      <c r="O531" s="1" t="s">
        <v>30</v>
      </c>
      <c r="P531" s="1" t="s">
        <v>31</v>
      </c>
      <c r="Q531" s="1" t="s">
        <v>53</v>
      </c>
      <c r="R531" s="1" t="s">
        <v>53</v>
      </c>
      <c r="S531" s="1" t="s">
        <v>54</v>
      </c>
      <c r="T531" s="1" t="s">
        <v>1386</v>
      </c>
      <c r="U531" s="1">
        <v>1.00638494E8</v>
      </c>
      <c r="X531" s="1" t="s">
        <v>375</v>
      </c>
      <c r="Y531" s="1" t="s">
        <v>2172</v>
      </c>
      <c r="Z531" s="1" t="s">
        <v>527</v>
      </c>
    </row>
    <row r="532" hidden="1">
      <c r="A532" s="1" t="s">
        <v>2173</v>
      </c>
      <c r="B532" s="1" t="s">
        <v>2174</v>
      </c>
      <c r="C532" s="1" t="s">
        <v>2175</v>
      </c>
      <c r="D532" s="1" t="s">
        <v>122</v>
      </c>
      <c r="E532" s="1" t="s">
        <v>28</v>
      </c>
      <c r="F532" s="2">
        <v>2000000.0</v>
      </c>
      <c r="G532" s="1" t="s">
        <v>2077</v>
      </c>
      <c r="H532" s="4">
        <f>IFERROR(__xludf.DUMMYFUNCTION("DATE(INDEX(SPLIT(G532,""/""),,3),INDEX(SPLIT(G532,""/""),,2),INDEX(SPLIT(G532,""/""),,1))"),44700.0)</f>
        <v>44700</v>
      </c>
      <c r="I532" s="1" t="s">
        <v>130</v>
      </c>
      <c r="J532" s="4">
        <f>IFERROR(__xludf.DUMMYFUNCTION("DATE(INDEX(SPLIT(I532,""/""),,3),INDEX(SPLIT(I532,""/""),,2),INDEX(SPLIT(I532,""/""),,1))"),44804.0)</f>
        <v>44804</v>
      </c>
      <c r="L532" s="1">
        <v>0.0</v>
      </c>
      <c r="M532" s="1" t="s">
        <v>211</v>
      </c>
      <c r="N532" s="1"/>
      <c r="O532" s="1" t="s">
        <v>30</v>
      </c>
      <c r="P532" s="1" t="s">
        <v>31</v>
      </c>
      <c r="Q532" s="1" t="s">
        <v>71</v>
      </c>
      <c r="R532" s="1" t="s">
        <v>71</v>
      </c>
      <c r="S532" s="1" t="s">
        <v>72</v>
      </c>
      <c r="T532" s="1" t="s">
        <v>136</v>
      </c>
      <c r="U532" s="1">
        <v>1.00590896E8</v>
      </c>
      <c r="X532" s="1" t="s">
        <v>74</v>
      </c>
      <c r="Y532" s="1" t="s">
        <v>2176</v>
      </c>
      <c r="Z532" s="1" t="s">
        <v>37</v>
      </c>
    </row>
    <row r="533" hidden="1">
      <c r="A533" s="1" t="s">
        <v>2177</v>
      </c>
      <c r="B533" s="1" t="s">
        <v>301</v>
      </c>
      <c r="C533" s="1" t="s">
        <v>2178</v>
      </c>
      <c r="D533" s="1" t="s">
        <v>27</v>
      </c>
      <c r="E533" s="1" t="s">
        <v>28</v>
      </c>
      <c r="F533" s="2">
        <v>2000000.0</v>
      </c>
      <c r="G533" s="4">
        <v>44686.0</v>
      </c>
      <c r="H533" s="4">
        <f>IFERROR(__xludf.DUMMYFUNCTION("DATE(INDEX(SPLIT(G533,""/""),,3),INDEX(SPLIT(G533,""/""),,2),INDEX(SPLIT(G533,""/""),,1))"),44686.0)</f>
        <v>44686</v>
      </c>
      <c r="I533" s="4">
        <v>44570.0</v>
      </c>
      <c r="J533" s="4">
        <f>IFERROR(__xludf.DUMMYFUNCTION("DATE(INDEX(SPLIT(I533,""/""),,3),INDEX(SPLIT(I533,""/""),,2),INDEX(SPLIT(I533,""/""),,1))"),44805.0)</f>
        <v>44805</v>
      </c>
      <c r="L533" s="1">
        <v>0.0</v>
      </c>
      <c r="M533" s="1" t="s">
        <v>873</v>
      </c>
      <c r="N533" s="1"/>
      <c r="O533" s="1" t="s">
        <v>30</v>
      </c>
      <c r="P533" s="1" t="s">
        <v>31</v>
      </c>
      <c r="Q533" s="1" t="s">
        <v>157</v>
      </c>
      <c r="R533" s="1" t="s">
        <v>157</v>
      </c>
      <c r="S533" s="1" t="s">
        <v>158</v>
      </c>
      <c r="U533" s="1">
        <v>1.00586701E8</v>
      </c>
      <c r="X533" s="1" t="s">
        <v>305</v>
      </c>
      <c r="Y533" s="1" t="s">
        <v>874</v>
      </c>
      <c r="Z533" s="1" t="s">
        <v>37</v>
      </c>
    </row>
    <row r="534" hidden="1">
      <c r="A534" s="1" t="s">
        <v>2179</v>
      </c>
      <c r="B534" s="1" t="s">
        <v>1066</v>
      </c>
      <c r="C534" s="1" t="s">
        <v>1127</v>
      </c>
      <c r="D534" s="1" t="s">
        <v>27</v>
      </c>
      <c r="E534" s="1" t="s">
        <v>28</v>
      </c>
      <c r="F534" s="2">
        <v>2000000.0</v>
      </c>
      <c r="G534" s="4">
        <v>44775.0</v>
      </c>
      <c r="H534" s="4">
        <f>IFERROR(__xludf.DUMMYFUNCTION("DATE(INDEX(SPLIT(G534,""/""),,3),INDEX(SPLIT(G534,""/""),,2),INDEX(SPLIT(G534,""/""),,1))"),44600.0)</f>
        <v>44600</v>
      </c>
      <c r="I534" s="1" t="s">
        <v>1097</v>
      </c>
      <c r="J534" s="4">
        <f>IFERROR(__xludf.DUMMYFUNCTION("DATE(INDEX(SPLIT(I534,""/""),,3),INDEX(SPLIT(I534,""/""),,2),INDEX(SPLIT(I534,""/""),,1))"),45107.0)</f>
        <v>45107</v>
      </c>
      <c r="L534" s="1">
        <v>0.0</v>
      </c>
      <c r="M534" s="1" t="s">
        <v>1129</v>
      </c>
      <c r="N534" s="1"/>
      <c r="O534" s="1" t="s">
        <v>30</v>
      </c>
      <c r="P534" s="1" t="s">
        <v>31</v>
      </c>
      <c r="Q534" s="1" t="s">
        <v>157</v>
      </c>
      <c r="R534" s="1" t="s">
        <v>157</v>
      </c>
      <c r="S534" s="1" t="s">
        <v>158</v>
      </c>
      <c r="T534" s="1" t="s">
        <v>442</v>
      </c>
      <c r="U534" s="1">
        <v>1.00650786E8</v>
      </c>
      <c r="X534" s="1" t="s">
        <v>125</v>
      </c>
      <c r="Y534" s="1" t="s">
        <v>1129</v>
      </c>
      <c r="Z534" s="1" t="s">
        <v>37</v>
      </c>
    </row>
    <row r="535" hidden="1">
      <c r="A535" s="1" t="s">
        <v>2180</v>
      </c>
      <c r="B535" s="1" t="s">
        <v>301</v>
      </c>
      <c r="C535" s="1" t="s">
        <v>2181</v>
      </c>
      <c r="D535" s="1" t="s">
        <v>78</v>
      </c>
      <c r="E535" s="1" t="s">
        <v>28</v>
      </c>
      <c r="F535" s="2">
        <v>2000000.0</v>
      </c>
      <c r="G535" s="4">
        <v>44686.0</v>
      </c>
      <c r="H535" s="4">
        <f>IFERROR(__xludf.DUMMYFUNCTION("DATE(INDEX(SPLIT(G535,""/""),,3),INDEX(SPLIT(G535,""/""),,2),INDEX(SPLIT(G535,""/""),,1))"),44686.0)</f>
        <v>44686</v>
      </c>
      <c r="I535" s="1" t="s">
        <v>165</v>
      </c>
      <c r="J535" s="4">
        <f>IFERROR(__xludf.DUMMYFUNCTION("DATE(INDEX(SPLIT(I535,""/""),,3),INDEX(SPLIT(I535,""/""),,2),INDEX(SPLIT(I535,""/""),,1))"),44803.0)</f>
        <v>44803</v>
      </c>
      <c r="L535" s="1">
        <v>0.0</v>
      </c>
      <c r="M535" s="1" t="s">
        <v>873</v>
      </c>
      <c r="N535" s="1"/>
      <c r="O535" s="1" t="s">
        <v>30</v>
      </c>
      <c r="P535" s="1" t="s">
        <v>31</v>
      </c>
      <c r="Q535" s="1" t="s">
        <v>157</v>
      </c>
      <c r="R535" s="1" t="s">
        <v>157</v>
      </c>
      <c r="S535" s="1" t="s">
        <v>158</v>
      </c>
      <c r="U535" s="1">
        <v>1.00586701E8</v>
      </c>
      <c r="X535" s="1" t="s">
        <v>305</v>
      </c>
      <c r="Y535" s="1" t="s">
        <v>874</v>
      </c>
      <c r="Z535" s="1" t="s">
        <v>37</v>
      </c>
    </row>
    <row r="536" hidden="1">
      <c r="A536" s="1" t="s">
        <v>2182</v>
      </c>
      <c r="B536" s="1" t="s">
        <v>1429</v>
      </c>
      <c r="C536" s="1" t="s">
        <v>2183</v>
      </c>
      <c r="D536" s="1" t="s">
        <v>27</v>
      </c>
      <c r="E536" s="1" t="s">
        <v>28</v>
      </c>
      <c r="F536" s="2">
        <v>2000000.0</v>
      </c>
      <c r="G536" s="4">
        <v>44013.0</v>
      </c>
      <c r="H536" s="4">
        <f>IFERROR(__xludf.DUMMYFUNCTION("DATE(INDEX(SPLIT(G536,""/""),,3),INDEX(SPLIT(G536,""/""),,2),INDEX(SPLIT(G536,""/""),,1))"),43837.0)</f>
        <v>43837</v>
      </c>
      <c r="I536" s="1" t="s">
        <v>293</v>
      </c>
      <c r="J536" s="4">
        <f>IFERROR(__xludf.DUMMYFUNCTION("DATE(INDEX(SPLIT(I536,""/""),,3),INDEX(SPLIT(I536,""/""),,2),INDEX(SPLIT(I536,""/""),,1))"),44918.0)</f>
        <v>44918</v>
      </c>
      <c r="L536" s="1">
        <v>0.0</v>
      </c>
      <c r="M536" s="1" t="s">
        <v>1434</v>
      </c>
      <c r="N536" s="1"/>
      <c r="O536" s="1" t="s">
        <v>30</v>
      </c>
      <c r="P536" s="1" t="s">
        <v>31</v>
      </c>
      <c r="Q536" s="1" t="s">
        <v>95</v>
      </c>
      <c r="R536" s="1" t="s">
        <v>95</v>
      </c>
      <c r="S536" s="1" t="s">
        <v>96</v>
      </c>
      <c r="T536" s="1" t="s">
        <v>97</v>
      </c>
      <c r="U536" s="1">
        <v>1.00613841E8</v>
      </c>
      <c r="X536" s="1" t="s">
        <v>190</v>
      </c>
      <c r="Y536" s="1" t="s">
        <v>2184</v>
      </c>
      <c r="Z536" s="1" t="s">
        <v>37</v>
      </c>
    </row>
    <row r="537" hidden="1">
      <c r="A537" s="1" t="s">
        <v>2185</v>
      </c>
      <c r="B537" s="1" t="s">
        <v>2186</v>
      </c>
      <c r="C537" s="1" t="s">
        <v>2187</v>
      </c>
      <c r="D537" s="1" t="s">
        <v>27</v>
      </c>
      <c r="E537" s="1" t="s">
        <v>28</v>
      </c>
      <c r="F537" s="2">
        <v>2000000.0</v>
      </c>
      <c r="G537" s="1" t="s">
        <v>394</v>
      </c>
      <c r="H537" s="4">
        <f>IFERROR(__xludf.DUMMYFUNCTION("DATE(INDEX(SPLIT(G537,""/""),,3),INDEX(SPLIT(G537,""/""),,2),INDEX(SPLIT(G537,""/""),,1))"),44677.0)</f>
        <v>44677</v>
      </c>
      <c r="I537" s="1" t="s">
        <v>130</v>
      </c>
      <c r="J537" s="4">
        <f>IFERROR(__xludf.DUMMYFUNCTION("DATE(INDEX(SPLIT(I537,""/""),,3),INDEX(SPLIT(I537,""/""),,2),INDEX(SPLIT(I537,""/""),,1))"),44804.0)</f>
        <v>44804</v>
      </c>
      <c r="L537" s="1">
        <v>0.0</v>
      </c>
      <c r="M537" s="1" t="s">
        <v>620</v>
      </c>
      <c r="N537" s="1"/>
      <c r="O537" s="1" t="s">
        <v>30</v>
      </c>
      <c r="P537" s="1" t="s">
        <v>31</v>
      </c>
      <c r="Q537" s="1" t="s">
        <v>32</v>
      </c>
      <c r="R537" s="1" t="s">
        <v>32</v>
      </c>
      <c r="S537" s="1" t="s">
        <v>33</v>
      </c>
      <c r="U537" s="1">
        <v>1.00609607E8</v>
      </c>
      <c r="X537" s="1" t="s">
        <v>190</v>
      </c>
      <c r="Y537" s="1" t="s">
        <v>2188</v>
      </c>
      <c r="Z537" s="1" t="s">
        <v>37</v>
      </c>
    </row>
    <row r="538" hidden="1">
      <c r="A538" s="1" t="s">
        <v>2189</v>
      </c>
      <c r="B538" s="1" t="s">
        <v>2186</v>
      </c>
      <c r="C538" s="1" t="s">
        <v>2190</v>
      </c>
      <c r="D538" s="1" t="s">
        <v>27</v>
      </c>
      <c r="E538" s="1" t="s">
        <v>28</v>
      </c>
      <c r="F538" s="2">
        <v>2000000.0</v>
      </c>
      <c r="G538" s="1" t="s">
        <v>429</v>
      </c>
      <c r="H538" s="4">
        <f>IFERROR(__xludf.DUMMYFUNCTION("DATE(INDEX(SPLIT(G538,""/""),,3),INDEX(SPLIT(G538,""/""),,2),INDEX(SPLIT(G538,""/""),,1))"),44739.0)</f>
        <v>44739</v>
      </c>
      <c r="I538" s="4">
        <v>44601.0</v>
      </c>
      <c r="J538" s="4">
        <f>IFERROR(__xludf.DUMMYFUNCTION("DATE(INDEX(SPLIT(I538,""/""),,3),INDEX(SPLIT(I538,""/""),,2),INDEX(SPLIT(I538,""/""),,1))"),44806.0)</f>
        <v>44806</v>
      </c>
      <c r="L538" s="1">
        <v>0.0</v>
      </c>
      <c r="M538" s="1" t="s">
        <v>852</v>
      </c>
      <c r="N538" s="1"/>
      <c r="O538" s="1" t="s">
        <v>30</v>
      </c>
      <c r="P538" s="1" t="s">
        <v>31</v>
      </c>
      <c r="Q538" s="1" t="s">
        <v>157</v>
      </c>
      <c r="R538" s="1" t="s">
        <v>157</v>
      </c>
      <c r="S538" s="1" t="s">
        <v>158</v>
      </c>
      <c r="T538" s="1" t="s">
        <v>442</v>
      </c>
      <c r="U538" s="1">
        <v>1.00648457E8</v>
      </c>
      <c r="X538" s="1" t="s">
        <v>190</v>
      </c>
      <c r="Y538" s="1" t="s">
        <v>2191</v>
      </c>
      <c r="Z538" s="1" t="s">
        <v>37</v>
      </c>
    </row>
    <row r="539" hidden="1">
      <c r="A539" s="1" t="s">
        <v>2192</v>
      </c>
      <c r="B539" s="1" t="s">
        <v>373</v>
      </c>
      <c r="C539" s="1" t="s">
        <v>2193</v>
      </c>
      <c r="D539" s="1" t="s">
        <v>27</v>
      </c>
      <c r="E539" s="1" t="s">
        <v>28</v>
      </c>
      <c r="F539" s="2">
        <v>2000000.0</v>
      </c>
      <c r="G539" s="1" t="s">
        <v>586</v>
      </c>
      <c r="H539" s="4">
        <f>IFERROR(__xludf.DUMMYFUNCTION("DATE(INDEX(SPLIT(G539,""/""),,3),INDEX(SPLIT(G539,""/""),,2),INDEX(SPLIT(G539,""/""),,1))"),44726.0)</f>
        <v>44726</v>
      </c>
      <c r="I539" s="1" t="s">
        <v>317</v>
      </c>
      <c r="J539" s="4">
        <f>IFERROR(__xludf.DUMMYFUNCTION("DATE(INDEX(SPLIT(I539,""/""),,3),INDEX(SPLIT(I539,""/""),,2),INDEX(SPLIT(I539,""/""),,1))"),44862.0)</f>
        <v>44862</v>
      </c>
      <c r="L539" s="1">
        <v>0.0</v>
      </c>
      <c r="M539" s="1" t="s">
        <v>587</v>
      </c>
      <c r="N539" s="1"/>
      <c r="O539" s="1" t="s">
        <v>30</v>
      </c>
      <c r="P539" s="1" t="s">
        <v>31</v>
      </c>
      <c r="Q539" s="1" t="s">
        <v>157</v>
      </c>
      <c r="R539" s="1" t="s">
        <v>157</v>
      </c>
      <c r="S539" s="1" t="s">
        <v>158</v>
      </c>
      <c r="T539" s="1" t="s">
        <v>159</v>
      </c>
      <c r="U539" s="1">
        <v>1.00700761E8</v>
      </c>
      <c r="V539" s="1" t="s">
        <v>588</v>
      </c>
      <c r="W539" s="1" t="s">
        <v>199</v>
      </c>
      <c r="X539" s="1" t="s">
        <v>125</v>
      </c>
      <c r="Y539" s="1" t="s">
        <v>589</v>
      </c>
      <c r="Z539" s="1" t="s">
        <v>37</v>
      </c>
    </row>
    <row r="540" hidden="1">
      <c r="A540" s="1" t="s">
        <v>2194</v>
      </c>
      <c r="B540" s="1" t="s">
        <v>546</v>
      </c>
      <c r="C540" s="1" t="s">
        <v>2195</v>
      </c>
      <c r="D540" s="1" t="s">
        <v>78</v>
      </c>
      <c r="E540" s="1" t="s">
        <v>28</v>
      </c>
      <c r="F540" s="2">
        <v>2000000.0</v>
      </c>
      <c r="G540" s="4">
        <v>44806.0</v>
      </c>
      <c r="H540" s="4">
        <f>IFERROR(__xludf.DUMMYFUNCTION("DATE(INDEX(SPLIT(G540,""/""),,3),INDEX(SPLIT(G540,""/""),,2),INDEX(SPLIT(G540,""/""),,1))"),44601.0)</f>
        <v>44601</v>
      </c>
      <c r="I540" s="1" t="s">
        <v>2196</v>
      </c>
      <c r="J540" s="4">
        <f>IFERROR(__xludf.DUMMYFUNCTION("DATE(INDEX(SPLIT(I540,""/""),,3),INDEX(SPLIT(I540,""/""),,2),INDEX(SPLIT(I540,""/""),,1))"),44817.0)</f>
        <v>44817</v>
      </c>
      <c r="L540" s="1">
        <v>0.0</v>
      </c>
      <c r="M540" s="1" t="s">
        <v>951</v>
      </c>
      <c r="N540" s="1"/>
      <c r="O540" s="1" t="s">
        <v>30</v>
      </c>
      <c r="P540" s="1" t="s">
        <v>31</v>
      </c>
      <c r="Q540" s="1" t="s">
        <v>157</v>
      </c>
      <c r="R540" s="1" t="s">
        <v>157</v>
      </c>
      <c r="S540" s="1" t="s">
        <v>158</v>
      </c>
      <c r="T540" s="1" t="s">
        <v>159</v>
      </c>
      <c r="U540" s="1">
        <v>1.00653269E8</v>
      </c>
      <c r="V540" s="1" t="s">
        <v>2197</v>
      </c>
      <c r="W540" s="1" t="s">
        <v>199</v>
      </c>
      <c r="X540" s="1" t="s">
        <v>74</v>
      </c>
      <c r="Y540" s="1" t="s">
        <v>2198</v>
      </c>
      <c r="Z540" s="1" t="s">
        <v>37</v>
      </c>
    </row>
    <row r="541">
      <c r="A541" s="1" t="s">
        <v>2199</v>
      </c>
      <c r="B541" s="1" t="s">
        <v>2200</v>
      </c>
      <c r="C541" s="1" t="s">
        <v>2201</v>
      </c>
      <c r="D541" s="1" t="s">
        <v>78</v>
      </c>
      <c r="E541" s="1" t="s">
        <v>28</v>
      </c>
      <c r="F541" s="2">
        <v>2000000.0</v>
      </c>
      <c r="G541" s="1" t="s">
        <v>934</v>
      </c>
      <c r="H541" s="4">
        <f>IFERROR(__xludf.DUMMYFUNCTION("DATE(INDEX(SPLIT(G541,""/""),,3),INDEX(SPLIT(G541,""/""),,2),INDEX(SPLIT(G541,""/""),,1))"),44681.0)</f>
        <v>44681</v>
      </c>
      <c r="I541" s="1" t="s">
        <v>226</v>
      </c>
      <c r="J541" s="4">
        <f>IFERROR(__xludf.DUMMYFUNCTION("DATE(INDEX(SPLIT(I541,""/""),,3),INDEX(SPLIT(I541,""/""),,2),INDEX(SPLIT(I541,""/""),,1))"),44771.0)</f>
        <v>44771</v>
      </c>
      <c r="L541" s="1">
        <v>0.0</v>
      </c>
      <c r="M541" s="1" t="s">
        <v>936</v>
      </c>
      <c r="N541" s="1"/>
      <c r="O541" s="1" t="s">
        <v>30</v>
      </c>
      <c r="P541" s="1" t="s">
        <v>31</v>
      </c>
      <c r="Q541" s="1" t="s">
        <v>71</v>
      </c>
      <c r="R541" s="1" t="s">
        <v>71</v>
      </c>
      <c r="S541" s="1" t="s">
        <v>72</v>
      </c>
      <c r="T541" s="1" t="s">
        <v>73</v>
      </c>
      <c r="U541" s="1">
        <v>1.00941744E8</v>
      </c>
      <c r="X541" s="1" t="s">
        <v>74</v>
      </c>
      <c r="Y541" s="1" t="s">
        <v>936</v>
      </c>
      <c r="Z541" s="1" t="s">
        <v>37</v>
      </c>
    </row>
    <row r="542" hidden="1">
      <c r="A542" s="1" t="s">
        <v>2202</v>
      </c>
      <c r="B542" s="1" t="s">
        <v>896</v>
      </c>
      <c r="C542" s="1" t="s">
        <v>2203</v>
      </c>
      <c r="D542" s="1" t="s">
        <v>27</v>
      </c>
      <c r="E542" s="1" t="s">
        <v>28</v>
      </c>
      <c r="F542" s="2">
        <v>2000000.0</v>
      </c>
      <c r="G542" s="1" t="s">
        <v>1154</v>
      </c>
      <c r="H542" s="4">
        <f>IFERROR(__xludf.DUMMYFUNCTION("DATE(INDEX(SPLIT(G542,""/""),,3),INDEX(SPLIT(G542,""/""),,2),INDEX(SPLIT(G542,""/""),,1))"),44735.0)</f>
        <v>44735</v>
      </c>
      <c r="I542" s="1" t="s">
        <v>109</v>
      </c>
      <c r="J542" s="4">
        <f>IFERROR(__xludf.DUMMYFUNCTION("DATE(INDEX(SPLIT(I542,""/""),,3),INDEX(SPLIT(I542,""/""),,2),INDEX(SPLIT(I542,""/""),,1))"),44834.0)</f>
        <v>44834</v>
      </c>
      <c r="L542" s="1">
        <v>0.0</v>
      </c>
      <c r="M542" s="1" t="s">
        <v>1874</v>
      </c>
      <c r="N542" s="1"/>
      <c r="O542" s="1" t="s">
        <v>30</v>
      </c>
      <c r="P542" s="1" t="s">
        <v>31</v>
      </c>
      <c r="Q542" s="1" t="s">
        <v>188</v>
      </c>
      <c r="R542" s="1" t="s">
        <v>188</v>
      </c>
      <c r="S542" s="1" t="s">
        <v>189</v>
      </c>
      <c r="U542" s="1">
        <v>1.00637664E8</v>
      </c>
      <c r="X542" s="1" t="s">
        <v>490</v>
      </c>
      <c r="Y542" s="1" t="s">
        <v>1874</v>
      </c>
      <c r="Z542" s="1" t="s">
        <v>37</v>
      </c>
    </row>
    <row r="543">
      <c r="A543" s="1" t="s">
        <v>2204</v>
      </c>
      <c r="B543" s="1" t="s">
        <v>2205</v>
      </c>
      <c r="C543" s="1" t="s">
        <v>2206</v>
      </c>
      <c r="D543" s="1" t="s">
        <v>122</v>
      </c>
      <c r="E543" s="1" t="s">
        <v>28</v>
      </c>
      <c r="F543" s="2">
        <v>2000000.0</v>
      </c>
      <c r="G543" s="1" t="s">
        <v>1674</v>
      </c>
      <c r="H543" s="4">
        <f>IFERROR(__xludf.DUMMYFUNCTION("DATE(INDEX(SPLIT(G543,""/""),,3),INDEX(SPLIT(G543,""/""),,2),INDEX(SPLIT(G543,""/""),,1))"),44617.0)</f>
        <v>44617</v>
      </c>
      <c r="I543" s="1" t="s">
        <v>69</v>
      </c>
      <c r="J543" s="4">
        <f>IFERROR(__xludf.DUMMYFUNCTION("DATE(INDEX(SPLIT(I543,""/""),,3),INDEX(SPLIT(I543,""/""),,2),INDEX(SPLIT(I543,""/""),,1))"),44773.0)</f>
        <v>44773</v>
      </c>
      <c r="L543" s="1">
        <v>0.0</v>
      </c>
      <c r="M543" s="1" t="s">
        <v>2207</v>
      </c>
      <c r="N543" s="1"/>
      <c r="O543" s="1" t="s">
        <v>30</v>
      </c>
      <c r="P543" s="1" t="s">
        <v>31</v>
      </c>
      <c r="Q543" s="1" t="s">
        <v>228</v>
      </c>
      <c r="R543" s="1" t="s">
        <v>228</v>
      </c>
      <c r="S543" s="1" t="s">
        <v>229</v>
      </c>
      <c r="T543" s="1" t="s">
        <v>513</v>
      </c>
      <c r="U543" s="1">
        <v>1.00596618E8</v>
      </c>
      <c r="X543" s="1" t="s">
        <v>88</v>
      </c>
      <c r="Y543" s="1" t="s">
        <v>2208</v>
      </c>
      <c r="Z543" s="1" t="s">
        <v>37</v>
      </c>
    </row>
    <row r="544" hidden="1">
      <c r="A544" s="1" t="s">
        <v>2209</v>
      </c>
      <c r="B544" s="1" t="s">
        <v>1144</v>
      </c>
      <c r="C544" s="1" t="s">
        <v>2210</v>
      </c>
      <c r="D544" s="1" t="s">
        <v>78</v>
      </c>
      <c r="E544" s="1" t="s">
        <v>28</v>
      </c>
      <c r="F544" s="2">
        <v>2000000.0</v>
      </c>
      <c r="G544" s="4">
        <v>44806.0</v>
      </c>
      <c r="H544" s="4">
        <f>IFERROR(__xludf.DUMMYFUNCTION("DATE(INDEX(SPLIT(G544,""/""),,3),INDEX(SPLIT(G544,""/""),,2),INDEX(SPLIT(G544,""/""),,1))"),44601.0)</f>
        <v>44601</v>
      </c>
      <c r="I544" s="1" t="s">
        <v>130</v>
      </c>
      <c r="J544" s="4">
        <f>IFERROR(__xludf.DUMMYFUNCTION("DATE(INDEX(SPLIT(I544,""/""),,3),INDEX(SPLIT(I544,""/""),,2),INDEX(SPLIT(I544,""/""),,1))"),44804.0)</f>
        <v>44804</v>
      </c>
      <c r="L544" s="1">
        <v>0.0</v>
      </c>
      <c r="M544" s="1" t="s">
        <v>1573</v>
      </c>
      <c r="N544" s="1"/>
      <c r="O544" s="1" t="s">
        <v>30</v>
      </c>
      <c r="P544" s="1" t="s">
        <v>31</v>
      </c>
      <c r="Q544" s="1" t="s">
        <v>95</v>
      </c>
      <c r="R544" s="1" t="s">
        <v>95</v>
      </c>
      <c r="S544" s="1" t="s">
        <v>96</v>
      </c>
      <c r="T544" s="1" t="s">
        <v>1386</v>
      </c>
      <c r="U544" s="1">
        <v>1.00595231E8</v>
      </c>
      <c r="X544" s="1" t="s">
        <v>63</v>
      </c>
      <c r="Y544" s="1" t="s">
        <v>1573</v>
      </c>
      <c r="Z544" s="1" t="s">
        <v>37</v>
      </c>
    </row>
    <row r="545" hidden="1">
      <c r="A545" s="1" t="s">
        <v>2211</v>
      </c>
      <c r="B545" s="1" t="s">
        <v>2212</v>
      </c>
      <c r="C545" s="1" t="s">
        <v>2213</v>
      </c>
      <c r="D545" s="1" t="s">
        <v>122</v>
      </c>
      <c r="E545" s="1" t="s">
        <v>28</v>
      </c>
      <c r="F545" s="2">
        <v>2000000.0</v>
      </c>
      <c r="G545" s="4">
        <v>44236.0</v>
      </c>
      <c r="H545" s="4">
        <f>IFERROR(__xludf.DUMMYFUNCTION("DATE(INDEX(SPLIT(G545,""/""),,3),INDEX(SPLIT(G545,""/""),,2),INDEX(SPLIT(G545,""/""),,1))"),44441.0)</f>
        <v>44441</v>
      </c>
      <c r="I545" s="4">
        <v>44659.0</v>
      </c>
      <c r="J545" s="4">
        <f>IFERROR(__xludf.DUMMYFUNCTION("DATE(INDEX(SPLIT(I545,""/""),,3),INDEX(SPLIT(I545,""/""),,2),INDEX(SPLIT(I545,""/""),,1))"),44777.0)</f>
        <v>44777</v>
      </c>
      <c r="L545" s="1">
        <v>0.0</v>
      </c>
      <c r="M545" s="1" t="s">
        <v>2214</v>
      </c>
      <c r="N545" s="1"/>
      <c r="O545" s="1" t="s">
        <v>30</v>
      </c>
      <c r="P545" s="1" t="s">
        <v>31</v>
      </c>
      <c r="Q545" s="1" t="s">
        <v>95</v>
      </c>
      <c r="R545" s="1" t="s">
        <v>95</v>
      </c>
      <c r="S545" s="1" t="s">
        <v>96</v>
      </c>
      <c r="T545" s="1" t="s">
        <v>2215</v>
      </c>
      <c r="U545" s="1">
        <v>1.00580065E8</v>
      </c>
      <c r="X545" s="1" t="s">
        <v>98</v>
      </c>
      <c r="Y545" s="1" t="s">
        <v>2214</v>
      </c>
      <c r="Z545" s="1" t="s">
        <v>37</v>
      </c>
    </row>
    <row r="546" hidden="1">
      <c r="A546" s="1" t="s">
        <v>2216</v>
      </c>
      <c r="B546" s="1" t="s">
        <v>2217</v>
      </c>
      <c r="C546" s="1" t="s">
        <v>2218</v>
      </c>
      <c r="D546" s="1" t="s">
        <v>27</v>
      </c>
      <c r="E546" s="1" t="s">
        <v>28</v>
      </c>
      <c r="F546" s="2">
        <v>2000000.0</v>
      </c>
      <c r="G546" s="4">
        <v>44716.0</v>
      </c>
      <c r="H546" s="4">
        <f>IFERROR(__xludf.DUMMYFUNCTION("DATE(INDEX(SPLIT(G546,""/""),,3),INDEX(SPLIT(G546,""/""),,2),INDEX(SPLIT(G546,""/""),,1))"),44657.0)</f>
        <v>44657</v>
      </c>
      <c r="I546" s="1" t="s">
        <v>548</v>
      </c>
      <c r="J546" s="4">
        <f>IFERROR(__xludf.DUMMYFUNCTION("DATE(INDEX(SPLIT(I546,""/""),,3),INDEX(SPLIT(I546,""/""),,2),INDEX(SPLIT(I546,""/""),,1))"),44946.0)</f>
        <v>44946</v>
      </c>
      <c r="L546" s="1">
        <v>0.0</v>
      </c>
      <c r="M546" s="1" t="s">
        <v>318</v>
      </c>
      <c r="N546" s="1"/>
      <c r="O546" s="1" t="s">
        <v>30</v>
      </c>
      <c r="P546" s="1" t="s">
        <v>31</v>
      </c>
      <c r="Q546" s="1" t="s">
        <v>71</v>
      </c>
      <c r="R546" s="1" t="s">
        <v>71</v>
      </c>
      <c r="S546" s="1" t="s">
        <v>72</v>
      </c>
      <c r="T546" s="1" t="s">
        <v>73</v>
      </c>
      <c r="U546" s="1">
        <v>1.00654705E8</v>
      </c>
      <c r="X546" s="1" t="s">
        <v>74</v>
      </c>
      <c r="Y546" s="1" t="s">
        <v>318</v>
      </c>
      <c r="Z546" s="1" t="s">
        <v>37</v>
      </c>
    </row>
    <row r="547" hidden="1">
      <c r="A547" s="1" t="s">
        <v>2219</v>
      </c>
      <c r="B547" s="1" t="s">
        <v>1634</v>
      </c>
      <c r="C547" s="1" t="s">
        <v>2220</v>
      </c>
      <c r="D547" s="1" t="s">
        <v>27</v>
      </c>
      <c r="E547" s="1" t="s">
        <v>28</v>
      </c>
      <c r="F547" s="2">
        <v>2000000.0</v>
      </c>
      <c r="G547" s="4">
        <v>44477.0</v>
      </c>
      <c r="H547" s="4">
        <f>IFERROR(__xludf.DUMMYFUNCTION("DATE(INDEX(SPLIT(G547,""/""),,3),INDEX(SPLIT(G547,""/""),,2),INDEX(SPLIT(G547,""/""),,1))"),44418.0)</f>
        <v>44418</v>
      </c>
      <c r="I547" s="1" t="s">
        <v>281</v>
      </c>
      <c r="J547" s="4">
        <f>IFERROR(__xludf.DUMMYFUNCTION("DATE(INDEX(SPLIT(I547,""/""),,3),INDEX(SPLIT(I547,""/""),,2),INDEX(SPLIT(I547,""/""),,1))"),44865.0)</f>
        <v>44865</v>
      </c>
      <c r="L547" s="1">
        <v>0.0</v>
      </c>
      <c r="M547" s="1" t="s">
        <v>898</v>
      </c>
      <c r="N547" s="1"/>
      <c r="O547" s="1" t="s">
        <v>30</v>
      </c>
      <c r="P547" s="1" t="s">
        <v>31</v>
      </c>
      <c r="Q547" s="1" t="s">
        <v>71</v>
      </c>
      <c r="R547" s="1" t="s">
        <v>71</v>
      </c>
      <c r="S547" s="1" t="s">
        <v>72</v>
      </c>
      <c r="T547" s="1" t="s">
        <v>615</v>
      </c>
      <c r="U547" s="1">
        <v>1.00589481E8</v>
      </c>
      <c r="V547" s="1" t="s">
        <v>2221</v>
      </c>
      <c r="W547" s="1" t="s">
        <v>199</v>
      </c>
      <c r="X547" s="1" t="s">
        <v>490</v>
      </c>
      <c r="Y547" s="1" t="s">
        <v>1660</v>
      </c>
      <c r="Z547" s="1" t="s">
        <v>37</v>
      </c>
    </row>
    <row r="548" hidden="1">
      <c r="A548" s="1" t="s">
        <v>2222</v>
      </c>
      <c r="B548" s="1" t="s">
        <v>301</v>
      </c>
      <c r="C548" s="1" t="s">
        <v>2223</v>
      </c>
      <c r="D548" s="1" t="s">
        <v>27</v>
      </c>
      <c r="E548" s="1" t="s">
        <v>28</v>
      </c>
      <c r="F548" s="2">
        <v>2000000.0</v>
      </c>
      <c r="G548" s="4">
        <v>44656.0</v>
      </c>
      <c r="H548" s="4">
        <f>IFERROR(__xludf.DUMMYFUNCTION("DATE(INDEX(SPLIT(G548,""/""),,3),INDEX(SPLIT(G548,""/""),,2),INDEX(SPLIT(G548,""/""),,1))"),44685.0)</f>
        <v>44685</v>
      </c>
      <c r="I548" s="4">
        <v>44569.0</v>
      </c>
      <c r="J548" s="4">
        <f>IFERROR(__xludf.DUMMYFUNCTION("DATE(INDEX(SPLIT(I548,""/""),,3),INDEX(SPLIT(I548,""/""),,2),INDEX(SPLIT(I548,""/""),,1))"),44774.0)</f>
        <v>44774</v>
      </c>
      <c r="L548" s="1">
        <v>0.0</v>
      </c>
      <c r="M548" s="1" t="s">
        <v>873</v>
      </c>
      <c r="N548" s="1"/>
      <c r="O548" s="1" t="s">
        <v>30</v>
      </c>
      <c r="P548" s="1" t="s">
        <v>31</v>
      </c>
      <c r="Q548" s="1" t="s">
        <v>157</v>
      </c>
      <c r="R548" s="1" t="s">
        <v>157</v>
      </c>
      <c r="S548" s="1" t="s">
        <v>158</v>
      </c>
      <c r="U548" s="1">
        <v>1.00586701E8</v>
      </c>
      <c r="X548" s="1" t="s">
        <v>305</v>
      </c>
      <c r="Y548" s="1" t="s">
        <v>2224</v>
      </c>
      <c r="Z548" s="1" t="s">
        <v>37</v>
      </c>
    </row>
    <row r="549" hidden="1">
      <c r="A549" s="1" t="s">
        <v>2225</v>
      </c>
      <c r="B549" s="1" t="s">
        <v>39</v>
      </c>
      <c r="C549" s="1" t="s">
        <v>2226</v>
      </c>
      <c r="D549" s="1" t="s">
        <v>78</v>
      </c>
      <c r="E549" s="1" t="s">
        <v>28</v>
      </c>
      <c r="F549" s="2">
        <v>2000000.0</v>
      </c>
      <c r="G549" s="1" t="s">
        <v>1740</v>
      </c>
      <c r="H549" s="4">
        <f>IFERROR(__xludf.DUMMYFUNCTION("DATE(INDEX(SPLIT(G549,""/""),,3),INDEX(SPLIT(G549,""/""),,2),INDEX(SPLIT(G549,""/""),,1))"),44456.0)</f>
        <v>44456</v>
      </c>
      <c r="I549" s="1" t="s">
        <v>2227</v>
      </c>
      <c r="J549" s="4">
        <f>IFERROR(__xludf.DUMMYFUNCTION("DATE(INDEX(SPLIT(I549,""/""),,3),INDEX(SPLIT(I549,""/""),,2),INDEX(SPLIT(I549,""/""),,1))"),44912.0)</f>
        <v>44912</v>
      </c>
      <c r="L549" s="1">
        <v>0.0</v>
      </c>
      <c r="M549" s="1" t="s">
        <v>277</v>
      </c>
      <c r="N549" s="1"/>
      <c r="O549" s="1" t="s">
        <v>30</v>
      </c>
      <c r="P549" s="1" t="s">
        <v>31</v>
      </c>
      <c r="Q549" s="1" t="s">
        <v>32</v>
      </c>
      <c r="R549" s="1" t="s">
        <v>32</v>
      </c>
      <c r="S549" s="1" t="s">
        <v>33</v>
      </c>
      <c r="T549" s="1" t="s">
        <v>103</v>
      </c>
      <c r="U549" s="1">
        <v>1.00608828E8</v>
      </c>
      <c r="X549" s="1" t="s">
        <v>46</v>
      </c>
      <c r="Y549" s="1" t="s">
        <v>104</v>
      </c>
      <c r="Z549" s="1" t="s">
        <v>37</v>
      </c>
    </row>
    <row r="550" hidden="1">
      <c r="A550" s="1" t="s">
        <v>2228</v>
      </c>
      <c r="B550" s="1" t="s">
        <v>784</v>
      </c>
      <c r="C550" s="1" t="s">
        <v>2229</v>
      </c>
      <c r="D550" s="1" t="s">
        <v>27</v>
      </c>
      <c r="E550" s="1" t="s">
        <v>28</v>
      </c>
      <c r="F550" s="2">
        <v>2000000.0</v>
      </c>
      <c r="G550" s="4">
        <v>44806.0</v>
      </c>
      <c r="H550" s="4">
        <f>IFERROR(__xludf.DUMMYFUNCTION("DATE(INDEX(SPLIT(G550,""/""),,3),INDEX(SPLIT(G550,""/""),,2),INDEX(SPLIT(G550,""/""),,1))"),44601.0)</f>
        <v>44601</v>
      </c>
      <c r="I550" s="1" t="s">
        <v>548</v>
      </c>
      <c r="J550" s="4">
        <f>IFERROR(__xludf.DUMMYFUNCTION("DATE(INDEX(SPLIT(I550,""/""),,3),INDEX(SPLIT(I550,""/""),,2),INDEX(SPLIT(I550,""/""),,1))"),44946.0)</f>
        <v>44946</v>
      </c>
      <c r="L550" s="1">
        <v>0.0</v>
      </c>
      <c r="M550" s="1" t="s">
        <v>1398</v>
      </c>
      <c r="N550" s="1"/>
      <c r="O550" s="1" t="s">
        <v>30</v>
      </c>
      <c r="P550" s="1" t="s">
        <v>31</v>
      </c>
      <c r="Q550" s="1" t="s">
        <v>95</v>
      </c>
      <c r="R550" s="1" t="s">
        <v>95</v>
      </c>
      <c r="S550" s="1" t="s">
        <v>96</v>
      </c>
      <c r="T550" s="1" t="s">
        <v>111</v>
      </c>
      <c r="U550" s="1">
        <v>1.0061941E8</v>
      </c>
      <c r="X550" s="1" t="s">
        <v>63</v>
      </c>
      <c r="Y550" s="1" t="s">
        <v>1398</v>
      </c>
      <c r="Z550" s="1" t="s">
        <v>37</v>
      </c>
    </row>
    <row r="551" hidden="1">
      <c r="A551" s="1" t="s">
        <v>2230</v>
      </c>
      <c r="B551" s="1" t="s">
        <v>2231</v>
      </c>
      <c r="C551" s="1" t="s">
        <v>2232</v>
      </c>
      <c r="D551" s="1" t="s">
        <v>78</v>
      </c>
      <c r="E551" s="1" t="s">
        <v>28</v>
      </c>
      <c r="F551" s="2">
        <v>2000000.0</v>
      </c>
      <c r="G551" s="1" t="s">
        <v>586</v>
      </c>
      <c r="H551" s="4">
        <f>IFERROR(__xludf.DUMMYFUNCTION("DATE(INDEX(SPLIT(G551,""/""),,3),INDEX(SPLIT(G551,""/""),,2),INDEX(SPLIT(G551,""/""),,1))"),44726.0)</f>
        <v>44726</v>
      </c>
      <c r="I551" s="4">
        <v>44569.0</v>
      </c>
      <c r="J551" s="4">
        <f>IFERROR(__xludf.DUMMYFUNCTION("DATE(INDEX(SPLIT(I551,""/""),,3),INDEX(SPLIT(I551,""/""),,2),INDEX(SPLIT(I551,""/""),,1))"),44774.0)</f>
        <v>44774</v>
      </c>
      <c r="L551" s="1">
        <v>0.0</v>
      </c>
      <c r="M551" s="1" t="s">
        <v>431</v>
      </c>
      <c r="N551" s="1"/>
      <c r="O551" s="1" t="s">
        <v>30</v>
      </c>
      <c r="P551" s="1" t="s">
        <v>31</v>
      </c>
      <c r="Q551" s="1" t="s">
        <v>157</v>
      </c>
      <c r="R551" s="1" t="s">
        <v>157</v>
      </c>
      <c r="S551" s="1" t="s">
        <v>158</v>
      </c>
      <c r="U551" s="1">
        <v>1.00650064E8</v>
      </c>
      <c r="X551" s="1" t="s">
        <v>125</v>
      </c>
      <c r="Y551" s="1" t="s">
        <v>2233</v>
      </c>
      <c r="Z551" s="1" t="s">
        <v>37</v>
      </c>
    </row>
    <row r="552" hidden="1">
      <c r="A552" s="1" t="s">
        <v>2234</v>
      </c>
      <c r="B552" s="1" t="s">
        <v>1355</v>
      </c>
      <c r="C552" s="1" t="s">
        <v>2235</v>
      </c>
      <c r="D552" s="1" t="s">
        <v>27</v>
      </c>
      <c r="E552" s="1" t="s">
        <v>28</v>
      </c>
      <c r="F552" s="2">
        <v>2000000.0</v>
      </c>
      <c r="G552" s="4">
        <v>44387.0</v>
      </c>
      <c r="H552" s="4">
        <f>IFERROR(__xludf.DUMMYFUNCTION("DATE(INDEX(SPLIT(G552,""/""),,3),INDEX(SPLIT(G552,""/""),,2),INDEX(SPLIT(G552,""/""),,1))"),44476.0)</f>
        <v>44476</v>
      </c>
      <c r="I552" s="1" t="s">
        <v>2236</v>
      </c>
      <c r="J552" s="4">
        <f>IFERROR(__xludf.DUMMYFUNCTION("DATE(INDEX(SPLIT(I552,""/""),,3),INDEX(SPLIT(I552,""/""),,2),INDEX(SPLIT(I552,""/""),,1))"),44924.0)</f>
        <v>44924</v>
      </c>
      <c r="L552" s="1">
        <v>0.0</v>
      </c>
      <c r="M552" s="1" t="s">
        <v>2237</v>
      </c>
      <c r="N552" s="1"/>
      <c r="O552" s="1" t="s">
        <v>30</v>
      </c>
      <c r="P552" s="1" t="s">
        <v>31</v>
      </c>
      <c r="Q552" s="1" t="s">
        <v>32</v>
      </c>
      <c r="R552" s="1" t="s">
        <v>32</v>
      </c>
      <c r="S552" s="1" t="s">
        <v>33</v>
      </c>
      <c r="T552" s="1" t="s">
        <v>103</v>
      </c>
      <c r="U552" s="1">
        <v>1.00611284E8</v>
      </c>
      <c r="X552" s="1" t="s">
        <v>35</v>
      </c>
      <c r="Y552" s="1" t="s">
        <v>2238</v>
      </c>
      <c r="Z552" s="1" t="s">
        <v>37</v>
      </c>
    </row>
    <row r="553" hidden="1">
      <c r="A553" s="1" t="s">
        <v>2239</v>
      </c>
      <c r="B553" s="1" t="s">
        <v>1131</v>
      </c>
      <c r="C553" s="1" t="s">
        <v>2240</v>
      </c>
      <c r="D553" s="1" t="s">
        <v>27</v>
      </c>
      <c r="E553" s="1" t="s">
        <v>28</v>
      </c>
      <c r="F553" s="2">
        <v>2000000.0</v>
      </c>
      <c r="G553" s="1" t="s">
        <v>1475</v>
      </c>
      <c r="H553" s="4">
        <f>IFERROR(__xludf.DUMMYFUNCTION("DATE(INDEX(SPLIT(G553,""/""),,3),INDEX(SPLIT(G553,""/""),,2),INDEX(SPLIT(G553,""/""),,1))"),44425.0)</f>
        <v>44425</v>
      </c>
      <c r="I553" s="1" t="s">
        <v>109</v>
      </c>
      <c r="J553" s="4">
        <f>IFERROR(__xludf.DUMMYFUNCTION("DATE(INDEX(SPLIT(I553,""/""),,3),INDEX(SPLIT(I553,""/""),,2),INDEX(SPLIT(I553,""/""),,1))"),44834.0)</f>
        <v>44834</v>
      </c>
      <c r="L553" s="1">
        <v>0.0</v>
      </c>
      <c r="M553" s="1" t="s">
        <v>70</v>
      </c>
      <c r="N553" s="1"/>
      <c r="O553" s="1" t="s">
        <v>30</v>
      </c>
      <c r="P553" s="1" t="s">
        <v>31</v>
      </c>
      <c r="Q553" s="1" t="s">
        <v>71</v>
      </c>
      <c r="R553" s="1" t="s">
        <v>71</v>
      </c>
      <c r="S553" s="1" t="s">
        <v>72</v>
      </c>
      <c r="T553" s="1" t="s">
        <v>442</v>
      </c>
      <c r="U553" s="1">
        <v>1.00640331E8</v>
      </c>
      <c r="X553" s="1" t="s">
        <v>74</v>
      </c>
      <c r="Y553" s="1" t="s">
        <v>2241</v>
      </c>
      <c r="Z553" s="1" t="s">
        <v>37</v>
      </c>
    </row>
    <row r="554" hidden="1">
      <c r="A554" s="1" t="s">
        <v>2242</v>
      </c>
      <c r="B554" s="1" t="s">
        <v>997</v>
      </c>
      <c r="C554" s="1" t="s">
        <v>2243</v>
      </c>
      <c r="D554" s="1" t="s">
        <v>27</v>
      </c>
      <c r="E554" s="1" t="s">
        <v>28</v>
      </c>
      <c r="F554" s="2">
        <v>2000000.0</v>
      </c>
      <c r="G554" s="1" t="s">
        <v>2244</v>
      </c>
      <c r="H554" s="4">
        <f>IFERROR(__xludf.DUMMYFUNCTION("DATE(INDEX(SPLIT(G554,""/""),,3),INDEX(SPLIT(G554,""/""),,2),INDEX(SPLIT(G554,""/""),,1))"),44634.0)</f>
        <v>44634</v>
      </c>
      <c r="I554" s="1" t="s">
        <v>430</v>
      </c>
      <c r="J554" s="4">
        <f>IFERROR(__xludf.DUMMYFUNCTION("DATE(INDEX(SPLIT(I554,""/""),,3),INDEX(SPLIT(I554,""/""),,2),INDEX(SPLIT(I554,""/""),,1))"),44985.0)</f>
        <v>44985</v>
      </c>
      <c r="L554" s="1">
        <v>0.0</v>
      </c>
      <c r="M554" s="1" t="s">
        <v>2043</v>
      </c>
      <c r="N554" s="1"/>
      <c r="O554" s="1" t="s">
        <v>30</v>
      </c>
      <c r="P554" s="1" t="s">
        <v>31</v>
      </c>
      <c r="Q554" s="1" t="s">
        <v>53</v>
      </c>
      <c r="R554" s="1" t="s">
        <v>53</v>
      </c>
      <c r="S554" s="1" t="s">
        <v>54</v>
      </c>
      <c r="U554" s="1">
        <v>1.00624533E8</v>
      </c>
      <c r="X554" s="1" t="s">
        <v>410</v>
      </c>
      <c r="Y554" s="1" t="s">
        <v>2061</v>
      </c>
      <c r="Z554" s="1" t="s">
        <v>206</v>
      </c>
    </row>
    <row r="555" hidden="1">
      <c r="A555" s="1" t="s">
        <v>2245</v>
      </c>
      <c r="B555" s="1" t="s">
        <v>1123</v>
      </c>
      <c r="C555" s="1" t="s">
        <v>2246</v>
      </c>
      <c r="D555" s="1" t="s">
        <v>78</v>
      </c>
      <c r="E555" s="1" t="s">
        <v>28</v>
      </c>
      <c r="F555" s="2">
        <v>2000000.0</v>
      </c>
      <c r="G555" s="4">
        <v>44687.0</v>
      </c>
      <c r="H555" s="4">
        <f>IFERROR(__xludf.DUMMYFUNCTION("DATE(INDEX(SPLIT(G555,""/""),,3),INDEX(SPLIT(G555,""/""),,2),INDEX(SPLIT(G555,""/""),,1))"),44717.0)</f>
        <v>44717</v>
      </c>
      <c r="I555" s="1" t="s">
        <v>85</v>
      </c>
      <c r="J555" s="4">
        <f>IFERROR(__xludf.DUMMYFUNCTION("DATE(INDEX(SPLIT(I555,""/""),,3),INDEX(SPLIT(I555,""/""),,2),INDEX(SPLIT(I555,""/""),,1))"),44799.0)</f>
        <v>44799</v>
      </c>
      <c r="L555" s="1">
        <v>0.0</v>
      </c>
      <c r="M555" s="1" t="s">
        <v>2247</v>
      </c>
      <c r="N555" s="1"/>
      <c r="O555" s="1" t="s">
        <v>30</v>
      </c>
      <c r="P555" s="1" t="s">
        <v>31</v>
      </c>
      <c r="Q555" s="1" t="s">
        <v>32</v>
      </c>
      <c r="R555" s="1" t="s">
        <v>32</v>
      </c>
      <c r="S555" s="1" t="s">
        <v>33</v>
      </c>
      <c r="U555" s="1">
        <v>1.01076271E8</v>
      </c>
      <c r="X555" s="1" t="s">
        <v>117</v>
      </c>
      <c r="Y555" s="1" t="s">
        <v>2247</v>
      </c>
      <c r="Z555" s="1" t="s">
        <v>206</v>
      </c>
    </row>
    <row r="556">
      <c r="A556" s="1" t="s">
        <v>2248</v>
      </c>
      <c r="B556" s="1" t="s">
        <v>2249</v>
      </c>
      <c r="C556" s="1" t="s">
        <v>2250</v>
      </c>
      <c r="D556" s="1" t="s">
        <v>78</v>
      </c>
      <c r="E556" s="1" t="s">
        <v>28</v>
      </c>
      <c r="F556" s="2">
        <v>2000000.0</v>
      </c>
      <c r="G556" s="1" t="s">
        <v>2251</v>
      </c>
      <c r="H556" s="4">
        <f>IFERROR(__xludf.DUMMYFUNCTION("DATE(INDEX(SPLIT(G556,""/""),,3),INDEX(SPLIT(G556,""/""),,2),INDEX(SPLIT(G556,""/""),,1))"),44498.0)</f>
        <v>44498</v>
      </c>
      <c r="I556" s="1" t="s">
        <v>69</v>
      </c>
      <c r="J556" s="4">
        <f>IFERROR(__xludf.DUMMYFUNCTION("DATE(INDEX(SPLIT(I556,""/""),,3),INDEX(SPLIT(I556,""/""),,2),INDEX(SPLIT(I556,""/""),,1))"),44773.0)</f>
        <v>44773</v>
      </c>
      <c r="L556" s="1">
        <v>0.0</v>
      </c>
      <c r="M556" s="1" t="s">
        <v>1828</v>
      </c>
      <c r="N556" s="1"/>
      <c r="O556" s="1" t="s">
        <v>30</v>
      </c>
      <c r="P556" s="1" t="s">
        <v>31</v>
      </c>
      <c r="Q556" s="1" t="s">
        <v>235</v>
      </c>
      <c r="R556" s="1" t="s">
        <v>235</v>
      </c>
      <c r="S556" s="1" t="s">
        <v>236</v>
      </c>
      <c r="T556" s="1" t="s">
        <v>1349</v>
      </c>
      <c r="U556" s="1">
        <v>1.00593918E8</v>
      </c>
      <c r="V556" s="1" t="s">
        <v>2252</v>
      </c>
      <c r="W556" s="1" t="s">
        <v>199</v>
      </c>
      <c r="X556" s="1" t="s">
        <v>609</v>
      </c>
      <c r="Y556" s="1" t="s">
        <v>1829</v>
      </c>
      <c r="Z556" s="1" t="s">
        <v>37</v>
      </c>
    </row>
    <row r="557">
      <c r="A557" s="1" t="s">
        <v>2253</v>
      </c>
      <c r="B557" s="1" t="s">
        <v>59</v>
      </c>
      <c r="C557" s="1" t="s">
        <v>2254</v>
      </c>
      <c r="D557" s="1" t="s">
        <v>27</v>
      </c>
      <c r="E557" s="1" t="s">
        <v>28</v>
      </c>
      <c r="F557" s="2">
        <v>2000000.0</v>
      </c>
      <c r="G557" s="4">
        <v>44053.0</v>
      </c>
      <c r="H557" s="4">
        <f>IFERROR(__xludf.DUMMYFUNCTION("DATE(INDEX(SPLIT(G557,""/""),,3),INDEX(SPLIT(G557,""/""),,2),INDEX(SPLIT(G557,""/""),,1))"),44112.0)</f>
        <v>44112</v>
      </c>
      <c r="I557" s="1" t="s">
        <v>1244</v>
      </c>
      <c r="J557" s="4">
        <f>IFERROR(__xludf.DUMMYFUNCTION("DATE(INDEX(SPLIT(I557,""/""),,3),INDEX(SPLIT(I557,""/""),,2),INDEX(SPLIT(I557,""/""),,1))"),44742.0)</f>
        <v>44742</v>
      </c>
      <c r="L557" s="1">
        <v>0.0</v>
      </c>
      <c r="M557" s="1" t="s">
        <v>2255</v>
      </c>
      <c r="N557" s="1"/>
      <c r="O557" s="1" t="s">
        <v>30</v>
      </c>
      <c r="P557" s="1" t="s">
        <v>31</v>
      </c>
      <c r="Q557" s="1" t="s">
        <v>188</v>
      </c>
      <c r="R557" s="1" t="s">
        <v>188</v>
      </c>
      <c r="S557" s="1" t="s">
        <v>189</v>
      </c>
      <c r="T557" s="1" t="s">
        <v>1344</v>
      </c>
      <c r="U557" s="1">
        <v>1.0058019E8</v>
      </c>
      <c r="X557" s="1" t="s">
        <v>63</v>
      </c>
      <c r="Y557" s="1" t="s">
        <v>64</v>
      </c>
      <c r="Z557" s="1" t="s">
        <v>37</v>
      </c>
    </row>
    <row r="558" hidden="1">
      <c r="A558" s="1" t="s">
        <v>2256</v>
      </c>
      <c r="B558" s="1" t="s">
        <v>2257</v>
      </c>
      <c r="C558" s="1" t="s">
        <v>2258</v>
      </c>
      <c r="D558" s="1" t="s">
        <v>78</v>
      </c>
      <c r="E558" s="1" t="s">
        <v>28</v>
      </c>
      <c r="F558" s="2">
        <v>2000000.0</v>
      </c>
      <c r="G558" s="4">
        <v>44013.0</v>
      </c>
      <c r="H558" s="4">
        <f>IFERROR(__xludf.DUMMYFUNCTION("DATE(INDEX(SPLIT(G558,""/""),,3),INDEX(SPLIT(G558,""/""),,2),INDEX(SPLIT(G558,""/""),,1))"),43837.0)</f>
        <v>43837</v>
      </c>
      <c r="I558" s="1" t="s">
        <v>203</v>
      </c>
      <c r="J558" s="4">
        <f>IFERROR(__xludf.DUMMYFUNCTION("DATE(INDEX(SPLIT(I558,""/""),,3),INDEX(SPLIT(I558,""/""),,2),INDEX(SPLIT(I558,""/""),,1))"),44925.0)</f>
        <v>44925</v>
      </c>
      <c r="L558" s="1">
        <v>0.0</v>
      </c>
      <c r="M558" s="1" t="s">
        <v>1814</v>
      </c>
      <c r="N558" s="1"/>
      <c r="O558" s="1" t="s">
        <v>30</v>
      </c>
      <c r="P558" s="1" t="s">
        <v>31</v>
      </c>
      <c r="Q558" s="1" t="s">
        <v>95</v>
      </c>
      <c r="R558" s="1" t="s">
        <v>95</v>
      </c>
      <c r="S558" s="1" t="s">
        <v>96</v>
      </c>
      <c r="T558" s="1" t="s">
        <v>602</v>
      </c>
      <c r="U558" s="1">
        <v>1.00597983E8</v>
      </c>
      <c r="X558" s="1" t="s">
        <v>88</v>
      </c>
      <c r="Y558" s="1" t="s">
        <v>2259</v>
      </c>
      <c r="Z558" s="1" t="s">
        <v>206</v>
      </c>
    </row>
    <row r="559" hidden="1">
      <c r="A559" s="1" t="s">
        <v>2260</v>
      </c>
      <c r="B559" s="1" t="s">
        <v>2261</v>
      </c>
      <c r="C559" s="1" t="s">
        <v>2262</v>
      </c>
      <c r="D559" s="1" t="s">
        <v>27</v>
      </c>
      <c r="E559" s="1" t="s">
        <v>28</v>
      </c>
      <c r="F559" s="2">
        <v>2000000.0</v>
      </c>
      <c r="G559" s="1" t="s">
        <v>2263</v>
      </c>
      <c r="H559" s="4">
        <f>IFERROR(__xludf.DUMMYFUNCTION("DATE(INDEX(SPLIT(G559,""/""),,3),INDEX(SPLIT(G559,""/""),,2),INDEX(SPLIT(G559,""/""),,1))"),44638.0)</f>
        <v>44638</v>
      </c>
      <c r="I559" s="4">
        <v>44569.0</v>
      </c>
      <c r="J559" s="4">
        <f>IFERROR(__xludf.DUMMYFUNCTION("DATE(INDEX(SPLIT(I559,""/""),,3),INDEX(SPLIT(I559,""/""),,2),INDEX(SPLIT(I559,""/""),,1))"),44774.0)</f>
        <v>44774</v>
      </c>
      <c r="L559" s="1">
        <v>0.0</v>
      </c>
      <c r="M559" s="1" t="s">
        <v>1239</v>
      </c>
      <c r="N559" s="1"/>
      <c r="O559" s="1" t="s">
        <v>30</v>
      </c>
      <c r="P559" s="1" t="s">
        <v>31</v>
      </c>
      <c r="Q559" s="1" t="s">
        <v>71</v>
      </c>
      <c r="R559" s="1" t="s">
        <v>71</v>
      </c>
      <c r="S559" s="1" t="s">
        <v>72</v>
      </c>
      <c r="T559" s="1" t="s">
        <v>136</v>
      </c>
      <c r="U559" s="1">
        <v>1.00943277E8</v>
      </c>
      <c r="X559" s="1" t="s">
        <v>74</v>
      </c>
      <c r="Y559" s="1" t="s">
        <v>1239</v>
      </c>
      <c r="Z559" s="1" t="s">
        <v>37</v>
      </c>
    </row>
    <row r="560" hidden="1">
      <c r="A560" s="1" t="s">
        <v>2264</v>
      </c>
      <c r="B560" s="1" t="s">
        <v>2265</v>
      </c>
      <c r="C560" s="1" t="s">
        <v>2266</v>
      </c>
      <c r="D560" s="1" t="s">
        <v>27</v>
      </c>
      <c r="E560" s="1" t="s">
        <v>28</v>
      </c>
      <c r="F560" s="2">
        <v>2000000.0</v>
      </c>
      <c r="G560" s="1" t="s">
        <v>862</v>
      </c>
      <c r="H560" s="4">
        <f>IFERROR(__xludf.DUMMYFUNCTION("DATE(INDEX(SPLIT(G560,""/""),,3),INDEX(SPLIT(G560,""/""),,2),INDEX(SPLIT(G560,""/""),,1))"),44699.0)</f>
        <v>44699</v>
      </c>
      <c r="I560" s="4">
        <v>44601.0</v>
      </c>
      <c r="J560" s="4">
        <f>IFERROR(__xludf.DUMMYFUNCTION("DATE(INDEX(SPLIT(I560,""/""),,3),INDEX(SPLIT(I560,""/""),,2),INDEX(SPLIT(I560,""/""),,1))"),44806.0)</f>
        <v>44806</v>
      </c>
      <c r="L560" s="1">
        <v>0.0</v>
      </c>
      <c r="M560" s="1" t="s">
        <v>1548</v>
      </c>
      <c r="N560" s="1"/>
      <c r="O560" s="1" t="s">
        <v>30</v>
      </c>
      <c r="P560" s="1" t="s">
        <v>31</v>
      </c>
      <c r="Q560" s="1" t="s">
        <v>32</v>
      </c>
      <c r="R560" s="1" t="s">
        <v>32</v>
      </c>
      <c r="S560" s="1" t="s">
        <v>33</v>
      </c>
      <c r="U560" s="1">
        <v>1.01215106E8</v>
      </c>
      <c r="X560" s="1" t="s">
        <v>239</v>
      </c>
      <c r="Y560" s="1" t="s">
        <v>1548</v>
      </c>
      <c r="Z560" s="1" t="s">
        <v>37</v>
      </c>
    </row>
    <row r="561" hidden="1">
      <c r="A561" s="1" t="s">
        <v>2267</v>
      </c>
      <c r="B561" s="1" t="s">
        <v>1275</v>
      </c>
      <c r="C561" s="1" t="s">
        <v>2268</v>
      </c>
      <c r="D561" s="1" t="s">
        <v>78</v>
      </c>
      <c r="E561" s="1" t="s">
        <v>28</v>
      </c>
      <c r="F561" s="2">
        <v>2000000.0</v>
      </c>
      <c r="G561" s="1" t="s">
        <v>93</v>
      </c>
      <c r="H561" s="4">
        <f>IFERROR(__xludf.DUMMYFUNCTION("DATE(INDEX(SPLIT(G561,""/""),,3),INDEX(SPLIT(G561,""/""),,2),INDEX(SPLIT(G561,""/""),,1))"),44671.0)</f>
        <v>44671</v>
      </c>
      <c r="I561" s="1" t="s">
        <v>109</v>
      </c>
      <c r="J561" s="4">
        <f>IFERROR(__xludf.DUMMYFUNCTION("DATE(INDEX(SPLIT(I561,""/""),,3),INDEX(SPLIT(I561,""/""),,2),INDEX(SPLIT(I561,""/""),,1))"),44834.0)</f>
        <v>44834</v>
      </c>
      <c r="L561" s="1">
        <v>0.0</v>
      </c>
      <c r="M561" s="1" t="s">
        <v>913</v>
      </c>
      <c r="N561" s="1"/>
      <c r="O561" s="1" t="s">
        <v>30</v>
      </c>
      <c r="P561" s="1" t="s">
        <v>31</v>
      </c>
      <c r="Q561" s="1" t="s">
        <v>71</v>
      </c>
      <c r="R561" s="1" t="s">
        <v>71</v>
      </c>
      <c r="S561" s="1" t="s">
        <v>72</v>
      </c>
      <c r="T561" s="1" t="s">
        <v>136</v>
      </c>
      <c r="U561" s="1">
        <v>1.0112897E8</v>
      </c>
      <c r="X561" s="1" t="s">
        <v>74</v>
      </c>
      <c r="Y561" s="1" t="s">
        <v>913</v>
      </c>
      <c r="Z561" s="1" t="s">
        <v>37</v>
      </c>
    </row>
    <row r="562" hidden="1">
      <c r="A562" s="1" t="s">
        <v>2269</v>
      </c>
      <c r="B562" s="1" t="s">
        <v>546</v>
      </c>
      <c r="C562" s="1" t="s">
        <v>2270</v>
      </c>
      <c r="D562" s="1" t="s">
        <v>27</v>
      </c>
      <c r="E562" s="1" t="s">
        <v>28</v>
      </c>
      <c r="F562" s="2">
        <v>2000000.0</v>
      </c>
      <c r="G562" s="4">
        <v>44381.0</v>
      </c>
      <c r="H562" s="4">
        <f>IFERROR(__xludf.DUMMYFUNCTION("DATE(INDEX(SPLIT(G562,""/""),,3),INDEX(SPLIT(G562,""/""),,2),INDEX(SPLIT(G562,""/""),,1))"),44293.0)</f>
        <v>44293</v>
      </c>
      <c r="I562" s="1" t="s">
        <v>109</v>
      </c>
      <c r="J562" s="4">
        <f>IFERROR(__xludf.DUMMYFUNCTION("DATE(INDEX(SPLIT(I562,""/""),,3),INDEX(SPLIT(I562,""/""),,2),INDEX(SPLIT(I562,""/""),,1))"),44834.0)</f>
        <v>44834</v>
      </c>
      <c r="L562" s="1">
        <v>0.0</v>
      </c>
      <c r="M562" s="1" t="s">
        <v>2107</v>
      </c>
      <c r="N562" s="1"/>
      <c r="O562" s="1" t="s">
        <v>30</v>
      </c>
      <c r="P562" s="1" t="s">
        <v>31</v>
      </c>
      <c r="Q562" s="1" t="s">
        <v>71</v>
      </c>
      <c r="R562" s="1" t="s">
        <v>71</v>
      </c>
      <c r="S562" s="1" t="s">
        <v>72</v>
      </c>
      <c r="T562" s="1" t="s">
        <v>73</v>
      </c>
      <c r="U562" s="1">
        <v>1.0061233E8</v>
      </c>
      <c r="X562" s="1" t="s">
        <v>74</v>
      </c>
      <c r="Y562" s="1" t="s">
        <v>2107</v>
      </c>
      <c r="Z562" s="1" t="s">
        <v>37</v>
      </c>
    </row>
    <row r="563" hidden="1">
      <c r="A563" s="1" t="s">
        <v>2271</v>
      </c>
      <c r="B563" s="1" t="s">
        <v>1429</v>
      </c>
      <c r="C563" s="1" t="s">
        <v>2272</v>
      </c>
      <c r="D563" s="1" t="s">
        <v>78</v>
      </c>
      <c r="E563" s="1" t="s">
        <v>28</v>
      </c>
      <c r="F563" s="2">
        <v>2000000.0</v>
      </c>
      <c r="G563" s="1" t="s">
        <v>446</v>
      </c>
      <c r="H563" s="4">
        <f>IFERROR(__xludf.DUMMYFUNCTION("DATE(INDEX(SPLIT(G563,""/""),,3),INDEX(SPLIT(G563,""/""),,2),INDEX(SPLIT(G563,""/""),,1))"),44210.0)</f>
        <v>44210</v>
      </c>
      <c r="I563" s="4">
        <v>44933.0</v>
      </c>
      <c r="J563" s="4">
        <f>IFERROR(__xludf.DUMMYFUNCTION("DATE(INDEX(SPLIT(I563,""/""),,3),INDEX(SPLIT(I563,""/""),,2),INDEX(SPLIT(I563,""/""),,1))"),45108.0)</f>
        <v>45108</v>
      </c>
      <c r="L563" s="1">
        <v>0.0</v>
      </c>
      <c r="M563" s="1" t="s">
        <v>1434</v>
      </c>
      <c r="N563" s="1"/>
      <c r="O563" s="1" t="s">
        <v>30</v>
      </c>
      <c r="P563" s="1" t="s">
        <v>31</v>
      </c>
      <c r="Q563" s="1" t="s">
        <v>95</v>
      </c>
      <c r="R563" s="1" t="s">
        <v>95</v>
      </c>
      <c r="S563" s="1" t="s">
        <v>96</v>
      </c>
      <c r="T563" s="1" t="s">
        <v>97</v>
      </c>
      <c r="U563" s="1">
        <v>1.00613841E8</v>
      </c>
      <c r="X563" s="1" t="s">
        <v>190</v>
      </c>
      <c r="Y563" s="1" t="s">
        <v>2273</v>
      </c>
      <c r="Z563" s="1" t="s">
        <v>37</v>
      </c>
    </row>
    <row r="564">
      <c r="A564" s="1" t="s">
        <v>2274</v>
      </c>
      <c r="B564" s="1" t="s">
        <v>2275</v>
      </c>
      <c r="C564" s="1" t="s">
        <v>2276</v>
      </c>
      <c r="D564" s="1" t="s">
        <v>27</v>
      </c>
      <c r="E564" s="1" t="s">
        <v>28</v>
      </c>
      <c r="F564" s="2">
        <v>2000000.0</v>
      </c>
      <c r="G564" s="4">
        <v>44626.0</v>
      </c>
      <c r="H564" s="4">
        <f>IFERROR(__xludf.DUMMYFUNCTION("DATE(INDEX(SPLIT(G564,""/""),,3),INDEX(SPLIT(G564,""/""),,2),INDEX(SPLIT(G564,""/""),,1))"),44715.0)</f>
        <v>44715</v>
      </c>
      <c r="I564" s="1" t="s">
        <v>1244</v>
      </c>
      <c r="J564" s="4">
        <f>IFERROR(__xludf.DUMMYFUNCTION("DATE(INDEX(SPLIT(I564,""/""),,3),INDEX(SPLIT(I564,""/""),,2),INDEX(SPLIT(I564,""/""),,1))"),44742.0)</f>
        <v>44742</v>
      </c>
      <c r="L564" s="1">
        <v>0.0</v>
      </c>
      <c r="M564" s="1" t="s">
        <v>2277</v>
      </c>
      <c r="N564" s="1"/>
      <c r="O564" s="1" t="s">
        <v>30</v>
      </c>
      <c r="P564" s="1" t="s">
        <v>31</v>
      </c>
      <c r="Q564" s="1" t="s">
        <v>71</v>
      </c>
      <c r="R564" s="1" t="s">
        <v>71</v>
      </c>
      <c r="S564" s="1" t="s">
        <v>72</v>
      </c>
      <c r="T564" s="1" t="s">
        <v>136</v>
      </c>
      <c r="U564" s="1">
        <v>1.00619607E8</v>
      </c>
      <c r="X564" s="1" t="s">
        <v>2028</v>
      </c>
      <c r="Y564" s="1" t="s">
        <v>2278</v>
      </c>
      <c r="Z564" s="1" t="s">
        <v>37</v>
      </c>
    </row>
    <row r="565">
      <c r="A565" s="1" t="s">
        <v>2279</v>
      </c>
      <c r="B565" s="1" t="s">
        <v>39</v>
      </c>
      <c r="C565" s="1" t="s">
        <v>2280</v>
      </c>
      <c r="D565" s="1" t="s">
        <v>122</v>
      </c>
      <c r="E565" s="1" t="s">
        <v>28</v>
      </c>
      <c r="F565" s="2">
        <v>2000000.0</v>
      </c>
      <c r="G565" s="1" t="s">
        <v>1767</v>
      </c>
      <c r="H565" s="4">
        <f>IFERROR(__xludf.DUMMYFUNCTION("DATE(INDEX(SPLIT(G565,""/""),,3),INDEX(SPLIT(G565,""/""),,2),INDEX(SPLIT(G565,""/""),,1))"),44698.0)</f>
        <v>44698</v>
      </c>
      <c r="I565" s="1" t="s">
        <v>226</v>
      </c>
      <c r="J565" s="4">
        <f>IFERROR(__xludf.DUMMYFUNCTION("DATE(INDEX(SPLIT(I565,""/""),,3),INDEX(SPLIT(I565,""/""),,2),INDEX(SPLIT(I565,""/""),,1))"),44771.0)</f>
        <v>44771</v>
      </c>
      <c r="L565" s="1">
        <v>0.0</v>
      </c>
      <c r="M565" s="1" t="s">
        <v>2281</v>
      </c>
      <c r="N565" s="1"/>
      <c r="O565" s="1" t="s">
        <v>30</v>
      </c>
      <c r="P565" s="1" t="s">
        <v>31</v>
      </c>
      <c r="Q565" s="1" t="s">
        <v>95</v>
      </c>
      <c r="R565" s="1" t="s">
        <v>95</v>
      </c>
      <c r="S565" s="1" t="s">
        <v>96</v>
      </c>
      <c r="T565" s="1" t="s">
        <v>311</v>
      </c>
      <c r="U565" s="1">
        <v>1.00646427E8</v>
      </c>
      <c r="V565" s="1" t="s">
        <v>1461</v>
      </c>
      <c r="W565" s="1" t="s">
        <v>45</v>
      </c>
      <c r="X565" s="1" t="s">
        <v>46</v>
      </c>
      <c r="Y565" s="1" t="s">
        <v>2281</v>
      </c>
      <c r="Z565" s="1" t="s">
        <v>37</v>
      </c>
    </row>
    <row r="566" hidden="1">
      <c r="A566" s="1" t="s">
        <v>2282</v>
      </c>
      <c r="B566" s="1" t="s">
        <v>2283</v>
      </c>
      <c r="C566" s="1" t="s">
        <v>2284</v>
      </c>
      <c r="D566" s="1" t="s">
        <v>122</v>
      </c>
      <c r="E566" s="1" t="s">
        <v>28</v>
      </c>
      <c r="F566" s="2">
        <v>2000000.0</v>
      </c>
      <c r="G566" s="4">
        <v>44745.0</v>
      </c>
      <c r="H566" s="4">
        <f>IFERROR(__xludf.DUMMYFUNCTION("DATE(INDEX(SPLIT(G566,""/""),,3),INDEX(SPLIT(G566,""/""),,2),INDEX(SPLIT(G566,""/""),,1))"),44627.0)</f>
        <v>44627</v>
      </c>
      <c r="I566" s="1" t="s">
        <v>1678</v>
      </c>
      <c r="J566" s="4">
        <f>IFERROR(__xludf.DUMMYFUNCTION("DATE(INDEX(SPLIT(I566,""/""),,3),INDEX(SPLIT(I566,""/""),,2),INDEX(SPLIT(I566,""/""),,1))"),44819.0)</f>
        <v>44819</v>
      </c>
      <c r="L566" s="1">
        <v>0.0</v>
      </c>
      <c r="M566" s="1" t="s">
        <v>823</v>
      </c>
      <c r="N566" s="1"/>
      <c r="O566" s="1" t="s">
        <v>30</v>
      </c>
      <c r="P566" s="1" t="s">
        <v>31</v>
      </c>
      <c r="Q566" s="1" t="s">
        <v>95</v>
      </c>
      <c r="R566" s="1" t="s">
        <v>95</v>
      </c>
      <c r="S566" s="1" t="s">
        <v>96</v>
      </c>
      <c r="T566" s="1" t="s">
        <v>489</v>
      </c>
      <c r="U566" s="1">
        <v>1.00629729E8</v>
      </c>
      <c r="X566" s="1" t="s">
        <v>490</v>
      </c>
      <c r="Y566" s="1" t="s">
        <v>2285</v>
      </c>
      <c r="Z566" s="1" t="s">
        <v>37</v>
      </c>
    </row>
    <row r="567" hidden="1">
      <c r="A567" s="1" t="s">
        <v>2286</v>
      </c>
      <c r="B567" s="1" t="s">
        <v>700</v>
      </c>
      <c r="C567" s="1" t="s">
        <v>2287</v>
      </c>
      <c r="D567" s="1" t="s">
        <v>27</v>
      </c>
      <c r="E567" s="1" t="s">
        <v>28</v>
      </c>
      <c r="F567" s="2">
        <v>2000000.0</v>
      </c>
      <c r="G567" s="4">
        <v>44809.0</v>
      </c>
      <c r="H567" s="4">
        <f>IFERROR(__xludf.DUMMYFUNCTION("DATE(INDEX(SPLIT(G567,""/""),,3),INDEX(SPLIT(G567,""/""),,2),INDEX(SPLIT(G567,""/""),,1))"),44690.0)</f>
        <v>44690</v>
      </c>
      <c r="I567" s="1" t="s">
        <v>668</v>
      </c>
      <c r="J567" s="4">
        <f>IFERROR(__xludf.DUMMYFUNCTION("DATE(INDEX(SPLIT(I567,""/""),,3),INDEX(SPLIT(I567,""/""),,2),INDEX(SPLIT(I567,""/""),,1))"),45199.0)</f>
        <v>45199</v>
      </c>
      <c r="L567" s="1">
        <v>0.0</v>
      </c>
      <c r="M567" s="1" t="s">
        <v>702</v>
      </c>
      <c r="N567" s="1"/>
      <c r="O567" s="1" t="s">
        <v>30</v>
      </c>
      <c r="P567" s="1" t="s">
        <v>31</v>
      </c>
      <c r="Q567" s="1" t="s">
        <v>95</v>
      </c>
      <c r="R567" s="1" t="s">
        <v>95</v>
      </c>
      <c r="S567" s="1" t="s">
        <v>96</v>
      </c>
      <c r="T567" s="1" t="s">
        <v>311</v>
      </c>
      <c r="U567" s="1">
        <v>1.00616804E8</v>
      </c>
      <c r="X567" s="1" t="s">
        <v>98</v>
      </c>
      <c r="Y567" s="1" t="s">
        <v>702</v>
      </c>
      <c r="Z567" s="1" t="s">
        <v>37</v>
      </c>
    </row>
    <row r="568" hidden="1">
      <c r="A568" s="1" t="s">
        <v>2288</v>
      </c>
      <c r="B568" s="1" t="s">
        <v>700</v>
      </c>
      <c r="C568" s="1" t="s">
        <v>2289</v>
      </c>
      <c r="D568" s="1" t="s">
        <v>27</v>
      </c>
      <c r="E568" s="1" t="s">
        <v>28</v>
      </c>
      <c r="F568" s="2">
        <v>2000000.0</v>
      </c>
      <c r="G568" s="4">
        <v>44809.0</v>
      </c>
      <c r="H568" s="4">
        <f>IFERROR(__xludf.DUMMYFUNCTION("DATE(INDEX(SPLIT(G568,""/""),,3),INDEX(SPLIT(G568,""/""),,2),INDEX(SPLIT(G568,""/""),,1))"),44690.0)</f>
        <v>44690</v>
      </c>
      <c r="I568" s="1" t="s">
        <v>668</v>
      </c>
      <c r="J568" s="4">
        <f>IFERROR(__xludf.DUMMYFUNCTION("DATE(INDEX(SPLIT(I568,""/""),,3),INDEX(SPLIT(I568,""/""),,2),INDEX(SPLIT(I568,""/""),,1))"),45199.0)</f>
        <v>45199</v>
      </c>
      <c r="L568" s="1">
        <v>0.0</v>
      </c>
      <c r="M568" s="1" t="s">
        <v>702</v>
      </c>
      <c r="N568" s="1"/>
      <c r="O568" s="1" t="s">
        <v>30</v>
      </c>
      <c r="P568" s="1" t="s">
        <v>31</v>
      </c>
      <c r="Q568" s="1" t="s">
        <v>95</v>
      </c>
      <c r="R568" s="1" t="s">
        <v>95</v>
      </c>
      <c r="S568" s="1" t="s">
        <v>96</v>
      </c>
      <c r="T568" s="1" t="s">
        <v>311</v>
      </c>
      <c r="U568" s="1">
        <v>1.00616804E8</v>
      </c>
      <c r="X568" s="1" t="s">
        <v>98</v>
      </c>
      <c r="Y568" s="1" t="s">
        <v>702</v>
      </c>
      <c r="Z568" s="1" t="s">
        <v>37</v>
      </c>
    </row>
    <row r="569" hidden="1">
      <c r="A569" s="1" t="s">
        <v>2290</v>
      </c>
      <c r="B569" s="1" t="s">
        <v>241</v>
      </c>
      <c r="C569" s="1" t="s">
        <v>2291</v>
      </c>
      <c r="D569" s="1" t="s">
        <v>78</v>
      </c>
      <c r="E569" s="1" t="s">
        <v>28</v>
      </c>
      <c r="F569" s="2">
        <v>2000000.0</v>
      </c>
      <c r="G569" s="1" t="s">
        <v>93</v>
      </c>
      <c r="H569" s="4">
        <f>IFERROR(__xludf.DUMMYFUNCTION("DATE(INDEX(SPLIT(G569,""/""),,3),INDEX(SPLIT(G569,""/""),,2),INDEX(SPLIT(G569,""/""),,1))"),44671.0)</f>
        <v>44671</v>
      </c>
      <c r="I569" s="1" t="s">
        <v>109</v>
      </c>
      <c r="J569" s="4">
        <f>IFERROR(__xludf.DUMMYFUNCTION("DATE(INDEX(SPLIT(I569,""/""),,3),INDEX(SPLIT(I569,""/""),,2),INDEX(SPLIT(I569,""/""),,1))"),44834.0)</f>
        <v>44834</v>
      </c>
      <c r="L569" s="1">
        <v>0.0</v>
      </c>
      <c r="M569" s="1" t="s">
        <v>1439</v>
      </c>
      <c r="N569" s="1"/>
      <c r="O569" s="1" t="s">
        <v>30</v>
      </c>
      <c r="P569" s="1" t="s">
        <v>31</v>
      </c>
      <c r="Q569" s="1" t="s">
        <v>32</v>
      </c>
      <c r="R569" s="1" t="s">
        <v>32</v>
      </c>
      <c r="S569" s="1" t="s">
        <v>33</v>
      </c>
      <c r="U569" s="1">
        <v>1.00585872E8</v>
      </c>
      <c r="X569" s="1" t="s">
        <v>35</v>
      </c>
      <c r="Y569" s="1" t="s">
        <v>1439</v>
      </c>
      <c r="Z569" s="1" t="s">
        <v>37</v>
      </c>
    </row>
    <row r="570" hidden="1">
      <c r="A570" s="1" t="s">
        <v>2292</v>
      </c>
      <c r="B570" s="1" t="s">
        <v>25</v>
      </c>
      <c r="C570" s="1" t="s">
        <v>2293</v>
      </c>
      <c r="D570" s="1" t="s">
        <v>27</v>
      </c>
      <c r="E570" s="1" t="s">
        <v>28</v>
      </c>
      <c r="F570" s="2">
        <v>2000000.0</v>
      </c>
      <c r="G570" s="1" t="s">
        <v>286</v>
      </c>
      <c r="H570" s="4">
        <f>IFERROR(__xludf.DUMMYFUNCTION("DATE(INDEX(SPLIT(G570,""/""),,3),INDEX(SPLIT(G570,""/""),,2),INDEX(SPLIT(G570,""/""),,1))"),44609.0)</f>
        <v>44609</v>
      </c>
      <c r="I570" s="4">
        <v>44570.0</v>
      </c>
      <c r="J570" s="4">
        <f>IFERROR(__xludf.DUMMYFUNCTION("DATE(INDEX(SPLIT(I570,""/""),,3),INDEX(SPLIT(I570,""/""),,2),INDEX(SPLIT(I570,""/""),,1))"),44805.0)</f>
        <v>44805</v>
      </c>
      <c r="L570" s="1">
        <v>0.0</v>
      </c>
      <c r="M570" s="1" t="s">
        <v>706</v>
      </c>
      <c r="N570" s="1"/>
      <c r="O570" s="1" t="s">
        <v>30</v>
      </c>
      <c r="P570" s="1" t="s">
        <v>31</v>
      </c>
      <c r="Q570" s="1" t="s">
        <v>53</v>
      </c>
      <c r="R570" s="1" t="s">
        <v>53</v>
      </c>
      <c r="S570" s="1" t="s">
        <v>54</v>
      </c>
      <c r="T570" s="1" t="s">
        <v>34</v>
      </c>
      <c r="U570" s="1">
        <v>1.00651901E8</v>
      </c>
      <c r="X570" s="1" t="s">
        <v>35</v>
      </c>
      <c r="Y570" s="1" t="s">
        <v>36</v>
      </c>
      <c r="Z570" s="1" t="s">
        <v>37</v>
      </c>
    </row>
    <row r="571" hidden="1">
      <c r="A571" s="1" t="s">
        <v>2294</v>
      </c>
      <c r="B571" s="1" t="s">
        <v>2295</v>
      </c>
      <c r="C571" s="1" t="s">
        <v>2296</v>
      </c>
      <c r="D571" s="1" t="s">
        <v>27</v>
      </c>
      <c r="E571" s="1" t="s">
        <v>28</v>
      </c>
      <c r="F571" s="2">
        <v>2000000.0</v>
      </c>
      <c r="G571" s="1" t="s">
        <v>2297</v>
      </c>
      <c r="H571" s="4">
        <f>IFERROR(__xludf.DUMMYFUNCTION("DATE(INDEX(SPLIT(G571,""/""),,3),INDEX(SPLIT(G571,""/""),,2),INDEX(SPLIT(G571,""/""),,1))"),44730.0)</f>
        <v>44730</v>
      </c>
      <c r="I571" s="1" t="s">
        <v>179</v>
      </c>
      <c r="J571" s="4">
        <f>IFERROR(__xludf.DUMMYFUNCTION("DATE(INDEX(SPLIT(I571,""/""),,3),INDEX(SPLIT(I571,""/""),,2),INDEX(SPLIT(I571,""/""),,1))"),44890.0)</f>
        <v>44890</v>
      </c>
      <c r="L571" s="1">
        <v>0.0</v>
      </c>
      <c r="M571" s="1" t="s">
        <v>936</v>
      </c>
      <c r="N571" s="1"/>
      <c r="O571" s="1" t="s">
        <v>30</v>
      </c>
      <c r="P571" s="1" t="s">
        <v>31</v>
      </c>
      <c r="Q571" s="1" t="s">
        <v>71</v>
      </c>
      <c r="R571" s="1" t="s">
        <v>71</v>
      </c>
      <c r="S571" s="1" t="s">
        <v>72</v>
      </c>
      <c r="T571" s="1" t="s">
        <v>73</v>
      </c>
      <c r="U571" s="1">
        <v>1.00941744E8</v>
      </c>
      <c r="X571" s="1" t="s">
        <v>74</v>
      </c>
      <c r="Y571" s="1" t="s">
        <v>936</v>
      </c>
      <c r="Z571" s="1" t="s">
        <v>37</v>
      </c>
    </row>
    <row r="572">
      <c r="A572" s="1" t="s">
        <v>2298</v>
      </c>
      <c r="B572" s="1" t="s">
        <v>1158</v>
      </c>
      <c r="C572" s="1" t="s">
        <v>2299</v>
      </c>
      <c r="D572" s="1" t="s">
        <v>27</v>
      </c>
      <c r="E572" s="1" t="s">
        <v>28</v>
      </c>
      <c r="F572" s="2">
        <v>2000000.0</v>
      </c>
      <c r="G572" s="4">
        <v>44897.0</v>
      </c>
      <c r="H572" s="4">
        <f>IFERROR(__xludf.DUMMYFUNCTION("DATE(INDEX(SPLIT(G572,""/""),,3),INDEX(SPLIT(G572,""/""),,2),INDEX(SPLIT(G572,""/""),,1))"),44604.0)</f>
        <v>44604</v>
      </c>
      <c r="I572" s="1" t="s">
        <v>2300</v>
      </c>
      <c r="J572" s="4">
        <f>IFERROR(__xludf.DUMMYFUNCTION("DATE(INDEX(SPLIT(I572,""/""),,3),INDEX(SPLIT(I572,""/""),,2),INDEX(SPLIT(I572,""/""),,1))"),44712.0)</f>
        <v>44712</v>
      </c>
      <c r="L572" s="1">
        <v>0.0</v>
      </c>
      <c r="M572" s="1" t="s">
        <v>2301</v>
      </c>
      <c r="N572" s="1"/>
      <c r="O572" s="1" t="s">
        <v>30</v>
      </c>
      <c r="P572" s="1" t="s">
        <v>31</v>
      </c>
      <c r="Q572" s="1" t="s">
        <v>188</v>
      </c>
      <c r="R572" s="1" t="s">
        <v>188</v>
      </c>
      <c r="S572" s="1" t="s">
        <v>189</v>
      </c>
      <c r="U572" s="1">
        <v>1.00645538E8</v>
      </c>
      <c r="X572" s="1" t="s">
        <v>88</v>
      </c>
      <c r="Y572" s="1" t="s">
        <v>1161</v>
      </c>
      <c r="Z572" s="1" t="s">
        <v>37</v>
      </c>
    </row>
    <row r="573">
      <c r="A573" s="1" t="s">
        <v>2302</v>
      </c>
      <c r="B573" s="1" t="s">
        <v>2303</v>
      </c>
      <c r="C573" s="1" t="s">
        <v>2304</v>
      </c>
      <c r="D573" s="1" t="s">
        <v>122</v>
      </c>
      <c r="E573" s="1" t="s">
        <v>28</v>
      </c>
      <c r="F573" s="2">
        <v>2000000.0</v>
      </c>
      <c r="G573" s="4">
        <v>44685.0</v>
      </c>
      <c r="H573" s="4">
        <f>IFERROR(__xludf.DUMMYFUNCTION("DATE(INDEX(SPLIT(G573,""/""),,3),INDEX(SPLIT(G573,""/""),,2),INDEX(SPLIT(G573,""/""),,1))"),44656.0)</f>
        <v>44656</v>
      </c>
      <c r="I573" s="1" t="s">
        <v>518</v>
      </c>
      <c r="J573" s="4">
        <f>IFERROR(__xludf.DUMMYFUNCTION("DATE(INDEX(SPLIT(I573,""/""),,3),INDEX(SPLIT(I573,""/""),,2),INDEX(SPLIT(I573,""/""),,1))"),44757.0)</f>
        <v>44757</v>
      </c>
      <c r="L573" s="1">
        <v>0.0</v>
      </c>
      <c r="M573" s="1" t="s">
        <v>558</v>
      </c>
      <c r="N573" s="1"/>
      <c r="O573" s="1" t="s">
        <v>30</v>
      </c>
      <c r="P573" s="1" t="s">
        <v>31</v>
      </c>
      <c r="Q573" s="1" t="s">
        <v>53</v>
      </c>
      <c r="R573" s="1" t="s">
        <v>53</v>
      </c>
      <c r="S573" s="1" t="s">
        <v>54</v>
      </c>
      <c r="T573" s="1" t="s">
        <v>87</v>
      </c>
      <c r="U573" s="1">
        <v>1.00653597E8</v>
      </c>
      <c r="X573" s="1" t="s">
        <v>375</v>
      </c>
      <c r="Y573" s="1" t="s">
        <v>558</v>
      </c>
      <c r="Z573" s="1" t="s">
        <v>37</v>
      </c>
    </row>
    <row r="574" hidden="1">
      <c r="A574" s="1" t="s">
        <v>2305</v>
      </c>
      <c r="B574" s="1" t="s">
        <v>1826</v>
      </c>
      <c r="C574" s="1" t="s">
        <v>2306</v>
      </c>
      <c r="D574" s="1" t="s">
        <v>78</v>
      </c>
      <c r="E574" s="1" t="s">
        <v>28</v>
      </c>
      <c r="F574" s="2">
        <v>2000000.0</v>
      </c>
      <c r="G574" s="1" t="s">
        <v>275</v>
      </c>
      <c r="H574" s="4">
        <f>IFERROR(__xludf.DUMMYFUNCTION("DATE(INDEX(SPLIT(G574,""/""),,3),INDEX(SPLIT(G574,""/""),,2),INDEX(SPLIT(G574,""/""),,1))"),44462.0)</f>
        <v>44462</v>
      </c>
      <c r="I574" s="1" t="s">
        <v>1799</v>
      </c>
      <c r="J574" s="4">
        <f>IFERROR(__xludf.DUMMYFUNCTION("DATE(INDEX(SPLIT(I574,""/""),,3),INDEX(SPLIT(I574,""/""),,2),INDEX(SPLIT(I574,""/""),,1))"),44788.0)</f>
        <v>44788</v>
      </c>
      <c r="L574" s="1">
        <v>0.0</v>
      </c>
      <c r="M574" s="1" t="s">
        <v>1828</v>
      </c>
      <c r="N574" s="1"/>
      <c r="O574" s="1" t="s">
        <v>30</v>
      </c>
      <c r="P574" s="1" t="s">
        <v>31</v>
      </c>
      <c r="Q574" s="1" t="s">
        <v>235</v>
      </c>
      <c r="R574" s="1" t="s">
        <v>235</v>
      </c>
      <c r="S574" s="1" t="s">
        <v>236</v>
      </c>
      <c r="T574" s="1" t="s">
        <v>1349</v>
      </c>
      <c r="U574" s="1">
        <v>1.00593918E8</v>
      </c>
      <c r="X574" s="1" t="s">
        <v>375</v>
      </c>
      <c r="Y574" s="1" t="s">
        <v>1829</v>
      </c>
      <c r="Z574" s="1" t="s">
        <v>37</v>
      </c>
    </row>
    <row r="575" hidden="1">
      <c r="A575" s="1" t="s">
        <v>2307</v>
      </c>
      <c r="B575" s="1" t="s">
        <v>1257</v>
      </c>
      <c r="C575" s="1" t="s">
        <v>2308</v>
      </c>
      <c r="D575" s="1" t="s">
        <v>27</v>
      </c>
      <c r="E575" s="1" t="s">
        <v>28</v>
      </c>
      <c r="F575" s="2">
        <v>2000000.0</v>
      </c>
      <c r="G575" s="1" t="s">
        <v>2309</v>
      </c>
      <c r="H575" s="4">
        <f>IFERROR(__xludf.DUMMYFUNCTION("DATE(INDEX(SPLIT(G575,""/""),,3),INDEX(SPLIT(G575,""/""),,2),INDEX(SPLIT(G575,""/""),,1))"),44672.0)</f>
        <v>44672</v>
      </c>
      <c r="I575" s="1" t="s">
        <v>109</v>
      </c>
      <c r="J575" s="4">
        <f>IFERROR(__xludf.DUMMYFUNCTION("DATE(INDEX(SPLIT(I575,""/""),,3),INDEX(SPLIT(I575,""/""),,2),INDEX(SPLIT(I575,""/""),,1))"),44834.0)</f>
        <v>44834</v>
      </c>
      <c r="L575" s="1">
        <v>0.0</v>
      </c>
      <c r="M575" s="1" t="s">
        <v>467</v>
      </c>
      <c r="N575" s="1"/>
      <c r="O575" s="1" t="s">
        <v>30</v>
      </c>
      <c r="P575" s="1" t="s">
        <v>31</v>
      </c>
      <c r="Q575" s="1" t="s">
        <v>32</v>
      </c>
      <c r="R575" s="1" t="s">
        <v>32</v>
      </c>
      <c r="S575" s="1" t="s">
        <v>33</v>
      </c>
      <c r="U575" s="1">
        <v>1.00619817E8</v>
      </c>
      <c r="X575" s="1" t="s">
        <v>81</v>
      </c>
      <c r="Y575" s="1" t="s">
        <v>467</v>
      </c>
      <c r="Z575" s="1" t="s">
        <v>37</v>
      </c>
    </row>
    <row r="576" hidden="1">
      <c r="A576" s="1" t="s">
        <v>2310</v>
      </c>
      <c r="B576" s="1" t="s">
        <v>1095</v>
      </c>
      <c r="C576" s="1" t="s">
        <v>2311</v>
      </c>
      <c r="D576" s="1" t="s">
        <v>27</v>
      </c>
      <c r="E576" s="1" t="s">
        <v>28</v>
      </c>
      <c r="F576" s="2">
        <v>2000000.0</v>
      </c>
      <c r="G576" s="1" t="s">
        <v>600</v>
      </c>
      <c r="H576" s="4">
        <f>IFERROR(__xludf.DUMMYFUNCTION("DATE(INDEX(SPLIT(G576,""/""),,3),INDEX(SPLIT(G576,""/""),,2),INDEX(SPLIT(G576,""/""),,1))"),44665.0)</f>
        <v>44665</v>
      </c>
      <c r="I576" s="1" t="s">
        <v>203</v>
      </c>
      <c r="J576" s="4">
        <f>IFERROR(__xludf.DUMMYFUNCTION("DATE(INDEX(SPLIT(I576,""/""),,3),INDEX(SPLIT(I576,""/""),,2),INDEX(SPLIT(I576,""/""),,1))"),44925.0)</f>
        <v>44925</v>
      </c>
      <c r="L576" s="1">
        <v>0.0</v>
      </c>
      <c r="M576" s="1" t="s">
        <v>2312</v>
      </c>
      <c r="N576" s="1"/>
      <c r="O576" s="1" t="s">
        <v>30</v>
      </c>
      <c r="P576" s="1" t="s">
        <v>31</v>
      </c>
      <c r="Q576" s="1" t="s">
        <v>32</v>
      </c>
      <c r="R576" s="1" t="s">
        <v>32</v>
      </c>
      <c r="S576" s="1" t="s">
        <v>33</v>
      </c>
      <c r="T576" s="1" t="s">
        <v>103</v>
      </c>
      <c r="U576" s="1">
        <v>1.00610903E8</v>
      </c>
      <c r="V576" s="1" t="s">
        <v>2313</v>
      </c>
      <c r="W576" s="1" t="s">
        <v>199</v>
      </c>
      <c r="X576" s="1" t="s">
        <v>312</v>
      </c>
      <c r="Y576" s="1" t="s">
        <v>2312</v>
      </c>
      <c r="Z576" s="1" t="s">
        <v>37</v>
      </c>
    </row>
    <row r="577" hidden="1">
      <c r="A577" s="1" t="s">
        <v>2314</v>
      </c>
      <c r="B577" s="1" t="s">
        <v>532</v>
      </c>
      <c r="C577" s="1" t="s">
        <v>2315</v>
      </c>
      <c r="D577" s="1" t="s">
        <v>27</v>
      </c>
      <c r="E577" s="1" t="s">
        <v>28</v>
      </c>
      <c r="F577" s="2">
        <v>2000000.0</v>
      </c>
      <c r="G577" s="1" t="s">
        <v>518</v>
      </c>
      <c r="H577" s="4">
        <f>IFERROR(__xludf.DUMMYFUNCTION("DATE(INDEX(SPLIT(G577,""/""),,3),INDEX(SPLIT(G577,""/""),,2),INDEX(SPLIT(G577,""/""),,1))"),44757.0)</f>
        <v>44757</v>
      </c>
      <c r="I577" s="1" t="s">
        <v>130</v>
      </c>
      <c r="J577" s="4">
        <f>IFERROR(__xludf.DUMMYFUNCTION("DATE(INDEX(SPLIT(I577,""/""),,3),INDEX(SPLIT(I577,""/""),,2),INDEX(SPLIT(I577,""/""),,1))"),44804.0)</f>
        <v>44804</v>
      </c>
      <c r="L577" s="1">
        <v>0.0</v>
      </c>
      <c r="M577" s="1" t="s">
        <v>1376</v>
      </c>
      <c r="N577" s="1"/>
      <c r="O577" s="1" t="s">
        <v>30</v>
      </c>
      <c r="P577" s="1" t="s">
        <v>31</v>
      </c>
      <c r="Q577" s="1" t="s">
        <v>32</v>
      </c>
      <c r="R577" s="1" t="s">
        <v>32</v>
      </c>
      <c r="S577" s="1" t="s">
        <v>33</v>
      </c>
      <c r="T577" s="1" t="s">
        <v>1195</v>
      </c>
      <c r="U577" s="1">
        <v>1.006096E8</v>
      </c>
      <c r="X577" s="1" t="s">
        <v>490</v>
      </c>
      <c r="Y577" s="1" t="s">
        <v>2316</v>
      </c>
      <c r="Z577" s="1" t="s">
        <v>37</v>
      </c>
    </row>
    <row r="578">
      <c r="A578" s="1" t="s">
        <v>2317</v>
      </c>
      <c r="B578" s="1" t="s">
        <v>1152</v>
      </c>
      <c r="C578" s="1" t="s">
        <v>2318</v>
      </c>
      <c r="D578" s="1" t="s">
        <v>78</v>
      </c>
      <c r="E578" s="1" t="s">
        <v>28</v>
      </c>
      <c r="F578" s="2">
        <v>2000000.0</v>
      </c>
      <c r="G578" s="4">
        <v>44538.0</v>
      </c>
      <c r="H578" s="4">
        <f>IFERROR(__xludf.DUMMYFUNCTION("DATE(INDEX(SPLIT(G578,""/""),,3),INDEX(SPLIT(G578,""/""),,2),INDEX(SPLIT(G578,""/""),,1))"),44420.0)</f>
        <v>44420</v>
      </c>
      <c r="I578" s="1" t="s">
        <v>69</v>
      </c>
      <c r="J578" s="4">
        <f>IFERROR(__xludf.DUMMYFUNCTION("DATE(INDEX(SPLIT(I578,""/""),,3),INDEX(SPLIT(I578,""/""),,2),INDEX(SPLIT(I578,""/""),,1))"),44773.0)</f>
        <v>44773</v>
      </c>
      <c r="L578" s="1">
        <v>0.0</v>
      </c>
      <c r="M578" s="1" t="s">
        <v>1284</v>
      </c>
      <c r="N578" s="1"/>
      <c r="O578" s="1" t="s">
        <v>30</v>
      </c>
      <c r="P578" s="1" t="s">
        <v>31</v>
      </c>
      <c r="Q578" s="1" t="s">
        <v>32</v>
      </c>
      <c r="R578" s="1" t="s">
        <v>32</v>
      </c>
      <c r="S578" s="1" t="s">
        <v>33</v>
      </c>
      <c r="T578" s="1" t="s">
        <v>402</v>
      </c>
      <c r="U578" s="1">
        <v>1.00626898E8</v>
      </c>
      <c r="X578" s="1" t="s">
        <v>125</v>
      </c>
      <c r="Y578" s="1" t="s">
        <v>1284</v>
      </c>
      <c r="Z578" s="1" t="s">
        <v>37</v>
      </c>
    </row>
    <row r="579" hidden="1">
      <c r="A579" s="1" t="s">
        <v>2319</v>
      </c>
      <c r="B579" s="1" t="s">
        <v>2099</v>
      </c>
      <c r="C579" s="1" t="s">
        <v>2320</v>
      </c>
      <c r="D579" s="1" t="s">
        <v>27</v>
      </c>
      <c r="E579" s="1" t="s">
        <v>28</v>
      </c>
      <c r="F579" s="2">
        <v>2000000.0</v>
      </c>
      <c r="G579" s="4">
        <v>44568.0</v>
      </c>
      <c r="H579" s="4">
        <f>IFERROR(__xludf.DUMMYFUNCTION("DATE(INDEX(SPLIT(G579,""/""),,3),INDEX(SPLIT(G579,""/""),,2),INDEX(SPLIT(G579,""/""),,1))"),44743.0)</f>
        <v>44743</v>
      </c>
      <c r="I579" s="1" t="s">
        <v>569</v>
      </c>
      <c r="J579" s="4">
        <f>IFERROR(__xludf.DUMMYFUNCTION("DATE(INDEX(SPLIT(I579,""/""),,3),INDEX(SPLIT(I579,""/""),,2),INDEX(SPLIT(I579,""/""),,1))"),45016.0)</f>
        <v>45016</v>
      </c>
      <c r="L579" s="1">
        <v>0.0</v>
      </c>
      <c r="M579" s="1" t="s">
        <v>2321</v>
      </c>
      <c r="N579" s="1"/>
      <c r="O579" s="1" t="s">
        <v>30</v>
      </c>
      <c r="P579" s="1" t="s">
        <v>31</v>
      </c>
      <c r="Q579" s="1" t="s">
        <v>32</v>
      </c>
      <c r="R579" s="1" t="s">
        <v>32</v>
      </c>
      <c r="S579" s="1" t="s">
        <v>33</v>
      </c>
      <c r="T579" s="1" t="s">
        <v>1195</v>
      </c>
      <c r="U579" s="1">
        <v>1.00589993E8</v>
      </c>
      <c r="X579" s="1" t="s">
        <v>125</v>
      </c>
      <c r="Y579" s="1" t="s">
        <v>1196</v>
      </c>
      <c r="Z579" s="1" t="s">
        <v>37</v>
      </c>
    </row>
    <row r="580" hidden="1">
      <c r="A580" s="1" t="s">
        <v>2322</v>
      </c>
      <c r="B580" s="1" t="s">
        <v>2265</v>
      </c>
      <c r="C580" s="1" t="s">
        <v>2323</v>
      </c>
      <c r="D580" s="1" t="s">
        <v>78</v>
      </c>
      <c r="E580" s="1" t="s">
        <v>28</v>
      </c>
      <c r="F580" s="2">
        <v>2000000.0</v>
      </c>
      <c r="G580" s="1" t="s">
        <v>2324</v>
      </c>
      <c r="H580" s="4">
        <f>IFERROR(__xludf.DUMMYFUNCTION("DATE(INDEX(SPLIT(G580,""/""),,3),INDEX(SPLIT(G580,""/""),,2),INDEX(SPLIT(G580,""/""),,1))"),44705.0)</f>
        <v>44705</v>
      </c>
      <c r="I580" s="1" t="s">
        <v>130</v>
      </c>
      <c r="J580" s="4">
        <f>IFERROR(__xludf.DUMMYFUNCTION("DATE(INDEX(SPLIT(I580,""/""),,3),INDEX(SPLIT(I580,""/""),,2),INDEX(SPLIT(I580,""/""),,1))"),44804.0)</f>
        <v>44804</v>
      </c>
      <c r="L580" s="1">
        <v>0.0</v>
      </c>
      <c r="M580" s="1" t="s">
        <v>2325</v>
      </c>
      <c r="N580" s="1"/>
      <c r="O580" s="1" t="s">
        <v>30</v>
      </c>
      <c r="P580" s="1" t="s">
        <v>31</v>
      </c>
      <c r="Q580" s="1" t="s">
        <v>235</v>
      </c>
      <c r="R580" s="1" t="s">
        <v>235</v>
      </c>
      <c r="S580" s="1" t="s">
        <v>236</v>
      </c>
      <c r="U580" s="1">
        <v>1.00649726E8</v>
      </c>
      <c r="X580" s="1" t="s">
        <v>239</v>
      </c>
      <c r="Y580" s="1" t="s">
        <v>2326</v>
      </c>
      <c r="Z580" s="1" t="s">
        <v>37</v>
      </c>
    </row>
    <row r="581" hidden="1">
      <c r="A581" s="1" t="s">
        <v>2327</v>
      </c>
      <c r="B581" s="1" t="s">
        <v>315</v>
      </c>
      <c r="C581" s="1" t="s">
        <v>2328</v>
      </c>
      <c r="D581" s="1" t="s">
        <v>27</v>
      </c>
      <c r="E581" s="1" t="s">
        <v>28</v>
      </c>
      <c r="F581" s="2">
        <v>2000000.0</v>
      </c>
      <c r="G581" s="1" t="s">
        <v>2329</v>
      </c>
      <c r="H581" s="4">
        <f>IFERROR(__xludf.DUMMYFUNCTION("DATE(INDEX(SPLIT(G581,""/""),,3),INDEX(SPLIT(G581,""/""),,2),INDEX(SPLIT(G581,""/""),,1))"),44732.0)</f>
        <v>44732</v>
      </c>
      <c r="I581" s="4">
        <v>44570.0</v>
      </c>
      <c r="J581" s="4">
        <f>IFERROR(__xludf.DUMMYFUNCTION("DATE(INDEX(SPLIT(I581,""/""),,3),INDEX(SPLIT(I581,""/""),,2),INDEX(SPLIT(I581,""/""),,1))"),44805.0)</f>
        <v>44805</v>
      </c>
      <c r="L581" s="1">
        <v>0.0</v>
      </c>
      <c r="M581" s="1" t="s">
        <v>2032</v>
      </c>
      <c r="N581" s="1"/>
      <c r="O581" s="1" t="s">
        <v>30</v>
      </c>
      <c r="P581" s="1" t="s">
        <v>31</v>
      </c>
      <c r="Q581" s="1" t="s">
        <v>71</v>
      </c>
      <c r="R581" s="1" t="s">
        <v>71</v>
      </c>
      <c r="S581" s="1" t="s">
        <v>72</v>
      </c>
      <c r="T581" s="1" t="s">
        <v>73</v>
      </c>
      <c r="U581" s="1">
        <v>1.00929557E8</v>
      </c>
      <c r="X581" s="1" t="s">
        <v>74</v>
      </c>
      <c r="Y581" s="1" t="s">
        <v>2330</v>
      </c>
      <c r="Z581" s="1" t="s">
        <v>206</v>
      </c>
    </row>
    <row r="582" hidden="1">
      <c r="A582" s="1" t="s">
        <v>2331</v>
      </c>
      <c r="B582" s="1" t="s">
        <v>981</v>
      </c>
      <c r="C582" s="1" t="s">
        <v>2332</v>
      </c>
      <c r="D582" s="1" t="s">
        <v>27</v>
      </c>
      <c r="E582" s="1" t="s">
        <v>28</v>
      </c>
      <c r="F582" s="2">
        <v>2000000.0</v>
      </c>
      <c r="G582" s="4">
        <v>44717.0</v>
      </c>
      <c r="H582" s="4">
        <f>IFERROR(__xludf.DUMMYFUNCTION("DATE(INDEX(SPLIT(G582,""/""),,3),INDEX(SPLIT(G582,""/""),,2),INDEX(SPLIT(G582,""/""),,1))"),44687.0)</f>
        <v>44687</v>
      </c>
      <c r="I582" s="1" t="s">
        <v>2333</v>
      </c>
      <c r="J582" s="4">
        <f>IFERROR(__xludf.DUMMYFUNCTION("DATE(INDEX(SPLIT(I582,""/""),,3),INDEX(SPLIT(I582,""/""),,2),INDEX(SPLIT(I582,""/""),,1))"),45443.0)</f>
        <v>45443</v>
      </c>
      <c r="L582" s="1">
        <v>0.0</v>
      </c>
      <c r="M582" s="1" t="s">
        <v>1527</v>
      </c>
      <c r="N582" s="1"/>
      <c r="O582" s="1" t="s">
        <v>30</v>
      </c>
      <c r="P582" s="1" t="s">
        <v>31</v>
      </c>
      <c r="Q582" s="1" t="s">
        <v>95</v>
      </c>
      <c r="R582" s="1" t="s">
        <v>95</v>
      </c>
      <c r="S582" s="1" t="s">
        <v>96</v>
      </c>
      <c r="T582" s="1" t="s">
        <v>489</v>
      </c>
      <c r="U582" s="1">
        <v>1.00651554E8</v>
      </c>
      <c r="X582" s="1" t="s">
        <v>490</v>
      </c>
      <c r="Y582" s="1" t="s">
        <v>985</v>
      </c>
      <c r="Z582" s="1" t="s">
        <v>37</v>
      </c>
    </row>
    <row r="583" hidden="1">
      <c r="A583" s="1" t="s">
        <v>2334</v>
      </c>
      <c r="B583" s="1" t="s">
        <v>774</v>
      </c>
      <c r="C583" s="1" t="s">
        <v>2335</v>
      </c>
      <c r="D583" s="1" t="s">
        <v>27</v>
      </c>
      <c r="E583" s="1" t="s">
        <v>28</v>
      </c>
      <c r="F583" s="2">
        <v>2000000.0</v>
      </c>
      <c r="G583" s="4">
        <v>44207.0</v>
      </c>
      <c r="H583" s="4">
        <f>IFERROR(__xludf.DUMMYFUNCTION("DATE(INDEX(SPLIT(G583,""/""),,3),INDEX(SPLIT(G583,""/""),,2),INDEX(SPLIT(G583,""/""),,1))"),44501.0)</f>
        <v>44501</v>
      </c>
      <c r="I583" s="1" t="s">
        <v>109</v>
      </c>
      <c r="J583" s="4">
        <f>IFERROR(__xludf.DUMMYFUNCTION("DATE(INDEX(SPLIT(I583,""/""),,3),INDEX(SPLIT(I583,""/""),,2),INDEX(SPLIT(I583,""/""),,1))"),44834.0)</f>
        <v>44834</v>
      </c>
      <c r="L583" s="1">
        <v>0.0</v>
      </c>
      <c r="M583" s="1" t="s">
        <v>2336</v>
      </c>
      <c r="N583" s="1"/>
      <c r="O583" s="1" t="s">
        <v>30</v>
      </c>
      <c r="P583" s="1" t="s">
        <v>31</v>
      </c>
      <c r="Q583" s="1" t="s">
        <v>235</v>
      </c>
      <c r="R583" s="1" t="s">
        <v>235</v>
      </c>
      <c r="S583" s="1" t="s">
        <v>236</v>
      </c>
      <c r="T583" s="1" t="s">
        <v>237</v>
      </c>
      <c r="U583" s="1">
        <v>1.00608366E8</v>
      </c>
      <c r="X583" s="1" t="s">
        <v>239</v>
      </c>
      <c r="Y583" s="1" t="s">
        <v>2336</v>
      </c>
      <c r="Z583" s="1" t="s">
        <v>37</v>
      </c>
    </row>
    <row r="584" hidden="1">
      <c r="A584" s="1" t="s">
        <v>2337</v>
      </c>
      <c r="B584" s="1" t="s">
        <v>223</v>
      </c>
      <c r="C584" s="1" t="s">
        <v>2338</v>
      </c>
      <c r="D584" s="1" t="s">
        <v>27</v>
      </c>
      <c r="E584" s="1" t="s">
        <v>28</v>
      </c>
      <c r="F584" s="2">
        <v>2000000.0</v>
      </c>
      <c r="G584" s="1" t="s">
        <v>534</v>
      </c>
      <c r="H584" s="4">
        <f>IFERROR(__xludf.DUMMYFUNCTION("DATE(INDEX(SPLIT(G584,""/""),,3),INDEX(SPLIT(G584,""/""),,2),INDEX(SPLIT(G584,""/""),,1))"),44704.0)</f>
        <v>44704</v>
      </c>
      <c r="I584" s="1" t="s">
        <v>203</v>
      </c>
      <c r="J584" s="4">
        <f>IFERROR(__xludf.DUMMYFUNCTION("DATE(INDEX(SPLIT(I584,""/""),,3),INDEX(SPLIT(I584,""/""),,2),INDEX(SPLIT(I584,""/""),,1))"),44925.0)</f>
        <v>44925</v>
      </c>
      <c r="L584" s="1">
        <v>0.0</v>
      </c>
      <c r="M584" s="1" t="s">
        <v>141</v>
      </c>
      <c r="N584" s="1"/>
      <c r="O584" s="1" t="s">
        <v>30</v>
      </c>
      <c r="P584" s="1" t="s">
        <v>31</v>
      </c>
      <c r="Q584" s="1" t="s">
        <v>95</v>
      </c>
      <c r="R584" s="1" t="s">
        <v>95</v>
      </c>
      <c r="S584" s="1" t="s">
        <v>96</v>
      </c>
      <c r="T584" s="1" t="s">
        <v>217</v>
      </c>
      <c r="U584" s="1">
        <v>1.00658522E8</v>
      </c>
      <c r="X584" s="1" t="s">
        <v>81</v>
      </c>
      <c r="Y584" s="1" t="s">
        <v>2339</v>
      </c>
      <c r="Z584" s="1" t="s">
        <v>37</v>
      </c>
    </row>
    <row r="585" hidden="1">
      <c r="A585" s="1" t="s">
        <v>2340</v>
      </c>
      <c r="B585" s="1" t="s">
        <v>1042</v>
      </c>
      <c r="C585" s="1" t="s">
        <v>2341</v>
      </c>
      <c r="D585" s="1" t="s">
        <v>27</v>
      </c>
      <c r="E585" s="1" t="s">
        <v>28</v>
      </c>
      <c r="F585" s="2">
        <v>2000000.0</v>
      </c>
      <c r="G585" s="4">
        <v>44717.0</v>
      </c>
      <c r="H585" s="4">
        <f>IFERROR(__xludf.DUMMYFUNCTION("DATE(INDEX(SPLIT(G585,""/""),,3),INDEX(SPLIT(G585,""/""),,2),INDEX(SPLIT(G585,""/""),,1))"),44687.0)</f>
        <v>44687</v>
      </c>
      <c r="I585" s="1" t="s">
        <v>130</v>
      </c>
      <c r="J585" s="4">
        <f>IFERROR(__xludf.DUMMYFUNCTION("DATE(INDEX(SPLIT(I585,""/""),,3),INDEX(SPLIT(I585,""/""),,2),INDEX(SPLIT(I585,""/""),,1))"),44804.0)</f>
        <v>44804</v>
      </c>
      <c r="L585" s="1">
        <v>0.0</v>
      </c>
      <c r="M585" s="1" t="s">
        <v>2342</v>
      </c>
      <c r="N585" s="1"/>
      <c r="O585" s="1" t="s">
        <v>30</v>
      </c>
      <c r="P585" s="1" t="s">
        <v>31</v>
      </c>
      <c r="Q585" s="1" t="s">
        <v>53</v>
      </c>
      <c r="R585" s="1" t="s">
        <v>53</v>
      </c>
      <c r="S585" s="1" t="s">
        <v>54</v>
      </c>
      <c r="T585" s="1" t="s">
        <v>87</v>
      </c>
      <c r="U585" s="1">
        <v>1.00886112E8</v>
      </c>
      <c r="X585" s="1" t="s">
        <v>88</v>
      </c>
      <c r="Y585" s="1" t="s">
        <v>2343</v>
      </c>
      <c r="Z585" s="1" t="s">
        <v>37</v>
      </c>
    </row>
    <row r="586" hidden="1">
      <c r="A586" s="1" t="s">
        <v>2344</v>
      </c>
      <c r="B586" s="1" t="s">
        <v>2345</v>
      </c>
      <c r="C586" s="1" t="s">
        <v>2346</v>
      </c>
      <c r="D586" s="1" t="s">
        <v>27</v>
      </c>
      <c r="E586" s="1" t="s">
        <v>28</v>
      </c>
      <c r="F586" s="2">
        <v>2000000.0</v>
      </c>
      <c r="G586" s="4">
        <v>44871.0</v>
      </c>
      <c r="H586" s="4">
        <f>IFERROR(__xludf.DUMMYFUNCTION("DATE(INDEX(SPLIT(G586,""/""),,3),INDEX(SPLIT(G586,""/""),,2),INDEX(SPLIT(G586,""/""),,1))"),44723.0)</f>
        <v>44723</v>
      </c>
      <c r="I586" s="1" t="s">
        <v>130</v>
      </c>
      <c r="J586" s="4">
        <f>IFERROR(__xludf.DUMMYFUNCTION("DATE(INDEX(SPLIT(I586,""/""),,3),INDEX(SPLIT(I586,""/""),,2),INDEX(SPLIT(I586,""/""),,1))"),44804.0)</f>
        <v>44804</v>
      </c>
      <c r="L586" s="1">
        <v>0.0</v>
      </c>
      <c r="M586" s="1" t="s">
        <v>2067</v>
      </c>
      <c r="N586" s="1"/>
      <c r="O586" s="1" t="s">
        <v>30</v>
      </c>
      <c r="P586" s="1" t="s">
        <v>31</v>
      </c>
      <c r="Q586" s="1" t="s">
        <v>95</v>
      </c>
      <c r="R586" s="1" t="s">
        <v>95</v>
      </c>
      <c r="S586" s="1" t="s">
        <v>96</v>
      </c>
      <c r="T586" s="1" t="s">
        <v>111</v>
      </c>
      <c r="U586" s="1">
        <v>1.00631322E8</v>
      </c>
      <c r="X586" s="1" t="s">
        <v>63</v>
      </c>
      <c r="Y586" s="1" t="s">
        <v>2067</v>
      </c>
      <c r="Z586" s="1" t="s">
        <v>37</v>
      </c>
    </row>
    <row r="587" hidden="1">
      <c r="A587" s="1" t="s">
        <v>2347</v>
      </c>
      <c r="B587" s="1" t="s">
        <v>2345</v>
      </c>
      <c r="C587" s="1" t="s">
        <v>2348</v>
      </c>
      <c r="D587" s="1" t="s">
        <v>27</v>
      </c>
      <c r="E587" s="1" t="s">
        <v>28</v>
      </c>
      <c r="F587" s="2">
        <v>2000000.0</v>
      </c>
      <c r="G587" s="4">
        <v>44871.0</v>
      </c>
      <c r="H587" s="4">
        <f>IFERROR(__xludf.DUMMYFUNCTION("DATE(INDEX(SPLIT(G587,""/""),,3),INDEX(SPLIT(G587,""/""),,2),INDEX(SPLIT(G587,""/""),,1))"),44723.0)</f>
        <v>44723</v>
      </c>
      <c r="I587" s="1" t="s">
        <v>535</v>
      </c>
      <c r="J587" s="4">
        <f>IFERROR(__xludf.DUMMYFUNCTION("DATE(INDEX(SPLIT(I587,""/""),,3),INDEX(SPLIT(I587,""/""),,2),INDEX(SPLIT(I587,""/""),,1))"),44957.0)</f>
        <v>44957</v>
      </c>
      <c r="L587" s="1">
        <v>0.0</v>
      </c>
      <c r="M587" s="1" t="s">
        <v>2067</v>
      </c>
      <c r="N587" s="1"/>
      <c r="O587" s="1" t="s">
        <v>30</v>
      </c>
      <c r="P587" s="1" t="s">
        <v>31</v>
      </c>
      <c r="Q587" s="1" t="s">
        <v>95</v>
      </c>
      <c r="R587" s="1" t="s">
        <v>95</v>
      </c>
      <c r="S587" s="1" t="s">
        <v>96</v>
      </c>
      <c r="T587" s="1" t="s">
        <v>111</v>
      </c>
      <c r="U587" s="1">
        <v>1.00631322E8</v>
      </c>
      <c r="X587" s="1" t="s">
        <v>63</v>
      </c>
      <c r="Y587" s="1" t="s">
        <v>2067</v>
      </c>
      <c r="Z587" s="1" t="s">
        <v>37</v>
      </c>
    </row>
    <row r="588" hidden="1">
      <c r="A588" s="1" t="s">
        <v>2349</v>
      </c>
      <c r="B588" s="1" t="s">
        <v>532</v>
      </c>
      <c r="C588" s="1" t="s">
        <v>2350</v>
      </c>
      <c r="D588" s="1" t="s">
        <v>78</v>
      </c>
      <c r="E588" s="1" t="s">
        <v>28</v>
      </c>
      <c r="F588" s="2">
        <v>2000000.0</v>
      </c>
      <c r="G588" s="1" t="s">
        <v>1551</v>
      </c>
      <c r="H588" s="4">
        <f>IFERROR(__xludf.DUMMYFUNCTION("DATE(INDEX(SPLIT(G588,""/""),,3),INDEX(SPLIT(G588,""/""),,2),INDEX(SPLIT(G588,""/""),,1))"),44618.0)</f>
        <v>44618</v>
      </c>
      <c r="I588" s="1" t="s">
        <v>317</v>
      </c>
      <c r="J588" s="4">
        <f>IFERROR(__xludf.DUMMYFUNCTION("DATE(INDEX(SPLIT(I588,""/""),,3),INDEX(SPLIT(I588,""/""),,2),INDEX(SPLIT(I588,""/""),,1))"),44862.0)</f>
        <v>44862</v>
      </c>
      <c r="L588" s="1">
        <v>0.0</v>
      </c>
      <c r="M588" s="1" t="s">
        <v>614</v>
      </c>
      <c r="N588" s="1"/>
      <c r="O588" s="1" t="s">
        <v>30</v>
      </c>
      <c r="P588" s="1" t="s">
        <v>31</v>
      </c>
      <c r="Q588" s="1" t="s">
        <v>71</v>
      </c>
      <c r="R588" s="1" t="s">
        <v>71</v>
      </c>
      <c r="S588" s="1" t="s">
        <v>72</v>
      </c>
      <c r="T588" s="1" t="s">
        <v>615</v>
      </c>
      <c r="U588" s="1">
        <v>1.00869732E8</v>
      </c>
      <c r="X588" s="1" t="s">
        <v>490</v>
      </c>
      <c r="Y588" s="1" t="s">
        <v>1841</v>
      </c>
      <c r="Z588" s="1" t="s">
        <v>37</v>
      </c>
    </row>
    <row r="589" hidden="1">
      <c r="A589" s="1" t="s">
        <v>2351</v>
      </c>
      <c r="B589" s="1" t="s">
        <v>532</v>
      </c>
      <c r="C589" s="1" t="s">
        <v>2352</v>
      </c>
      <c r="D589" s="1" t="s">
        <v>27</v>
      </c>
      <c r="E589" s="1" t="s">
        <v>28</v>
      </c>
      <c r="F589" s="2">
        <v>2000000.0</v>
      </c>
      <c r="G589" s="1" t="s">
        <v>1551</v>
      </c>
      <c r="H589" s="4">
        <f>IFERROR(__xludf.DUMMYFUNCTION("DATE(INDEX(SPLIT(G589,""/""),,3),INDEX(SPLIT(G589,""/""),,2),INDEX(SPLIT(G589,""/""),,1))"),44618.0)</f>
        <v>44618</v>
      </c>
      <c r="I589" s="1" t="s">
        <v>317</v>
      </c>
      <c r="J589" s="4">
        <f>IFERROR(__xludf.DUMMYFUNCTION("DATE(INDEX(SPLIT(I589,""/""),,3),INDEX(SPLIT(I589,""/""),,2),INDEX(SPLIT(I589,""/""),,1))"),44862.0)</f>
        <v>44862</v>
      </c>
      <c r="L589" s="1">
        <v>0.0</v>
      </c>
      <c r="M589" s="1" t="s">
        <v>614</v>
      </c>
      <c r="N589" s="1"/>
      <c r="O589" s="1" t="s">
        <v>30</v>
      </c>
      <c r="P589" s="1" t="s">
        <v>31</v>
      </c>
      <c r="Q589" s="1" t="s">
        <v>71</v>
      </c>
      <c r="R589" s="1" t="s">
        <v>71</v>
      </c>
      <c r="S589" s="1" t="s">
        <v>72</v>
      </c>
      <c r="T589" s="1" t="s">
        <v>615</v>
      </c>
      <c r="U589" s="1">
        <v>1.00869732E8</v>
      </c>
      <c r="X589" s="1" t="s">
        <v>490</v>
      </c>
      <c r="Y589" s="1" t="s">
        <v>1841</v>
      </c>
      <c r="Z589" s="1" t="s">
        <v>37</v>
      </c>
    </row>
    <row r="590" hidden="1">
      <c r="A590" s="1" t="s">
        <v>2353</v>
      </c>
      <c r="B590" s="1" t="s">
        <v>532</v>
      </c>
      <c r="C590" s="1" t="s">
        <v>2354</v>
      </c>
      <c r="D590" s="1" t="s">
        <v>27</v>
      </c>
      <c r="E590" s="1" t="s">
        <v>28</v>
      </c>
      <c r="F590" s="2">
        <v>2000000.0</v>
      </c>
      <c r="G590" s="1" t="s">
        <v>1674</v>
      </c>
      <c r="H590" s="4">
        <f>IFERROR(__xludf.DUMMYFUNCTION("DATE(INDEX(SPLIT(G590,""/""),,3),INDEX(SPLIT(G590,""/""),,2),INDEX(SPLIT(G590,""/""),,1))"),44617.0)</f>
        <v>44617</v>
      </c>
      <c r="I590" s="1" t="s">
        <v>317</v>
      </c>
      <c r="J590" s="4">
        <f>IFERROR(__xludf.DUMMYFUNCTION("DATE(INDEX(SPLIT(I590,""/""),,3),INDEX(SPLIT(I590,""/""),,2),INDEX(SPLIT(I590,""/""),,1))"),44862.0)</f>
        <v>44862</v>
      </c>
      <c r="L590" s="1">
        <v>0.0</v>
      </c>
      <c r="M590" s="1" t="s">
        <v>614</v>
      </c>
      <c r="N590" s="1"/>
      <c r="O590" s="1" t="s">
        <v>30</v>
      </c>
      <c r="P590" s="1" t="s">
        <v>31</v>
      </c>
      <c r="Q590" s="1" t="s">
        <v>71</v>
      </c>
      <c r="R590" s="1" t="s">
        <v>71</v>
      </c>
      <c r="S590" s="1" t="s">
        <v>72</v>
      </c>
      <c r="T590" s="1" t="s">
        <v>615</v>
      </c>
      <c r="U590" s="1">
        <v>1.00869732E8</v>
      </c>
      <c r="X590" s="1" t="s">
        <v>490</v>
      </c>
      <c r="Y590" s="1" t="s">
        <v>1841</v>
      </c>
      <c r="Z590" s="1" t="s">
        <v>37</v>
      </c>
    </row>
    <row r="591" hidden="1">
      <c r="A591" s="1" t="s">
        <v>2355</v>
      </c>
      <c r="B591" s="1" t="s">
        <v>532</v>
      </c>
      <c r="C591" s="1" t="s">
        <v>2356</v>
      </c>
      <c r="D591" s="1" t="s">
        <v>27</v>
      </c>
      <c r="E591" s="1" t="s">
        <v>28</v>
      </c>
      <c r="F591" s="2">
        <v>2000000.0</v>
      </c>
      <c r="G591" s="1" t="s">
        <v>1674</v>
      </c>
      <c r="H591" s="4">
        <f>IFERROR(__xludf.DUMMYFUNCTION("DATE(INDEX(SPLIT(G591,""/""),,3),INDEX(SPLIT(G591,""/""),,2),INDEX(SPLIT(G591,""/""),,1))"),44617.0)</f>
        <v>44617</v>
      </c>
      <c r="I591" s="1" t="s">
        <v>317</v>
      </c>
      <c r="J591" s="4">
        <f>IFERROR(__xludf.DUMMYFUNCTION("DATE(INDEX(SPLIT(I591,""/""),,3),INDEX(SPLIT(I591,""/""),,2),INDEX(SPLIT(I591,""/""),,1))"),44862.0)</f>
        <v>44862</v>
      </c>
      <c r="L591" s="1">
        <v>0.0</v>
      </c>
      <c r="M591" s="1" t="s">
        <v>614</v>
      </c>
      <c r="N591" s="1"/>
      <c r="O591" s="1" t="s">
        <v>30</v>
      </c>
      <c r="P591" s="1" t="s">
        <v>31</v>
      </c>
      <c r="Q591" s="1" t="s">
        <v>71</v>
      </c>
      <c r="R591" s="1" t="s">
        <v>71</v>
      </c>
      <c r="S591" s="1" t="s">
        <v>72</v>
      </c>
      <c r="T591" s="1" t="s">
        <v>615</v>
      </c>
      <c r="U591" s="1">
        <v>1.00869732E8</v>
      </c>
      <c r="X591" s="1" t="s">
        <v>490</v>
      </c>
      <c r="Y591" s="1" t="s">
        <v>1841</v>
      </c>
      <c r="Z591" s="1" t="s">
        <v>37</v>
      </c>
    </row>
    <row r="592" hidden="1">
      <c r="A592" s="1" t="s">
        <v>2357</v>
      </c>
      <c r="B592" s="1" t="s">
        <v>2358</v>
      </c>
      <c r="C592" s="1" t="s">
        <v>2359</v>
      </c>
      <c r="D592" s="1" t="s">
        <v>78</v>
      </c>
      <c r="E592" s="1" t="s">
        <v>28</v>
      </c>
      <c r="F592" s="2">
        <v>2000000.0</v>
      </c>
      <c r="G592" s="1" t="s">
        <v>1551</v>
      </c>
      <c r="H592" s="4">
        <f>IFERROR(__xludf.DUMMYFUNCTION("DATE(INDEX(SPLIT(G592,""/""),,3),INDEX(SPLIT(G592,""/""),,2),INDEX(SPLIT(G592,""/""),,1))"),44618.0)</f>
        <v>44618</v>
      </c>
      <c r="I592" s="4">
        <v>44930.0</v>
      </c>
      <c r="J592" s="4">
        <f>IFERROR(__xludf.DUMMYFUNCTION("DATE(INDEX(SPLIT(I592,""/""),,3),INDEX(SPLIT(I592,""/""),,2),INDEX(SPLIT(I592,""/""),,1))"),45017.0)</f>
        <v>45017</v>
      </c>
      <c r="L592" s="1">
        <v>0.0</v>
      </c>
      <c r="M592" s="1" t="s">
        <v>1194</v>
      </c>
      <c r="N592" s="1"/>
      <c r="O592" s="1" t="s">
        <v>30</v>
      </c>
      <c r="P592" s="1" t="s">
        <v>31</v>
      </c>
      <c r="Q592" s="1" t="s">
        <v>32</v>
      </c>
      <c r="R592" s="1" t="s">
        <v>32</v>
      </c>
      <c r="S592" s="1" t="s">
        <v>33</v>
      </c>
      <c r="T592" s="1" t="s">
        <v>1195</v>
      </c>
      <c r="U592" s="1">
        <v>1.00586863E8</v>
      </c>
      <c r="X592" s="1" t="s">
        <v>490</v>
      </c>
      <c r="Y592" s="1" t="s">
        <v>1196</v>
      </c>
      <c r="Z592" s="1" t="s">
        <v>37</v>
      </c>
    </row>
    <row r="593" hidden="1">
      <c r="A593" s="1" t="s">
        <v>2360</v>
      </c>
      <c r="B593" s="1" t="s">
        <v>709</v>
      </c>
      <c r="C593" s="1" t="s">
        <v>2361</v>
      </c>
      <c r="D593" s="1" t="s">
        <v>78</v>
      </c>
      <c r="E593" s="1" t="s">
        <v>28</v>
      </c>
      <c r="F593" s="2">
        <v>2000000.0</v>
      </c>
      <c r="G593" s="4">
        <v>44897.0</v>
      </c>
      <c r="H593" s="4">
        <f>IFERROR(__xludf.DUMMYFUNCTION("DATE(INDEX(SPLIT(G593,""/""),,3),INDEX(SPLIT(G593,""/""),,2),INDEX(SPLIT(G593,""/""),,1))"),44604.0)</f>
        <v>44604</v>
      </c>
      <c r="I593" s="4">
        <v>44570.0</v>
      </c>
      <c r="J593" s="4">
        <f>IFERROR(__xludf.DUMMYFUNCTION("DATE(INDEX(SPLIT(I593,""/""),,3),INDEX(SPLIT(I593,""/""),,2),INDEX(SPLIT(I593,""/""),,1))"),44805.0)</f>
        <v>44805</v>
      </c>
      <c r="L593" s="1">
        <v>0.0</v>
      </c>
      <c r="M593" s="1" t="s">
        <v>437</v>
      </c>
      <c r="N593" s="1"/>
      <c r="O593" s="1" t="s">
        <v>30</v>
      </c>
      <c r="P593" s="1" t="s">
        <v>31</v>
      </c>
      <c r="Q593" s="1" t="s">
        <v>235</v>
      </c>
      <c r="R593" s="1" t="s">
        <v>235</v>
      </c>
      <c r="S593" s="1" t="s">
        <v>236</v>
      </c>
      <c r="T593" s="1" t="s">
        <v>34</v>
      </c>
      <c r="U593" s="1">
        <v>1.00650375E8</v>
      </c>
      <c r="X593" s="1" t="s">
        <v>35</v>
      </c>
      <c r="Y593" s="1" t="s">
        <v>2362</v>
      </c>
      <c r="Z593" s="1" t="s">
        <v>37</v>
      </c>
    </row>
    <row r="594" hidden="1">
      <c r="A594" s="1" t="s">
        <v>2363</v>
      </c>
      <c r="B594" s="1" t="s">
        <v>120</v>
      </c>
      <c r="C594" s="1" t="s">
        <v>2364</v>
      </c>
      <c r="D594" s="1" t="s">
        <v>78</v>
      </c>
      <c r="E594" s="1" t="s">
        <v>28</v>
      </c>
      <c r="F594" s="2">
        <v>2000000.0</v>
      </c>
      <c r="G594" s="1" t="s">
        <v>50</v>
      </c>
      <c r="H594" s="4">
        <f>IFERROR(__xludf.DUMMYFUNCTION("DATE(INDEX(SPLIT(G594,""/""),,3),INDEX(SPLIT(G594,""/""),,2),INDEX(SPLIT(G594,""/""),,1))"),44547.0)</f>
        <v>44547</v>
      </c>
      <c r="I594" s="1" t="s">
        <v>109</v>
      </c>
      <c r="J594" s="4">
        <f>IFERROR(__xludf.DUMMYFUNCTION("DATE(INDEX(SPLIT(I594,""/""),,3),INDEX(SPLIT(I594,""/""),,2),INDEX(SPLIT(I594,""/""),,1))"),44834.0)</f>
        <v>44834</v>
      </c>
      <c r="L594" s="1">
        <v>0.0</v>
      </c>
      <c r="M594" s="1" t="s">
        <v>1643</v>
      </c>
      <c r="N594" s="1"/>
      <c r="O594" s="1" t="s">
        <v>30</v>
      </c>
      <c r="P594" s="1" t="s">
        <v>31</v>
      </c>
      <c r="Q594" s="1" t="s">
        <v>53</v>
      </c>
      <c r="R594" s="1" t="s">
        <v>53</v>
      </c>
      <c r="S594" s="1" t="s">
        <v>54</v>
      </c>
      <c r="T594" s="1" t="s">
        <v>55</v>
      </c>
      <c r="U594" s="1">
        <v>1.00653977E8</v>
      </c>
      <c r="X594" s="1" t="s">
        <v>125</v>
      </c>
      <c r="Y594" s="1" t="s">
        <v>2021</v>
      </c>
      <c r="Z594" s="1" t="s">
        <v>37</v>
      </c>
    </row>
    <row r="595" hidden="1">
      <c r="A595" s="1" t="s">
        <v>2365</v>
      </c>
      <c r="B595" s="1" t="s">
        <v>1286</v>
      </c>
      <c r="C595" s="1" t="s">
        <v>2366</v>
      </c>
      <c r="D595" s="1" t="s">
        <v>27</v>
      </c>
      <c r="E595" s="1" t="s">
        <v>28</v>
      </c>
      <c r="F595" s="2">
        <v>2000000.0</v>
      </c>
      <c r="G595" s="4">
        <v>44420.0</v>
      </c>
      <c r="H595" s="4">
        <f>IFERROR(__xludf.DUMMYFUNCTION("DATE(INDEX(SPLIT(G595,""/""),,3),INDEX(SPLIT(G595,""/""),,2),INDEX(SPLIT(G595,""/""),,1))"),44538.0)</f>
        <v>44538</v>
      </c>
      <c r="I595" s="1" t="s">
        <v>360</v>
      </c>
      <c r="J595" s="4">
        <f>IFERROR(__xludf.DUMMYFUNCTION("DATE(INDEX(SPLIT(I595,""/""),,3),INDEX(SPLIT(I595,""/""),,2),INDEX(SPLIT(I595,""/""),,1))"),44895.0)</f>
        <v>44895</v>
      </c>
      <c r="L595" s="1">
        <v>0.0</v>
      </c>
      <c r="M595" s="1" t="s">
        <v>482</v>
      </c>
      <c r="N595" s="1"/>
      <c r="O595" s="1" t="s">
        <v>30</v>
      </c>
      <c r="P595" s="1" t="s">
        <v>31</v>
      </c>
      <c r="Q595" s="1" t="s">
        <v>95</v>
      </c>
      <c r="R595" s="1" t="s">
        <v>95</v>
      </c>
      <c r="S595" s="1" t="s">
        <v>96</v>
      </c>
      <c r="T595" s="1" t="s">
        <v>505</v>
      </c>
      <c r="U595" s="1">
        <v>1.00657929E8</v>
      </c>
      <c r="X595" s="1" t="s">
        <v>88</v>
      </c>
      <c r="Y595" s="1" t="s">
        <v>2367</v>
      </c>
      <c r="Z595" s="1" t="s">
        <v>37</v>
      </c>
    </row>
    <row r="596" hidden="1">
      <c r="A596" s="1" t="s">
        <v>2368</v>
      </c>
      <c r="B596" s="1" t="s">
        <v>2369</v>
      </c>
      <c r="C596" s="1" t="s">
        <v>2370</v>
      </c>
      <c r="D596" s="1" t="s">
        <v>27</v>
      </c>
      <c r="E596" s="1" t="s">
        <v>28</v>
      </c>
      <c r="F596" s="2">
        <v>2000000.0</v>
      </c>
      <c r="G596" s="4">
        <v>44655.0</v>
      </c>
      <c r="H596" s="4">
        <f>IFERROR(__xludf.DUMMYFUNCTION("DATE(INDEX(SPLIT(G596,""/""),,3),INDEX(SPLIT(G596,""/""),,2),INDEX(SPLIT(G596,""/""),,1))"),44655.0)</f>
        <v>44655</v>
      </c>
      <c r="I596" s="1" t="s">
        <v>109</v>
      </c>
      <c r="J596" s="4">
        <f>IFERROR(__xludf.DUMMYFUNCTION("DATE(INDEX(SPLIT(I596,""/""),,3),INDEX(SPLIT(I596,""/""),,2),INDEX(SPLIT(I596,""/""),,1))"),44834.0)</f>
        <v>44834</v>
      </c>
      <c r="L596" s="1">
        <v>0.0</v>
      </c>
      <c r="M596" s="1" t="s">
        <v>2371</v>
      </c>
      <c r="N596" s="1"/>
      <c r="O596" s="1" t="s">
        <v>30</v>
      </c>
      <c r="P596" s="1" t="s">
        <v>31</v>
      </c>
      <c r="Q596" s="1" t="s">
        <v>53</v>
      </c>
      <c r="R596" s="1" t="s">
        <v>53</v>
      </c>
      <c r="S596" s="1" t="s">
        <v>54</v>
      </c>
      <c r="T596" s="1" t="s">
        <v>2372</v>
      </c>
      <c r="U596" s="1">
        <v>1.00649936E8</v>
      </c>
      <c r="X596" s="1" t="s">
        <v>239</v>
      </c>
      <c r="Y596" s="1" t="s">
        <v>2373</v>
      </c>
      <c r="Z596" s="1" t="s">
        <v>37</v>
      </c>
    </row>
    <row r="597" hidden="1">
      <c r="A597" s="1" t="s">
        <v>2374</v>
      </c>
      <c r="B597" s="1" t="s">
        <v>501</v>
      </c>
      <c r="C597" s="1" t="s">
        <v>2375</v>
      </c>
      <c r="D597" s="1" t="s">
        <v>78</v>
      </c>
      <c r="E597" s="1" t="s">
        <v>28</v>
      </c>
      <c r="F597" s="2">
        <v>2000000.0</v>
      </c>
      <c r="G597" s="4">
        <v>44451.0</v>
      </c>
      <c r="H597" s="4">
        <f>IFERROR(__xludf.DUMMYFUNCTION("DATE(INDEX(SPLIT(G597,""/""),,3),INDEX(SPLIT(G597,""/""),,2),INDEX(SPLIT(G597,""/""),,1))"),44539.0)</f>
        <v>44539</v>
      </c>
      <c r="I597" s="1" t="s">
        <v>281</v>
      </c>
      <c r="J597" s="4">
        <f>IFERROR(__xludf.DUMMYFUNCTION("DATE(INDEX(SPLIT(I597,""/""),,3),INDEX(SPLIT(I597,""/""),,2),INDEX(SPLIT(I597,""/""),,1))"),44865.0)</f>
        <v>44865</v>
      </c>
      <c r="L597" s="1">
        <v>0.0</v>
      </c>
      <c r="M597" s="1" t="s">
        <v>1904</v>
      </c>
      <c r="N597" s="1"/>
      <c r="O597" s="1" t="s">
        <v>30</v>
      </c>
      <c r="P597" s="1" t="s">
        <v>31</v>
      </c>
      <c r="Q597" s="1" t="s">
        <v>95</v>
      </c>
      <c r="R597" s="1" t="s">
        <v>95</v>
      </c>
      <c r="S597" s="1" t="s">
        <v>96</v>
      </c>
      <c r="T597" s="1" t="s">
        <v>311</v>
      </c>
      <c r="U597" s="1">
        <v>1.0059365E8</v>
      </c>
      <c r="X597" s="1" t="s">
        <v>410</v>
      </c>
      <c r="Y597" s="1" t="s">
        <v>1904</v>
      </c>
      <c r="Z597" s="1" t="s">
        <v>37</v>
      </c>
    </row>
    <row r="598" hidden="1">
      <c r="A598" s="1" t="s">
        <v>2376</v>
      </c>
      <c r="B598" s="1" t="s">
        <v>1762</v>
      </c>
      <c r="C598" s="1" t="s">
        <v>2377</v>
      </c>
      <c r="D598" s="1" t="s">
        <v>27</v>
      </c>
      <c r="E598" s="1" t="s">
        <v>28</v>
      </c>
      <c r="F598" s="2">
        <v>2000000.0</v>
      </c>
      <c r="G598" s="1" t="s">
        <v>624</v>
      </c>
      <c r="H598" s="4">
        <f>IFERROR(__xludf.DUMMYFUNCTION("DATE(INDEX(SPLIT(G598,""/""),,3),INDEX(SPLIT(G598,""/""),,2),INDEX(SPLIT(G598,""/""),,1))"),44642.0)</f>
        <v>44642</v>
      </c>
      <c r="I598" s="1" t="s">
        <v>999</v>
      </c>
      <c r="J598" s="4">
        <f>IFERROR(__xludf.DUMMYFUNCTION("DATE(INDEX(SPLIT(I598,""/""),,3),INDEX(SPLIT(I598,""/""),,2),INDEX(SPLIT(I598,""/""),,1))"),44953.0)</f>
        <v>44953</v>
      </c>
      <c r="L598" s="1">
        <v>0.0</v>
      </c>
      <c r="M598" s="1" t="s">
        <v>1514</v>
      </c>
      <c r="N598" s="1"/>
      <c r="O598" s="1" t="s">
        <v>30</v>
      </c>
      <c r="P598" s="1" t="s">
        <v>31</v>
      </c>
      <c r="Q598" s="1" t="s">
        <v>71</v>
      </c>
      <c r="R598" s="1" t="s">
        <v>71</v>
      </c>
      <c r="S598" s="1" t="s">
        <v>72</v>
      </c>
      <c r="T598" s="1" t="s">
        <v>615</v>
      </c>
      <c r="U598" s="1">
        <v>1.006324E8</v>
      </c>
      <c r="X598" s="1" t="s">
        <v>490</v>
      </c>
      <c r="Y598" s="1" t="s">
        <v>1514</v>
      </c>
      <c r="Z598" s="1" t="s">
        <v>37</v>
      </c>
    </row>
    <row r="599" hidden="1">
      <c r="A599" s="1" t="s">
        <v>2378</v>
      </c>
      <c r="B599" s="1" t="s">
        <v>784</v>
      </c>
      <c r="C599" s="1" t="s">
        <v>2379</v>
      </c>
      <c r="D599" s="1" t="s">
        <v>27</v>
      </c>
      <c r="E599" s="1" t="s">
        <v>28</v>
      </c>
      <c r="F599" s="2">
        <v>2000000.0</v>
      </c>
      <c r="G599" s="1" t="s">
        <v>1521</v>
      </c>
      <c r="H599" s="4">
        <f>IFERROR(__xludf.DUMMYFUNCTION("DATE(INDEX(SPLIT(G599,""/""),,3),INDEX(SPLIT(G599,""/""),,2),INDEX(SPLIT(G599,""/""),,1))"),44756.0)</f>
        <v>44756</v>
      </c>
      <c r="I599" s="1" t="s">
        <v>2380</v>
      </c>
      <c r="J599" s="4">
        <f>IFERROR(__xludf.DUMMYFUNCTION("DATE(INDEX(SPLIT(I599,""/""),,3),INDEX(SPLIT(I599,""/""),,2),INDEX(SPLIT(I599,""/""),,1))"),45291.0)</f>
        <v>45291</v>
      </c>
      <c r="L599" s="1">
        <v>0.0</v>
      </c>
      <c r="M599" s="1" t="s">
        <v>2381</v>
      </c>
      <c r="N599" s="1"/>
      <c r="O599" s="1" t="s">
        <v>30</v>
      </c>
      <c r="P599" s="1" t="s">
        <v>31</v>
      </c>
      <c r="Q599" s="1" t="s">
        <v>95</v>
      </c>
      <c r="R599" s="1" t="s">
        <v>95</v>
      </c>
      <c r="S599" s="1" t="s">
        <v>96</v>
      </c>
      <c r="T599" s="1" t="s">
        <v>111</v>
      </c>
      <c r="U599" s="1">
        <v>1.00694304E8</v>
      </c>
      <c r="X599" s="1" t="s">
        <v>63</v>
      </c>
      <c r="Y599" s="1" t="s">
        <v>2382</v>
      </c>
      <c r="Z599" s="1" t="s">
        <v>206</v>
      </c>
    </row>
    <row r="600" hidden="1">
      <c r="A600" s="1" t="s">
        <v>2383</v>
      </c>
      <c r="B600" s="1" t="s">
        <v>784</v>
      </c>
      <c r="C600" s="1" t="s">
        <v>2384</v>
      </c>
      <c r="D600" s="1" t="s">
        <v>27</v>
      </c>
      <c r="E600" s="1" t="s">
        <v>28</v>
      </c>
      <c r="F600" s="2">
        <v>2000000.0</v>
      </c>
      <c r="G600" s="1" t="s">
        <v>1521</v>
      </c>
      <c r="H600" s="4">
        <f>IFERROR(__xludf.DUMMYFUNCTION("DATE(INDEX(SPLIT(G600,""/""),,3),INDEX(SPLIT(G600,""/""),,2),INDEX(SPLIT(G600,""/""),,1))"),44756.0)</f>
        <v>44756</v>
      </c>
      <c r="I600" s="1" t="s">
        <v>1097</v>
      </c>
      <c r="J600" s="4">
        <f>IFERROR(__xludf.DUMMYFUNCTION("DATE(INDEX(SPLIT(I600,""/""),,3),INDEX(SPLIT(I600,""/""),,2),INDEX(SPLIT(I600,""/""),,1))"),45107.0)</f>
        <v>45107</v>
      </c>
      <c r="L600" s="1">
        <v>0.0</v>
      </c>
      <c r="M600" s="1" t="s">
        <v>2381</v>
      </c>
      <c r="N600" s="1"/>
      <c r="O600" s="1" t="s">
        <v>30</v>
      </c>
      <c r="P600" s="1" t="s">
        <v>31</v>
      </c>
      <c r="Q600" s="1" t="s">
        <v>95</v>
      </c>
      <c r="R600" s="1" t="s">
        <v>95</v>
      </c>
      <c r="S600" s="1" t="s">
        <v>96</v>
      </c>
      <c r="T600" s="1" t="s">
        <v>111</v>
      </c>
      <c r="U600" s="1">
        <v>1.00694304E8</v>
      </c>
      <c r="X600" s="1" t="s">
        <v>63</v>
      </c>
      <c r="Y600" s="1" t="s">
        <v>2382</v>
      </c>
      <c r="Z600" s="1" t="s">
        <v>206</v>
      </c>
    </row>
    <row r="601" hidden="1">
      <c r="A601" s="1" t="s">
        <v>2385</v>
      </c>
      <c r="B601" s="1" t="s">
        <v>39</v>
      </c>
      <c r="C601" s="1" t="s">
        <v>2386</v>
      </c>
      <c r="D601" s="1" t="s">
        <v>78</v>
      </c>
      <c r="E601" s="1" t="s">
        <v>28</v>
      </c>
      <c r="F601" s="2">
        <v>2000000.0</v>
      </c>
      <c r="G601" s="1" t="s">
        <v>2387</v>
      </c>
      <c r="H601" s="4">
        <f>IFERROR(__xludf.DUMMYFUNCTION("DATE(INDEX(SPLIT(G601,""/""),,3),INDEX(SPLIT(G601,""/""),,2),INDEX(SPLIT(G601,""/""),,1))"),44274.0)</f>
        <v>44274</v>
      </c>
      <c r="I601" s="1" t="s">
        <v>447</v>
      </c>
      <c r="J601" s="4">
        <f>IFERROR(__xludf.DUMMYFUNCTION("DATE(INDEX(SPLIT(I601,""/""),,3),INDEX(SPLIT(I601,""/""),,2),INDEX(SPLIT(I601,""/""),,1))"),44910.0)</f>
        <v>44910</v>
      </c>
      <c r="L601" s="1">
        <v>0.0</v>
      </c>
      <c r="M601" s="1" t="s">
        <v>841</v>
      </c>
      <c r="N601" s="1"/>
      <c r="O601" s="1" t="s">
        <v>30</v>
      </c>
      <c r="P601" s="1" t="s">
        <v>31</v>
      </c>
      <c r="Q601" s="1" t="s">
        <v>95</v>
      </c>
      <c r="R601" s="1" t="s">
        <v>95</v>
      </c>
      <c r="S601" s="1" t="s">
        <v>96</v>
      </c>
      <c r="T601" s="1" t="s">
        <v>311</v>
      </c>
      <c r="U601" s="1">
        <v>1.00621664E8</v>
      </c>
      <c r="X601" s="1" t="s">
        <v>46</v>
      </c>
      <c r="Y601" s="1" t="s">
        <v>1533</v>
      </c>
      <c r="Z601" s="1" t="s">
        <v>37</v>
      </c>
    </row>
    <row r="602" hidden="1">
      <c r="A602" s="1" t="s">
        <v>2388</v>
      </c>
      <c r="B602" s="1" t="s">
        <v>954</v>
      </c>
      <c r="C602" s="1" t="s">
        <v>2389</v>
      </c>
      <c r="D602" s="1" t="s">
        <v>27</v>
      </c>
      <c r="E602" s="1" t="s">
        <v>28</v>
      </c>
      <c r="F602" s="2">
        <v>2000000.0</v>
      </c>
      <c r="G602" s="1" t="s">
        <v>1581</v>
      </c>
      <c r="H602" s="4">
        <f>IFERROR(__xludf.DUMMYFUNCTION("DATE(INDEX(SPLIT(G602,""/""),,3),INDEX(SPLIT(G602,""/""),,2),INDEX(SPLIT(G602,""/""),,1))"),44453.0)</f>
        <v>44453</v>
      </c>
      <c r="I602" s="1" t="s">
        <v>109</v>
      </c>
      <c r="J602" s="4">
        <f>IFERROR(__xludf.DUMMYFUNCTION("DATE(INDEX(SPLIT(I602,""/""),,3),INDEX(SPLIT(I602,""/""),,2),INDEX(SPLIT(I602,""/""),,1))"),44834.0)</f>
        <v>44834</v>
      </c>
      <c r="L602" s="1">
        <v>0.0</v>
      </c>
      <c r="M602" s="1" t="s">
        <v>2390</v>
      </c>
      <c r="N602" s="1"/>
      <c r="O602" s="1" t="s">
        <v>30</v>
      </c>
      <c r="P602" s="1" t="s">
        <v>31</v>
      </c>
      <c r="Q602" s="1" t="s">
        <v>71</v>
      </c>
      <c r="R602" s="1" t="s">
        <v>71</v>
      </c>
      <c r="S602" s="1" t="s">
        <v>72</v>
      </c>
      <c r="T602" s="1" t="s">
        <v>73</v>
      </c>
      <c r="U602" s="1">
        <v>1.00646452E8</v>
      </c>
      <c r="X602" s="1" t="s">
        <v>74</v>
      </c>
      <c r="Y602" s="1" t="s">
        <v>2391</v>
      </c>
      <c r="Z602" s="1" t="s">
        <v>37</v>
      </c>
    </row>
    <row r="603" hidden="1">
      <c r="A603" s="1" t="s">
        <v>2392</v>
      </c>
      <c r="B603" s="1" t="s">
        <v>1144</v>
      </c>
      <c r="C603" s="1" t="s">
        <v>2393</v>
      </c>
      <c r="D603" s="1" t="s">
        <v>68</v>
      </c>
      <c r="E603" s="1" t="s">
        <v>28</v>
      </c>
      <c r="F603" s="2">
        <v>2000000.0</v>
      </c>
      <c r="G603" s="1" t="s">
        <v>779</v>
      </c>
      <c r="H603" s="4">
        <f>IFERROR(__xludf.DUMMYFUNCTION("DATE(INDEX(SPLIT(G603,""/""),,3),INDEX(SPLIT(G603,""/""),,2),INDEX(SPLIT(G603,""/""),,1))"),44734.0)</f>
        <v>44734</v>
      </c>
      <c r="I603" s="1" t="s">
        <v>42</v>
      </c>
      <c r="J603" s="4">
        <f>IFERROR(__xludf.DUMMYFUNCTION("DATE(INDEX(SPLIT(I603,""/""),,3),INDEX(SPLIT(I603,""/""),,2),INDEX(SPLIT(I603,""/""),,1))"),44926.0)</f>
        <v>44926</v>
      </c>
      <c r="L603" s="1">
        <v>0.0</v>
      </c>
      <c r="M603" s="1" t="s">
        <v>1573</v>
      </c>
      <c r="N603" s="1"/>
      <c r="O603" s="1" t="s">
        <v>30</v>
      </c>
      <c r="P603" s="1" t="s">
        <v>31</v>
      </c>
      <c r="Q603" s="1" t="s">
        <v>95</v>
      </c>
      <c r="R603" s="1" t="s">
        <v>95</v>
      </c>
      <c r="S603" s="1" t="s">
        <v>96</v>
      </c>
      <c r="U603" s="1">
        <v>1.00595231E8</v>
      </c>
      <c r="V603" s="1" t="s">
        <v>2394</v>
      </c>
      <c r="W603" s="1" t="s">
        <v>717</v>
      </c>
      <c r="X603" s="1" t="s">
        <v>63</v>
      </c>
      <c r="Y603" s="1" t="s">
        <v>2395</v>
      </c>
      <c r="Z603" s="1" t="s">
        <v>37</v>
      </c>
    </row>
    <row r="604" hidden="1">
      <c r="A604" s="1" t="s">
        <v>2396</v>
      </c>
      <c r="B604" s="1" t="s">
        <v>2023</v>
      </c>
      <c r="C604" s="1" t="s">
        <v>2397</v>
      </c>
      <c r="D604" s="1" t="s">
        <v>122</v>
      </c>
      <c r="E604" s="1" t="s">
        <v>28</v>
      </c>
      <c r="F604" s="2">
        <v>2000000.0</v>
      </c>
      <c r="G604" s="1" t="s">
        <v>2025</v>
      </c>
      <c r="H604" s="4">
        <f>IFERROR(__xludf.DUMMYFUNCTION("DATE(INDEX(SPLIT(G604,""/""),,3),INDEX(SPLIT(G604,""/""),,2),INDEX(SPLIT(G604,""/""),,1))"),44664.0)</f>
        <v>44664</v>
      </c>
      <c r="I604" s="1" t="s">
        <v>2398</v>
      </c>
      <c r="J604" s="4">
        <f>IFERROR(__xludf.DUMMYFUNCTION("DATE(INDEX(SPLIT(I604,""/""),,3),INDEX(SPLIT(I604,""/""),,2),INDEX(SPLIT(I604,""/""),,1))"),45427.0)</f>
        <v>45427</v>
      </c>
      <c r="L604" s="1">
        <v>0.0</v>
      </c>
      <c r="M604" s="1" t="s">
        <v>2027</v>
      </c>
      <c r="N604" s="1"/>
      <c r="O604" s="1" t="s">
        <v>30</v>
      </c>
      <c r="P604" s="1" t="s">
        <v>31</v>
      </c>
      <c r="Q604" s="1" t="s">
        <v>228</v>
      </c>
      <c r="R604" s="1" t="s">
        <v>228</v>
      </c>
      <c r="S604" s="1" t="s">
        <v>229</v>
      </c>
      <c r="T604" s="1" t="s">
        <v>513</v>
      </c>
      <c r="U604" s="1">
        <v>1.00587894E8</v>
      </c>
      <c r="X604" s="1" t="s">
        <v>2028</v>
      </c>
      <c r="Y604" s="1" t="s">
        <v>2027</v>
      </c>
      <c r="Z604" s="1" t="s">
        <v>527</v>
      </c>
    </row>
    <row r="605" hidden="1">
      <c r="A605" s="1" t="s">
        <v>2399</v>
      </c>
      <c r="B605" s="1" t="s">
        <v>2400</v>
      </c>
      <c r="C605" s="1" t="s">
        <v>2401</v>
      </c>
      <c r="D605" s="1" t="s">
        <v>27</v>
      </c>
      <c r="E605" s="1" t="s">
        <v>28</v>
      </c>
      <c r="F605" s="2">
        <v>2000000.0</v>
      </c>
      <c r="G605" s="1" t="s">
        <v>1004</v>
      </c>
      <c r="H605" s="4">
        <f>IFERROR(__xludf.DUMMYFUNCTION("DATE(INDEX(SPLIT(G605,""/""),,3),INDEX(SPLIT(G605,""/""),,2),INDEX(SPLIT(G605,""/""),,1))"),44582.0)</f>
        <v>44582</v>
      </c>
      <c r="I605" s="1" t="s">
        <v>569</v>
      </c>
      <c r="J605" s="4">
        <f>IFERROR(__xludf.DUMMYFUNCTION("DATE(INDEX(SPLIT(I605,""/""),,3),INDEX(SPLIT(I605,""/""),,2),INDEX(SPLIT(I605,""/""),,1))"),45016.0)</f>
        <v>45016</v>
      </c>
      <c r="L605" s="1">
        <v>0.0</v>
      </c>
      <c r="M605" s="1" t="s">
        <v>852</v>
      </c>
      <c r="N605" s="1"/>
      <c r="O605" s="1" t="s">
        <v>30</v>
      </c>
      <c r="P605" s="1" t="s">
        <v>31</v>
      </c>
      <c r="Q605" s="1" t="s">
        <v>157</v>
      </c>
      <c r="R605" s="1" t="s">
        <v>157</v>
      </c>
      <c r="S605" s="1" t="s">
        <v>158</v>
      </c>
      <c r="T605" s="1" t="s">
        <v>442</v>
      </c>
      <c r="U605" s="1">
        <v>1.00648457E8</v>
      </c>
      <c r="X605" s="1" t="s">
        <v>781</v>
      </c>
      <c r="Y605" s="1" t="s">
        <v>2402</v>
      </c>
      <c r="Z605" s="1" t="s">
        <v>37</v>
      </c>
    </row>
    <row r="606" hidden="1">
      <c r="A606" s="1" t="s">
        <v>2403</v>
      </c>
      <c r="B606" s="1" t="s">
        <v>2023</v>
      </c>
      <c r="C606" s="1" t="s">
        <v>2404</v>
      </c>
      <c r="D606" s="1" t="s">
        <v>122</v>
      </c>
      <c r="E606" s="1" t="s">
        <v>28</v>
      </c>
      <c r="F606" s="2">
        <v>2000000.0</v>
      </c>
      <c r="G606" s="1" t="s">
        <v>2025</v>
      </c>
      <c r="H606" s="4">
        <f>IFERROR(__xludf.DUMMYFUNCTION("DATE(INDEX(SPLIT(G606,""/""),,3),INDEX(SPLIT(G606,""/""),,2),INDEX(SPLIT(G606,""/""),,1))"),44664.0)</f>
        <v>44664</v>
      </c>
      <c r="I606" s="1" t="s">
        <v>2405</v>
      </c>
      <c r="J606" s="4">
        <f>IFERROR(__xludf.DUMMYFUNCTION("DATE(INDEX(SPLIT(I606,""/""),,3),INDEX(SPLIT(I606,""/""),,2),INDEX(SPLIT(I606,""/""),,1))"),45792.0)</f>
        <v>45792</v>
      </c>
      <c r="L606" s="1">
        <v>0.0</v>
      </c>
      <c r="M606" s="1" t="s">
        <v>2027</v>
      </c>
      <c r="N606" s="1"/>
      <c r="O606" s="1" t="s">
        <v>30</v>
      </c>
      <c r="P606" s="1" t="s">
        <v>31</v>
      </c>
      <c r="Q606" s="1" t="s">
        <v>228</v>
      </c>
      <c r="R606" s="1" t="s">
        <v>228</v>
      </c>
      <c r="S606" s="1" t="s">
        <v>229</v>
      </c>
      <c r="T606" s="1" t="s">
        <v>513</v>
      </c>
      <c r="U606" s="1">
        <v>1.00587894E8</v>
      </c>
      <c r="X606" s="1" t="s">
        <v>2028</v>
      </c>
      <c r="Y606" s="1" t="s">
        <v>2027</v>
      </c>
      <c r="Z606" s="1" t="s">
        <v>527</v>
      </c>
    </row>
    <row r="607" hidden="1">
      <c r="A607" s="1" t="s">
        <v>2406</v>
      </c>
      <c r="B607" s="1" t="s">
        <v>83</v>
      </c>
      <c r="C607" s="1" t="s">
        <v>2407</v>
      </c>
      <c r="D607" s="1" t="s">
        <v>78</v>
      </c>
      <c r="E607" s="1" t="s">
        <v>28</v>
      </c>
      <c r="F607" s="2">
        <v>2000000.0</v>
      </c>
      <c r="G607" s="1" t="s">
        <v>472</v>
      </c>
      <c r="H607" s="4">
        <f>IFERROR(__xludf.DUMMYFUNCTION("DATE(INDEX(SPLIT(G607,""/""),,3),INDEX(SPLIT(G607,""/""),,2),INDEX(SPLIT(G607,""/""),,1))"),44760.0)</f>
        <v>44760</v>
      </c>
      <c r="I607" s="1" t="s">
        <v>130</v>
      </c>
      <c r="J607" s="4">
        <f>IFERROR(__xludf.DUMMYFUNCTION("DATE(INDEX(SPLIT(I607,""/""),,3),INDEX(SPLIT(I607,""/""),,2),INDEX(SPLIT(I607,""/""),,1))"),44804.0)</f>
        <v>44804</v>
      </c>
      <c r="L607" s="1">
        <v>0.0</v>
      </c>
      <c r="M607" s="1" t="s">
        <v>1307</v>
      </c>
      <c r="N607" s="1"/>
      <c r="O607" s="1" t="s">
        <v>30</v>
      </c>
      <c r="P607" s="1" t="s">
        <v>31</v>
      </c>
      <c r="Q607" s="1" t="s">
        <v>235</v>
      </c>
      <c r="R607" s="1" t="s">
        <v>235</v>
      </c>
      <c r="S607" s="1" t="s">
        <v>236</v>
      </c>
      <c r="T607" s="1" t="s">
        <v>1308</v>
      </c>
      <c r="U607" s="1">
        <v>1.00585952E8</v>
      </c>
      <c r="X607" s="1" t="s">
        <v>88</v>
      </c>
      <c r="Y607" s="1" t="s">
        <v>1309</v>
      </c>
      <c r="Z607" s="1" t="s">
        <v>37</v>
      </c>
    </row>
    <row r="608" hidden="1">
      <c r="A608" s="1" t="s">
        <v>2408</v>
      </c>
      <c r="B608" s="1" t="s">
        <v>2023</v>
      </c>
      <c r="C608" s="1" t="s">
        <v>2409</v>
      </c>
      <c r="D608" s="1" t="s">
        <v>122</v>
      </c>
      <c r="E608" s="1" t="s">
        <v>28</v>
      </c>
      <c r="F608" s="2">
        <v>2000000.0</v>
      </c>
      <c r="G608" s="1" t="s">
        <v>2025</v>
      </c>
      <c r="H608" s="4">
        <f>IFERROR(__xludf.DUMMYFUNCTION("DATE(INDEX(SPLIT(G608,""/""),,3),INDEX(SPLIT(G608,""/""),,2),INDEX(SPLIT(G608,""/""),,1))"),44664.0)</f>
        <v>44664</v>
      </c>
      <c r="I608" s="1" t="s">
        <v>2410</v>
      </c>
      <c r="J608" s="4">
        <f>IFERROR(__xludf.DUMMYFUNCTION("DATE(INDEX(SPLIT(I608,""/""),,3),INDEX(SPLIT(I608,""/""),,2),INDEX(SPLIT(I608,""/""),,1))"),46157.0)</f>
        <v>46157</v>
      </c>
      <c r="L608" s="1">
        <v>0.0</v>
      </c>
      <c r="M608" s="1" t="s">
        <v>2027</v>
      </c>
      <c r="N608" s="1"/>
      <c r="O608" s="1" t="s">
        <v>30</v>
      </c>
      <c r="P608" s="1" t="s">
        <v>31</v>
      </c>
      <c r="Q608" s="1" t="s">
        <v>228</v>
      </c>
      <c r="R608" s="1" t="s">
        <v>228</v>
      </c>
      <c r="S608" s="1" t="s">
        <v>229</v>
      </c>
      <c r="T608" s="1" t="s">
        <v>513</v>
      </c>
      <c r="U608" s="1">
        <v>1.00587894E8</v>
      </c>
      <c r="X608" s="1" t="s">
        <v>2028</v>
      </c>
      <c r="Y608" s="1" t="s">
        <v>2027</v>
      </c>
      <c r="Z608" s="1" t="s">
        <v>527</v>
      </c>
    </row>
    <row r="609" hidden="1">
      <c r="A609" s="1" t="s">
        <v>2411</v>
      </c>
      <c r="B609" s="1" t="s">
        <v>2023</v>
      </c>
      <c r="C609" s="1" t="s">
        <v>2412</v>
      </c>
      <c r="D609" s="1" t="s">
        <v>122</v>
      </c>
      <c r="E609" s="1" t="s">
        <v>28</v>
      </c>
      <c r="F609" s="2">
        <v>2000000.0</v>
      </c>
      <c r="G609" s="1" t="s">
        <v>2025</v>
      </c>
      <c r="H609" s="4">
        <f>IFERROR(__xludf.DUMMYFUNCTION("DATE(INDEX(SPLIT(G609,""/""),,3),INDEX(SPLIT(G609,""/""),,2),INDEX(SPLIT(G609,""/""),,1))"),44664.0)</f>
        <v>44664</v>
      </c>
      <c r="I609" s="1" t="s">
        <v>2413</v>
      </c>
      <c r="J609" s="4">
        <f>IFERROR(__xludf.DUMMYFUNCTION("DATE(INDEX(SPLIT(I609,""/""),,3),INDEX(SPLIT(I609,""/""),,2),INDEX(SPLIT(I609,""/""),,1))"),46524.0)</f>
        <v>46524</v>
      </c>
      <c r="L609" s="1">
        <v>0.0</v>
      </c>
      <c r="M609" s="1" t="s">
        <v>2027</v>
      </c>
      <c r="N609" s="1"/>
      <c r="O609" s="1" t="s">
        <v>30</v>
      </c>
      <c r="P609" s="1" t="s">
        <v>31</v>
      </c>
      <c r="Q609" s="1" t="s">
        <v>228</v>
      </c>
      <c r="R609" s="1" t="s">
        <v>228</v>
      </c>
      <c r="S609" s="1" t="s">
        <v>229</v>
      </c>
      <c r="T609" s="1" t="s">
        <v>513</v>
      </c>
      <c r="U609" s="1">
        <v>1.00587894E8</v>
      </c>
      <c r="X609" s="1" t="s">
        <v>2028</v>
      </c>
      <c r="Y609" s="1" t="s">
        <v>2027</v>
      </c>
      <c r="Z609" s="1" t="s">
        <v>527</v>
      </c>
    </row>
    <row r="610" hidden="1">
      <c r="A610" s="1" t="s">
        <v>2414</v>
      </c>
      <c r="B610" s="1" t="s">
        <v>2415</v>
      </c>
      <c r="C610" s="1" t="s">
        <v>2416</v>
      </c>
      <c r="D610" s="1" t="s">
        <v>27</v>
      </c>
      <c r="E610" s="1" t="s">
        <v>28</v>
      </c>
      <c r="F610" s="2">
        <v>2000000.0</v>
      </c>
      <c r="G610" s="4">
        <v>44809.0</v>
      </c>
      <c r="H610" s="4">
        <f>IFERROR(__xludf.DUMMYFUNCTION("DATE(INDEX(SPLIT(G610,""/""),,3),INDEX(SPLIT(G610,""/""),,2),INDEX(SPLIT(G610,""/""),,1))"),44690.0)</f>
        <v>44690</v>
      </c>
      <c r="I610" s="1" t="s">
        <v>203</v>
      </c>
      <c r="J610" s="4">
        <f>IFERROR(__xludf.DUMMYFUNCTION("DATE(INDEX(SPLIT(I610,""/""),,3),INDEX(SPLIT(I610,""/""),,2),INDEX(SPLIT(I610,""/""),,1))"),44925.0)</f>
        <v>44925</v>
      </c>
      <c r="L610" s="1">
        <v>0.0</v>
      </c>
      <c r="M610" s="1" t="s">
        <v>259</v>
      </c>
      <c r="N610" s="1"/>
      <c r="O610" s="1" t="s">
        <v>30</v>
      </c>
      <c r="P610" s="1" t="s">
        <v>31</v>
      </c>
      <c r="Q610" s="1" t="s">
        <v>95</v>
      </c>
      <c r="R610" s="1" t="s">
        <v>95</v>
      </c>
      <c r="S610" s="1" t="s">
        <v>96</v>
      </c>
      <c r="T610" s="1" t="s">
        <v>260</v>
      </c>
      <c r="U610" s="1">
        <v>1.00659114E8</v>
      </c>
      <c r="X610" s="1" t="s">
        <v>239</v>
      </c>
      <c r="Y610" s="1" t="s">
        <v>2081</v>
      </c>
      <c r="Z610" s="1" t="s">
        <v>37</v>
      </c>
    </row>
    <row r="611" hidden="1">
      <c r="A611" s="1" t="s">
        <v>2417</v>
      </c>
      <c r="B611" s="1" t="s">
        <v>1352</v>
      </c>
      <c r="C611" s="1" t="s">
        <v>2418</v>
      </c>
      <c r="D611" s="1" t="s">
        <v>27</v>
      </c>
      <c r="E611" s="1" t="s">
        <v>28</v>
      </c>
      <c r="F611" s="2">
        <v>2000000.0</v>
      </c>
      <c r="G611" s="1" t="s">
        <v>2419</v>
      </c>
      <c r="H611" s="4">
        <f>IFERROR(__xludf.DUMMYFUNCTION("DATE(INDEX(SPLIT(G611,""/""),,3),INDEX(SPLIT(G611,""/""),,2),INDEX(SPLIT(G611,""/""),,1))"),44482.0)</f>
        <v>44482</v>
      </c>
      <c r="I611" s="1" t="s">
        <v>203</v>
      </c>
      <c r="J611" s="4">
        <f>IFERROR(__xludf.DUMMYFUNCTION("DATE(INDEX(SPLIT(I611,""/""),,3),INDEX(SPLIT(I611,""/""),,2),INDEX(SPLIT(I611,""/""),,1))"),44925.0)</f>
        <v>44925</v>
      </c>
      <c r="L611" s="1">
        <v>0.0</v>
      </c>
      <c r="M611" s="1" t="s">
        <v>1532</v>
      </c>
      <c r="N611" s="1"/>
      <c r="O611" s="1" t="s">
        <v>30</v>
      </c>
      <c r="P611" s="1" t="s">
        <v>31</v>
      </c>
      <c r="Q611" s="1" t="s">
        <v>228</v>
      </c>
      <c r="R611" s="1" t="s">
        <v>228</v>
      </c>
      <c r="S611" s="1" t="s">
        <v>229</v>
      </c>
      <c r="T611" s="1" t="s">
        <v>640</v>
      </c>
      <c r="U611" s="1">
        <v>1.00711752E8</v>
      </c>
      <c r="X611" s="1" t="s">
        <v>375</v>
      </c>
      <c r="Y611" s="1" t="s">
        <v>1533</v>
      </c>
      <c r="Z611" s="1" t="s">
        <v>37</v>
      </c>
    </row>
    <row r="612">
      <c r="A612" s="1" t="s">
        <v>2420</v>
      </c>
      <c r="B612" s="1" t="s">
        <v>2140</v>
      </c>
      <c r="C612" s="1" t="s">
        <v>2421</v>
      </c>
      <c r="D612" s="1" t="s">
        <v>122</v>
      </c>
      <c r="E612" s="1" t="s">
        <v>28</v>
      </c>
      <c r="F612" s="2">
        <v>2000000.0</v>
      </c>
      <c r="G612" s="4">
        <v>44389.0</v>
      </c>
      <c r="H612" s="4">
        <f>IFERROR(__xludf.DUMMYFUNCTION("DATE(INDEX(SPLIT(G612,""/""),,3),INDEX(SPLIT(G612,""/""),,2),INDEX(SPLIT(G612,""/""),,1))"),44537.0)</f>
        <v>44537</v>
      </c>
      <c r="I612" s="1" t="s">
        <v>2422</v>
      </c>
      <c r="J612" s="4">
        <f>IFERROR(__xludf.DUMMYFUNCTION("DATE(INDEX(SPLIT(I612,""/""),,3),INDEX(SPLIT(I612,""/""),,2),INDEX(SPLIT(I612,""/""),,1))"),44769.0)</f>
        <v>44769</v>
      </c>
      <c r="L612" s="1">
        <v>0.0</v>
      </c>
      <c r="M612" s="1" t="s">
        <v>1707</v>
      </c>
      <c r="N612" s="1"/>
      <c r="O612" s="1" t="s">
        <v>30</v>
      </c>
      <c r="P612" s="1" t="s">
        <v>31</v>
      </c>
      <c r="Q612" s="1" t="s">
        <v>53</v>
      </c>
      <c r="R612" s="1" t="s">
        <v>53</v>
      </c>
      <c r="S612" s="1" t="s">
        <v>54</v>
      </c>
      <c r="T612" s="1" t="s">
        <v>634</v>
      </c>
      <c r="U612" s="1">
        <v>1.00652169E8</v>
      </c>
      <c r="X612" s="1" t="s">
        <v>117</v>
      </c>
      <c r="Y612" s="1" t="s">
        <v>819</v>
      </c>
      <c r="Z612" s="1" t="s">
        <v>37</v>
      </c>
    </row>
    <row r="613" hidden="1">
      <c r="A613" s="1" t="s">
        <v>2423</v>
      </c>
      <c r="B613" s="1" t="s">
        <v>1144</v>
      </c>
      <c r="C613" s="1" t="s">
        <v>2424</v>
      </c>
      <c r="D613" s="1" t="s">
        <v>27</v>
      </c>
      <c r="E613" s="1" t="s">
        <v>28</v>
      </c>
      <c r="F613" s="2">
        <v>1988763.0</v>
      </c>
      <c r="G613" s="1" t="s">
        <v>2425</v>
      </c>
      <c r="H613" s="4">
        <f>IFERROR(__xludf.DUMMYFUNCTION("DATE(INDEX(SPLIT(G613,""/""),,3),INDEX(SPLIT(G613,""/""),,2),INDEX(SPLIT(G613,""/""),,1))"),44302.0)</f>
        <v>44302</v>
      </c>
      <c r="I613" s="1" t="s">
        <v>2426</v>
      </c>
      <c r="J613" s="4">
        <f>IFERROR(__xludf.DUMMYFUNCTION("DATE(INDEX(SPLIT(I613,""/""),,3),INDEX(SPLIT(I613,""/""),,2),INDEX(SPLIT(I613,""/""),,1))"),45095.0)</f>
        <v>45095</v>
      </c>
      <c r="L613" s="1">
        <v>0.0</v>
      </c>
      <c r="M613" s="1" t="s">
        <v>1573</v>
      </c>
      <c r="N613" s="1"/>
      <c r="O613" s="1" t="s">
        <v>30</v>
      </c>
      <c r="P613" s="1" t="s">
        <v>31</v>
      </c>
      <c r="Q613" s="1" t="s">
        <v>95</v>
      </c>
      <c r="R613" s="1" t="s">
        <v>95</v>
      </c>
      <c r="S613" s="1" t="s">
        <v>96</v>
      </c>
      <c r="T613" s="1" t="s">
        <v>111</v>
      </c>
      <c r="U613" s="1">
        <v>1.00595231E8</v>
      </c>
      <c r="V613" s="1" t="s">
        <v>2427</v>
      </c>
      <c r="X613" s="1" t="s">
        <v>63</v>
      </c>
      <c r="Y613" s="1" t="s">
        <v>2428</v>
      </c>
      <c r="Z613" s="1" t="s">
        <v>37</v>
      </c>
    </row>
    <row r="614">
      <c r="A614" s="1" t="s">
        <v>2429</v>
      </c>
      <c r="B614" s="1" t="s">
        <v>83</v>
      </c>
      <c r="C614" s="1" t="s">
        <v>2430</v>
      </c>
      <c r="D614" s="1" t="s">
        <v>27</v>
      </c>
      <c r="E614" s="1" t="s">
        <v>28</v>
      </c>
      <c r="F614" s="2">
        <v>1966602.0</v>
      </c>
      <c r="G614" s="1" t="s">
        <v>1806</v>
      </c>
      <c r="H614" s="4">
        <f>IFERROR(__xludf.DUMMYFUNCTION("DATE(INDEX(SPLIT(G614,""/""),,3),INDEX(SPLIT(G614,""/""),,2),INDEX(SPLIT(G614,""/""),,1))"),44694.0)</f>
        <v>44694</v>
      </c>
      <c r="I614" s="1" t="s">
        <v>226</v>
      </c>
      <c r="J614" s="4">
        <f>IFERROR(__xludf.DUMMYFUNCTION("DATE(INDEX(SPLIT(I614,""/""),,3),INDEX(SPLIT(I614,""/""),,2),INDEX(SPLIT(I614,""/""),,1))"),44771.0)</f>
        <v>44771</v>
      </c>
      <c r="L614" s="1">
        <v>0.0</v>
      </c>
      <c r="M614" s="1" t="s">
        <v>1944</v>
      </c>
      <c r="N614" s="1"/>
      <c r="O614" s="1" t="s">
        <v>30</v>
      </c>
      <c r="P614" s="1" t="s">
        <v>31</v>
      </c>
      <c r="Q614" s="1" t="s">
        <v>235</v>
      </c>
      <c r="R614" s="1" t="s">
        <v>235</v>
      </c>
      <c r="S614" s="1" t="s">
        <v>236</v>
      </c>
      <c r="T614" s="1" t="s">
        <v>753</v>
      </c>
      <c r="U614" s="1">
        <v>1.00628186E8</v>
      </c>
      <c r="X614" s="1" t="s">
        <v>88</v>
      </c>
      <c r="Y614" s="1" t="s">
        <v>2431</v>
      </c>
      <c r="Z614" s="1" t="s">
        <v>37</v>
      </c>
    </row>
    <row r="615" hidden="1">
      <c r="A615" s="1" t="s">
        <v>2432</v>
      </c>
      <c r="B615" s="1" t="s">
        <v>470</v>
      </c>
      <c r="C615" s="1" t="s">
        <v>2433</v>
      </c>
      <c r="D615" s="1" t="s">
        <v>78</v>
      </c>
      <c r="E615" s="1" t="s">
        <v>28</v>
      </c>
      <c r="F615" s="2">
        <v>1950000.0</v>
      </c>
      <c r="G615" s="4">
        <v>44868.0</v>
      </c>
      <c r="H615" s="4">
        <f>IFERROR(__xludf.DUMMYFUNCTION("DATE(INDEX(SPLIT(G615,""/""),,3),INDEX(SPLIT(G615,""/""),,2),INDEX(SPLIT(G615,""/""),,1))"),44631.0)</f>
        <v>44631</v>
      </c>
      <c r="I615" s="1" t="s">
        <v>109</v>
      </c>
      <c r="J615" s="4">
        <f>IFERROR(__xludf.DUMMYFUNCTION("DATE(INDEX(SPLIT(I615,""/""),,3),INDEX(SPLIT(I615,""/""),,2),INDEX(SPLIT(I615,""/""),,1))"),44834.0)</f>
        <v>44834</v>
      </c>
      <c r="L615" s="1">
        <v>0.0</v>
      </c>
      <c r="M615" s="1" t="s">
        <v>172</v>
      </c>
      <c r="N615" s="1"/>
      <c r="O615" s="1" t="s">
        <v>30</v>
      </c>
      <c r="P615" s="1" t="s">
        <v>31</v>
      </c>
      <c r="Q615" s="1" t="s">
        <v>95</v>
      </c>
      <c r="R615" s="1" t="s">
        <v>95</v>
      </c>
      <c r="S615" s="1" t="s">
        <v>96</v>
      </c>
      <c r="T615" s="1" t="s">
        <v>97</v>
      </c>
      <c r="U615" s="1">
        <v>1.00658519E8</v>
      </c>
      <c r="X615" s="1" t="s">
        <v>254</v>
      </c>
      <c r="Y615" s="1" t="s">
        <v>2434</v>
      </c>
      <c r="Z615" s="1" t="s">
        <v>37</v>
      </c>
    </row>
    <row r="616">
      <c r="A616" s="1" t="s">
        <v>2435</v>
      </c>
      <c r="B616" s="1" t="s">
        <v>516</v>
      </c>
      <c r="C616" s="1" t="s">
        <v>2436</v>
      </c>
      <c r="D616" s="1" t="s">
        <v>122</v>
      </c>
      <c r="E616" s="1" t="s">
        <v>28</v>
      </c>
      <c r="F616" s="2">
        <v>1950000.0</v>
      </c>
      <c r="G616" s="4">
        <v>44541.0</v>
      </c>
      <c r="H616" s="4">
        <f>IFERROR(__xludf.DUMMYFUNCTION("DATE(INDEX(SPLIT(G616,""/""),,3),INDEX(SPLIT(G616,""/""),,2),INDEX(SPLIT(G616,""/""),,1))"),44512.0)</f>
        <v>44512</v>
      </c>
      <c r="I616" s="1" t="s">
        <v>226</v>
      </c>
      <c r="J616" s="4">
        <f>IFERROR(__xludf.DUMMYFUNCTION("DATE(INDEX(SPLIT(I616,""/""),,3),INDEX(SPLIT(I616,""/""),,2),INDEX(SPLIT(I616,""/""),,1))"),44771.0)</f>
        <v>44771</v>
      </c>
      <c r="L616" s="1">
        <v>0.0</v>
      </c>
      <c r="M616" s="1" t="s">
        <v>1723</v>
      </c>
      <c r="N616" s="1"/>
      <c r="O616" s="1" t="s">
        <v>30</v>
      </c>
      <c r="P616" s="1" t="s">
        <v>31</v>
      </c>
      <c r="Q616" s="1" t="s">
        <v>157</v>
      </c>
      <c r="R616" s="1" t="s">
        <v>157</v>
      </c>
      <c r="S616" s="1" t="s">
        <v>158</v>
      </c>
      <c r="T616" s="1" t="s">
        <v>136</v>
      </c>
      <c r="U616" s="1">
        <v>1.00654085E8</v>
      </c>
      <c r="X616" s="1" t="s">
        <v>74</v>
      </c>
      <c r="Y616" s="1" t="s">
        <v>2437</v>
      </c>
      <c r="Z616" s="1" t="s">
        <v>37</v>
      </c>
    </row>
    <row r="617" hidden="1">
      <c r="A617" s="1" t="s">
        <v>2438</v>
      </c>
      <c r="B617" s="1" t="s">
        <v>2439</v>
      </c>
      <c r="C617" s="1" t="s">
        <v>2440</v>
      </c>
      <c r="D617" s="1" t="s">
        <v>78</v>
      </c>
      <c r="E617" s="1" t="s">
        <v>28</v>
      </c>
      <c r="F617" s="2">
        <v>1950000.0</v>
      </c>
      <c r="G617" s="1" t="s">
        <v>2441</v>
      </c>
      <c r="H617" s="4">
        <f>IFERROR(__xludf.DUMMYFUNCTION("DATE(INDEX(SPLIT(G617,""/""),,3),INDEX(SPLIT(G617,""/""),,2),INDEX(SPLIT(G617,""/""),,1))"),44550.0)</f>
        <v>44550</v>
      </c>
      <c r="I617" s="1" t="s">
        <v>109</v>
      </c>
      <c r="J617" s="4">
        <f>IFERROR(__xludf.DUMMYFUNCTION("DATE(INDEX(SPLIT(I617,""/""),,3),INDEX(SPLIT(I617,""/""),,2),INDEX(SPLIT(I617,""/""),,1))"),44834.0)</f>
        <v>44834</v>
      </c>
      <c r="L617" s="1">
        <v>0.0</v>
      </c>
      <c r="M617" s="1" t="s">
        <v>1565</v>
      </c>
      <c r="N617" s="1"/>
      <c r="O617" s="1" t="s">
        <v>30</v>
      </c>
      <c r="P617" s="1" t="s">
        <v>31</v>
      </c>
      <c r="Q617" s="1" t="s">
        <v>157</v>
      </c>
      <c r="R617" s="1" t="s">
        <v>157</v>
      </c>
      <c r="S617" s="1" t="s">
        <v>158</v>
      </c>
      <c r="T617" s="1" t="s">
        <v>442</v>
      </c>
      <c r="U617" s="1">
        <v>1.00646908E8</v>
      </c>
      <c r="X617" s="1" t="s">
        <v>781</v>
      </c>
      <c r="Y617" s="1" t="s">
        <v>1969</v>
      </c>
      <c r="Z617" s="1" t="s">
        <v>37</v>
      </c>
    </row>
    <row r="618" hidden="1">
      <c r="A618" s="1" t="s">
        <v>2442</v>
      </c>
      <c r="B618" s="1" t="s">
        <v>315</v>
      </c>
      <c r="C618" s="1" t="s">
        <v>2443</v>
      </c>
      <c r="D618" s="1" t="s">
        <v>122</v>
      </c>
      <c r="E618" s="1" t="s">
        <v>28</v>
      </c>
      <c r="F618" s="2">
        <v>1950000.0</v>
      </c>
      <c r="G618" s="1" t="s">
        <v>568</v>
      </c>
      <c r="H618" s="4">
        <f>IFERROR(__xludf.DUMMYFUNCTION("DATE(INDEX(SPLIT(G618,""/""),,3),INDEX(SPLIT(G618,""/""),,2),INDEX(SPLIT(G618,""/""),,1))"),44587.0)</f>
        <v>44587</v>
      </c>
      <c r="I618" s="1" t="s">
        <v>130</v>
      </c>
      <c r="J618" s="4">
        <f>IFERROR(__xludf.DUMMYFUNCTION("DATE(INDEX(SPLIT(I618,""/""),,3),INDEX(SPLIT(I618,""/""),,2),INDEX(SPLIT(I618,""/""),,1))"),44804.0)</f>
        <v>44804</v>
      </c>
      <c r="L618" s="1">
        <v>0.0</v>
      </c>
      <c r="M618" s="1" t="s">
        <v>2444</v>
      </c>
      <c r="N618" s="1"/>
      <c r="O618" s="1" t="s">
        <v>30</v>
      </c>
      <c r="P618" s="1" t="s">
        <v>31</v>
      </c>
      <c r="Q618" s="1" t="s">
        <v>71</v>
      </c>
      <c r="R618" s="1" t="s">
        <v>71</v>
      </c>
      <c r="S618" s="1" t="s">
        <v>72</v>
      </c>
      <c r="T618" s="1" t="s">
        <v>73</v>
      </c>
      <c r="U618" s="1">
        <v>1.00612395E8</v>
      </c>
      <c r="X618" s="1" t="s">
        <v>74</v>
      </c>
      <c r="Y618" s="1" t="s">
        <v>2445</v>
      </c>
      <c r="Z618" s="1" t="s">
        <v>37</v>
      </c>
    </row>
    <row r="619" hidden="1">
      <c r="A619" s="1" t="s">
        <v>2446</v>
      </c>
      <c r="B619" s="1" t="s">
        <v>1854</v>
      </c>
      <c r="C619" s="1" t="s">
        <v>2447</v>
      </c>
      <c r="D619" s="1" t="s">
        <v>122</v>
      </c>
      <c r="E619" s="1" t="s">
        <v>28</v>
      </c>
      <c r="F619" s="2">
        <v>1900000.0</v>
      </c>
      <c r="G619" s="1" t="s">
        <v>534</v>
      </c>
      <c r="H619" s="4">
        <f>IFERROR(__xludf.DUMMYFUNCTION("DATE(INDEX(SPLIT(G619,""/""),,3),INDEX(SPLIT(G619,""/""),,2),INDEX(SPLIT(G619,""/""),,1))"),44704.0)</f>
        <v>44704</v>
      </c>
      <c r="I619" s="1" t="s">
        <v>360</v>
      </c>
      <c r="J619" s="4">
        <f>IFERROR(__xludf.DUMMYFUNCTION("DATE(INDEX(SPLIT(I619,""/""),,3),INDEX(SPLIT(I619,""/""),,2),INDEX(SPLIT(I619,""/""),,1))"),44895.0)</f>
        <v>44895</v>
      </c>
      <c r="L619" s="1">
        <v>0.0</v>
      </c>
      <c r="M619" s="1" t="s">
        <v>1856</v>
      </c>
      <c r="N619" s="1"/>
      <c r="O619" s="1" t="s">
        <v>30</v>
      </c>
      <c r="P619" s="1" t="s">
        <v>31</v>
      </c>
      <c r="Q619" s="1" t="s">
        <v>32</v>
      </c>
      <c r="R619" s="1" t="s">
        <v>32</v>
      </c>
      <c r="S619" s="1" t="s">
        <v>33</v>
      </c>
      <c r="T619" s="1" t="s">
        <v>103</v>
      </c>
      <c r="U619" s="1">
        <v>1.00587434E8</v>
      </c>
      <c r="X619" s="1" t="s">
        <v>63</v>
      </c>
      <c r="Y619" s="1" t="s">
        <v>2448</v>
      </c>
      <c r="Z619" s="1" t="s">
        <v>37</v>
      </c>
    </row>
    <row r="620" hidden="1">
      <c r="A620" s="1" t="s">
        <v>2449</v>
      </c>
      <c r="B620" s="1" t="s">
        <v>76</v>
      </c>
      <c r="C620" s="1" t="s">
        <v>2450</v>
      </c>
      <c r="D620" s="1" t="s">
        <v>27</v>
      </c>
      <c r="E620" s="1" t="s">
        <v>28</v>
      </c>
      <c r="F620" s="2">
        <v>1900000.0</v>
      </c>
      <c r="G620" s="1" t="s">
        <v>518</v>
      </c>
      <c r="H620" s="4">
        <f>IFERROR(__xludf.DUMMYFUNCTION("DATE(INDEX(SPLIT(G620,""/""),,3),INDEX(SPLIT(G620,""/""),,2),INDEX(SPLIT(G620,""/""),,1))"),44757.0)</f>
        <v>44757</v>
      </c>
      <c r="I620" s="1" t="s">
        <v>999</v>
      </c>
      <c r="J620" s="4">
        <f>IFERROR(__xludf.DUMMYFUNCTION("DATE(INDEX(SPLIT(I620,""/""),,3),INDEX(SPLIT(I620,""/""),,2),INDEX(SPLIT(I620,""/""),,1))"),44953.0)</f>
        <v>44953</v>
      </c>
      <c r="L620" s="1">
        <v>0.0</v>
      </c>
      <c r="M620" s="1" t="s">
        <v>1084</v>
      </c>
      <c r="N620" s="1"/>
      <c r="O620" s="1" t="s">
        <v>30</v>
      </c>
      <c r="P620" s="1" t="s">
        <v>31</v>
      </c>
      <c r="Q620" s="1" t="s">
        <v>32</v>
      </c>
      <c r="R620" s="1" t="s">
        <v>32</v>
      </c>
      <c r="S620" s="1" t="s">
        <v>33</v>
      </c>
      <c r="U620" s="1">
        <v>1.00601386E8</v>
      </c>
      <c r="V620" s="1" t="s">
        <v>2451</v>
      </c>
      <c r="W620" s="1" t="s">
        <v>199</v>
      </c>
      <c r="X620" s="1" t="s">
        <v>81</v>
      </c>
      <c r="Y620" s="1" t="s">
        <v>1084</v>
      </c>
      <c r="Z620" s="1" t="s">
        <v>37</v>
      </c>
    </row>
    <row r="621" hidden="1">
      <c r="A621" s="1" t="s">
        <v>2452</v>
      </c>
      <c r="B621" s="1" t="s">
        <v>2453</v>
      </c>
      <c r="C621" s="1" t="s">
        <v>2454</v>
      </c>
      <c r="D621" s="1" t="s">
        <v>68</v>
      </c>
      <c r="E621" s="1" t="s">
        <v>28</v>
      </c>
      <c r="F621" s="2">
        <v>1900000.0</v>
      </c>
      <c r="G621" s="1" t="s">
        <v>2455</v>
      </c>
      <c r="H621" s="4">
        <f>IFERROR(__xludf.DUMMYFUNCTION("DATE(INDEX(SPLIT(G621,""/""),,3),INDEX(SPLIT(G621,""/""),,2),INDEX(SPLIT(G621,""/""),,1))"),44606.0)</f>
        <v>44606</v>
      </c>
      <c r="I621" s="1" t="s">
        <v>1799</v>
      </c>
      <c r="J621" s="4">
        <f>IFERROR(__xludf.DUMMYFUNCTION("DATE(INDEX(SPLIT(I621,""/""),,3),INDEX(SPLIT(I621,""/""),,2),INDEX(SPLIT(I621,""/""),,1))"),44788.0)</f>
        <v>44788</v>
      </c>
      <c r="L621" s="1">
        <v>0.0</v>
      </c>
      <c r="M621" s="1" t="s">
        <v>166</v>
      </c>
      <c r="N621" s="1"/>
      <c r="O621" s="1" t="s">
        <v>30</v>
      </c>
      <c r="P621" s="1" t="s">
        <v>31</v>
      </c>
      <c r="Q621" s="1" t="s">
        <v>53</v>
      </c>
      <c r="R621" s="1" t="s">
        <v>53</v>
      </c>
      <c r="S621" s="1" t="s">
        <v>54</v>
      </c>
      <c r="T621" s="1" t="s">
        <v>2372</v>
      </c>
      <c r="U621" s="1">
        <v>1.00651094E8</v>
      </c>
      <c r="X621" s="1" t="s">
        <v>239</v>
      </c>
      <c r="Y621" s="1" t="s">
        <v>2456</v>
      </c>
      <c r="Z621" s="1" t="s">
        <v>37</v>
      </c>
    </row>
    <row r="622">
      <c r="A622" s="1" t="s">
        <v>2457</v>
      </c>
      <c r="B622" s="1" t="s">
        <v>774</v>
      </c>
      <c r="C622" s="1" t="s">
        <v>2458</v>
      </c>
      <c r="D622" s="1" t="s">
        <v>122</v>
      </c>
      <c r="E622" s="1" t="s">
        <v>28</v>
      </c>
      <c r="F622" s="2">
        <v>1900000.0</v>
      </c>
      <c r="G622" s="4">
        <v>44775.0</v>
      </c>
      <c r="H622" s="4">
        <f>IFERROR(__xludf.DUMMYFUNCTION("DATE(INDEX(SPLIT(G622,""/""),,3),INDEX(SPLIT(G622,""/""),,2),INDEX(SPLIT(G622,""/""),,1))"),44600.0)</f>
        <v>44600</v>
      </c>
      <c r="I622" s="1" t="s">
        <v>226</v>
      </c>
      <c r="J622" s="4">
        <f>IFERROR(__xludf.DUMMYFUNCTION("DATE(INDEX(SPLIT(I622,""/""),,3),INDEX(SPLIT(I622,""/""),,2),INDEX(SPLIT(I622,""/""),,1))"),44771.0)</f>
        <v>44771</v>
      </c>
      <c r="K622" s="1" t="s">
        <v>2459</v>
      </c>
      <c r="L622" s="1">
        <v>0.0</v>
      </c>
      <c r="M622" s="1" t="s">
        <v>2336</v>
      </c>
      <c r="N622" s="1"/>
      <c r="O622" s="1" t="s">
        <v>30</v>
      </c>
      <c r="P622" s="1" t="s">
        <v>31</v>
      </c>
      <c r="Q622" s="1" t="s">
        <v>235</v>
      </c>
      <c r="R622" s="1" t="s">
        <v>235</v>
      </c>
      <c r="S622" s="1" t="s">
        <v>236</v>
      </c>
      <c r="T622" s="1" t="s">
        <v>237</v>
      </c>
      <c r="U622" s="1">
        <v>1.00608366E8</v>
      </c>
      <c r="V622" s="1" t="s">
        <v>2460</v>
      </c>
      <c r="W622" s="1" t="s">
        <v>199</v>
      </c>
      <c r="X622" s="1" t="s">
        <v>239</v>
      </c>
      <c r="Y622" s="1" t="s">
        <v>2336</v>
      </c>
      <c r="Z622" s="1" t="s">
        <v>37</v>
      </c>
    </row>
    <row r="623">
      <c r="A623" s="1" t="s">
        <v>2461</v>
      </c>
      <c r="B623" s="1" t="s">
        <v>2462</v>
      </c>
      <c r="C623" s="1" t="s">
        <v>2463</v>
      </c>
      <c r="D623" s="1" t="s">
        <v>78</v>
      </c>
      <c r="E623" s="1" t="s">
        <v>28</v>
      </c>
      <c r="F623" s="2">
        <v>1900000.0</v>
      </c>
      <c r="G623" s="1" t="s">
        <v>518</v>
      </c>
      <c r="H623" s="4">
        <f>IFERROR(__xludf.DUMMYFUNCTION("DATE(INDEX(SPLIT(G623,""/""),,3),INDEX(SPLIT(G623,""/""),,2),INDEX(SPLIT(G623,""/""),,1))"),44757.0)</f>
        <v>44757</v>
      </c>
      <c r="I623" s="1" t="s">
        <v>226</v>
      </c>
      <c r="J623" s="4">
        <f>IFERROR(__xludf.DUMMYFUNCTION("DATE(INDEX(SPLIT(I623,""/""),,3),INDEX(SPLIT(I623,""/""),,2),INDEX(SPLIT(I623,""/""),,1))"),44771.0)</f>
        <v>44771</v>
      </c>
      <c r="L623" s="1">
        <v>0.0</v>
      </c>
      <c r="M623" s="1" t="s">
        <v>2464</v>
      </c>
      <c r="N623" s="1"/>
      <c r="O623" s="1" t="s">
        <v>30</v>
      </c>
      <c r="P623" s="1" t="s">
        <v>31</v>
      </c>
      <c r="Q623" s="1" t="s">
        <v>157</v>
      </c>
      <c r="R623" s="1" t="s">
        <v>157</v>
      </c>
      <c r="S623" s="1" t="s">
        <v>158</v>
      </c>
      <c r="T623" s="1" t="s">
        <v>571</v>
      </c>
      <c r="U623" s="1">
        <v>1.00589278E8</v>
      </c>
      <c r="V623" s="1" t="s">
        <v>2465</v>
      </c>
      <c r="W623" s="1" t="s">
        <v>45</v>
      </c>
      <c r="Y623" s="1" t="s">
        <v>2466</v>
      </c>
      <c r="Z623" s="1" t="s">
        <v>37</v>
      </c>
    </row>
    <row r="624" hidden="1">
      <c r="A624" s="1" t="s">
        <v>2467</v>
      </c>
      <c r="B624" s="1" t="s">
        <v>1216</v>
      </c>
      <c r="C624" s="1" t="s">
        <v>2468</v>
      </c>
      <c r="D624" s="1" t="s">
        <v>122</v>
      </c>
      <c r="E624" s="1" t="s">
        <v>28</v>
      </c>
      <c r="F624" s="2">
        <v>1888000.0</v>
      </c>
      <c r="G624" s="4">
        <v>44900.0</v>
      </c>
      <c r="H624" s="4">
        <f>IFERROR(__xludf.DUMMYFUNCTION("DATE(INDEX(SPLIT(G624,""/""),,3),INDEX(SPLIT(G624,""/""),,2),INDEX(SPLIT(G624,""/""),,1))"),44693.0)</f>
        <v>44693</v>
      </c>
      <c r="I624" s="4">
        <v>44689.0</v>
      </c>
      <c r="J624" s="4">
        <f>IFERROR(__xludf.DUMMYFUNCTION("DATE(INDEX(SPLIT(I624,""/""),,3),INDEX(SPLIT(I624,""/""),,2),INDEX(SPLIT(I624,""/""),,1))"),44778.0)</f>
        <v>44778</v>
      </c>
      <c r="L624" s="1">
        <v>0.0</v>
      </c>
      <c r="M624" s="1" t="s">
        <v>2469</v>
      </c>
      <c r="N624" s="1"/>
      <c r="O624" s="1" t="s">
        <v>30</v>
      </c>
      <c r="P624" s="1" t="s">
        <v>31</v>
      </c>
      <c r="Q624" s="1" t="s">
        <v>235</v>
      </c>
      <c r="R624" s="1" t="s">
        <v>235</v>
      </c>
      <c r="S624" s="1" t="s">
        <v>236</v>
      </c>
      <c r="T624" s="1" t="s">
        <v>602</v>
      </c>
      <c r="U624" s="1">
        <v>1.00660029E8</v>
      </c>
      <c r="X624" s="1" t="s">
        <v>88</v>
      </c>
      <c r="Y624" s="1" t="s">
        <v>2469</v>
      </c>
      <c r="Z624" s="1" t="s">
        <v>527</v>
      </c>
    </row>
    <row r="625" hidden="1">
      <c r="A625" s="1" t="s">
        <v>2470</v>
      </c>
      <c r="B625" s="1" t="s">
        <v>337</v>
      </c>
      <c r="C625" s="1" t="s">
        <v>2471</v>
      </c>
      <c r="D625" s="1" t="s">
        <v>78</v>
      </c>
      <c r="E625" s="1" t="s">
        <v>28</v>
      </c>
      <c r="F625" s="2">
        <v>1881566.0</v>
      </c>
      <c r="G625" s="4">
        <v>44779.0</v>
      </c>
      <c r="H625" s="4">
        <f>IFERROR(__xludf.DUMMYFUNCTION("DATE(INDEX(SPLIT(G625,""/""),,3),INDEX(SPLIT(G625,""/""),,2),INDEX(SPLIT(G625,""/""),,1))"),44720.0)</f>
        <v>44720</v>
      </c>
      <c r="I625" s="1" t="s">
        <v>109</v>
      </c>
      <c r="J625" s="4">
        <f>IFERROR(__xludf.DUMMYFUNCTION("DATE(INDEX(SPLIT(I625,""/""),,3),INDEX(SPLIT(I625,""/""),,2),INDEX(SPLIT(I625,""/""),,1))"),44834.0)</f>
        <v>44834</v>
      </c>
      <c r="L625" s="1">
        <v>0.0</v>
      </c>
      <c r="M625" s="1" t="s">
        <v>2472</v>
      </c>
      <c r="N625" s="1"/>
      <c r="O625" s="1" t="s">
        <v>30</v>
      </c>
      <c r="P625" s="1" t="s">
        <v>31</v>
      </c>
      <c r="Q625" s="1" t="s">
        <v>228</v>
      </c>
      <c r="R625" s="1" t="s">
        <v>228</v>
      </c>
      <c r="S625" s="1" t="s">
        <v>229</v>
      </c>
      <c r="T625" s="1" t="s">
        <v>640</v>
      </c>
      <c r="U625" s="1">
        <v>1.00645232E8</v>
      </c>
      <c r="X625" s="1" t="s">
        <v>239</v>
      </c>
      <c r="Y625" s="1" t="s">
        <v>2445</v>
      </c>
      <c r="Z625" s="1" t="s">
        <v>37</v>
      </c>
    </row>
    <row r="626">
      <c r="A626" s="1" t="s">
        <v>2473</v>
      </c>
      <c r="B626" s="1" t="s">
        <v>162</v>
      </c>
      <c r="C626" s="1" t="s">
        <v>2474</v>
      </c>
      <c r="D626" s="1" t="s">
        <v>122</v>
      </c>
      <c r="E626" s="1" t="s">
        <v>28</v>
      </c>
      <c r="F626" s="2">
        <v>1870000.0</v>
      </c>
      <c r="G626" s="4">
        <v>44748.0</v>
      </c>
      <c r="H626" s="4">
        <f>IFERROR(__xludf.DUMMYFUNCTION("DATE(INDEX(SPLIT(G626,""/""),,3),INDEX(SPLIT(G626,""/""),,2),INDEX(SPLIT(G626,""/""),,1))"),44719.0)</f>
        <v>44719</v>
      </c>
      <c r="I626" s="4">
        <v>44780.0</v>
      </c>
      <c r="J626" s="4">
        <f>IFERROR(__xludf.DUMMYFUNCTION("DATE(INDEX(SPLIT(I626,""/""),,3),INDEX(SPLIT(I626,""/""),,2),INDEX(SPLIT(I626,""/""),,1))"),44750.0)</f>
        <v>44750</v>
      </c>
      <c r="L626" s="1">
        <v>0.0</v>
      </c>
      <c r="M626" s="1" t="s">
        <v>577</v>
      </c>
      <c r="N626" s="1"/>
      <c r="O626" s="1" t="s">
        <v>30</v>
      </c>
      <c r="P626" s="1" t="s">
        <v>31</v>
      </c>
      <c r="Q626" s="1" t="s">
        <v>53</v>
      </c>
      <c r="R626" s="1" t="s">
        <v>53</v>
      </c>
      <c r="S626" s="1" t="s">
        <v>54</v>
      </c>
      <c r="T626" s="1" t="s">
        <v>2475</v>
      </c>
      <c r="U626" s="1">
        <v>1.00579505E8</v>
      </c>
      <c r="X626" s="1" t="s">
        <v>117</v>
      </c>
      <c r="Y626" s="1" t="s">
        <v>2476</v>
      </c>
      <c r="Z626" s="1" t="s">
        <v>37</v>
      </c>
    </row>
    <row r="627" hidden="1">
      <c r="A627" s="1" t="s">
        <v>2477</v>
      </c>
      <c r="B627" s="1" t="s">
        <v>975</v>
      </c>
      <c r="C627" s="1" t="s">
        <v>2478</v>
      </c>
      <c r="D627" s="1" t="s">
        <v>122</v>
      </c>
      <c r="E627" s="1" t="s">
        <v>28</v>
      </c>
      <c r="F627" s="2">
        <v>1850000.0</v>
      </c>
      <c r="G627" s="1" t="s">
        <v>1154</v>
      </c>
      <c r="H627" s="4">
        <f>IFERROR(__xludf.DUMMYFUNCTION("DATE(INDEX(SPLIT(G627,""/""),,3),INDEX(SPLIT(G627,""/""),,2),INDEX(SPLIT(G627,""/""),,1))"),44735.0)</f>
        <v>44735</v>
      </c>
      <c r="I627" s="4">
        <v>44689.0</v>
      </c>
      <c r="J627" s="4">
        <f>IFERROR(__xludf.DUMMYFUNCTION("DATE(INDEX(SPLIT(I627,""/""),,3),INDEX(SPLIT(I627,""/""),,2),INDEX(SPLIT(I627,""/""),,1))"),44778.0)</f>
        <v>44778</v>
      </c>
      <c r="L627" s="1">
        <v>0.0</v>
      </c>
      <c r="M627" s="1" t="s">
        <v>978</v>
      </c>
      <c r="N627" s="1"/>
      <c r="O627" s="1" t="s">
        <v>30</v>
      </c>
      <c r="P627" s="1" t="s">
        <v>31</v>
      </c>
      <c r="Q627" s="1" t="s">
        <v>235</v>
      </c>
      <c r="R627" s="1" t="s">
        <v>235</v>
      </c>
      <c r="S627" s="1" t="s">
        <v>236</v>
      </c>
      <c r="T627" s="1" t="s">
        <v>438</v>
      </c>
      <c r="U627" s="1">
        <v>1.00608243E8</v>
      </c>
      <c r="X627" s="1" t="s">
        <v>88</v>
      </c>
      <c r="Y627" s="1" t="s">
        <v>979</v>
      </c>
      <c r="Z627" s="1" t="s">
        <v>206</v>
      </c>
    </row>
    <row r="628" hidden="1">
      <c r="A628" s="1" t="s">
        <v>2479</v>
      </c>
      <c r="B628" s="1" t="s">
        <v>337</v>
      </c>
      <c r="C628" s="1" t="s">
        <v>2480</v>
      </c>
      <c r="D628" s="1" t="s">
        <v>122</v>
      </c>
      <c r="E628" s="1" t="s">
        <v>28</v>
      </c>
      <c r="F628" s="2">
        <v>1850000.0</v>
      </c>
      <c r="G628" s="4">
        <v>44779.0</v>
      </c>
      <c r="H628" s="4">
        <f>IFERROR(__xludf.DUMMYFUNCTION("DATE(INDEX(SPLIT(G628,""/""),,3),INDEX(SPLIT(G628,""/""),,2),INDEX(SPLIT(G628,""/""),,1))"),44720.0)</f>
        <v>44720</v>
      </c>
      <c r="I628" s="1" t="s">
        <v>109</v>
      </c>
      <c r="J628" s="4">
        <f>IFERROR(__xludf.DUMMYFUNCTION("DATE(INDEX(SPLIT(I628,""/""),,3),INDEX(SPLIT(I628,""/""),,2),INDEX(SPLIT(I628,""/""),,1))"),44834.0)</f>
        <v>44834</v>
      </c>
      <c r="L628" s="1">
        <v>0.0</v>
      </c>
      <c r="M628" s="1" t="s">
        <v>2472</v>
      </c>
      <c r="N628" s="1"/>
      <c r="O628" s="1" t="s">
        <v>30</v>
      </c>
      <c r="P628" s="1" t="s">
        <v>31</v>
      </c>
      <c r="Q628" s="1" t="s">
        <v>228</v>
      </c>
      <c r="R628" s="1" t="s">
        <v>228</v>
      </c>
      <c r="S628" s="1" t="s">
        <v>229</v>
      </c>
      <c r="T628" s="1" t="s">
        <v>640</v>
      </c>
      <c r="U628" s="1">
        <v>1.00645232E8</v>
      </c>
      <c r="X628" s="1" t="s">
        <v>239</v>
      </c>
      <c r="Y628" s="1" t="s">
        <v>2481</v>
      </c>
      <c r="Z628" s="1" t="s">
        <v>37</v>
      </c>
    </row>
    <row r="629" hidden="1">
      <c r="A629" s="1" t="s">
        <v>2482</v>
      </c>
      <c r="B629" s="1" t="s">
        <v>2483</v>
      </c>
      <c r="C629" s="1" t="s">
        <v>2484</v>
      </c>
      <c r="D629" s="1" t="s">
        <v>122</v>
      </c>
      <c r="E629" s="1" t="s">
        <v>28</v>
      </c>
      <c r="F629" s="2">
        <v>1800750.0</v>
      </c>
      <c r="G629" s="4">
        <v>44564.0</v>
      </c>
      <c r="H629" s="4">
        <f>IFERROR(__xludf.DUMMYFUNCTION("DATE(INDEX(SPLIT(G629,""/""),,3),INDEX(SPLIT(G629,""/""),,2),INDEX(SPLIT(G629,""/""),,1))"),44621.0)</f>
        <v>44621</v>
      </c>
      <c r="I629" s="1" t="s">
        <v>109</v>
      </c>
      <c r="J629" s="4">
        <f>IFERROR(__xludf.DUMMYFUNCTION("DATE(INDEX(SPLIT(I629,""/""),,3),INDEX(SPLIT(I629,""/""),,2),INDEX(SPLIT(I629,""/""),,1))"),44834.0)</f>
        <v>44834</v>
      </c>
      <c r="L629" s="1">
        <v>0.0</v>
      </c>
      <c r="M629" s="1" t="s">
        <v>2072</v>
      </c>
      <c r="N629" s="1"/>
      <c r="O629" s="1" t="s">
        <v>30</v>
      </c>
      <c r="P629" s="1" t="s">
        <v>31</v>
      </c>
      <c r="Q629" s="1" t="s">
        <v>71</v>
      </c>
      <c r="R629" s="1" t="s">
        <v>71</v>
      </c>
      <c r="S629" s="1" t="s">
        <v>72</v>
      </c>
      <c r="T629" s="1" t="s">
        <v>136</v>
      </c>
      <c r="U629" s="1">
        <v>1.00628181E8</v>
      </c>
      <c r="X629" s="1" t="s">
        <v>74</v>
      </c>
      <c r="Y629" s="1" t="s">
        <v>2485</v>
      </c>
      <c r="Z629" s="1" t="s">
        <v>37</v>
      </c>
    </row>
    <row r="630" hidden="1">
      <c r="A630" s="1" t="s">
        <v>2486</v>
      </c>
      <c r="B630" s="1" t="s">
        <v>1748</v>
      </c>
      <c r="C630" s="1" t="s">
        <v>2487</v>
      </c>
      <c r="D630" s="1" t="s">
        <v>27</v>
      </c>
      <c r="E630" s="1" t="s">
        <v>28</v>
      </c>
      <c r="F630" s="2">
        <v>1800000.0</v>
      </c>
      <c r="G630" s="4">
        <v>44656.0</v>
      </c>
      <c r="H630" s="4">
        <f>IFERROR(__xludf.DUMMYFUNCTION("DATE(INDEX(SPLIT(G630,""/""),,3),INDEX(SPLIT(G630,""/""),,2),INDEX(SPLIT(G630,""/""),,1))"),44685.0)</f>
        <v>44685</v>
      </c>
      <c r="I630" s="1" t="s">
        <v>203</v>
      </c>
      <c r="J630" s="4">
        <f>IFERROR(__xludf.DUMMYFUNCTION("DATE(INDEX(SPLIT(I630,""/""),,3),INDEX(SPLIT(I630,""/""),,2),INDEX(SPLIT(I630,""/""),,1))"),44925.0)</f>
        <v>44925</v>
      </c>
      <c r="L630" s="1">
        <v>0.0</v>
      </c>
      <c r="M630" s="1" t="s">
        <v>2488</v>
      </c>
      <c r="N630" s="1"/>
      <c r="O630" s="1" t="s">
        <v>30</v>
      </c>
      <c r="P630" s="1" t="s">
        <v>31</v>
      </c>
      <c r="Q630" s="1" t="s">
        <v>95</v>
      </c>
      <c r="R630" s="1" t="s">
        <v>95</v>
      </c>
      <c r="S630" s="1" t="s">
        <v>96</v>
      </c>
      <c r="U630" s="1">
        <v>1.00646485E8</v>
      </c>
      <c r="X630" s="1" t="s">
        <v>88</v>
      </c>
      <c r="Y630" s="1" t="s">
        <v>2489</v>
      </c>
      <c r="Z630" s="1" t="s">
        <v>527</v>
      </c>
    </row>
    <row r="631">
      <c r="A631" s="1" t="s">
        <v>2490</v>
      </c>
      <c r="B631" s="1" t="s">
        <v>2491</v>
      </c>
      <c r="C631" s="1" t="s">
        <v>2492</v>
      </c>
      <c r="D631" s="1" t="s">
        <v>122</v>
      </c>
      <c r="E631" s="1" t="s">
        <v>28</v>
      </c>
      <c r="F631" s="2">
        <v>1800000.0</v>
      </c>
      <c r="G631" s="1" t="s">
        <v>233</v>
      </c>
      <c r="H631" s="4">
        <f>IFERROR(__xludf.DUMMYFUNCTION("DATE(INDEX(SPLIT(G631,""/""),,3),INDEX(SPLIT(G631,""/""),,2),INDEX(SPLIT(G631,""/""),,1))"),44729.0)</f>
        <v>44729</v>
      </c>
      <c r="I631" s="1" t="s">
        <v>226</v>
      </c>
      <c r="J631" s="4">
        <f>IFERROR(__xludf.DUMMYFUNCTION("DATE(INDEX(SPLIT(I631,""/""),,3),INDEX(SPLIT(I631,""/""),,2),INDEX(SPLIT(I631,""/""),,1))"),44771.0)</f>
        <v>44771</v>
      </c>
      <c r="L631" s="1">
        <v>0.0</v>
      </c>
      <c r="M631" s="1" t="s">
        <v>633</v>
      </c>
      <c r="N631" s="1"/>
      <c r="O631" s="1" t="s">
        <v>30</v>
      </c>
      <c r="P631" s="1" t="s">
        <v>31</v>
      </c>
      <c r="Q631" s="1" t="s">
        <v>53</v>
      </c>
      <c r="R631" s="1" t="s">
        <v>53</v>
      </c>
      <c r="S631" s="1" t="s">
        <v>54</v>
      </c>
      <c r="T631" s="1" t="s">
        <v>634</v>
      </c>
      <c r="U631" s="1">
        <v>1.00997154E8</v>
      </c>
      <c r="X631" s="1" t="s">
        <v>490</v>
      </c>
      <c r="Y631" s="1" t="s">
        <v>633</v>
      </c>
      <c r="Z631" s="1" t="s">
        <v>37</v>
      </c>
    </row>
    <row r="632" hidden="1">
      <c r="A632" s="1" t="s">
        <v>2493</v>
      </c>
      <c r="B632" s="1" t="s">
        <v>2494</v>
      </c>
      <c r="C632" s="1" t="s">
        <v>2495</v>
      </c>
      <c r="D632" s="1" t="s">
        <v>122</v>
      </c>
      <c r="E632" s="1" t="s">
        <v>28</v>
      </c>
      <c r="F632" s="2">
        <v>1800000.0</v>
      </c>
      <c r="G632" s="1" t="s">
        <v>2496</v>
      </c>
      <c r="H632" s="4">
        <f>IFERROR(__xludf.DUMMYFUNCTION("DATE(INDEX(SPLIT(G632,""/""),,3),INDEX(SPLIT(G632,""/""),,2),INDEX(SPLIT(G632,""/""),,1))"),44240.0)</f>
        <v>44240</v>
      </c>
      <c r="I632" s="1" t="s">
        <v>109</v>
      </c>
      <c r="J632" s="4">
        <f>IFERROR(__xludf.DUMMYFUNCTION("DATE(INDEX(SPLIT(I632,""/""),,3),INDEX(SPLIT(I632,""/""),,2),INDEX(SPLIT(I632,""/""),,1))"),44834.0)</f>
        <v>44834</v>
      </c>
      <c r="K632" s="1" t="s">
        <v>2497</v>
      </c>
      <c r="L632" s="1">
        <v>0.0</v>
      </c>
      <c r="M632" s="1" t="s">
        <v>1084</v>
      </c>
      <c r="N632" s="1"/>
      <c r="O632" s="1" t="s">
        <v>30</v>
      </c>
      <c r="P632" s="1" t="s">
        <v>31</v>
      </c>
      <c r="Q632" s="1" t="s">
        <v>32</v>
      </c>
      <c r="R632" s="1" t="s">
        <v>32</v>
      </c>
      <c r="S632" s="1" t="s">
        <v>33</v>
      </c>
      <c r="T632" s="1" t="s">
        <v>34</v>
      </c>
      <c r="U632" s="1">
        <v>1.00601386E8</v>
      </c>
      <c r="X632" s="1" t="s">
        <v>81</v>
      </c>
      <c r="Y632" s="1" t="s">
        <v>467</v>
      </c>
      <c r="Z632" s="1" t="s">
        <v>37</v>
      </c>
    </row>
    <row r="633">
      <c r="A633" s="1" t="s">
        <v>2498</v>
      </c>
      <c r="B633" s="1" t="s">
        <v>546</v>
      </c>
      <c r="C633" s="1" t="s">
        <v>2499</v>
      </c>
      <c r="D633" s="1" t="s">
        <v>122</v>
      </c>
      <c r="E633" s="1" t="s">
        <v>28</v>
      </c>
      <c r="F633" s="2">
        <v>1800000.0</v>
      </c>
      <c r="G633" s="4">
        <v>44625.0</v>
      </c>
      <c r="H633" s="4">
        <f>IFERROR(__xludf.DUMMYFUNCTION("DATE(INDEX(SPLIT(G633,""/""),,3),INDEX(SPLIT(G633,""/""),,2),INDEX(SPLIT(G633,""/""),,1))"),44684.0)</f>
        <v>44684</v>
      </c>
      <c r="I633" s="1" t="s">
        <v>226</v>
      </c>
      <c r="J633" s="4">
        <f>IFERROR(__xludf.DUMMYFUNCTION("DATE(INDEX(SPLIT(I633,""/""),,3),INDEX(SPLIT(I633,""/""),,2),INDEX(SPLIT(I633,""/""),,1))"),44771.0)</f>
        <v>44771</v>
      </c>
      <c r="L633" s="1">
        <v>0.0</v>
      </c>
      <c r="M633" s="1" t="s">
        <v>318</v>
      </c>
      <c r="N633" s="1"/>
      <c r="O633" s="1" t="s">
        <v>30</v>
      </c>
      <c r="P633" s="1" t="s">
        <v>31</v>
      </c>
      <c r="Q633" s="1" t="s">
        <v>71</v>
      </c>
      <c r="R633" s="1" t="s">
        <v>71</v>
      </c>
      <c r="S633" s="1" t="s">
        <v>72</v>
      </c>
      <c r="T633" s="1" t="s">
        <v>73</v>
      </c>
      <c r="U633" s="1">
        <v>1.00654705E8</v>
      </c>
      <c r="X633" s="1" t="s">
        <v>74</v>
      </c>
      <c r="Y633" s="1" t="s">
        <v>318</v>
      </c>
      <c r="Z633" s="1" t="s">
        <v>37</v>
      </c>
    </row>
    <row r="634" hidden="1">
      <c r="A634" s="1" t="s">
        <v>2500</v>
      </c>
      <c r="B634" s="1" t="s">
        <v>2501</v>
      </c>
      <c r="C634" s="1" t="s">
        <v>2502</v>
      </c>
      <c r="D634" s="1" t="s">
        <v>78</v>
      </c>
      <c r="E634" s="1" t="s">
        <v>28</v>
      </c>
      <c r="F634" s="2">
        <v>1800000.0</v>
      </c>
      <c r="G634" s="4">
        <v>44298.0</v>
      </c>
      <c r="H634" s="4">
        <f>IFERROR(__xludf.DUMMYFUNCTION("DATE(INDEX(SPLIT(G634,""/""),,3),INDEX(SPLIT(G634,""/""),,2),INDEX(SPLIT(G634,""/""),,1))"),44534.0)</f>
        <v>44534</v>
      </c>
      <c r="I634" s="1" t="s">
        <v>317</v>
      </c>
      <c r="J634" s="4">
        <f>IFERROR(__xludf.DUMMYFUNCTION("DATE(INDEX(SPLIT(I634,""/""),,3),INDEX(SPLIT(I634,""/""),,2),INDEX(SPLIT(I634,""/""),,1))"),44862.0)</f>
        <v>44862</v>
      </c>
      <c r="L634" s="1">
        <v>0.0</v>
      </c>
      <c r="M634" s="1" t="s">
        <v>2503</v>
      </c>
      <c r="N634" s="1"/>
      <c r="O634" s="1" t="s">
        <v>30</v>
      </c>
      <c r="P634" s="1" t="s">
        <v>31</v>
      </c>
      <c r="Q634" s="1" t="s">
        <v>32</v>
      </c>
      <c r="R634" s="1" t="s">
        <v>32</v>
      </c>
      <c r="S634" s="1" t="s">
        <v>33</v>
      </c>
      <c r="T634" s="1" t="s">
        <v>1195</v>
      </c>
      <c r="U634" s="1">
        <v>1.00610419E8</v>
      </c>
      <c r="X634" s="1" t="s">
        <v>490</v>
      </c>
      <c r="Y634" s="1" t="s">
        <v>2504</v>
      </c>
      <c r="Z634" s="1" t="s">
        <v>37</v>
      </c>
    </row>
    <row r="635" hidden="1">
      <c r="A635" s="1" t="s">
        <v>2505</v>
      </c>
      <c r="B635" s="1" t="s">
        <v>2506</v>
      </c>
      <c r="C635" s="1" t="s">
        <v>2507</v>
      </c>
      <c r="D635" s="1" t="s">
        <v>68</v>
      </c>
      <c r="E635" s="1" t="s">
        <v>28</v>
      </c>
      <c r="F635" s="2">
        <v>1800000.0</v>
      </c>
      <c r="G635" s="1" t="s">
        <v>1058</v>
      </c>
      <c r="H635" s="4">
        <f>IFERROR(__xludf.DUMMYFUNCTION("DATE(INDEX(SPLIT(G635,""/""),,3),INDEX(SPLIT(G635,""/""),,2),INDEX(SPLIT(G635,""/""),,1))"),44733.0)</f>
        <v>44733</v>
      </c>
      <c r="I635" s="4">
        <v>44571.0</v>
      </c>
      <c r="J635" s="4">
        <f>IFERROR(__xludf.DUMMYFUNCTION("DATE(INDEX(SPLIT(I635,""/""),,3),INDEX(SPLIT(I635,""/""),,2),INDEX(SPLIT(I635,""/""),,1))"),44835.0)</f>
        <v>44835</v>
      </c>
      <c r="L635" s="1">
        <v>0.0</v>
      </c>
      <c r="M635" s="1" t="s">
        <v>211</v>
      </c>
      <c r="N635" s="1"/>
      <c r="O635" s="1" t="s">
        <v>30</v>
      </c>
      <c r="P635" s="1" t="s">
        <v>31</v>
      </c>
      <c r="Q635" s="1" t="s">
        <v>71</v>
      </c>
      <c r="R635" s="1" t="s">
        <v>71</v>
      </c>
      <c r="S635" s="1" t="s">
        <v>72</v>
      </c>
      <c r="T635" s="1" t="s">
        <v>136</v>
      </c>
      <c r="U635" s="1">
        <v>1.00590896E8</v>
      </c>
      <c r="X635" s="1" t="s">
        <v>74</v>
      </c>
      <c r="Y635" s="1" t="s">
        <v>1172</v>
      </c>
      <c r="Z635" s="1" t="s">
        <v>37</v>
      </c>
    </row>
    <row r="636" hidden="1">
      <c r="A636" s="1" t="s">
        <v>2508</v>
      </c>
      <c r="B636" s="1" t="s">
        <v>806</v>
      </c>
      <c r="C636" s="1" t="s">
        <v>2509</v>
      </c>
      <c r="D636" s="1" t="s">
        <v>78</v>
      </c>
      <c r="E636" s="1" t="s">
        <v>28</v>
      </c>
      <c r="F636" s="2">
        <v>1800000.0</v>
      </c>
      <c r="G636" s="1" t="s">
        <v>2064</v>
      </c>
      <c r="H636" s="4">
        <f>IFERROR(__xludf.DUMMYFUNCTION("DATE(INDEX(SPLIT(G636,""/""),,3),INDEX(SPLIT(G636,""/""),,2),INDEX(SPLIT(G636,""/""),,1))"),44616.0)</f>
        <v>44616</v>
      </c>
      <c r="I636" s="1" t="s">
        <v>1361</v>
      </c>
      <c r="J636" s="4">
        <f>IFERROR(__xludf.DUMMYFUNCTION("DATE(INDEX(SPLIT(I636,""/""),,3),INDEX(SPLIT(I636,""/""),,2),INDEX(SPLIT(I636,""/""),,1))"),44827.0)</f>
        <v>44827</v>
      </c>
      <c r="L636" s="1">
        <v>0.0</v>
      </c>
      <c r="M636" s="1" t="s">
        <v>2510</v>
      </c>
      <c r="N636" s="1"/>
      <c r="O636" s="1" t="s">
        <v>30</v>
      </c>
      <c r="P636" s="1" t="s">
        <v>31</v>
      </c>
      <c r="Q636" s="1" t="s">
        <v>157</v>
      </c>
      <c r="R636" s="1" t="s">
        <v>157</v>
      </c>
      <c r="S636" s="1" t="s">
        <v>158</v>
      </c>
      <c r="T636" s="1" t="s">
        <v>442</v>
      </c>
      <c r="U636" s="1">
        <v>1.00634919E8</v>
      </c>
      <c r="X636" s="1" t="s">
        <v>117</v>
      </c>
      <c r="Y636" s="1" t="s">
        <v>2510</v>
      </c>
      <c r="Z636" s="1" t="s">
        <v>37</v>
      </c>
    </row>
    <row r="637" hidden="1">
      <c r="A637" s="1" t="s">
        <v>2511</v>
      </c>
      <c r="B637" s="1" t="s">
        <v>470</v>
      </c>
      <c r="C637" s="1" t="s">
        <v>2512</v>
      </c>
      <c r="D637" s="1" t="s">
        <v>78</v>
      </c>
      <c r="E637" s="1" t="s">
        <v>28</v>
      </c>
      <c r="F637" s="2">
        <v>1800000.0</v>
      </c>
      <c r="G637" s="4">
        <v>44146.0</v>
      </c>
      <c r="H637" s="4">
        <f>IFERROR(__xludf.DUMMYFUNCTION("DATE(INDEX(SPLIT(G637,""/""),,3),INDEX(SPLIT(G637,""/""),,2),INDEX(SPLIT(G637,""/""),,1))"),44146.0)</f>
        <v>44146</v>
      </c>
      <c r="I637" s="1" t="s">
        <v>2513</v>
      </c>
      <c r="J637" s="4">
        <f>IFERROR(__xludf.DUMMYFUNCTION("DATE(INDEX(SPLIT(I637,""/""),,3),INDEX(SPLIT(I637,""/""),,2),INDEX(SPLIT(I637,""/""),,1))"),45163.0)</f>
        <v>45163</v>
      </c>
      <c r="L637" s="1">
        <v>0.0</v>
      </c>
      <c r="M637" s="1" t="s">
        <v>172</v>
      </c>
      <c r="N637" s="1"/>
      <c r="O637" s="1" t="s">
        <v>30</v>
      </c>
      <c r="P637" s="1" t="s">
        <v>31</v>
      </c>
      <c r="Q637" s="1" t="s">
        <v>95</v>
      </c>
      <c r="R637" s="1" t="s">
        <v>95</v>
      </c>
      <c r="S637" s="1" t="s">
        <v>96</v>
      </c>
      <c r="T637" s="1" t="s">
        <v>311</v>
      </c>
      <c r="U637" s="1">
        <v>1.00658519E8</v>
      </c>
      <c r="X637" s="1" t="s">
        <v>254</v>
      </c>
      <c r="Y637" s="1" t="s">
        <v>702</v>
      </c>
      <c r="Z637" s="1" t="s">
        <v>37</v>
      </c>
    </row>
    <row r="638">
      <c r="A638" s="1" t="s">
        <v>2514</v>
      </c>
      <c r="B638" s="1" t="s">
        <v>2515</v>
      </c>
      <c r="C638" s="1" t="s">
        <v>2516</v>
      </c>
      <c r="D638" s="1" t="s">
        <v>27</v>
      </c>
      <c r="E638" s="1" t="s">
        <v>28</v>
      </c>
      <c r="F638" s="2">
        <v>1800000.0</v>
      </c>
      <c r="G638" s="4">
        <v>44809.0</v>
      </c>
      <c r="H638" s="4">
        <f>IFERROR(__xludf.DUMMYFUNCTION("DATE(INDEX(SPLIT(G638,""/""),,3),INDEX(SPLIT(G638,""/""),,2),INDEX(SPLIT(G638,""/""),,1))"),44690.0)</f>
        <v>44690</v>
      </c>
      <c r="I638" s="1" t="s">
        <v>69</v>
      </c>
      <c r="J638" s="4">
        <f>IFERROR(__xludf.DUMMYFUNCTION("DATE(INDEX(SPLIT(I638,""/""),,3),INDEX(SPLIT(I638,""/""),,2),INDEX(SPLIT(I638,""/""),,1))"),44773.0)</f>
        <v>44773</v>
      </c>
      <c r="L638" s="1">
        <v>0.0</v>
      </c>
      <c r="M638" s="1" t="s">
        <v>2517</v>
      </c>
      <c r="N638" s="1"/>
      <c r="O638" s="1" t="s">
        <v>30</v>
      </c>
      <c r="P638" s="1" t="s">
        <v>31</v>
      </c>
      <c r="Q638" s="1" t="s">
        <v>32</v>
      </c>
      <c r="R638" s="1" t="s">
        <v>32</v>
      </c>
      <c r="S638" s="1" t="s">
        <v>33</v>
      </c>
      <c r="T638" s="1" t="s">
        <v>634</v>
      </c>
      <c r="U638" s="1">
        <v>1.01090216E8</v>
      </c>
      <c r="X638" s="1" t="s">
        <v>490</v>
      </c>
      <c r="Y638" s="1" t="s">
        <v>2517</v>
      </c>
      <c r="Z638" s="1" t="s">
        <v>37</v>
      </c>
    </row>
    <row r="639">
      <c r="A639" s="1" t="s">
        <v>2518</v>
      </c>
      <c r="B639" s="1" t="s">
        <v>2169</v>
      </c>
      <c r="C639" s="1" t="s">
        <v>2519</v>
      </c>
      <c r="D639" s="1" t="s">
        <v>68</v>
      </c>
      <c r="E639" s="1" t="s">
        <v>28</v>
      </c>
      <c r="F639" s="2">
        <v>1800000.0</v>
      </c>
      <c r="G639" s="1" t="s">
        <v>862</v>
      </c>
      <c r="H639" s="4">
        <f>IFERROR(__xludf.DUMMYFUNCTION("DATE(INDEX(SPLIT(G639,""/""),,3),INDEX(SPLIT(G639,""/""),,2),INDEX(SPLIT(G639,""/""),,1))"),44699.0)</f>
        <v>44699</v>
      </c>
      <c r="I639" s="1" t="s">
        <v>1244</v>
      </c>
      <c r="J639" s="4">
        <f>IFERROR(__xludf.DUMMYFUNCTION("DATE(INDEX(SPLIT(I639,""/""),,3),INDEX(SPLIT(I639,""/""),,2),INDEX(SPLIT(I639,""/""),,1))"),44742.0)</f>
        <v>44742</v>
      </c>
      <c r="L639" s="1">
        <v>0.0</v>
      </c>
      <c r="M639" s="1" t="s">
        <v>2171</v>
      </c>
      <c r="N639" s="1"/>
      <c r="O639" s="1" t="s">
        <v>30</v>
      </c>
      <c r="P639" s="1" t="s">
        <v>31</v>
      </c>
      <c r="Q639" s="1" t="s">
        <v>53</v>
      </c>
      <c r="R639" s="1" t="s">
        <v>53</v>
      </c>
      <c r="S639" s="1" t="s">
        <v>54</v>
      </c>
      <c r="T639" s="1" t="s">
        <v>1386</v>
      </c>
      <c r="U639" s="1">
        <v>1.00638494E8</v>
      </c>
      <c r="X639" s="1" t="s">
        <v>375</v>
      </c>
      <c r="Y639" s="1" t="s">
        <v>2171</v>
      </c>
      <c r="Z639" s="1" t="s">
        <v>527</v>
      </c>
    </row>
    <row r="640" hidden="1">
      <c r="A640" s="1" t="s">
        <v>2520</v>
      </c>
      <c r="B640" s="1" t="s">
        <v>1300</v>
      </c>
      <c r="C640" s="1" t="s">
        <v>2521</v>
      </c>
      <c r="D640" s="1" t="s">
        <v>122</v>
      </c>
      <c r="E640" s="1" t="s">
        <v>28</v>
      </c>
      <c r="F640" s="2">
        <v>1800000.0</v>
      </c>
      <c r="G640" s="1" t="s">
        <v>149</v>
      </c>
      <c r="H640" s="4">
        <f>IFERROR(__xludf.DUMMYFUNCTION("DATE(INDEX(SPLIT(G640,""/""),,3),INDEX(SPLIT(G640,""/""),,2),INDEX(SPLIT(G640,""/""),,1))"),44590.0)</f>
        <v>44590</v>
      </c>
      <c r="I640" s="1" t="s">
        <v>1495</v>
      </c>
      <c r="J640" s="4">
        <f>IFERROR(__xludf.DUMMYFUNCTION("DATE(INDEX(SPLIT(I640,""/""),,3),INDEX(SPLIT(I640,""/""),,2),INDEX(SPLIT(I640,""/""),,1))"),44864.0)</f>
        <v>44864</v>
      </c>
      <c r="L640" s="1">
        <v>0.0</v>
      </c>
      <c r="M640" s="1" t="s">
        <v>1303</v>
      </c>
      <c r="N640" s="1"/>
      <c r="O640" s="1" t="s">
        <v>30</v>
      </c>
      <c r="P640" s="1" t="s">
        <v>31</v>
      </c>
      <c r="Q640" s="1" t="s">
        <v>235</v>
      </c>
      <c r="R640" s="1" t="s">
        <v>235</v>
      </c>
      <c r="S640" s="1" t="s">
        <v>236</v>
      </c>
      <c r="T640" s="1" t="s">
        <v>1427</v>
      </c>
      <c r="U640" s="1">
        <v>1.00609073E8</v>
      </c>
      <c r="X640" s="1" t="s">
        <v>88</v>
      </c>
      <c r="Y640" s="1" t="s">
        <v>1304</v>
      </c>
      <c r="Z640" s="1" t="s">
        <v>37</v>
      </c>
    </row>
    <row r="641" hidden="1">
      <c r="A641" s="1" t="s">
        <v>2522</v>
      </c>
      <c r="B641" s="1" t="s">
        <v>617</v>
      </c>
      <c r="C641" s="1" t="s">
        <v>2523</v>
      </c>
      <c r="D641" s="1" t="s">
        <v>122</v>
      </c>
      <c r="E641" s="1" t="s">
        <v>28</v>
      </c>
      <c r="F641" s="2">
        <v>1800000.0</v>
      </c>
      <c r="G641" s="4">
        <v>44327.0</v>
      </c>
      <c r="H641" s="4">
        <f>IFERROR(__xludf.DUMMYFUNCTION("DATE(INDEX(SPLIT(G641,""/""),,3),INDEX(SPLIT(G641,""/""),,2),INDEX(SPLIT(G641,""/""),,1))"),44505.0)</f>
        <v>44505</v>
      </c>
      <c r="I641" s="4">
        <v>44903.0</v>
      </c>
      <c r="J641" s="4">
        <f>IFERROR(__xludf.DUMMYFUNCTION("DATE(INDEX(SPLIT(I641,""/""),,3),INDEX(SPLIT(I641,""/""),,2),INDEX(SPLIT(I641,""/""),,1))"),44785.0)</f>
        <v>44785</v>
      </c>
      <c r="L641" s="1">
        <v>0.0</v>
      </c>
      <c r="M641" s="1" t="s">
        <v>79</v>
      </c>
      <c r="N641" s="1"/>
      <c r="O641" s="1" t="s">
        <v>30</v>
      </c>
      <c r="P641" s="1" t="s">
        <v>31</v>
      </c>
      <c r="Q641" s="1" t="s">
        <v>32</v>
      </c>
      <c r="R641" s="1" t="s">
        <v>32</v>
      </c>
      <c r="S641" s="1" t="s">
        <v>33</v>
      </c>
      <c r="T641" s="1" t="s">
        <v>2524</v>
      </c>
      <c r="U641" s="1">
        <v>1.00609569E8</v>
      </c>
      <c r="X641" s="1" t="s">
        <v>81</v>
      </c>
      <c r="Y641" s="1" t="s">
        <v>1925</v>
      </c>
      <c r="Z641" s="1" t="s">
        <v>37</v>
      </c>
    </row>
    <row r="642" hidden="1">
      <c r="A642" s="1" t="s">
        <v>2525</v>
      </c>
      <c r="B642" s="1" t="s">
        <v>1634</v>
      </c>
      <c r="C642" s="1" t="s">
        <v>2526</v>
      </c>
      <c r="D642" s="1" t="s">
        <v>68</v>
      </c>
      <c r="E642" s="1" t="s">
        <v>28</v>
      </c>
      <c r="F642" s="2">
        <v>1795000.0</v>
      </c>
      <c r="G642" s="4">
        <v>44654.0</v>
      </c>
      <c r="H642" s="4">
        <f>IFERROR(__xludf.DUMMYFUNCTION("DATE(INDEX(SPLIT(G642,""/""),,3),INDEX(SPLIT(G642,""/""),,2),INDEX(SPLIT(G642,""/""),,1))"),44624.0)</f>
        <v>44624</v>
      </c>
      <c r="I642" s="1" t="s">
        <v>203</v>
      </c>
      <c r="J642" s="4">
        <f>IFERROR(__xludf.DUMMYFUNCTION("DATE(INDEX(SPLIT(I642,""/""),,3),INDEX(SPLIT(I642,""/""),,2),INDEX(SPLIT(I642,""/""),,1))"),44925.0)</f>
        <v>44925</v>
      </c>
      <c r="L642" s="1">
        <v>0.0</v>
      </c>
      <c r="M642" s="1" t="s">
        <v>1207</v>
      </c>
      <c r="N642" s="1"/>
      <c r="O642" s="1" t="s">
        <v>30</v>
      </c>
      <c r="P642" s="1" t="s">
        <v>31</v>
      </c>
      <c r="Q642" s="1" t="s">
        <v>157</v>
      </c>
      <c r="R642" s="1" t="s">
        <v>157</v>
      </c>
      <c r="S642" s="1" t="s">
        <v>158</v>
      </c>
      <c r="T642" s="1" t="s">
        <v>159</v>
      </c>
      <c r="U642" s="1">
        <v>1.00639495E8</v>
      </c>
      <c r="X642" s="1" t="s">
        <v>490</v>
      </c>
      <c r="Y642" s="1" t="s">
        <v>2527</v>
      </c>
      <c r="Z642" s="1" t="s">
        <v>37</v>
      </c>
    </row>
    <row r="643" hidden="1">
      <c r="A643" s="1" t="s">
        <v>2528</v>
      </c>
      <c r="B643" s="1" t="s">
        <v>784</v>
      </c>
      <c r="C643" s="1" t="s">
        <v>2529</v>
      </c>
      <c r="D643" s="1" t="s">
        <v>27</v>
      </c>
      <c r="E643" s="1" t="s">
        <v>28</v>
      </c>
      <c r="F643" s="2">
        <v>1781281.0</v>
      </c>
      <c r="G643" s="1" t="s">
        <v>233</v>
      </c>
      <c r="H643" s="4">
        <f>IFERROR(__xludf.DUMMYFUNCTION("DATE(INDEX(SPLIT(G643,""/""),,3),INDEX(SPLIT(G643,""/""),,2),INDEX(SPLIT(G643,""/""),,1))"),44729.0)</f>
        <v>44729</v>
      </c>
      <c r="I643" s="1" t="s">
        <v>430</v>
      </c>
      <c r="J643" s="4">
        <f>IFERROR(__xludf.DUMMYFUNCTION("DATE(INDEX(SPLIT(I643,""/""),,3),INDEX(SPLIT(I643,""/""),,2),INDEX(SPLIT(I643,""/""),,1))"),44985.0)</f>
        <v>44985</v>
      </c>
      <c r="L643" s="1">
        <v>0.0</v>
      </c>
      <c r="M643" s="1" t="s">
        <v>601</v>
      </c>
      <c r="N643" s="1"/>
      <c r="O643" s="1" t="s">
        <v>30</v>
      </c>
      <c r="P643" s="1" t="s">
        <v>31</v>
      </c>
      <c r="Q643" s="1" t="s">
        <v>95</v>
      </c>
      <c r="R643" s="1" t="s">
        <v>95</v>
      </c>
      <c r="S643" s="1" t="s">
        <v>96</v>
      </c>
      <c r="T643" s="1" t="s">
        <v>111</v>
      </c>
      <c r="U643" s="1">
        <v>1.00625415E8</v>
      </c>
      <c r="X643" s="1" t="s">
        <v>88</v>
      </c>
      <c r="Y643" s="1" t="s">
        <v>2530</v>
      </c>
      <c r="Z643" s="1" t="s">
        <v>37</v>
      </c>
    </row>
    <row r="644">
      <c r="A644" s="1" t="s">
        <v>2531</v>
      </c>
      <c r="B644" s="1" t="s">
        <v>784</v>
      </c>
      <c r="C644" s="1" t="s">
        <v>2532</v>
      </c>
      <c r="D644" s="1" t="s">
        <v>122</v>
      </c>
      <c r="E644" s="1" t="s">
        <v>28</v>
      </c>
      <c r="F644" s="2">
        <v>1781281.0</v>
      </c>
      <c r="G644" s="4">
        <v>44567.0</v>
      </c>
      <c r="H644" s="4">
        <f>IFERROR(__xludf.DUMMYFUNCTION("DATE(INDEX(SPLIT(G644,""/""),,3),INDEX(SPLIT(G644,""/""),,2),INDEX(SPLIT(G644,""/""),,1))"),44713.0)</f>
        <v>44713</v>
      </c>
      <c r="I644" s="1" t="s">
        <v>226</v>
      </c>
      <c r="J644" s="4">
        <f>IFERROR(__xludf.DUMMYFUNCTION("DATE(INDEX(SPLIT(I644,""/""),,3),INDEX(SPLIT(I644,""/""),,2),INDEX(SPLIT(I644,""/""),,1))"),44771.0)</f>
        <v>44771</v>
      </c>
      <c r="L644" s="1">
        <v>0.0</v>
      </c>
      <c r="M644" s="1" t="s">
        <v>601</v>
      </c>
      <c r="N644" s="1"/>
      <c r="O644" s="1" t="s">
        <v>30</v>
      </c>
      <c r="P644" s="1" t="s">
        <v>31</v>
      </c>
      <c r="Q644" s="1" t="s">
        <v>95</v>
      </c>
      <c r="R644" s="1" t="s">
        <v>95</v>
      </c>
      <c r="S644" s="1" t="s">
        <v>96</v>
      </c>
      <c r="T644" s="1" t="s">
        <v>111</v>
      </c>
      <c r="U644" s="1">
        <v>1.00625415E8</v>
      </c>
      <c r="X644" s="1" t="s">
        <v>88</v>
      </c>
      <c r="Y644" s="1" t="s">
        <v>2530</v>
      </c>
      <c r="Z644" s="1" t="s">
        <v>37</v>
      </c>
    </row>
    <row r="645">
      <c r="A645" s="1" t="s">
        <v>2533</v>
      </c>
      <c r="B645" s="1" t="s">
        <v>844</v>
      </c>
      <c r="C645" s="1" t="s">
        <v>2534</v>
      </c>
      <c r="D645" s="1" t="s">
        <v>122</v>
      </c>
      <c r="E645" s="1" t="s">
        <v>28</v>
      </c>
      <c r="F645" s="2">
        <v>1750000.0</v>
      </c>
      <c r="G645" s="1" t="s">
        <v>359</v>
      </c>
      <c r="H645" s="4">
        <f>IFERROR(__xludf.DUMMYFUNCTION("DATE(INDEX(SPLIT(G645,""/""),,3),INDEX(SPLIT(G645,""/""),,2),INDEX(SPLIT(G645,""/""),,1))"),44740.0)</f>
        <v>44740</v>
      </c>
      <c r="I645" s="1" t="s">
        <v>226</v>
      </c>
      <c r="J645" s="4">
        <f>IFERROR(__xludf.DUMMYFUNCTION("DATE(INDEX(SPLIT(I645,""/""),,3),INDEX(SPLIT(I645,""/""),,2),INDEX(SPLIT(I645,""/""),,1))"),44771.0)</f>
        <v>44771</v>
      </c>
      <c r="L645" s="1">
        <v>0.0</v>
      </c>
      <c r="M645" s="1" t="s">
        <v>2535</v>
      </c>
      <c r="N645" s="1"/>
      <c r="O645" s="1" t="s">
        <v>30</v>
      </c>
      <c r="P645" s="1" t="s">
        <v>31</v>
      </c>
      <c r="Q645" s="1" t="s">
        <v>188</v>
      </c>
      <c r="R645" s="1" t="s">
        <v>188</v>
      </c>
      <c r="S645" s="1" t="s">
        <v>189</v>
      </c>
      <c r="T645" s="1" t="s">
        <v>2536</v>
      </c>
      <c r="U645" s="1">
        <v>1.00603236E8</v>
      </c>
      <c r="X645" s="1" t="s">
        <v>125</v>
      </c>
      <c r="Y645" s="1" t="s">
        <v>2535</v>
      </c>
      <c r="Z645" s="1" t="s">
        <v>37</v>
      </c>
    </row>
    <row r="646" hidden="1">
      <c r="A646" s="1" t="s">
        <v>2537</v>
      </c>
      <c r="B646" s="1" t="s">
        <v>2538</v>
      </c>
      <c r="C646" s="1" t="s">
        <v>2539</v>
      </c>
      <c r="D646" s="1" t="s">
        <v>27</v>
      </c>
      <c r="E646" s="1" t="s">
        <v>28</v>
      </c>
      <c r="F646" s="2">
        <v>1750000.0</v>
      </c>
      <c r="G646" s="1" t="s">
        <v>2540</v>
      </c>
      <c r="H646" s="4">
        <f>IFERROR(__xludf.DUMMYFUNCTION("DATE(INDEX(SPLIT(G646,""/""),,3),INDEX(SPLIT(G646,""/""),,2),INDEX(SPLIT(G646,""/""),,1))"),44491.0)</f>
        <v>44491</v>
      </c>
      <c r="I646" s="1" t="s">
        <v>872</v>
      </c>
      <c r="J646" s="4">
        <f>IFERROR(__xludf.DUMMYFUNCTION("DATE(INDEX(SPLIT(I646,""/""),,3),INDEX(SPLIT(I646,""/""),,2),INDEX(SPLIT(I646,""/""),,1))"),44820.0)</f>
        <v>44820</v>
      </c>
      <c r="L646" s="1">
        <v>0.0</v>
      </c>
      <c r="M646" s="1" t="s">
        <v>1828</v>
      </c>
      <c r="N646" s="1"/>
      <c r="O646" s="1" t="s">
        <v>30</v>
      </c>
      <c r="P646" s="1" t="s">
        <v>31</v>
      </c>
      <c r="Q646" s="1" t="s">
        <v>235</v>
      </c>
      <c r="R646" s="1" t="s">
        <v>235</v>
      </c>
      <c r="S646" s="1" t="s">
        <v>236</v>
      </c>
      <c r="T646" s="1" t="s">
        <v>1349</v>
      </c>
      <c r="U646" s="1">
        <v>1.00593918E8</v>
      </c>
      <c r="X646" s="1" t="s">
        <v>375</v>
      </c>
      <c r="Y646" s="1" t="s">
        <v>1829</v>
      </c>
      <c r="Z646" s="1" t="s">
        <v>37</v>
      </c>
    </row>
    <row r="647" hidden="1">
      <c r="A647" s="1" t="s">
        <v>2541</v>
      </c>
      <c r="B647" s="1" t="s">
        <v>497</v>
      </c>
      <c r="C647" s="1" t="s">
        <v>2542</v>
      </c>
      <c r="D647" s="1" t="s">
        <v>68</v>
      </c>
      <c r="E647" s="1" t="s">
        <v>28</v>
      </c>
      <c r="F647" s="2">
        <v>1750000.0</v>
      </c>
      <c r="G647" s="4">
        <v>44837.0</v>
      </c>
      <c r="H647" s="4">
        <f>IFERROR(__xludf.DUMMYFUNCTION("DATE(INDEX(SPLIT(G647,""/""),,3),INDEX(SPLIT(G647,""/""),,2),INDEX(SPLIT(G647,""/""),,1))"),44630.0)</f>
        <v>44630</v>
      </c>
      <c r="I647" s="1" t="s">
        <v>1799</v>
      </c>
      <c r="J647" s="4">
        <f>IFERROR(__xludf.DUMMYFUNCTION("DATE(INDEX(SPLIT(I647,""/""),,3),INDEX(SPLIT(I647,""/""),,2),INDEX(SPLIT(I647,""/""),,1))"),44788.0)</f>
        <v>44788</v>
      </c>
      <c r="L647" s="1">
        <v>0.0</v>
      </c>
      <c r="M647" s="1" t="s">
        <v>597</v>
      </c>
      <c r="N647" s="1"/>
      <c r="O647" s="1" t="s">
        <v>30</v>
      </c>
      <c r="P647" s="1" t="s">
        <v>31</v>
      </c>
      <c r="Q647" s="1" t="s">
        <v>32</v>
      </c>
      <c r="R647" s="1" t="s">
        <v>32</v>
      </c>
      <c r="S647" s="1" t="s">
        <v>33</v>
      </c>
      <c r="T647" s="1" t="s">
        <v>34</v>
      </c>
      <c r="U647" s="1">
        <v>1.0064407E8</v>
      </c>
      <c r="X647" s="1" t="s">
        <v>35</v>
      </c>
      <c r="Y647" s="1" t="s">
        <v>2543</v>
      </c>
      <c r="Z647" s="1" t="s">
        <v>37</v>
      </c>
    </row>
    <row r="648" hidden="1">
      <c r="A648" s="1" t="s">
        <v>2544</v>
      </c>
      <c r="B648" s="1" t="s">
        <v>106</v>
      </c>
      <c r="C648" s="1" t="s">
        <v>2545</v>
      </c>
      <c r="D648" s="1" t="s">
        <v>27</v>
      </c>
      <c r="E648" s="1" t="s">
        <v>28</v>
      </c>
      <c r="F648" s="2">
        <v>1750000.0</v>
      </c>
      <c r="G648" s="4">
        <v>44565.0</v>
      </c>
      <c r="H648" s="4">
        <f>IFERROR(__xludf.DUMMYFUNCTION("DATE(INDEX(SPLIT(G648,""/""),,3),INDEX(SPLIT(G648,""/""),,2),INDEX(SPLIT(G648,""/""),,1))"),44652.0)</f>
        <v>44652</v>
      </c>
      <c r="I648" s="1" t="s">
        <v>109</v>
      </c>
      <c r="J648" s="4">
        <f>IFERROR(__xludf.DUMMYFUNCTION("DATE(INDEX(SPLIT(I648,""/""),,3),INDEX(SPLIT(I648,""/""),,2),INDEX(SPLIT(I648,""/""),,1))"),44834.0)</f>
        <v>44834</v>
      </c>
      <c r="L648" s="1">
        <v>0.0</v>
      </c>
      <c r="M648" s="1" t="s">
        <v>2546</v>
      </c>
      <c r="N648" s="1"/>
      <c r="O648" s="1" t="s">
        <v>30</v>
      </c>
      <c r="P648" s="1" t="s">
        <v>31</v>
      </c>
      <c r="Q648" s="1" t="s">
        <v>228</v>
      </c>
      <c r="R648" s="1" t="s">
        <v>228</v>
      </c>
      <c r="S648" s="1" t="s">
        <v>229</v>
      </c>
      <c r="T648" s="1" t="s">
        <v>505</v>
      </c>
      <c r="U648" s="1">
        <v>1.00892076E8</v>
      </c>
      <c r="V648" s="1" t="s">
        <v>2547</v>
      </c>
      <c r="W648" s="1" t="s">
        <v>199</v>
      </c>
      <c r="X648" s="1" t="s">
        <v>63</v>
      </c>
      <c r="Y648" s="1" t="s">
        <v>2548</v>
      </c>
      <c r="Z648" s="1" t="s">
        <v>37</v>
      </c>
    </row>
    <row r="649">
      <c r="A649" s="1" t="s">
        <v>2549</v>
      </c>
      <c r="B649" s="1" t="s">
        <v>1854</v>
      </c>
      <c r="C649" s="1" t="s">
        <v>2550</v>
      </c>
      <c r="D649" s="1" t="s">
        <v>27</v>
      </c>
      <c r="E649" s="1" t="s">
        <v>28</v>
      </c>
      <c r="F649" s="2">
        <v>1750000.0</v>
      </c>
      <c r="G649" s="4">
        <v>44208.0</v>
      </c>
      <c r="H649" s="4">
        <f>IFERROR(__xludf.DUMMYFUNCTION("DATE(INDEX(SPLIT(G649,""/""),,3),INDEX(SPLIT(G649,""/""),,2),INDEX(SPLIT(G649,""/""),,1))"),44531.0)</f>
        <v>44531</v>
      </c>
      <c r="I649" s="4">
        <v>44780.0</v>
      </c>
      <c r="J649" s="4">
        <f>IFERROR(__xludf.DUMMYFUNCTION("DATE(INDEX(SPLIT(I649,""/""),,3),INDEX(SPLIT(I649,""/""),,2),INDEX(SPLIT(I649,""/""),,1))"),44750.0)</f>
        <v>44750</v>
      </c>
      <c r="L649" s="1">
        <v>0.0</v>
      </c>
      <c r="M649" s="1" t="s">
        <v>2551</v>
      </c>
      <c r="N649" s="1"/>
      <c r="O649" s="1" t="s">
        <v>30</v>
      </c>
      <c r="P649" s="1" t="s">
        <v>31</v>
      </c>
      <c r="Q649" s="1" t="s">
        <v>95</v>
      </c>
      <c r="R649" s="1" t="s">
        <v>95</v>
      </c>
      <c r="S649" s="1" t="s">
        <v>96</v>
      </c>
      <c r="T649" s="1" t="s">
        <v>111</v>
      </c>
      <c r="U649" s="1">
        <v>1.00660092E8</v>
      </c>
      <c r="X649" s="1" t="s">
        <v>63</v>
      </c>
      <c r="Y649" s="1" t="s">
        <v>2552</v>
      </c>
      <c r="Z649" s="1" t="s">
        <v>37</v>
      </c>
    </row>
    <row r="650" hidden="1">
      <c r="A650" s="1" t="s">
        <v>2553</v>
      </c>
      <c r="B650" s="1" t="s">
        <v>1743</v>
      </c>
      <c r="C650" s="1" t="s">
        <v>2554</v>
      </c>
      <c r="D650" s="1" t="s">
        <v>68</v>
      </c>
      <c r="E650" s="1" t="s">
        <v>28</v>
      </c>
      <c r="F650" s="2">
        <v>1730000.0</v>
      </c>
      <c r="G650" s="4">
        <v>44258.0</v>
      </c>
      <c r="H650" s="4">
        <f>IFERROR(__xludf.DUMMYFUNCTION("DATE(INDEX(SPLIT(G650,""/""),,3),INDEX(SPLIT(G650,""/""),,2),INDEX(SPLIT(G650,""/""),,1))"),44258.0)</f>
        <v>44258</v>
      </c>
      <c r="I650" s="4">
        <v>44933.0</v>
      </c>
      <c r="J650" s="4">
        <f>IFERROR(__xludf.DUMMYFUNCTION("DATE(INDEX(SPLIT(I650,""/""),,3),INDEX(SPLIT(I650,""/""),,2),INDEX(SPLIT(I650,""/""),,1))"),45108.0)</f>
        <v>45108</v>
      </c>
      <c r="L650" s="1">
        <v>0.0</v>
      </c>
      <c r="M650" s="1" t="s">
        <v>1745</v>
      </c>
      <c r="N650" s="1"/>
      <c r="O650" s="1" t="s">
        <v>30</v>
      </c>
      <c r="P650" s="1" t="s">
        <v>31</v>
      </c>
      <c r="Q650" s="1" t="s">
        <v>71</v>
      </c>
      <c r="R650" s="1" t="s">
        <v>71</v>
      </c>
      <c r="S650" s="1" t="s">
        <v>72</v>
      </c>
      <c r="T650" s="1" t="s">
        <v>136</v>
      </c>
      <c r="U650" s="1">
        <v>1.00582847E8</v>
      </c>
      <c r="V650" s="1" t="s">
        <v>2555</v>
      </c>
      <c r="W650" s="1" t="s">
        <v>2556</v>
      </c>
      <c r="X650" s="1" t="s">
        <v>74</v>
      </c>
      <c r="Y650" s="1" t="s">
        <v>1745</v>
      </c>
      <c r="Z650" s="1" t="s">
        <v>37</v>
      </c>
    </row>
    <row r="651">
      <c r="A651" s="1" t="s">
        <v>2557</v>
      </c>
      <c r="B651" s="1" t="s">
        <v>2558</v>
      </c>
      <c r="C651" s="1" t="s">
        <v>2559</v>
      </c>
      <c r="D651" s="1" t="s">
        <v>78</v>
      </c>
      <c r="E651" s="1" t="s">
        <v>28</v>
      </c>
      <c r="F651" s="2">
        <v>1725000.0</v>
      </c>
      <c r="G651" s="4">
        <v>44716.0</v>
      </c>
      <c r="H651" s="4">
        <f>IFERROR(__xludf.DUMMYFUNCTION("DATE(INDEX(SPLIT(G651,""/""),,3),INDEX(SPLIT(G651,""/""),,2),INDEX(SPLIT(G651,""/""),,1))"),44657.0)</f>
        <v>44657</v>
      </c>
      <c r="I651" s="1" t="s">
        <v>226</v>
      </c>
      <c r="J651" s="4">
        <f>IFERROR(__xludf.DUMMYFUNCTION("DATE(INDEX(SPLIT(I651,""/""),,3),INDEX(SPLIT(I651,""/""),,2),INDEX(SPLIT(I651,""/""),,1))"),44771.0)</f>
        <v>44771</v>
      </c>
      <c r="L651" s="1">
        <v>0.0</v>
      </c>
      <c r="M651" s="1" t="s">
        <v>211</v>
      </c>
      <c r="N651" s="1"/>
      <c r="O651" s="1" t="s">
        <v>30</v>
      </c>
      <c r="P651" s="1" t="s">
        <v>31</v>
      </c>
      <c r="Q651" s="1" t="s">
        <v>71</v>
      </c>
      <c r="R651" s="1" t="s">
        <v>71</v>
      </c>
      <c r="S651" s="1" t="s">
        <v>72</v>
      </c>
      <c r="T651" s="1" t="s">
        <v>136</v>
      </c>
      <c r="U651" s="1">
        <v>1.00590896E8</v>
      </c>
      <c r="X651" s="1" t="s">
        <v>74</v>
      </c>
      <c r="Y651" s="1" t="s">
        <v>2036</v>
      </c>
      <c r="Z651" s="1" t="s">
        <v>37</v>
      </c>
    </row>
    <row r="652" hidden="1">
      <c r="A652" s="1" t="s">
        <v>2560</v>
      </c>
      <c r="B652" s="1" t="s">
        <v>1417</v>
      </c>
      <c r="C652" s="1" t="s">
        <v>2561</v>
      </c>
      <c r="D652" s="1" t="s">
        <v>122</v>
      </c>
      <c r="E652" s="1" t="s">
        <v>28</v>
      </c>
      <c r="F652" s="2">
        <v>1700000.0</v>
      </c>
      <c r="G652" s="1" t="s">
        <v>1190</v>
      </c>
      <c r="H652" s="4">
        <f>IFERROR(__xludf.DUMMYFUNCTION("DATE(INDEX(SPLIT(G652,""/""),,3),INDEX(SPLIT(G652,""/""),,2),INDEX(SPLIT(G652,""/""),,1))"),44397.0)</f>
        <v>44397</v>
      </c>
      <c r="I652" s="4">
        <v>44903.0</v>
      </c>
      <c r="J652" s="4">
        <f>IFERROR(__xludf.DUMMYFUNCTION("DATE(INDEX(SPLIT(I652,""/""),,3),INDEX(SPLIT(I652,""/""),,2),INDEX(SPLIT(I652,""/""),,1))"),44785.0)</f>
        <v>44785</v>
      </c>
      <c r="L652" s="1">
        <v>0.0</v>
      </c>
      <c r="M652" s="1" t="s">
        <v>318</v>
      </c>
      <c r="N652" s="1"/>
      <c r="O652" s="1" t="s">
        <v>30</v>
      </c>
      <c r="P652" s="1" t="s">
        <v>31</v>
      </c>
      <c r="Q652" s="1" t="s">
        <v>71</v>
      </c>
      <c r="R652" s="1" t="s">
        <v>71</v>
      </c>
      <c r="S652" s="1" t="s">
        <v>72</v>
      </c>
      <c r="T652" s="1" t="s">
        <v>73</v>
      </c>
      <c r="U652" s="1">
        <v>1.00654705E8</v>
      </c>
      <c r="X652" s="1" t="s">
        <v>74</v>
      </c>
      <c r="Y652" s="1" t="s">
        <v>318</v>
      </c>
      <c r="Z652" s="1" t="s">
        <v>37</v>
      </c>
    </row>
    <row r="653" hidden="1">
      <c r="A653" s="1" t="s">
        <v>2562</v>
      </c>
      <c r="B653" s="1" t="s">
        <v>470</v>
      </c>
      <c r="C653" s="1" t="s">
        <v>2563</v>
      </c>
      <c r="D653" s="1" t="s">
        <v>27</v>
      </c>
      <c r="E653" s="1" t="s">
        <v>28</v>
      </c>
      <c r="F653" s="2">
        <v>1700000.0</v>
      </c>
      <c r="G653" s="4">
        <v>44146.0</v>
      </c>
      <c r="H653" s="4">
        <f>IFERROR(__xludf.DUMMYFUNCTION("DATE(INDEX(SPLIT(G653,""/""),,3),INDEX(SPLIT(G653,""/""),,2),INDEX(SPLIT(G653,""/""),,1))"),44146.0)</f>
        <v>44146</v>
      </c>
      <c r="I653" s="1" t="s">
        <v>2513</v>
      </c>
      <c r="J653" s="4">
        <f>IFERROR(__xludf.DUMMYFUNCTION("DATE(INDEX(SPLIT(I653,""/""),,3),INDEX(SPLIT(I653,""/""),,2),INDEX(SPLIT(I653,""/""),,1))"),45163.0)</f>
        <v>45163</v>
      </c>
      <c r="L653" s="1">
        <v>0.0</v>
      </c>
      <c r="M653" s="1" t="s">
        <v>172</v>
      </c>
      <c r="N653" s="1"/>
      <c r="O653" s="1" t="s">
        <v>30</v>
      </c>
      <c r="P653" s="1" t="s">
        <v>31</v>
      </c>
      <c r="Q653" s="1" t="s">
        <v>95</v>
      </c>
      <c r="R653" s="1" t="s">
        <v>95</v>
      </c>
      <c r="S653" s="1" t="s">
        <v>96</v>
      </c>
      <c r="T653" s="1" t="s">
        <v>311</v>
      </c>
      <c r="U653" s="1">
        <v>1.00658519E8</v>
      </c>
      <c r="X653" s="1" t="s">
        <v>254</v>
      </c>
      <c r="Y653" s="1" t="s">
        <v>702</v>
      </c>
      <c r="Z653" s="1" t="s">
        <v>37</v>
      </c>
    </row>
    <row r="654" hidden="1">
      <c r="A654" s="1" t="s">
        <v>2564</v>
      </c>
      <c r="B654" s="1" t="s">
        <v>2565</v>
      </c>
      <c r="C654" s="1" t="s">
        <v>2566</v>
      </c>
      <c r="D654" s="1" t="s">
        <v>122</v>
      </c>
      <c r="E654" s="1" t="s">
        <v>28</v>
      </c>
      <c r="F654" s="2">
        <v>1700000.0</v>
      </c>
      <c r="G654" s="1" t="s">
        <v>2567</v>
      </c>
      <c r="H654" s="4">
        <f>IFERROR(__xludf.DUMMYFUNCTION("DATE(INDEX(SPLIT(G654,""/""),,3),INDEX(SPLIT(G654,""/""),,2),INDEX(SPLIT(G654,""/""),,1))"),44303.0)</f>
        <v>44303</v>
      </c>
      <c r="I654" s="1" t="s">
        <v>42</v>
      </c>
      <c r="J654" s="4">
        <f>IFERROR(__xludf.DUMMYFUNCTION("DATE(INDEX(SPLIT(I654,""/""),,3),INDEX(SPLIT(I654,""/""),,2),INDEX(SPLIT(I654,""/""),,1))"),44926.0)</f>
        <v>44926</v>
      </c>
      <c r="L654" s="1">
        <v>0.0</v>
      </c>
      <c r="M654" s="1" t="s">
        <v>2568</v>
      </c>
      <c r="N654" s="1"/>
      <c r="O654" s="1" t="s">
        <v>30</v>
      </c>
      <c r="P654" s="1" t="s">
        <v>31</v>
      </c>
      <c r="Q654" s="1" t="s">
        <v>228</v>
      </c>
      <c r="R654" s="1" t="s">
        <v>228</v>
      </c>
      <c r="S654" s="1" t="s">
        <v>229</v>
      </c>
      <c r="T654" s="1" t="s">
        <v>513</v>
      </c>
      <c r="U654" s="1">
        <v>1.00659458E8</v>
      </c>
      <c r="X654" s="1" t="s">
        <v>239</v>
      </c>
      <c r="Y654" s="1" t="s">
        <v>2568</v>
      </c>
      <c r="Z654" s="1" t="s">
        <v>37</v>
      </c>
    </row>
    <row r="655" hidden="1">
      <c r="A655" s="1" t="s">
        <v>2569</v>
      </c>
      <c r="B655" s="1" t="s">
        <v>2570</v>
      </c>
      <c r="C655" s="1" t="s">
        <v>2571</v>
      </c>
      <c r="D655" s="1" t="s">
        <v>78</v>
      </c>
      <c r="E655" s="1" t="s">
        <v>28</v>
      </c>
      <c r="F655" s="2">
        <v>1700000.0</v>
      </c>
      <c r="G655" s="1" t="s">
        <v>2572</v>
      </c>
      <c r="H655" s="4">
        <f>IFERROR(__xludf.DUMMYFUNCTION("DATE(INDEX(SPLIT(G655,""/""),,3),INDEX(SPLIT(G655,""/""),,2),INDEX(SPLIT(G655,""/""),,1))"),44581.0)</f>
        <v>44581</v>
      </c>
      <c r="I655" s="1" t="s">
        <v>109</v>
      </c>
      <c r="J655" s="4">
        <f>IFERROR(__xludf.DUMMYFUNCTION("DATE(INDEX(SPLIT(I655,""/""),,3),INDEX(SPLIT(I655,""/""),,2),INDEX(SPLIT(I655,""/""),,1))"),44834.0)</f>
        <v>44834</v>
      </c>
      <c r="L655" s="1">
        <v>0.0</v>
      </c>
      <c r="M655" s="1" t="s">
        <v>2573</v>
      </c>
      <c r="N655" s="1"/>
      <c r="O655" s="1" t="s">
        <v>30</v>
      </c>
      <c r="P655" s="1" t="s">
        <v>31</v>
      </c>
      <c r="Q655" s="1" t="s">
        <v>157</v>
      </c>
      <c r="R655" s="1" t="s">
        <v>157</v>
      </c>
      <c r="S655" s="1" t="s">
        <v>158</v>
      </c>
      <c r="T655" s="1" t="s">
        <v>1427</v>
      </c>
      <c r="U655" s="1">
        <v>1.00690774E8</v>
      </c>
      <c r="X655" s="1" t="s">
        <v>88</v>
      </c>
      <c r="Y655" s="1" t="s">
        <v>2573</v>
      </c>
      <c r="Z655" s="1" t="s">
        <v>37</v>
      </c>
    </row>
    <row r="656" hidden="1">
      <c r="A656" s="1" t="s">
        <v>2574</v>
      </c>
      <c r="B656" s="1" t="s">
        <v>1192</v>
      </c>
      <c r="C656" s="1" t="s">
        <v>2575</v>
      </c>
      <c r="D656" s="1" t="s">
        <v>78</v>
      </c>
      <c r="E656" s="1" t="s">
        <v>28</v>
      </c>
      <c r="F656" s="2">
        <v>1700000.0</v>
      </c>
      <c r="G656" s="4">
        <v>44414.0</v>
      </c>
      <c r="H656" s="4">
        <f>IFERROR(__xludf.DUMMYFUNCTION("DATE(INDEX(SPLIT(G656,""/""),,3),INDEX(SPLIT(G656,""/""),,2),INDEX(SPLIT(G656,""/""),,1))"),44355.0)</f>
        <v>44355</v>
      </c>
      <c r="I656" s="1" t="s">
        <v>109</v>
      </c>
      <c r="J656" s="4">
        <f>IFERROR(__xludf.DUMMYFUNCTION("DATE(INDEX(SPLIT(I656,""/""),,3),INDEX(SPLIT(I656,""/""),,2),INDEX(SPLIT(I656,""/""),,1))"),44834.0)</f>
        <v>44834</v>
      </c>
      <c r="L656" s="1">
        <v>0.0</v>
      </c>
      <c r="M656" s="1" t="s">
        <v>620</v>
      </c>
      <c r="N656" s="1"/>
      <c r="O656" s="1" t="s">
        <v>30</v>
      </c>
      <c r="P656" s="1" t="s">
        <v>31</v>
      </c>
      <c r="Q656" s="1" t="s">
        <v>32</v>
      </c>
      <c r="R656" s="1" t="s">
        <v>32</v>
      </c>
      <c r="S656" s="1" t="s">
        <v>33</v>
      </c>
      <c r="U656" s="1">
        <v>1.00609607E8</v>
      </c>
      <c r="X656" s="1" t="s">
        <v>125</v>
      </c>
      <c r="Y656" s="1" t="s">
        <v>2576</v>
      </c>
      <c r="Z656" s="1" t="s">
        <v>37</v>
      </c>
    </row>
    <row r="657" hidden="1">
      <c r="A657" s="1" t="s">
        <v>2577</v>
      </c>
      <c r="B657" s="1" t="s">
        <v>120</v>
      </c>
      <c r="C657" s="1" t="s">
        <v>2578</v>
      </c>
      <c r="D657" s="1" t="s">
        <v>122</v>
      </c>
      <c r="E657" s="1" t="s">
        <v>28</v>
      </c>
      <c r="F657" s="2">
        <v>1663450.0</v>
      </c>
      <c r="G657" s="1" t="s">
        <v>154</v>
      </c>
      <c r="H657" s="4">
        <f>IFERROR(__xludf.DUMMYFUNCTION("DATE(INDEX(SPLIT(G657,""/""),,3),INDEX(SPLIT(G657,""/""),,2),INDEX(SPLIT(G657,""/""),,1))"),44670.0)</f>
        <v>44670</v>
      </c>
      <c r="I657" s="4">
        <v>44569.0</v>
      </c>
      <c r="J657" s="4">
        <f>IFERROR(__xludf.DUMMYFUNCTION("DATE(INDEX(SPLIT(I657,""/""),,3),INDEX(SPLIT(I657,""/""),,2),INDEX(SPLIT(I657,""/""),,1))"),44774.0)</f>
        <v>44774</v>
      </c>
      <c r="L657" s="1">
        <v>0.0</v>
      </c>
      <c r="M657" s="1" t="s">
        <v>1643</v>
      </c>
      <c r="N657" s="1"/>
      <c r="O657" s="1" t="s">
        <v>30</v>
      </c>
      <c r="P657" s="1" t="s">
        <v>31</v>
      </c>
      <c r="Q657" s="1" t="s">
        <v>53</v>
      </c>
      <c r="R657" s="1" t="s">
        <v>53</v>
      </c>
      <c r="S657" s="1" t="s">
        <v>54</v>
      </c>
      <c r="T657" s="1" t="s">
        <v>55</v>
      </c>
      <c r="U657" s="1">
        <v>1.00653977E8</v>
      </c>
      <c r="X657" s="1" t="s">
        <v>125</v>
      </c>
      <c r="Y657" s="1" t="s">
        <v>2579</v>
      </c>
      <c r="Z657" s="1" t="s">
        <v>37</v>
      </c>
    </row>
    <row r="658" hidden="1">
      <c r="A658" s="1" t="s">
        <v>2580</v>
      </c>
      <c r="B658" s="1" t="s">
        <v>59</v>
      </c>
      <c r="C658" s="1" t="s">
        <v>2581</v>
      </c>
      <c r="D658" s="1" t="s">
        <v>27</v>
      </c>
      <c r="E658" s="1" t="s">
        <v>28</v>
      </c>
      <c r="F658" s="2">
        <v>1650000.0</v>
      </c>
      <c r="G658" s="1" t="s">
        <v>2540</v>
      </c>
      <c r="H658" s="4">
        <f>IFERROR(__xludf.DUMMYFUNCTION("DATE(INDEX(SPLIT(G658,""/""),,3),INDEX(SPLIT(G658,""/""),,2),INDEX(SPLIT(G658,""/""),,1))"),44491.0)</f>
        <v>44491</v>
      </c>
      <c r="I658" s="4">
        <v>44630.0</v>
      </c>
      <c r="J658" s="4">
        <f>IFERROR(__xludf.DUMMYFUNCTION("DATE(INDEX(SPLIT(I658,""/""),,3),INDEX(SPLIT(I658,""/""),,2),INDEX(SPLIT(I658,""/""),,1))"),44837.0)</f>
        <v>44837</v>
      </c>
      <c r="L658" s="1">
        <v>0.0</v>
      </c>
      <c r="M658" s="1" t="s">
        <v>2582</v>
      </c>
      <c r="N658" s="1"/>
      <c r="O658" s="1" t="s">
        <v>30</v>
      </c>
      <c r="P658" s="1" t="s">
        <v>31</v>
      </c>
      <c r="Q658" s="1" t="s">
        <v>157</v>
      </c>
      <c r="R658" s="1" t="s">
        <v>157</v>
      </c>
      <c r="S658" s="1" t="s">
        <v>158</v>
      </c>
      <c r="T658" s="1" t="s">
        <v>442</v>
      </c>
      <c r="U658" s="1">
        <v>1.00590772E8</v>
      </c>
      <c r="X658" s="1" t="s">
        <v>63</v>
      </c>
      <c r="Y658" s="1" t="s">
        <v>64</v>
      </c>
      <c r="Z658" s="1" t="s">
        <v>37</v>
      </c>
    </row>
    <row r="659">
      <c r="A659" s="1" t="s">
        <v>2583</v>
      </c>
      <c r="B659" s="1" t="s">
        <v>2538</v>
      </c>
      <c r="C659" s="1" t="s">
        <v>2584</v>
      </c>
      <c r="D659" s="1" t="s">
        <v>27</v>
      </c>
      <c r="E659" s="1" t="s">
        <v>28</v>
      </c>
      <c r="F659" s="2">
        <v>1626500.0</v>
      </c>
      <c r="G659" s="1" t="s">
        <v>568</v>
      </c>
      <c r="H659" s="4">
        <f>IFERROR(__xludf.DUMMYFUNCTION("DATE(INDEX(SPLIT(G659,""/""),,3),INDEX(SPLIT(G659,""/""),,2),INDEX(SPLIT(G659,""/""),,1))"),44587.0)</f>
        <v>44587</v>
      </c>
      <c r="I659" s="1" t="s">
        <v>2300</v>
      </c>
      <c r="J659" s="4">
        <f>IFERROR(__xludf.DUMMYFUNCTION("DATE(INDEX(SPLIT(I659,""/""),,3),INDEX(SPLIT(I659,""/""),,2),INDEX(SPLIT(I659,""/""),,1))"),44712.0)</f>
        <v>44712</v>
      </c>
      <c r="L659" s="1">
        <v>0.0</v>
      </c>
      <c r="M659" s="1" t="s">
        <v>1828</v>
      </c>
      <c r="N659" s="1"/>
      <c r="O659" s="1" t="s">
        <v>30</v>
      </c>
      <c r="P659" s="1" t="s">
        <v>31</v>
      </c>
      <c r="Q659" s="1" t="s">
        <v>235</v>
      </c>
      <c r="R659" s="1" t="s">
        <v>235</v>
      </c>
      <c r="S659" s="1" t="s">
        <v>236</v>
      </c>
      <c r="T659" s="1" t="s">
        <v>1349</v>
      </c>
      <c r="U659" s="1">
        <v>1.00593918E8</v>
      </c>
      <c r="X659" s="1" t="s">
        <v>375</v>
      </c>
      <c r="Y659" s="1" t="s">
        <v>2585</v>
      </c>
      <c r="Z659" s="1" t="s">
        <v>37</v>
      </c>
    </row>
    <row r="660">
      <c r="A660" s="1" t="s">
        <v>2586</v>
      </c>
      <c r="B660" s="1" t="s">
        <v>2587</v>
      </c>
      <c r="C660" s="1" t="s">
        <v>2588</v>
      </c>
      <c r="D660" s="1" t="s">
        <v>78</v>
      </c>
      <c r="E660" s="1" t="s">
        <v>28</v>
      </c>
      <c r="F660" s="2">
        <v>1620368.0</v>
      </c>
      <c r="G660" s="1" t="s">
        <v>2300</v>
      </c>
      <c r="H660" s="4">
        <f>IFERROR(__xludf.DUMMYFUNCTION("DATE(INDEX(SPLIT(G660,""/""),,3),INDEX(SPLIT(G660,""/""),,2),INDEX(SPLIT(G660,""/""),,1))"),44712.0)</f>
        <v>44712</v>
      </c>
      <c r="I660" s="1" t="s">
        <v>1244</v>
      </c>
      <c r="J660" s="4">
        <f>IFERROR(__xludf.DUMMYFUNCTION("DATE(INDEX(SPLIT(I660,""/""),,3),INDEX(SPLIT(I660,""/""),,2),INDEX(SPLIT(I660,""/""),,1))"),44742.0)</f>
        <v>44742</v>
      </c>
      <c r="L660" s="1">
        <v>0.0</v>
      </c>
      <c r="M660" s="1" t="s">
        <v>601</v>
      </c>
      <c r="N660" s="1"/>
      <c r="O660" s="1" t="s">
        <v>30</v>
      </c>
      <c r="P660" s="1" t="s">
        <v>31</v>
      </c>
      <c r="Q660" s="1" t="s">
        <v>95</v>
      </c>
      <c r="R660" s="1" t="s">
        <v>95</v>
      </c>
      <c r="S660" s="1" t="s">
        <v>96</v>
      </c>
      <c r="T660" s="1" t="s">
        <v>602</v>
      </c>
      <c r="U660" s="1">
        <v>1.00625415E8</v>
      </c>
      <c r="X660" s="1" t="s">
        <v>88</v>
      </c>
      <c r="Y660" s="1" t="s">
        <v>2589</v>
      </c>
      <c r="Z660" s="1" t="s">
        <v>37</v>
      </c>
    </row>
    <row r="661" hidden="1">
      <c r="A661" s="1" t="s">
        <v>2590</v>
      </c>
      <c r="B661" s="1" t="s">
        <v>1275</v>
      </c>
      <c r="C661" s="1" t="s">
        <v>2591</v>
      </c>
      <c r="D661" s="1" t="s">
        <v>27</v>
      </c>
      <c r="E661" s="1" t="s">
        <v>28</v>
      </c>
      <c r="F661" s="2">
        <v>1618000.0</v>
      </c>
      <c r="G661" s="1" t="s">
        <v>418</v>
      </c>
      <c r="H661" s="4">
        <f>IFERROR(__xludf.DUMMYFUNCTION("DATE(INDEX(SPLIT(G661,""/""),,3),INDEX(SPLIT(G661,""/""),,2),INDEX(SPLIT(G661,""/""),,1))"),44755.0)</f>
        <v>44755</v>
      </c>
      <c r="I661" s="1" t="s">
        <v>473</v>
      </c>
      <c r="J661" s="4">
        <f>IFERROR(__xludf.DUMMYFUNCTION("DATE(INDEX(SPLIT(I661,""/""),,3),INDEX(SPLIT(I661,""/""),,2),INDEX(SPLIT(I661,""/""),,1))"),45044.0)</f>
        <v>45044</v>
      </c>
      <c r="L661" s="1">
        <v>0.0</v>
      </c>
      <c r="M661" s="1" t="s">
        <v>2592</v>
      </c>
      <c r="N661" s="1"/>
      <c r="O661" s="1" t="s">
        <v>30</v>
      </c>
      <c r="P661" s="1" t="s">
        <v>31</v>
      </c>
      <c r="Q661" s="1" t="s">
        <v>71</v>
      </c>
      <c r="R661" s="1" t="s">
        <v>71</v>
      </c>
      <c r="S661" s="1" t="s">
        <v>72</v>
      </c>
      <c r="T661" s="1" t="s">
        <v>136</v>
      </c>
      <c r="U661" s="1">
        <v>1.00586452E8</v>
      </c>
      <c r="X661" s="1" t="s">
        <v>74</v>
      </c>
      <c r="Y661" s="1" t="s">
        <v>2593</v>
      </c>
      <c r="Z661" s="1" t="s">
        <v>37</v>
      </c>
    </row>
    <row r="662" hidden="1">
      <c r="A662" s="1" t="s">
        <v>2594</v>
      </c>
      <c r="B662" s="1" t="s">
        <v>1634</v>
      </c>
      <c r="C662" s="1" t="s">
        <v>2595</v>
      </c>
      <c r="D662" s="1" t="s">
        <v>122</v>
      </c>
      <c r="E662" s="1" t="s">
        <v>28</v>
      </c>
      <c r="F662" s="2">
        <v>1615000.0</v>
      </c>
      <c r="G662" s="1" t="s">
        <v>271</v>
      </c>
      <c r="H662" s="4">
        <f>IFERROR(__xludf.DUMMYFUNCTION("DATE(INDEX(SPLIT(G662,""/""),,3),INDEX(SPLIT(G662,""/""),,2),INDEX(SPLIT(G662,""/""),,1))"),44680.0)</f>
        <v>44680</v>
      </c>
      <c r="I662" s="1" t="s">
        <v>165</v>
      </c>
      <c r="J662" s="4">
        <f>IFERROR(__xludf.DUMMYFUNCTION("DATE(INDEX(SPLIT(I662,""/""),,3),INDEX(SPLIT(I662,""/""),,2),INDEX(SPLIT(I662,""/""),,1))"),44803.0)</f>
        <v>44803</v>
      </c>
      <c r="L662" s="1">
        <v>0.0</v>
      </c>
      <c r="M662" s="1" t="s">
        <v>2596</v>
      </c>
      <c r="N662" s="1"/>
      <c r="O662" s="1" t="s">
        <v>30</v>
      </c>
      <c r="P662" s="1" t="s">
        <v>31</v>
      </c>
      <c r="Q662" s="1" t="s">
        <v>157</v>
      </c>
      <c r="R662" s="1" t="s">
        <v>157</v>
      </c>
      <c r="S662" s="1" t="s">
        <v>158</v>
      </c>
      <c r="U662" s="1">
        <v>1.00653074E8</v>
      </c>
      <c r="X662" s="1" t="s">
        <v>490</v>
      </c>
      <c r="Y662" s="1" t="s">
        <v>244</v>
      </c>
      <c r="Z662" s="1" t="s">
        <v>37</v>
      </c>
    </row>
    <row r="663" hidden="1">
      <c r="A663" s="1" t="s">
        <v>2597</v>
      </c>
      <c r="B663" s="1" t="s">
        <v>2598</v>
      </c>
      <c r="C663" s="1" t="s">
        <v>2599</v>
      </c>
      <c r="D663" s="1" t="s">
        <v>122</v>
      </c>
      <c r="E663" s="1" t="s">
        <v>28</v>
      </c>
      <c r="F663" s="2">
        <v>1608833.0</v>
      </c>
      <c r="G663" s="1" t="s">
        <v>185</v>
      </c>
      <c r="H663" s="4">
        <f>IFERROR(__xludf.DUMMYFUNCTION("DATE(INDEX(SPLIT(G663,""/""),,3),INDEX(SPLIT(G663,""/""),,2),INDEX(SPLIT(G663,""/""),,1))"),44741.0)</f>
        <v>44741</v>
      </c>
      <c r="I663" s="4">
        <v>44570.0</v>
      </c>
      <c r="J663" s="4">
        <f>IFERROR(__xludf.DUMMYFUNCTION("DATE(INDEX(SPLIT(I663,""/""),,3),INDEX(SPLIT(I663,""/""),,2),INDEX(SPLIT(I663,""/""),,1))"),44805.0)</f>
        <v>44805</v>
      </c>
      <c r="L663" s="1">
        <v>0.0</v>
      </c>
      <c r="M663" s="1" t="s">
        <v>2600</v>
      </c>
      <c r="N663" s="1"/>
      <c r="O663" s="1" t="s">
        <v>30</v>
      </c>
      <c r="P663" s="1" t="s">
        <v>31</v>
      </c>
      <c r="Q663" s="1" t="s">
        <v>32</v>
      </c>
      <c r="R663" s="1" t="s">
        <v>32</v>
      </c>
      <c r="S663" s="1" t="s">
        <v>33</v>
      </c>
      <c r="T663" s="1" t="s">
        <v>402</v>
      </c>
      <c r="U663" s="1">
        <v>1.00642238E8</v>
      </c>
      <c r="X663" s="1" t="s">
        <v>239</v>
      </c>
      <c r="Y663" s="1" t="s">
        <v>2601</v>
      </c>
      <c r="Z663" s="1" t="s">
        <v>37</v>
      </c>
    </row>
    <row r="664">
      <c r="A664" s="1" t="s">
        <v>2602</v>
      </c>
      <c r="B664" s="1" t="s">
        <v>2603</v>
      </c>
      <c r="C664" s="1" t="s">
        <v>2604</v>
      </c>
      <c r="D664" s="1" t="s">
        <v>27</v>
      </c>
      <c r="E664" s="1" t="s">
        <v>28</v>
      </c>
      <c r="F664" s="2">
        <v>1600000.0</v>
      </c>
      <c r="G664" s="1" t="s">
        <v>298</v>
      </c>
      <c r="H664" s="4">
        <f>IFERROR(__xludf.DUMMYFUNCTION("DATE(INDEX(SPLIT(G664,""/""),,3),INDEX(SPLIT(G664,""/""),,2),INDEX(SPLIT(G664,""/""),,1))"),44762.0)</f>
        <v>44762</v>
      </c>
      <c r="I664" s="1" t="s">
        <v>226</v>
      </c>
      <c r="J664" s="4">
        <f>IFERROR(__xludf.DUMMYFUNCTION("DATE(INDEX(SPLIT(I664,""/""),,3),INDEX(SPLIT(I664,""/""),,2),INDEX(SPLIT(I664,""/""),,1))"),44771.0)</f>
        <v>44771</v>
      </c>
      <c r="L664" s="1">
        <v>0.0</v>
      </c>
      <c r="M664" s="1" t="s">
        <v>1874</v>
      </c>
      <c r="N664" s="1"/>
      <c r="O664" s="1" t="s">
        <v>30</v>
      </c>
      <c r="P664" s="1" t="s">
        <v>31</v>
      </c>
      <c r="Q664" s="1" t="s">
        <v>188</v>
      </c>
      <c r="R664" s="1" t="s">
        <v>188</v>
      </c>
      <c r="S664" s="1" t="s">
        <v>189</v>
      </c>
      <c r="U664" s="1">
        <v>1.00637664E8</v>
      </c>
      <c r="X664" s="1" t="s">
        <v>312</v>
      </c>
      <c r="Y664" s="1" t="s">
        <v>1874</v>
      </c>
      <c r="Z664" s="1" t="s">
        <v>37</v>
      </c>
    </row>
    <row r="665" hidden="1">
      <c r="A665" s="1" t="s">
        <v>2605</v>
      </c>
      <c r="B665" s="1" t="s">
        <v>521</v>
      </c>
      <c r="C665" s="1" t="s">
        <v>2606</v>
      </c>
      <c r="D665" s="1" t="s">
        <v>27</v>
      </c>
      <c r="E665" s="1" t="s">
        <v>28</v>
      </c>
      <c r="F665" s="2">
        <v>1600000.0</v>
      </c>
      <c r="G665" s="1" t="s">
        <v>2607</v>
      </c>
      <c r="H665" s="4">
        <f>IFERROR(__xludf.DUMMYFUNCTION("DATE(INDEX(SPLIT(G665,""/""),,3),INDEX(SPLIT(G665,""/""),,2),INDEX(SPLIT(G665,""/""),,1))"),44612.0)</f>
        <v>44612</v>
      </c>
      <c r="I665" s="1" t="s">
        <v>473</v>
      </c>
      <c r="J665" s="4">
        <f>IFERROR(__xludf.DUMMYFUNCTION("DATE(INDEX(SPLIT(I665,""/""),,3),INDEX(SPLIT(I665,""/""),,2),INDEX(SPLIT(I665,""/""),,1))"),45044.0)</f>
        <v>45044</v>
      </c>
      <c r="L665" s="1">
        <v>0.0</v>
      </c>
      <c r="M665" s="1" t="s">
        <v>524</v>
      </c>
      <c r="N665" s="1"/>
      <c r="O665" s="1" t="s">
        <v>30</v>
      </c>
      <c r="P665" s="1" t="s">
        <v>31</v>
      </c>
      <c r="Q665" s="1" t="s">
        <v>32</v>
      </c>
      <c r="R665" s="1" t="s">
        <v>32</v>
      </c>
      <c r="S665" s="1" t="s">
        <v>33</v>
      </c>
      <c r="U665" s="1">
        <v>1.00627768E8</v>
      </c>
      <c r="X665" s="1" t="s">
        <v>81</v>
      </c>
      <c r="Y665" s="1" t="s">
        <v>1925</v>
      </c>
      <c r="Z665" s="1" t="s">
        <v>527</v>
      </c>
    </row>
    <row r="666" hidden="1">
      <c r="A666" s="1" t="s">
        <v>2608</v>
      </c>
      <c r="B666" s="1" t="s">
        <v>2609</v>
      </c>
      <c r="C666" s="1" t="s">
        <v>2610</v>
      </c>
      <c r="D666" s="1" t="s">
        <v>78</v>
      </c>
      <c r="E666" s="1" t="s">
        <v>28</v>
      </c>
      <c r="F666" s="2">
        <v>1600000.0</v>
      </c>
      <c r="G666" s="1" t="s">
        <v>1674</v>
      </c>
      <c r="H666" s="4">
        <f>IFERROR(__xludf.DUMMYFUNCTION("DATE(INDEX(SPLIT(G666,""/""),,3),INDEX(SPLIT(G666,""/""),,2),INDEX(SPLIT(G666,""/""),,1))"),44617.0)</f>
        <v>44617</v>
      </c>
      <c r="I666" s="1" t="s">
        <v>171</v>
      </c>
      <c r="J666" s="4">
        <f>IFERROR(__xludf.DUMMYFUNCTION("DATE(INDEX(SPLIT(I666,""/""),,3),INDEX(SPLIT(I666,""/""),,2),INDEX(SPLIT(I666,""/""),,1))"),45077.0)</f>
        <v>45077</v>
      </c>
      <c r="L666" s="1">
        <v>0.0</v>
      </c>
      <c r="M666" s="1" t="s">
        <v>1194</v>
      </c>
      <c r="N666" s="1"/>
      <c r="O666" s="1" t="s">
        <v>30</v>
      </c>
      <c r="P666" s="1" t="s">
        <v>31</v>
      </c>
      <c r="Q666" s="1" t="s">
        <v>32</v>
      </c>
      <c r="R666" s="1" t="s">
        <v>32</v>
      </c>
      <c r="S666" s="1" t="s">
        <v>33</v>
      </c>
      <c r="T666" s="1" t="s">
        <v>1195</v>
      </c>
      <c r="U666" s="1">
        <v>1.00586863E8</v>
      </c>
      <c r="X666" s="1" t="s">
        <v>490</v>
      </c>
      <c r="Y666" s="1" t="s">
        <v>1196</v>
      </c>
      <c r="Z666" s="1" t="s">
        <v>37</v>
      </c>
    </row>
    <row r="667" hidden="1">
      <c r="A667" s="1" t="s">
        <v>2611</v>
      </c>
      <c r="B667" s="1" t="s">
        <v>1144</v>
      </c>
      <c r="C667" s="1" t="s">
        <v>2612</v>
      </c>
      <c r="D667" s="1" t="s">
        <v>27</v>
      </c>
      <c r="E667" s="1" t="s">
        <v>28</v>
      </c>
      <c r="F667" s="2">
        <v>1560000.0</v>
      </c>
      <c r="G667" s="4">
        <v>44566.0</v>
      </c>
      <c r="H667" s="4">
        <f>IFERROR(__xludf.DUMMYFUNCTION("DATE(INDEX(SPLIT(G667,""/""),,3),INDEX(SPLIT(G667,""/""),,2),INDEX(SPLIT(G667,""/""),,1))"),44682.0)</f>
        <v>44682</v>
      </c>
      <c r="I667" s="1" t="s">
        <v>109</v>
      </c>
      <c r="J667" s="4">
        <f>IFERROR(__xludf.DUMMYFUNCTION("DATE(INDEX(SPLIT(I667,""/""),,3),INDEX(SPLIT(I667,""/""),,2),INDEX(SPLIT(I667,""/""),,1))"),44834.0)</f>
        <v>44834</v>
      </c>
      <c r="L667" s="1">
        <v>0.0</v>
      </c>
      <c r="M667" s="1" t="s">
        <v>2613</v>
      </c>
      <c r="N667" s="1"/>
      <c r="O667" s="1" t="s">
        <v>30</v>
      </c>
      <c r="P667" s="1" t="s">
        <v>31</v>
      </c>
      <c r="Q667" s="1" t="s">
        <v>157</v>
      </c>
      <c r="R667" s="1" t="s">
        <v>157</v>
      </c>
      <c r="S667" s="1" t="s">
        <v>158</v>
      </c>
      <c r="U667" s="1">
        <v>1.00628059E8</v>
      </c>
      <c r="X667" s="1" t="s">
        <v>63</v>
      </c>
      <c r="Y667" s="1" t="s">
        <v>2614</v>
      </c>
      <c r="Z667" s="1" t="s">
        <v>37</v>
      </c>
    </row>
    <row r="668" hidden="1">
      <c r="A668" s="1" t="s">
        <v>2615</v>
      </c>
      <c r="B668" s="1" t="s">
        <v>2439</v>
      </c>
      <c r="C668" s="1" t="s">
        <v>2616</v>
      </c>
      <c r="D668" s="1" t="s">
        <v>78</v>
      </c>
      <c r="E668" s="1" t="s">
        <v>28</v>
      </c>
      <c r="F668" s="2">
        <v>1550000.0</v>
      </c>
      <c r="G668" s="4">
        <v>44441.0</v>
      </c>
      <c r="H668" s="4">
        <f>IFERROR(__xludf.DUMMYFUNCTION("DATE(INDEX(SPLIT(G668,""/""),,3),INDEX(SPLIT(G668,""/""),,2),INDEX(SPLIT(G668,""/""),,1))"),44236.0)</f>
        <v>44236</v>
      </c>
      <c r="I668" s="1" t="s">
        <v>130</v>
      </c>
      <c r="J668" s="4">
        <f>IFERROR(__xludf.DUMMYFUNCTION("DATE(INDEX(SPLIT(I668,""/""),,3),INDEX(SPLIT(I668,""/""),,2),INDEX(SPLIT(I668,""/""),,1))"),44804.0)</f>
        <v>44804</v>
      </c>
      <c r="L668" s="1">
        <v>0.0</v>
      </c>
      <c r="M668" s="1" t="s">
        <v>1565</v>
      </c>
      <c r="N668" s="1"/>
      <c r="O668" s="1" t="s">
        <v>30</v>
      </c>
      <c r="P668" s="1" t="s">
        <v>31</v>
      </c>
      <c r="Q668" s="1" t="s">
        <v>157</v>
      </c>
      <c r="R668" s="1" t="s">
        <v>157</v>
      </c>
      <c r="S668" s="1" t="s">
        <v>158</v>
      </c>
      <c r="T668" s="1" t="s">
        <v>442</v>
      </c>
      <c r="U668" s="1">
        <v>1.00646908E8</v>
      </c>
      <c r="X668" s="1" t="s">
        <v>781</v>
      </c>
      <c r="Y668" s="1" t="s">
        <v>1565</v>
      </c>
      <c r="Z668" s="1" t="s">
        <v>37</v>
      </c>
    </row>
    <row r="669" hidden="1">
      <c r="A669" s="1" t="s">
        <v>2617</v>
      </c>
      <c r="B669" s="1" t="s">
        <v>784</v>
      </c>
      <c r="C669" s="1" t="s">
        <v>2618</v>
      </c>
      <c r="D669" s="1" t="s">
        <v>27</v>
      </c>
      <c r="E669" s="1" t="s">
        <v>28</v>
      </c>
      <c r="F669" s="2">
        <v>1530000.0</v>
      </c>
      <c r="G669" s="1" t="s">
        <v>1521</v>
      </c>
      <c r="H669" s="4">
        <f>IFERROR(__xludf.DUMMYFUNCTION("DATE(INDEX(SPLIT(G669,""/""),,3),INDEX(SPLIT(G669,""/""),,2),INDEX(SPLIT(G669,""/""),,1))"),44756.0)</f>
        <v>44756</v>
      </c>
      <c r="I669" s="4">
        <v>44570.0</v>
      </c>
      <c r="J669" s="4">
        <f>IFERROR(__xludf.DUMMYFUNCTION("DATE(INDEX(SPLIT(I669,""/""),,3),INDEX(SPLIT(I669,""/""),,2),INDEX(SPLIT(I669,""/""),,1))"),44805.0)</f>
        <v>44805</v>
      </c>
      <c r="L669" s="1">
        <v>0.0</v>
      </c>
      <c r="M669" s="1" t="s">
        <v>2381</v>
      </c>
      <c r="N669" s="1"/>
      <c r="O669" s="1" t="s">
        <v>30</v>
      </c>
      <c r="P669" s="1" t="s">
        <v>31</v>
      </c>
      <c r="Q669" s="1" t="s">
        <v>95</v>
      </c>
      <c r="R669" s="1" t="s">
        <v>95</v>
      </c>
      <c r="S669" s="1" t="s">
        <v>96</v>
      </c>
      <c r="T669" s="1" t="s">
        <v>111</v>
      </c>
      <c r="U669" s="1">
        <v>1.00694304E8</v>
      </c>
      <c r="X669" s="1" t="s">
        <v>63</v>
      </c>
      <c r="Y669" s="1" t="s">
        <v>2382</v>
      </c>
      <c r="Z669" s="1" t="s">
        <v>206</v>
      </c>
    </row>
    <row r="670" hidden="1">
      <c r="A670" s="1" t="s">
        <v>2619</v>
      </c>
      <c r="B670" s="1" t="s">
        <v>2620</v>
      </c>
      <c r="C670" s="1" t="s">
        <v>2621</v>
      </c>
      <c r="D670" s="1" t="s">
        <v>68</v>
      </c>
      <c r="E670" s="1" t="s">
        <v>28</v>
      </c>
      <c r="F670" s="2">
        <v>1520000.0</v>
      </c>
      <c r="G670" s="1" t="s">
        <v>1598</v>
      </c>
      <c r="H670" s="4">
        <f>IFERROR(__xludf.DUMMYFUNCTION("DATE(INDEX(SPLIT(G670,""/""),,3),INDEX(SPLIT(G670,""/""),,2),INDEX(SPLIT(G670,""/""),,1))"),44461.0)</f>
        <v>44461</v>
      </c>
      <c r="I670" s="1" t="s">
        <v>130</v>
      </c>
      <c r="J670" s="4">
        <f>IFERROR(__xludf.DUMMYFUNCTION("DATE(INDEX(SPLIT(I670,""/""),,3),INDEX(SPLIT(I670,""/""),,2),INDEX(SPLIT(I670,""/""),,1))"),44804.0)</f>
        <v>44804</v>
      </c>
      <c r="L670" s="1">
        <v>0.0</v>
      </c>
      <c r="M670" s="1" t="s">
        <v>2622</v>
      </c>
      <c r="N670" s="1"/>
      <c r="O670" s="1" t="s">
        <v>30</v>
      </c>
      <c r="P670" s="1" t="s">
        <v>31</v>
      </c>
      <c r="Q670" s="1" t="s">
        <v>71</v>
      </c>
      <c r="R670" s="1" t="s">
        <v>71</v>
      </c>
      <c r="S670" s="1" t="s">
        <v>72</v>
      </c>
      <c r="T670" s="1" t="s">
        <v>73</v>
      </c>
      <c r="U670" s="1">
        <v>1.01082364E8</v>
      </c>
      <c r="X670" s="1" t="s">
        <v>74</v>
      </c>
      <c r="Y670" s="1" t="s">
        <v>2623</v>
      </c>
      <c r="Z670" s="1" t="s">
        <v>206</v>
      </c>
    </row>
    <row r="671">
      <c r="A671" s="1" t="s">
        <v>2624</v>
      </c>
      <c r="B671" s="1" t="s">
        <v>2625</v>
      </c>
      <c r="C671" s="1" t="s">
        <v>2626</v>
      </c>
      <c r="D671" s="1" t="s">
        <v>122</v>
      </c>
      <c r="E671" s="1" t="s">
        <v>28</v>
      </c>
      <c r="F671" s="2">
        <v>1500000.0</v>
      </c>
      <c r="G671" s="1" t="s">
        <v>600</v>
      </c>
      <c r="H671" s="4">
        <f>IFERROR(__xludf.DUMMYFUNCTION("DATE(INDEX(SPLIT(G671,""/""),,3),INDEX(SPLIT(G671,""/""),,2),INDEX(SPLIT(G671,""/""),,1))"),44665.0)</f>
        <v>44665</v>
      </c>
      <c r="I671" s="1" t="s">
        <v>226</v>
      </c>
      <c r="J671" s="4">
        <f>IFERROR(__xludf.DUMMYFUNCTION("DATE(INDEX(SPLIT(I671,""/""),,3),INDEX(SPLIT(I671,""/""),,2),INDEX(SPLIT(I671,""/""),,1))"),44771.0)</f>
        <v>44771</v>
      </c>
      <c r="L671" s="1">
        <v>0.0</v>
      </c>
      <c r="M671" s="1" t="s">
        <v>2072</v>
      </c>
      <c r="N671" s="1"/>
      <c r="O671" s="1" t="s">
        <v>30</v>
      </c>
      <c r="P671" s="1" t="s">
        <v>31</v>
      </c>
      <c r="Q671" s="1" t="s">
        <v>71</v>
      </c>
      <c r="R671" s="1" t="s">
        <v>71</v>
      </c>
      <c r="S671" s="1" t="s">
        <v>72</v>
      </c>
      <c r="T671" s="1" t="s">
        <v>136</v>
      </c>
      <c r="U671" s="1">
        <v>1.00628181E8</v>
      </c>
      <c r="X671" s="1" t="s">
        <v>74</v>
      </c>
      <c r="Y671" s="1" t="s">
        <v>2072</v>
      </c>
      <c r="Z671" s="1" t="s">
        <v>37</v>
      </c>
    </row>
    <row r="672" hidden="1">
      <c r="A672" s="1" t="s">
        <v>2627</v>
      </c>
      <c r="B672" s="1" t="s">
        <v>59</v>
      </c>
      <c r="C672" s="1" t="s">
        <v>2628</v>
      </c>
      <c r="D672" s="1" t="s">
        <v>27</v>
      </c>
      <c r="E672" s="1" t="s">
        <v>28</v>
      </c>
      <c r="F672" s="2">
        <v>1500000.0</v>
      </c>
      <c r="G672" s="1" t="s">
        <v>2629</v>
      </c>
      <c r="H672" s="4">
        <f>IFERROR(__xludf.DUMMYFUNCTION("DATE(INDEX(SPLIT(G672,""/""),,3),INDEX(SPLIT(G672,""/""),,2),INDEX(SPLIT(G672,""/""),,1))"),44651.0)</f>
        <v>44651</v>
      </c>
      <c r="I672" s="1" t="s">
        <v>85</v>
      </c>
      <c r="J672" s="4">
        <f>IFERROR(__xludf.DUMMYFUNCTION("DATE(INDEX(SPLIT(I672,""/""),,3),INDEX(SPLIT(I672,""/""),,2),INDEX(SPLIT(I672,""/""),,1))"),44799.0)</f>
        <v>44799</v>
      </c>
      <c r="L672" s="1">
        <v>0.0</v>
      </c>
      <c r="M672" s="1" t="s">
        <v>653</v>
      </c>
      <c r="N672" s="1"/>
      <c r="O672" s="1" t="s">
        <v>30</v>
      </c>
      <c r="P672" s="1" t="s">
        <v>31</v>
      </c>
      <c r="Q672" s="1" t="s">
        <v>157</v>
      </c>
      <c r="R672" s="1" t="s">
        <v>157</v>
      </c>
      <c r="S672" s="1" t="s">
        <v>158</v>
      </c>
      <c r="T672" s="1" t="s">
        <v>571</v>
      </c>
      <c r="U672" s="1">
        <v>1.00591141E8</v>
      </c>
      <c r="X672" s="1" t="s">
        <v>63</v>
      </c>
      <c r="Y672" s="1" t="s">
        <v>64</v>
      </c>
      <c r="Z672" s="1" t="s">
        <v>37</v>
      </c>
    </row>
    <row r="673" hidden="1">
      <c r="A673" s="1" t="s">
        <v>2630</v>
      </c>
      <c r="B673" s="1" t="s">
        <v>162</v>
      </c>
      <c r="C673" s="1" t="s">
        <v>2631</v>
      </c>
      <c r="D673" s="1" t="s">
        <v>68</v>
      </c>
      <c r="E673" s="1" t="s">
        <v>28</v>
      </c>
      <c r="F673" s="2">
        <v>1500000.0</v>
      </c>
      <c r="G673" s="1" t="s">
        <v>2632</v>
      </c>
      <c r="H673" s="4">
        <f>IFERROR(__xludf.DUMMYFUNCTION("DATE(INDEX(SPLIT(G673,""/""),,3),INDEX(SPLIT(G673,""/""),,2),INDEX(SPLIT(G673,""/""),,1))"),44702.0)</f>
        <v>44702</v>
      </c>
      <c r="I673" s="4">
        <v>44569.0</v>
      </c>
      <c r="J673" s="4">
        <f>IFERROR(__xludf.DUMMYFUNCTION("DATE(INDEX(SPLIT(I673,""/""),,3),INDEX(SPLIT(I673,""/""),,2),INDEX(SPLIT(I673,""/""),,1))"),44774.0)</f>
        <v>44774</v>
      </c>
      <c r="L673" s="1">
        <v>0.0</v>
      </c>
      <c r="M673" s="1" t="s">
        <v>266</v>
      </c>
      <c r="N673" s="1"/>
      <c r="O673" s="1" t="s">
        <v>30</v>
      </c>
      <c r="P673" s="1" t="s">
        <v>31</v>
      </c>
      <c r="Q673" s="1" t="s">
        <v>32</v>
      </c>
      <c r="R673" s="1" t="s">
        <v>32</v>
      </c>
      <c r="S673" s="1" t="s">
        <v>33</v>
      </c>
      <c r="T673" s="1" t="s">
        <v>402</v>
      </c>
      <c r="U673" s="1">
        <v>1.00597826E8</v>
      </c>
      <c r="X673" s="1" t="s">
        <v>117</v>
      </c>
      <c r="Y673" s="1" t="s">
        <v>2633</v>
      </c>
      <c r="Z673" s="1" t="s">
        <v>37</v>
      </c>
    </row>
    <row r="674" hidden="1">
      <c r="A674" s="1" t="s">
        <v>2634</v>
      </c>
      <c r="B674" s="1" t="s">
        <v>2635</v>
      </c>
      <c r="C674" s="1" t="s">
        <v>2636</v>
      </c>
      <c r="D674" s="1" t="s">
        <v>27</v>
      </c>
      <c r="E674" s="1" t="s">
        <v>28</v>
      </c>
      <c r="F674" s="2">
        <v>1500000.0</v>
      </c>
      <c r="G674" s="1" t="s">
        <v>2637</v>
      </c>
      <c r="H674" s="4">
        <f>IFERROR(__xludf.DUMMYFUNCTION("DATE(INDEX(SPLIT(G674,""/""),,3),INDEX(SPLIT(G674,""/""),,2),INDEX(SPLIT(G674,""/""),,1))"),44244.0)</f>
        <v>44244</v>
      </c>
      <c r="I674" s="1" t="s">
        <v>130</v>
      </c>
      <c r="J674" s="4">
        <f>IFERROR(__xludf.DUMMYFUNCTION("DATE(INDEX(SPLIT(I674,""/""),,3),INDEX(SPLIT(I674,""/""),,2),INDEX(SPLIT(I674,""/""),,1))"),44804.0)</f>
        <v>44804</v>
      </c>
      <c r="L674" s="1">
        <v>0.0</v>
      </c>
      <c r="M674" s="1" t="s">
        <v>2638</v>
      </c>
      <c r="N674" s="1"/>
      <c r="O674" s="1" t="s">
        <v>30</v>
      </c>
      <c r="P674" s="1" t="s">
        <v>31</v>
      </c>
      <c r="Q674" s="1" t="s">
        <v>95</v>
      </c>
      <c r="R674" s="1" t="s">
        <v>95</v>
      </c>
      <c r="S674" s="1" t="s">
        <v>96</v>
      </c>
      <c r="T674" s="1" t="s">
        <v>602</v>
      </c>
      <c r="U674" s="1">
        <v>1.00649654E8</v>
      </c>
      <c r="X674" s="1" t="s">
        <v>88</v>
      </c>
      <c r="Y674" s="1" t="s">
        <v>2638</v>
      </c>
      <c r="Z674" s="1" t="s">
        <v>206</v>
      </c>
    </row>
    <row r="675" hidden="1">
      <c r="A675" s="1" t="s">
        <v>2639</v>
      </c>
      <c r="B675" s="1" t="s">
        <v>301</v>
      </c>
      <c r="C675" s="1" t="s">
        <v>2640</v>
      </c>
      <c r="D675" s="1" t="s">
        <v>78</v>
      </c>
      <c r="E675" s="1" t="s">
        <v>28</v>
      </c>
      <c r="F675" s="2">
        <v>1500000.0</v>
      </c>
      <c r="G675" s="4">
        <v>44866.0</v>
      </c>
      <c r="H675" s="4">
        <f>IFERROR(__xludf.DUMMYFUNCTION("DATE(INDEX(SPLIT(G675,""/""),,3),INDEX(SPLIT(G675,""/""),,2),INDEX(SPLIT(G675,""/""),,1))"),44572.0)</f>
        <v>44572</v>
      </c>
      <c r="I675" s="4">
        <v>44570.0</v>
      </c>
      <c r="J675" s="4">
        <f>IFERROR(__xludf.DUMMYFUNCTION("DATE(INDEX(SPLIT(I675,""/""),,3),INDEX(SPLIT(I675,""/""),,2),INDEX(SPLIT(I675,""/""),,1))"),44805.0)</f>
        <v>44805</v>
      </c>
      <c r="L675" s="1">
        <v>0.0</v>
      </c>
      <c r="M675" s="1" t="s">
        <v>873</v>
      </c>
      <c r="N675" s="1"/>
      <c r="O675" s="1" t="s">
        <v>30</v>
      </c>
      <c r="P675" s="1" t="s">
        <v>31</v>
      </c>
      <c r="Q675" s="1" t="s">
        <v>157</v>
      </c>
      <c r="R675" s="1" t="s">
        <v>157</v>
      </c>
      <c r="S675" s="1" t="s">
        <v>158</v>
      </c>
      <c r="U675" s="1">
        <v>1.00586701E8</v>
      </c>
      <c r="X675" s="1" t="s">
        <v>305</v>
      </c>
      <c r="Y675" s="1" t="s">
        <v>1103</v>
      </c>
      <c r="Z675" s="1" t="s">
        <v>37</v>
      </c>
    </row>
    <row r="676" hidden="1">
      <c r="A676" s="1" t="s">
        <v>2641</v>
      </c>
      <c r="B676" s="1" t="s">
        <v>2642</v>
      </c>
      <c r="C676" s="1" t="s">
        <v>2643</v>
      </c>
      <c r="D676" s="1" t="s">
        <v>27</v>
      </c>
      <c r="E676" s="1" t="s">
        <v>28</v>
      </c>
      <c r="F676" s="2">
        <v>1500000.0</v>
      </c>
      <c r="G676" s="4">
        <v>44563.0</v>
      </c>
      <c r="H676" s="4">
        <f>IFERROR(__xludf.DUMMYFUNCTION("DATE(INDEX(SPLIT(G676,""/""),,3),INDEX(SPLIT(G676,""/""),,2),INDEX(SPLIT(G676,""/""),,1))"),44593.0)</f>
        <v>44593</v>
      </c>
      <c r="I676" s="1" t="s">
        <v>366</v>
      </c>
      <c r="J676" s="4">
        <f>IFERROR(__xludf.DUMMYFUNCTION("DATE(INDEX(SPLIT(I676,""/""),,3),INDEX(SPLIT(I676,""/""),,2),INDEX(SPLIT(I676,""/""),,1))"),45289.0)</f>
        <v>45289</v>
      </c>
      <c r="L676" s="1">
        <v>0.0</v>
      </c>
      <c r="M676" s="1" t="s">
        <v>2072</v>
      </c>
      <c r="N676" s="1"/>
      <c r="O676" s="1" t="s">
        <v>30</v>
      </c>
      <c r="P676" s="1" t="s">
        <v>31</v>
      </c>
      <c r="Q676" s="1" t="s">
        <v>71</v>
      </c>
      <c r="R676" s="1" t="s">
        <v>71</v>
      </c>
      <c r="S676" s="1" t="s">
        <v>72</v>
      </c>
      <c r="T676" s="1" t="s">
        <v>136</v>
      </c>
      <c r="U676" s="1">
        <v>1.00628181E8</v>
      </c>
      <c r="V676" s="1" t="s">
        <v>2644</v>
      </c>
      <c r="W676" s="1" t="s">
        <v>45</v>
      </c>
      <c r="X676" s="1" t="s">
        <v>74</v>
      </c>
      <c r="Y676" s="1" t="s">
        <v>2072</v>
      </c>
      <c r="Z676" s="1" t="s">
        <v>37</v>
      </c>
    </row>
    <row r="677" hidden="1">
      <c r="A677" s="1" t="s">
        <v>2645</v>
      </c>
      <c r="B677" s="1" t="s">
        <v>2642</v>
      </c>
      <c r="C677" s="1" t="s">
        <v>2646</v>
      </c>
      <c r="D677" s="1" t="s">
        <v>27</v>
      </c>
      <c r="E677" s="1" t="s">
        <v>28</v>
      </c>
      <c r="F677" s="2">
        <v>1500000.0</v>
      </c>
      <c r="G677" s="4">
        <v>44563.0</v>
      </c>
      <c r="H677" s="4">
        <f>IFERROR(__xludf.DUMMYFUNCTION("DATE(INDEX(SPLIT(G677,""/""),,3),INDEX(SPLIT(G677,""/""),,2),INDEX(SPLIT(G677,""/""),,1))"),44593.0)</f>
        <v>44593</v>
      </c>
      <c r="I677" s="1" t="s">
        <v>2042</v>
      </c>
      <c r="J677" s="4">
        <f>IFERROR(__xludf.DUMMYFUNCTION("DATE(INDEX(SPLIT(I677,""/""),,3),INDEX(SPLIT(I677,""/""),,2),INDEX(SPLIT(I677,""/""),,1))"),45169.0)</f>
        <v>45169</v>
      </c>
      <c r="L677" s="1">
        <v>0.0</v>
      </c>
      <c r="M677" s="1" t="s">
        <v>2072</v>
      </c>
      <c r="N677" s="1"/>
      <c r="O677" s="1" t="s">
        <v>30</v>
      </c>
      <c r="P677" s="1" t="s">
        <v>31</v>
      </c>
      <c r="Q677" s="1" t="s">
        <v>71</v>
      </c>
      <c r="R677" s="1" t="s">
        <v>71</v>
      </c>
      <c r="S677" s="1" t="s">
        <v>72</v>
      </c>
      <c r="T677" s="1" t="s">
        <v>136</v>
      </c>
      <c r="U677" s="1">
        <v>1.00628181E8</v>
      </c>
      <c r="V677" s="1" t="s">
        <v>2644</v>
      </c>
      <c r="W677" s="1" t="s">
        <v>45</v>
      </c>
      <c r="X677" s="1" t="s">
        <v>74</v>
      </c>
      <c r="Y677" s="1" t="s">
        <v>2072</v>
      </c>
      <c r="Z677" s="1" t="s">
        <v>37</v>
      </c>
    </row>
    <row r="678" hidden="1">
      <c r="A678" s="1" t="s">
        <v>2647</v>
      </c>
      <c r="B678" s="1" t="s">
        <v>2642</v>
      </c>
      <c r="C678" s="1" t="s">
        <v>2648</v>
      </c>
      <c r="D678" s="1" t="s">
        <v>27</v>
      </c>
      <c r="E678" s="1" t="s">
        <v>28</v>
      </c>
      <c r="F678" s="2">
        <v>1500000.0</v>
      </c>
      <c r="G678" s="4">
        <v>44563.0</v>
      </c>
      <c r="H678" s="4">
        <f>IFERROR(__xludf.DUMMYFUNCTION("DATE(INDEX(SPLIT(G678,""/""),,3),INDEX(SPLIT(G678,""/""),,2),INDEX(SPLIT(G678,""/""),,1))"),44593.0)</f>
        <v>44593</v>
      </c>
      <c r="I678" s="1" t="s">
        <v>473</v>
      </c>
      <c r="J678" s="4">
        <f>IFERROR(__xludf.DUMMYFUNCTION("DATE(INDEX(SPLIT(I678,""/""),,3),INDEX(SPLIT(I678,""/""),,2),INDEX(SPLIT(I678,""/""),,1))"),45044.0)</f>
        <v>45044</v>
      </c>
      <c r="L678" s="1">
        <v>0.0</v>
      </c>
      <c r="M678" s="1" t="s">
        <v>2072</v>
      </c>
      <c r="N678" s="1"/>
      <c r="O678" s="1" t="s">
        <v>30</v>
      </c>
      <c r="P678" s="1" t="s">
        <v>31</v>
      </c>
      <c r="Q678" s="1" t="s">
        <v>71</v>
      </c>
      <c r="R678" s="1" t="s">
        <v>71</v>
      </c>
      <c r="S678" s="1" t="s">
        <v>72</v>
      </c>
      <c r="T678" s="1" t="s">
        <v>136</v>
      </c>
      <c r="U678" s="1">
        <v>1.00628181E8</v>
      </c>
      <c r="V678" s="1" t="s">
        <v>2644</v>
      </c>
      <c r="W678" s="1" t="s">
        <v>45</v>
      </c>
      <c r="X678" s="1" t="s">
        <v>74</v>
      </c>
      <c r="Y678" s="1" t="s">
        <v>2072</v>
      </c>
      <c r="Z678" s="1" t="s">
        <v>37</v>
      </c>
    </row>
    <row r="679" hidden="1">
      <c r="A679" s="1" t="s">
        <v>2649</v>
      </c>
      <c r="B679" s="1" t="s">
        <v>2650</v>
      </c>
      <c r="C679" s="1" t="s">
        <v>2651</v>
      </c>
      <c r="D679" s="1" t="s">
        <v>27</v>
      </c>
      <c r="E679" s="1" t="s">
        <v>28</v>
      </c>
      <c r="F679" s="2">
        <v>1500000.0</v>
      </c>
      <c r="G679" s="1" t="s">
        <v>1244</v>
      </c>
      <c r="H679" s="4">
        <f>IFERROR(__xludf.DUMMYFUNCTION("DATE(INDEX(SPLIT(G679,""/""),,3),INDEX(SPLIT(G679,""/""),,2),INDEX(SPLIT(G679,""/""),,1))"),44742.0)</f>
        <v>44742</v>
      </c>
      <c r="I679" s="1" t="s">
        <v>130</v>
      </c>
      <c r="J679" s="4">
        <f>IFERROR(__xludf.DUMMYFUNCTION("DATE(INDEX(SPLIT(I679,""/""),,3),INDEX(SPLIT(I679,""/""),,2),INDEX(SPLIT(I679,""/""),,1))"),44804.0)</f>
        <v>44804</v>
      </c>
      <c r="L679" s="1">
        <v>0.0</v>
      </c>
      <c r="M679" s="1" t="s">
        <v>187</v>
      </c>
      <c r="N679" s="1"/>
      <c r="O679" s="1" t="s">
        <v>30</v>
      </c>
      <c r="P679" s="1" t="s">
        <v>31</v>
      </c>
      <c r="Q679" s="1" t="s">
        <v>188</v>
      </c>
      <c r="R679" s="1" t="s">
        <v>188</v>
      </c>
      <c r="S679" s="1" t="s">
        <v>189</v>
      </c>
      <c r="U679" s="1">
        <v>1.00613095E8</v>
      </c>
      <c r="X679" s="1" t="s">
        <v>98</v>
      </c>
      <c r="Y679" s="1" t="s">
        <v>2652</v>
      </c>
      <c r="Z679" s="1" t="s">
        <v>37</v>
      </c>
    </row>
    <row r="680" hidden="1">
      <c r="A680" s="1" t="s">
        <v>2653</v>
      </c>
      <c r="B680" s="1" t="s">
        <v>532</v>
      </c>
      <c r="C680" s="1" t="s">
        <v>2654</v>
      </c>
      <c r="D680" s="1" t="s">
        <v>27</v>
      </c>
      <c r="E680" s="1" t="s">
        <v>28</v>
      </c>
      <c r="F680" s="2">
        <v>1500000.0</v>
      </c>
      <c r="G680" s="1" t="s">
        <v>2655</v>
      </c>
      <c r="H680" s="4">
        <f>IFERROR(__xludf.DUMMYFUNCTION("DATE(INDEX(SPLIT(G680,""/""),,3),INDEX(SPLIT(G680,""/""),,2),INDEX(SPLIT(G680,""/""),,1))"),44467.0)</f>
        <v>44467</v>
      </c>
      <c r="I680" s="1" t="s">
        <v>317</v>
      </c>
      <c r="J680" s="4">
        <f>IFERROR(__xludf.DUMMYFUNCTION("DATE(INDEX(SPLIT(I680,""/""),,3),INDEX(SPLIT(I680,""/""),,2),INDEX(SPLIT(I680,""/""),,1))"),44862.0)</f>
        <v>44862</v>
      </c>
      <c r="L680" s="1">
        <v>0.0</v>
      </c>
      <c r="M680" s="1" t="s">
        <v>614</v>
      </c>
      <c r="N680" s="1"/>
      <c r="O680" s="1" t="s">
        <v>30</v>
      </c>
      <c r="P680" s="1" t="s">
        <v>31</v>
      </c>
      <c r="Q680" s="1" t="s">
        <v>71</v>
      </c>
      <c r="R680" s="1" t="s">
        <v>71</v>
      </c>
      <c r="S680" s="1" t="s">
        <v>72</v>
      </c>
      <c r="T680" s="1" t="s">
        <v>2656</v>
      </c>
      <c r="U680" s="1">
        <v>1.00869732E8</v>
      </c>
      <c r="X680" s="1" t="s">
        <v>490</v>
      </c>
      <c r="Y680" s="1" t="s">
        <v>2657</v>
      </c>
      <c r="Z680" s="1" t="s">
        <v>37</v>
      </c>
    </row>
    <row r="681" hidden="1">
      <c r="A681" s="1" t="s">
        <v>2658</v>
      </c>
      <c r="B681" s="1" t="s">
        <v>301</v>
      </c>
      <c r="C681" s="1" t="s">
        <v>2659</v>
      </c>
      <c r="D681" s="1" t="s">
        <v>122</v>
      </c>
      <c r="E681" s="1" t="s">
        <v>28</v>
      </c>
      <c r="F681" s="2">
        <v>1500000.0</v>
      </c>
      <c r="G681" s="4">
        <v>44866.0</v>
      </c>
      <c r="H681" s="4">
        <f>IFERROR(__xludf.DUMMYFUNCTION("DATE(INDEX(SPLIT(G681,""/""),,3),INDEX(SPLIT(G681,""/""),,2),INDEX(SPLIT(G681,""/""),,1))"),44572.0)</f>
        <v>44572</v>
      </c>
      <c r="I681" s="1" t="s">
        <v>85</v>
      </c>
      <c r="J681" s="4">
        <f>IFERROR(__xludf.DUMMYFUNCTION("DATE(INDEX(SPLIT(I681,""/""),,3),INDEX(SPLIT(I681,""/""),,2),INDEX(SPLIT(I681,""/""),,1))"),44799.0)</f>
        <v>44799</v>
      </c>
      <c r="L681" s="1">
        <v>0.0</v>
      </c>
      <c r="M681" s="1" t="s">
        <v>873</v>
      </c>
      <c r="N681" s="1"/>
      <c r="O681" s="1" t="s">
        <v>30</v>
      </c>
      <c r="P681" s="1" t="s">
        <v>31</v>
      </c>
      <c r="Q681" s="1" t="s">
        <v>157</v>
      </c>
      <c r="R681" s="1" t="s">
        <v>157</v>
      </c>
      <c r="S681" s="1" t="s">
        <v>158</v>
      </c>
      <c r="U681" s="1">
        <v>1.00586701E8</v>
      </c>
      <c r="X681" s="1" t="s">
        <v>305</v>
      </c>
      <c r="Y681" s="1" t="s">
        <v>1103</v>
      </c>
      <c r="Z681" s="1" t="s">
        <v>37</v>
      </c>
    </row>
    <row r="682">
      <c r="A682" s="1" t="s">
        <v>2660</v>
      </c>
      <c r="B682" s="1" t="s">
        <v>2661</v>
      </c>
      <c r="C682" s="1" t="s">
        <v>2662</v>
      </c>
      <c r="D682" s="1" t="s">
        <v>27</v>
      </c>
      <c r="E682" s="1" t="s">
        <v>28</v>
      </c>
      <c r="F682" s="2">
        <v>1500000.0</v>
      </c>
      <c r="G682" s="1" t="s">
        <v>418</v>
      </c>
      <c r="H682" s="4">
        <f>IFERROR(__xludf.DUMMYFUNCTION("DATE(INDEX(SPLIT(G682,""/""),,3),INDEX(SPLIT(G682,""/""),,2),INDEX(SPLIT(G682,""/""),,1))"),44755.0)</f>
        <v>44755</v>
      </c>
      <c r="I682" s="1" t="s">
        <v>69</v>
      </c>
      <c r="J682" s="4">
        <f>IFERROR(__xludf.DUMMYFUNCTION("DATE(INDEX(SPLIT(I682,""/""),,3),INDEX(SPLIT(I682,""/""),,2),INDEX(SPLIT(I682,""/""),,1))"),44773.0)</f>
        <v>44773</v>
      </c>
      <c r="L682" s="1">
        <v>0.0</v>
      </c>
      <c r="M682" s="1" t="s">
        <v>2663</v>
      </c>
      <c r="N682" s="1"/>
      <c r="O682" s="1" t="s">
        <v>30</v>
      </c>
      <c r="P682" s="1" t="s">
        <v>31</v>
      </c>
      <c r="Q682" s="1" t="s">
        <v>188</v>
      </c>
      <c r="R682" s="1" t="s">
        <v>188</v>
      </c>
      <c r="S682" s="1" t="s">
        <v>189</v>
      </c>
      <c r="T682" s="1" t="s">
        <v>2536</v>
      </c>
      <c r="U682" s="1">
        <v>1.00623735E8</v>
      </c>
      <c r="X682" s="1" t="s">
        <v>375</v>
      </c>
      <c r="Y682" s="1" t="s">
        <v>2664</v>
      </c>
      <c r="Z682" s="1" t="s">
        <v>37</v>
      </c>
    </row>
    <row r="683">
      <c r="A683" s="1" t="s">
        <v>2665</v>
      </c>
      <c r="B683" s="1" t="s">
        <v>690</v>
      </c>
      <c r="C683" s="1" t="s">
        <v>2666</v>
      </c>
      <c r="D683" s="1" t="s">
        <v>27</v>
      </c>
      <c r="E683" s="1" t="s">
        <v>28</v>
      </c>
      <c r="F683" s="2">
        <v>1500000.0</v>
      </c>
      <c r="G683" s="1" t="s">
        <v>2025</v>
      </c>
      <c r="H683" s="4">
        <f>IFERROR(__xludf.DUMMYFUNCTION("DATE(INDEX(SPLIT(G683,""/""),,3),INDEX(SPLIT(G683,""/""),,2),INDEX(SPLIT(G683,""/""),,1))"),44664.0)</f>
        <v>44664</v>
      </c>
      <c r="I683" s="4">
        <v>44626.0</v>
      </c>
      <c r="J683" s="4">
        <f>IFERROR(__xludf.DUMMYFUNCTION("DATE(INDEX(SPLIT(I683,""/""),,3),INDEX(SPLIT(I683,""/""),,2),INDEX(SPLIT(I683,""/""),,1))"),44715.0)</f>
        <v>44715</v>
      </c>
      <c r="L683" s="1">
        <v>0.0</v>
      </c>
      <c r="M683" s="1" t="s">
        <v>1792</v>
      </c>
      <c r="N683" s="1"/>
      <c r="O683" s="1" t="s">
        <v>30</v>
      </c>
      <c r="P683" s="1" t="s">
        <v>31</v>
      </c>
      <c r="Q683" s="1" t="s">
        <v>235</v>
      </c>
      <c r="R683" s="1" t="s">
        <v>235</v>
      </c>
      <c r="S683" s="1" t="s">
        <v>236</v>
      </c>
      <c r="T683" s="1" t="s">
        <v>438</v>
      </c>
      <c r="U683" s="1">
        <v>1.00964362E8</v>
      </c>
      <c r="X683" s="1" t="s">
        <v>88</v>
      </c>
      <c r="Y683" s="1" t="s">
        <v>2667</v>
      </c>
      <c r="Z683" s="1" t="s">
        <v>37</v>
      </c>
    </row>
    <row r="684" hidden="1">
      <c r="A684" s="1" t="s">
        <v>2668</v>
      </c>
      <c r="B684" s="1" t="s">
        <v>954</v>
      </c>
      <c r="C684" s="1" t="s">
        <v>2669</v>
      </c>
      <c r="D684" s="1" t="s">
        <v>122</v>
      </c>
      <c r="E684" s="1" t="s">
        <v>28</v>
      </c>
      <c r="F684" s="2">
        <v>1500000.0</v>
      </c>
      <c r="G684" s="4">
        <v>44808.0</v>
      </c>
      <c r="H684" s="4">
        <f>IFERROR(__xludf.DUMMYFUNCTION("DATE(INDEX(SPLIT(G684,""/""),,3),INDEX(SPLIT(G684,""/""),,2),INDEX(SPLIT(G684,""/""),,1))"),44660.0)</f>
        <v>44660</v>
      </c>
      <c r="I684" s="1" t="s">
        <v>130</v>
      </c>
      <c r="J684" s="4">
        <f>IFERROR(__xludf.DUMMYFUNCTION("DATE(INDEX(SPLIT(I684,""/""),,3),INDEX(SPLIT(I684,""/""),,2),INDEX(SPLIT(I684,""/""),,1))"),44804.0)</f>
        <v>44804</v>
      </c>
      <c r="L684" s="1">
        <v>0.0</v>
      </c>
      <c r="M684" s="1" t="s">
        <v>2390</v>
      </c>
      <c r="N684" s="1"/>
      <c r="O684" s="1" t="s">
        <v>30</v>
      </c>
      <c r="P684" s="1" t="s">
        <v>31</v>
      </c>
      <c r="Q684" s="1" t="s">
        <v>71</v>
      </c>
      <c r="R684" s="1" t="s">
        <v>71</v>
      </c>
      <c r="S684" s="1" t="s">
        <v>72</v>
      </c>
      <c r="T684" s="1" t="s">
        <v>73</v>
      </c>
      <c r="U684" s="1">
        <v>1.00646452E8</v>
      </c>
      <c r="X684" s="1" t="s">
        <v>74</v>
      </c>
      <c r="Y684" s="1" t="s">
        <v>2391</v>
      </c>
      <c r="Z684" s="1" t="s">
        <v>37</v>
      </c>
    </row>
    <row r="685" hidden="1">
      <c r="A685" s="1" t="s">
        <v>2670</v>
      </c>
      <c r="B685" s="1" t="s">
        <v>2671</v>
      </c>
      <c r="C685" s="1" t="s">
        <v>2672</v>
      </c>
      <c r="D685" s="1" t="s">
        <v>78</v>
      </c>
      <c r="E685" s="1" t="s">
        <v>28</v>
      </c>
      <c r="F685" s="2">
        <v>1500000.0</v>
      </c>
      <c r="G685" s="1" t="s">
        <v>2673</v>
      </c>
      <c r="H685" s="4">
        <f>IFERROR(__xludf.DUMMYFUNCTION("DATE(INDEX(SPLIT(G685,""/""),,3),INDEX(SPLIT(G685,""/""),,2),INDEX(SPLIT(G685,""/""),,1))"),43760.0)</f>
        <v>43760</v>
      </c>
      <c r="I685" s="4">
        <v>44630.0</v>
      </c>
      <c r="J685" s="4">
        <f>IFERROR(__xludf.DUMMYFUNCTION("DATE(INDEX(SPLIT(I685,""/""),,3),INDEX(SPLIT(I685,""/""),,2),INDEX(SPLIT(I685,""/""),,1))"),44837.0)</f>
        <v>44837</v>
      </c>
      <c r="L685" s="1">
        <v>0.0</v>
      </c>
      <c r="M685" s="1" t="s">
        <v>823</v>
      </c>
      <c r="N685" s="1"/>
      <c r="O685" s="1" t="s">
        <v>30</v>
      </c>
      <c r="P685" s="1" t="s">
        <v>31</v>
      </c>
      <c r="Q685" s="1" t="s">
        <v>95</v>
      </c>
      <c r="R685" s="1" t="s">
        <v>95</v>
      </c>
      <c r="S685" s="1" t="s">
        <v>96</v>
      </c>
      <c r="T685" s="1" t="s">
        <v>489</v>
      </c>
      <c r="U685" s="1">
        <v>1.00629729E8</v>
      </c>
      <c r="X685" s="1" t="s">
        <v>74</v>
      </c>
      <c r="Y685" s="1" t="s">
        <v>2674</v>
      </c>
      <c r="Z685" s="1" t="s">
        <v>37</v>
      </c>
    </row>
    <row r="686">
      <c r="A686" s="1" t="s">
        <v>2675</v>
      </c>
      <c r="B686" s="1" t="s">
        <v>1144</v>
      </c>
      <c r="C686" s="1" t="s">
        <v>2676</v>
      </c>
      <c r="D686" s="1" t="s">
        <v>27</v>
      </c>
      <c r="E686" s="1" t="s">
        <v>28</v>
      </c>
      <c r="F686" s="2">
        <v>1500000.0</v>
      </c>
      <c r="G686" s="4">
        <v>44836.0</v>
      </c>
      <c r="H686" s="4">
        <f>IFERROR(__xludf.DUMMYFUNCTION("DATE(INDEX(SPLIT(G686,""/""),,3),INDEX(SPLIT(G686,""/""),,2),INDEX(SPLIT(G686,""/""),,1))"),44602.0)</f>
        <v>44602</v>
      </c>
      <c r="I686" s="1" t="s">
        <v>1244</v>
      </c>
      <c r="J686" s="4">
        <f>IFERROR(__xludf.DUMMYFUNCTION("DATE(INDEX(SPLIT(I686,""/""),,3),INDEX(SPLIT(I686,""/""),,2),INDEX(SPLIT(I686,""/""),,1))"),44742.0)</f>
        <v>44742</v>
      </c>
      <c r="L686" s="1">
        <v>0.0</v>
      </c>
      <c r="M686" s="1" t="s">
        <v>2613</v>
      </c>
      <c r="N686" s="1"/>
      <c r="O686" s="1" t="s">
        <v>30</v>
      </c>
      <c r="P686" s="1" t="s">
        <v>31</v>
      </c>
      <c r="Q686" s="1" t="s">
        <v>157</v>
      </c>
      <c r="R686" s="1" t="s">
        <v>157</v>
      </c>
      <c r="S686" s="1" t="s">
        <v>158</v>
      </c>
      <c r="U686" s="1">
        <v>1.00628059E8</v>
      </c>
      <c r="V686" s="1" t="s">
        <v>1897</v>
      </c>
      <c r="W686" s="1" t="s">
        <v>45</v>
      </c>
      <c r="X686" s="1" t="s">
        <v>63</v>
      </c>
      <c r="Y686" s="1" t="s">
        <v>1899</v>
      </c>
      <c r="Z686" s="1" t="s">
        <v>37</v>
      </c>
    </row>
    <row r="687">
      <c r="A687" s="1" t="s">
        <v>2677</v>
      </c>
      <c r="B687" s="1" t="s">
        <v>1144</v>
      </c>
      <c r="C687" s="1" t="s">
        <v>2678</v>
      </c>
      <c r="D687" s="1" t="s">
        <v>27</v>
      </c>
      <c r="E687" s="1" t="s">
        <v>28</v>
      </c>
      <c r="F687" s="2">
        <v>1500000.0</v>
      </c>
      <c r="G687" s="4">
        <v>44836.0</v>
      </c>
      <c r="H687" s="4">
        <f>IFERROR(__xludf.DUMMYFUNCTION("DATE(INDEX(SPLIT(G687,""/""),,3),INDEX(SPLIT(G687,""/""),,2),INDEX(SPLIT(G687,""/""),,1))"),44602.0)</f>
        <v>44602</v>
      </c>
      <c r="I687" s="1" t="s">
        <v>1244</v>
      </c>
      <c r="J687" s="4">
        <f>IFERROR(__xludf.DUMMYFUNCTION("DATE(INDEX(SPLIT(I687,""/""),,3),INDEX(SPLIT(I687,""/""),,2),INDEX(SPLIT(I687,""/""),,1))"),44742.0)</f>
        <v>44742</v>
      </c>
      <c r="L687" s="1">
        <v>0.0</v>
      </c>
      <c r="M687" s="1" t="s">
        <v>1146</v>
      </c>
      <c r="N687" s="1"/>
      <c r="O687" s="1" t="s">
        <v>30</v>
      </c>
      <c r="P687" s="1" t="s">
        <v>31</v>
      </c>
      <c r="Q687" s="1" t="s">
        <v>228</v>
      </c>
      <c r="R687" s="1" t="s">
        <v>228</v>
      </c>
      <c r="S687" s="1" t="s">
        <v>229</v>
      </c>
      <c r="U687" s="1">
        <v>1.0061139E8</v>
      </c>
      <c r="V687" s="1" t="s">
        <v>1897</v>
      </c>
      <c r="W687" s="1" t="s">
        <v>45</v>
      </c>
      <c r="X687" s="1" t="s">
        <v>63</v>
      </c>
      <c r="Y687" s="1" t="s">
        <v>1899</v>
      </c>
      <c r="Z687" s="1" t="s">
        <v>37</v>
      </c>
    </row>
    <row r="688" hidden="1">
      <c r="A688" s="1" t="s">
        <v>2679</v>
      </c>
      <c r="B688" s="1" t="s">
        <v>2680</v>
      </c>
      <c r="C688" s="1" t="s">
        <v>2681</v>
      </c>
      <c r="D688" s="1" t="s">
        <v>122</v>
      </c>
      <c r="E688" s="1" t="s">
        <v>28</v>
      </c>
      <c r="F688" s="2">
        <v>1500000.0</v>
      </c>
      <c r="G688" s="4">
        <v>44230.0</v>
      </c>
      <c r="H688" s="4">
        <f>IFERROR(__xludf.DUMMYFUNCTION("DATE(INDEX(SPLIT(G688,""/""),,3),INDEX(SPLIT(G688,""/""),,2),INDEX(SPLIT(G688,""/""),,1))"),44257.0)</f>
        <v>44257</v>
      </c>
      <c r="I688" s="1" t="s">
        <v>130</v>
      </c>
      <c r="J688" s="4">
        <f>IFERROR(__xludf.DUMMYFUNCTION("DATE(INDEX(SPLIT(I688,""/""),,3),INDEX(SPLIT(I688,""/""),,2),INDEX(SPLIT(I688,""/""),,1))"),44804.0)</f>
        <v>44804</v>
      </c>
      <c r="L688" s="1">
        <v>0.0</v>
      </c>
      <c r="M688" s="1" t="s">
        <v>873</v>
      </c>
      <c r="N688" s="1"/>
      <c r="O688" s="1" t="s">
        <v>30</v>
      </c>
      <c r="P688" s="1" t="s">
        <v>31</v>
      </c>
      <c r="Q688" s="1" t="s">
        <v>157</v>
      </c>
      <c r="R688" s="1" t="s">
        <v>157</v>
      </c>
      <c r="S688" s="1" t="s">
        <v>158</v>
      </c>
      <c r="T688" s="1" t="s">
        <v>197</v>
      </c>
      <c r="U688" s="1">
        <v>1.00586701E8</v>
      </c>
      <c r="X688" s="1" t="s">
        <v>63</v>
      </c>
      <c r="Y688" s="1" t="s">
        <v>873</v>
      </c>
      <c r="Z688" s="1" t="s">
        <v>37</v>
      </c>
    </row>
    <row r="689">
      <c r="A689" s="1" t="s">
        <v>2682</v>
      </c>
      <c r="B689" s="1" t="s">
        <v>2683</v>
      </c>
      <c r="C689" s="1" t="s">
        <v>209</v>
      </c>
      <c r="D689" s="1" t="s">
        <v>27</v>
      </c>
      <c r="E689" s="1" t="s">
        <v>28</v>
      </c>
      <c r="F689" s="2">
        <v>1500000.0</v>
      </c>
      <c r="G689" s="1" t="s">
        <v>2684</v>
      </c>
      <c r="H689" s="4">
        <f>IFERROR(__xludf.DUMMYFUNCTION("DATE(INDEX(SPLIT(G689,""/""),,3),INDEX(SPLIT(G689,""/""),,2),INDEX(SPLIT(G689,""/""),,1))"),44333.0)</f>
        <v>44333</v>
      </c>
      <c r="I689" s="1" t="s">
        <v>226</v>
      </c>
      <c r="J689" s="4">
        <f>IFERROR(__xludf.DUMMYFUNCTION("DATE(INDEX(SPLIT(I689,""/""),,3),INDEX(SPLIT(I689,""/""),,2),INDEX(SPLIT(I689,""/""),,1))"),44771.0)</f>
        <v>44771</v>
      </c>
      <c r="L689" s="1">
        <v>0.0</v>
      </c>
      <c r="M689" s="1" t="s">
        <v>211</v>
      </c>
      <c r="N689" s="1"/>
      <c r="O689" s="1" t="s">
        <v>30</v>
      </c>
      <c r="P689" s="1" t="s">
        <v>31</v>
      </c>
      <c r="Q689" s="1" t="s">
        <v>71</v>
      </c>
      <c r="R689" s="1" t="s">
        <v>71</v>
      </c>
      <c r="S689" s="1" t="s">
        <v>72</v>
      </c>
      <c r="T689" s="1" t="s">
        <v>136</v>
      </c>
      <c r="U689" s="1">
        <v>1.00590896E8</v>
      </c>
      <c r="X689" s="1" t="s">
        <v>74</v>
      </c>
      <c r="Y689" s="1" t="s">
        <v>212</v>
      </c>
      <c r="Z689" s="1" t="s">
        <v>37</v>
      </c>
    </row>
    <row r="690" hidden="1">
      <c r="A690" s="1" t="s">
        <v>2685</v>
      </c>
      <c r="B690" s="1" t="s">
        <v>1291</v>
      </c>
      <c r="C690" s="1" t="s">
        <v>2686</v>
      </c>
      <c r="D690" s="1" t="s">
        <v>78</v>
      </c>
      <c r="E690" s="1" t="s">
        <v>28</v>
      </c>
      <c r="F690" s="2">
        <v>1500000.0</v>
      </c>
      <c r="G690" s="4">
        <v>44511.0</v>
      </c>
      <c r="H690" s="4">
        <f>IFERROR(__xludf.DUMMYFUNCTION("DATE(INDEX(SPLIT(G690,""/""),,3),INDEX(SPLIT(G690,""/""),,2),INDEX(SPLIT(G690,""/""),,1))"),44511.0)</f>
        <v>44511</v>
      </c>
      <c r="I690" s="1" t="s">
        <v>109</v>
      </c>
      <c r="J690" s="4">
        <f>IFERROR(__xludf.DUMMYFUNCTION("DATE(INDEX(SPLIT(I690,""/""),,3),INDEX(SPLIT(I690,""/""),,2),INDEX(SPLIT(I690,""/""),,1))"),44834.0)</f>
        <v>44834</v>
      </c>
      <c r="L690" s="1">
        <v>0.0</v>
      </c>
      <c r="M690" s="1" t="s">
        <v>1443</v>
      </c>
      <c r="N690" s="1"/>
      <c r="O690" s="1" t="s">
        <v>30</v>
      </c>
      <c r="P690" s="1" t="s">
        <v>31</v>
      </c>
      <c r="Q690" s="1" t="s">
        <v>53</v>
      </c>
      <c r="R690" s="1" t="s">
        <v>53</v>
      </c>
      <c r="S690" s="1" t="s">
        <v>54</v>
      </c>
      <c r="T690" s="1" t="s">
        <v>103</v>
      </c>
      <c r="U690" s="1">
        <v>1.0059033E8</v>
      </c>
      <c r="X690" s="1" t="s">
        <v>312</v>
      </c>
      <c r="Y690" s="1" t="s">
        <v>313</v>
      </c>
      <c r="Z690" s="1" t="s">
        <v>37</v>
      </c>
    </row>
    <row r="691" hidden="1">
      <c r="A691" s="1" t="s">
        <v>2687</v>
      </c>
      <c r="B691" s="1" t="s">
        <v>662</v>
      </c>
      <c r="C691" s="1" t="s">
        <v>2688</v>
      </c>
      <c r="D691" s="1" t="s">
        <v>78</v>
      </c>
      <c r="E691" s="1" t="s">
        <v>28</v>
      </c>
      <c r="F691" s="2">
        <v>1500000.0</v>
      </c>
      <c r="G691" s="1" t="s">
        <v>1475</v>
      </c>
      <c r="H691" s="4">
        <f>IFERROR(__xludf.DUMMYFUNCTION("DATE(INDEX(SPLIT(G691,""/""),,3),INDEX(SPLIT(G691,""/""),,2),INDEX(SPLIT(G691,""/""),,1))"),44425.0)</f>
        <v>44425</v>
      </c>
      <c r="I691" s="1" t="s">
        <v>85</v>
      </c>
      <c r="J691" s="4">
        <f>IFERROR(__xludf.DUMMYFUNCTION("DATE(INDEX(SPLIT(I691,""/""),,3),INDEX(SPLIT(I691,""/""),,2),INDEX(SPLIT(I691,""/""),,1))"),44799.0)</f>
        <v>44799</v>
      </c>
      <c r="L691" s="1">
        <v>0.0</v>
      </c>
      <c r="M691" s="1" t="s">
        <v>494</v>
      </c>
      <c r="N691" s="1"/>
      <c r="O691" s="1" t="s">
        <v>30</v>
      </c>
      <c r="P691" s="1" t="s">
        <v>31</v>
      </c>
      <c r="Q691" s="1" t="s">
        <v>95</v>
      </c>
      <c r="R691" s="1" t="s">
        <v>95</v>
      </c>
      <c r="S691" s="1" t="s">
        <v>96</v>
      </c>
      <c r="T691" s="1" t="s">
        <v>311</v>
      </c>
      <c r="U691" s="1">
        <v>1.0062347E8</v>
      </c>
      <c r="X691" s="1" t="s">
        <v>46</v>
      </c>
      <c r="Y691" s="1" t="s">
        <v>2689</v>
      </c>
      <c r="Z691" s="1" t="s">
        <v>37</v>
      </c>
    </row>
    <row r="692" hidden="1">
      <c r="A692" s="1" t="s">
        <v>2690</v>
      </c>
      <c r="B692" s="1" t="s">
        <v>2691</v>
      </c>
      <c r="C692" s="1" t="s">
        <v>2692</v>
      </c>
      <c r="D692" s="1" t="s">
        <v>122</v>
      </c>
      <c r="E692" s="1" t="s">
        <v>28</v>
      </c>
      <c r="F692" s="2">
        <v>1500000.0</v>
      </c>
      <c r="G692" s="1" t="s">
        <v>382</v>
      </c>
      <c r="H692" s="4">
        <f>IFERROR(__xludf.DUMMYFUNCTION("DATE(INDEX(SPLIT(G692,""/""),,3),INDEX(SPLIT(G692,""/""),,2),INDEX(SPLIT(G692,""/""),,1))"),44758.0)</f>
        <v>44758</v>
      </c>
      <c r="I692" s="4">
        <v>44689.0</v>
      </c>
      <c r="J692" s="4">
        <f>IFERROR(__xludf.DUMMYFUNCTION("DATE(INDEX(SPLIT(I692,""/""),,3),INDEX(SPLIT(I692,""/""),,2),INDEX(SPLIT(I692,""/""),,1))"),44778.0)</f>
        <v>44778</v>
      </c>
      <c r="L692" s="1">
        <v>0.0</v>
      </c>
      <c r="M692" s="1" t="s">
        <v>1944</v>
      </c>
      <c r="N692" s="1"/>
      <c r="O692" s="1" t="s">
        <v>30</v>
      </c>
      <c r="P692" s="1" t="s">
        <v>31</v>
      </c>
      <c r="Q692" s="1" t="s">
        <v>235</v>
      </c>
      <c r="R692" s="1" t="s">
        <v>235</v>
      </c>
      <c r="S692" s="1" t="s">
        <v>236</v>
      </c>
      <c r="T692" s="1" t="s">
        <v>753</v>
      </c>
      <c r="U692" s="1">
        <v>1.00628186E8</v>
      </c>
      <c r="X692" s="1" t="s">
        <v>88</v>
      </c>
      <c r="Y692" s="1" t="s">
        <v>2693</v>
      </c>
      <c r="Z692" s="1" t="s">
        <v>37</v>
      </c>
    </row>
    <row r="693">
      <c r="A693" s="1" t="s">
        <v>2694</v>
      </c>
      <c r="B693" s="1" t="s">
        <v>1185</v>
      </c>
      <c r="C693" s="1" t="s">
        <v>2695</v>
      </c>
      <c r="D693" s="1" t="s">
        <v>27</v>
      </c>
      <c r="E693" s="1" t="s">
        <v>28</v>
      </c>
      <c r="F693" s="2">
        <v>1500000.0</v>
      </c>
      <c r="G693" s="4">
        <v>44653.0</v>
      </c>
      <c r="H693" s="4">
        <f>IFERROR(__xludf.DUMMYFUNCTION("DATE(INDEX(SPLIT(G693,""/""),,3),INDEX(SPLIT(G693,""/""),,2),INDEX(SPLIT(G693,""/""),,1))"),44596.0)</f>
        <v>44596</v>
      </c>
      <c r="I693" s="1" t="s">
        <v>69</v>
      </c>
      <c r="J693" s="4">
        <f>IFERROR(__xludf.DUMMYFUNCTION("DATE(INDEX(SPLIT(I693,""/""),,3),INDEX(SPLIT(I693,""/""),,2),INDEX(SPLIT(I693,""/""),,1))"),44773.0)</f>
        <v>44773</v>
      </c>
      <c r="L693" s="1">
        <v>0.0</v>
      </c>
      <c r="M693" s="1" t="s">
        <v>2696</v>
      </c>
      <c r="N693" s="1"/>
      <c r="O693" s="1" t="s">
        <v>30</v>
      </c>
      <c r="P693" s="1" t="s">
        <v>31</v>
      </c>
      <c r="Q693" s="1" t="s">
        <v>157</v>
      </c>
      <c r="R693" s="1" t="s">
        <v>157</v>
      </c>
      <c r="S693" s="1" t="s">
        <v>158</v>
      </c>
      <c r="U693" s="1">
        <v>1.00611351E8</v>
      </c>
      <c r="X693" s="1" t="s">
        <v>190</v>
      </c>
      <c r="Y693" s="1" t="s">
        <v>2697</v>
      </c>
      <c r="Z693" s="1" t="s">
        <v>37</v>
      </c>
    </row>
    <row r="694">
      <c r="A694" s="1" t="s">
        <v>2698</v>
      </c>
      <c r="B694" s="1" t="s">
        <v>605</v>
      </c>
      <c r="C694" s="1" t="s">
        <v>2699</v>
      </c>
      <c r="D694" s="1" t="s">
        <v>27</v>
      </c>
      <c r="E694" s="1" t="s">
        <v>28</v>
      </c>
      <c r="F694" s="2">
        <v>1500000.0</v>
      </c>
      <c r="G694" s="4">
        <v>44478.0</v>
      </c>
      <c r="H694" s="4">
        <f>IFERROR(__xludf.DUMMYFUNCTION("DATE(INDEX(SPLIT(G694,""/""),,3),INDEX(SPLIT(G694,""/""),,2),INDEX(SPLIT(G694,""/""),,1))"),44449.0)</f>
        <v>44449</v>
      </c>
      <c r="I694" s="1" t="s">
        <v>1501</v>
      </c>
      <c r="J694" s="4">
        <f>IFERROR(__xludf.DUMMYFUNCTION("DATE(INDEX(SPLIT(I694,""/""),,3),INDEX(SPLIT(I694,""/""),,2),INDEX(SPLIT(I694,""/""),,1))"),44711.0)</f>
        <v>44711</v>
      </c>
      <c r="L694" s="1">
        <v>0.0</v>
      </c>
      <c r="M694" s="1" t="s">
        <v>1052</v>
      </c>
      <c r="N694" s="1"/>
      <c r="O694" s="1" t="s">
        <v>30</v>
      </c>
      <c r="P694" s="1" t="s">
        <v>31</v>
      </c>
      <c r="Q694" s="1" t="s">
        <v>235</v>
      </c>
      <c r="R694" s="1" t="s">
        <v>235</v>
      </c>
      <c r="S694" s="1" t="s">
        <v>236</v>
      </c>
      <c r="T694" s="1" t="s">
        <v>1349</v>
      </c>
      <c r="U694" s="1">
        <v>1.00650344E8</v>
      </c>
      <c r="X694" s="1" t="s">
        <v>609</v>
      </c>
      <c r="Y694" s="1" t="s">
        <v>2700</v>
      </c>
      <c r="Z694" s="1" t="s">
        <v>37</v>
      </c>
    </row>
    <row r="695" hidden="1">
      <c r="A695" s="1" t="s">
        <v>2701</v>
      </c>
      <c r="B695" s="1" t="s">
        <v>373</v>
      </c>
      <c r="C695" s="1" t="s">
        <v>2702</v>
      </c>
      <c r="D695" s="1" t="s">
        <v>78</v>
      </c>
      <c r="E695" s="1" t="s">
        <v>28</v>
      </c>
      <c r="F695" s="2">
        <v>1500000.0</v>
      </c>
      <c r="G695" s="1" t="s">
        <v>1767</v>
      </c>
      <c r="H695" s="4">
        <f>IFERROR(__xludf.DUMMYFUNCTION("DATE(INDEX(SPLIT(G695,""/""),,3),INDEX(SPLIT(G695,""/""),,2),INDEX(SPLIT(G695,""/""),,1))"),44698.0)</f>
        <v>44698</v>
      </c>
      <c r="I695" s="1" t="s">
        <v>130</v>
      </c>
      <c r="J695" s="4">
        <f>IFERROR(__xludf.DUMMYFUNCTION("DATE(INDEX(SPLIT(I695,""/""),,3),INDEX(SPLIT(I695,""/""),,2),INDEX(SPLIT(I695,""/""),,1))"),44804.0)</f>
        <v>44804</v>
      </c>
      <c r="L695" s="1">
        <v>0.0</v>
      </c>
      <c r="M695" s="1" t="s">
        <v>216</v>
      </c>
      <c r="N695" s="1"/>
      <c r="O695" s="1" t="s">
        <v>30</v>
      </c>
      <c r="P695" s="1" t="s">
        <v>31</v>
      </c>
      <c r="Q695" s="1" t="s">
        <v>95</v>
      </c>
      <c r="R695" s="1" t="s">
        <v>95</v>
      </c>
      <c r="S695" s="1" t="s">
        <v>96</v>
      </c>
      <c r="T695" s="1" t="s">
        <v>97</v>
      </c>
      <c r="U695" s="1">
        <v>1.01200292E8</v>
      </c>
      <c r="X695" s="1" t="s">
        <v>117</v>
      </c>
      <c r="Y695" s="1" t="s">
        <v>2703</v>
      </c>
      <c r="Z695" s="1" t="s">
        <v>37</v>
      </c>
    </row>
    <row r="696" hidden="1">
      <c r="A696" s="1" t="s">
        <v>2704</v>
      </c>
      <c r="B696" s="1" t="s">
        <v>427</v>
      </c>
      <c r="C696" s="1" t="s">
        <v>2705</v>
      </c>
      <c r="D696" s="1" t="s">
        <v>78</v>
      </c>
      <c r="E696" s="1" t="s">
        <v>28</v>
      </c>
      <c r="F696" s="2">
        <v>1500000.0</v>
      </c>
      <c r="G696" s="1" t="s">
        <v>2706</v>
      </c>
      <c r="H696" s="4">
        <f>IFERROR(__xludf.DUMMYFUNCTION("DATE(INDEX(SPLIT(G696,""/""),,3),INDEX(SPLIT(G696,""/""),,2),INDEX(SPLIT(G696,""/""),,1))"),43768.0)</f>
        <v>43768</v>
      </c>
      <c r="I696" s="4">
        <v>44569.0</v>
      </c>
      <c r="J696" s="4">
        <f>IFERROR(__xludf.DUMMYFUNCTION("DATE(INDEX(SPLIT(I696,""/""),,3),INDEX(SPLIT(I696,""/""),,2),INDEX(SPLIT(I696,""/""),,1))"),44774.0)</f>
        <v>44774</v>
      </c>
      <c r="L696" s="1">
        <v>0.0</v>
      </c>
      <c r="M696" s="1" t="s">
        <v>770</v>
      </c>
      <c r="N696" s="1"/>
      <c r="O696" s="1" t="s">
        <v>30</v>
      </c>
      <c r="P696" s="1" t="s">
        <v>31</v>
      </c>
      <c r="Q696" s="1" t="s">
        <v>157</v>
      </c>
      <c r="R696" s="1" t="s">
        <v>157</v>
      </c>
      <c r="S696" s="1" t="s">
        <v>158</v>
      </c>
      <c r="T696" s="1" t="s">
        <v>442</v>
      </c>
      <c r="U696" s="1">
        <v>1.00623421E8</v>
      </c>
      <c r="X696" s="1" t="s">
        <v>125</v>
      </c>
      <c r="Y696" s="1" t="s">
        <v>770</v>
      </c>
      <c r="Z696" s="1" t="s">
        <v>37</v>
      </c>
    </row>
    <row r="697" hidden="1">
      <c r="A697" s="1" t="s">
        <v>2707</v>
      </c>
      <c r="B697" s="1" t="s">
        <v>784</v>
      </c>
      <c r="C697" s="1" t="s">
        <v>2708</v>
      </c>
      <c r="D697" s="1" t="s">
        <v>27</v>
      </c>
      <c r="E697" s="1" t="s">
        <v>28</v>
      </c>
      <c r="F697" s="2">
        <v>1500000.0</v>
      </c>
      <c r="G697" s="1" t="s">
        <v>185</v>
      </c>
      <c r="H697" s="4">
        <f>IFERROR(__xludf.DUMMYFUNCTION("DATE(INDEX(SPLIT(G697,""/""),,3),INDEX(SPLIT(G697,""/""),,2),INDEX(SPLIT(G697,""/""),,1))"),44741.0)</f>
        <v>44741</v>
      </c>
      <c r="I697" s="1" t="s">
        <v>2709</v>
      </c>
      <c r="J697" s="4">
        <f>IFERROR(__xludf.DUMMYFUNCTION("DATE(INDEX(SPLIT(I697,""/""),,3),INDEX(SPLIT(I697,""/""),,2),INDEX(SPLIT(I697,""/""),,1))"),44889.0)</f>
        <v>44889</v>
      </c>
      <c r="L697" s="1">
        <v>0.0</v>
      </c>
      <c r="M697" s="1" t="s">
        <v>1856</v>
      </c>
      <c r="N697" s="1"/>
      <c r="O697" s="1" t="s">
        <v>30</v>
      </c>
      <c r="P697" s="1" t="s">
        <v>31</v>
      </c>
      <c r="Q697" s="1" t="s">
        <v>32</v>
      </c>
      <c r="R697" s="1" t="s">
        <v>32</v>
      </c>
      <c r="S697" s="1" t="s">
        <v>33</v>
      </c>
      <c r="T697" s="1" t="s">
        <v>103</v>
      </c>
      <c r="U697" s="1">
        <v>1.00587434E8</v>
      </c>
      <c r="X697" s="1" t="s">
        <v>63</v>
      </c>
      <c r="Y697" s="1" t="s">
        <v>1857</v>
      </c>
      <c r="Z697" s="1" t="s">
        <v>37</v>
      </c>
    </row>
    <row r="698" hidden="1">
      <c r="A698" s="1" t="s">
        <v>2710</v>
      </c>
      <c r="B698" s="1" t="s">
        <v>1355</v>
      </c>
      <c r="C698" s="1" t="s">
        <v>2711</v>
      </c>
      <c r="D698" s="1" t="s">
        <v>122</v>
      </c>
      <c r="E698" s="1" t="s">
        <v>28</v>
      </c>
      <c r="F698" s="2">
        <v>1500000.0</v>
      </c>
      <c r="G698" s="1" t="s">
        <v>2712</v>
      </c>
      <c r="H698" s="4">
        <f>IFERROR(__xludf.DUMMYFUNCTION("DATE(INDEX(SPLIT(G698,""/""),,3),INDEX(SPLIT(G698,""/""),,2),INDEX(SPLIT(G698,""/""),,1))"),44435.0)</f>
        <v>44435</v>
      </c>
      <c r="I698" s="1" t="s">
        <v>130</v>
      </c>
      <c r="J698" s="4">
        <f>IFERROR(__xludf.DUMMYFUNCTION("DATE(INDEX(SPLIT(I698,""/""),,3),INDEX(SPLIT(I698,""/""),,2),INDEX(SPLIT(I698,""/""),,1))"),44804.0)</f>
        <v>44804</v>
      </c>
      <c r="L698" s="1">
        <v>0.0</v>
      </c>
      <c r="M698" s="1" t="s">
        <v>2237</v>
      </c>
      <c r="N698" s="1"/>
      <c r="O698" s="1" t="s">
        <v>30</v>
      </c>
      <c r="P698" s="1" t="s">
        <v>31</v>
      </c>
      <c r="Q698" s="1" t="s">
        <v>32</v>
      </c>
      <c r="R698" s="1" t="s">
        <v>32</v>
      </c>
      <c r="S698" s="1" t="s">
        <v>33</v>
      </c>
      <c r="T698" s="1" t="s">
        <v>103</v>
      </c>
      <c r="U698" s="1">
        <v>1.00611284E8</v>
      </c>
      <c r="X698" s="1" t="s">
        <v>35</v>
      </c>
      <c r="Y698" s="1" t="s">
        <v>1358</v>
      </c>
      <c r="Z698" s="1" t="s">
        <v>37</v>
      </c>
    </row>
    <row r="699" hidden="1">
      <c r="A699" s="1" t="s">
        <v>2713</v>
      </c>
      <c r="B699" s="1" t="s">
        <v>2714</v>
      </c>
      <c r="C699" s="1" t="s">
        <v>2715</v>
      </c>
      <c r="D699" s="1" t="s">
        <v>78</v>
      </c>
      <c r="E699" s="1" t="s">
        <v>28</v>
      </c>
      <c r="F699" s="2">
        <v>1500000.0</v>
      </c>
      <c r="G699" s="1" t="s">
        <v>862</v>
      </c>
      <c r="H699" s="4">
        <f>IFERROR(__xludf.DUMMYFUNCTION("DATE(INDEX(SPLIT(G699,""/""),,3),INDEX(SPLIT(G699,""/""),,2),INDEX(SPLIT(G699,""/""),,1))"),44699.0)</f>
        <v>44699</v>
      </c>
      <c r="I699" s="1" t="s">
        <v>281</v>
      </c>
      <c r="J699" s="4">
        <f>IFERROR(__xludf.DUMMYFUNCTION("DATE(INDEX(SPLIT(I699,""/""),,3),INDEX(SPLIT(I699,""/""),,2),INDEX(SPLIT(I699,""/""),,1))"),44865.0)</f>
        <v>44865</v>
      </c>
      <c r="L699" s="1">
        <v>0.0</v>
      </c>
      <c r="M699" s="1" t="s">
        <v>211</v>
      </c>
      <c r="N699" s="1"/>
      <c r="O699" s="1" t="s">
        <v>30</v>
      </c>
      <c r="P699" s="1" t="s">
        <v>31</v>
      </c>
      <c r="Q699" s="1" t="s">
        <v>71</v>
      </c>
      <c r="R699" s="1" t="s">
        <v>71</v>
      </c>
      <c r="S699" s="1" t="s">
        <v>72</v>
      </c>
      <c r="T699" s="1" t="s">
        <v>136</v>
      </c>
      <c r="U699" s="1">
        <v>1.00590896E8</v>
      </c>
      <c r="X699" s="1" t="s">
        <v>74</v>
      </c>
      <c r="Y699" s="1" t="s">
        <v>1172</v>
      </c>
      <c r="Z699" s="1" t="s">
        <v>37</v>
      </c>
    </row>
    <row r="700" hidden="1">
      <c r="A700" s="1" t="s">
        <v>2716</v>
      </c>
      <c r="B700" s="1" t="s">
        <v>1131</v>
      </c>
      <c r="C700" s="1" t="s">
        <v>2717</v>
      </c>
      <c r="D700" s="1" t="s">
        <v>78</v>
      </c>
      <c r="E700" s="1" t="s">
        <v>28</v>
      </c>
      <c r="F700" s="2">
        <v>1500000.0</v>
      </c>
      <c r="G700" s="4">
        <v>44478.0</v>
      </c>
      <c r="H700" s="4">
        <f>IFERROR(__xludf.DUMMYFUNCTION("DATE(INDEX(SPLIT(G700,""/""),,3),INDEX(SPLIT(G700,""/""),,2),INDEX(SPLIT(G700,""/""),,1))"),44449.0)</f>
        <v>44449</v>
      </c>
      <c r="I700" s="4">
        <v>44904.0</v>
      </c>
      <c r="J700" s="4">
        <f>IFERROR(__xludf.DUMMYFUNCTION("DATE(INDEX(SPLIT(I700,""/""),,3),INDEX(SPLIT(I700,""/""),,2),INDEX(SPLIT(I700,""/""),,1))"),44816.0)</f>
        <v>44816</v>
      </c>
      <c r="L700" s="1">
        <v>0.0</v>
      </c>
      <c r="M700" s="1" t="s">
        <v>70</v>
      </c>
      <c r="N700" s="1"/>
      <c r="O700" s="1" t="s">
        <v>30</v>
      </c>
      <c r="P700" s="1" t="s">
        <v>31</v>
      </c>
      <c r="Q700" s="1" t="s">
        <v>71</v>
      </c>
      <c r="R700" s="1" t="s">
        <v>71</v>
      </c>
      <c r="S700" s="1" t="s">
        <v>72</v>
      </c>
      <c r="T700" s="1" t="s">
        <v>73</v>
      </c>
      <c r="U700" s="1">
        <v>1.00640331E8</v>
      </c>
      <c r="X700" s="1" t="s">
        <v>74</v>
      </c>
      <c r="Y700" s="1" t="s">
        <v>70</v>
      </c>
      <c r="Z700" s="1" t="s">
        <v>37</v>
      </c>
    </row>
    <row r="701" hidden="1">
      <c r="A701" s="1" t="s">
        <v>2718</v>
      </c>
      <c r="B701" s="1" t="s">
        <v>1619</v>
      </c>
      <c r="C701" s="1" t="s">
        <v>2719</v>
      </c>
      <c r="D701" s="1" t="s">
        <v>27</v>
      </c>
      <c r="E701" s="1" t="s">
        <v>28</v>
      </c>
      <c r="F701" s="2">
        <v>1500000.0</v>
      </c>
      <c r="G701" s="1" t="s">
        <v>359</v>
      </c>
      <c r="H701" s="4">
        <f>IFERROR(__xludf.DUMMYFUNCTION("DATE(INDEX(SPLIT(G701,""/""),,3),INDEX(SPLIT(G701,""/""),,2),INDEX(SPLIT(G701,""/""),,1))"),44740.0)</f>
        <v>44740</v>
      </c>
      <c r="I701" s="1" t="s">
        <v>317</v>
      </c>
      <c r="J701" s="4">
        <f>IFERROR(__xludf.DUMMYFUNCTION("DATE(INDEX(SPLIT(I701,""/""),,3),INDEX(SPLIT(I701,""/""),,2),INDEX(SPLIT(I701,""/""),,1))"),44862.0)</f>
        <v>44862</v>
      </c>
      <c r="L701" s="1">
        <v>0.0</v>
      </c>
      <c r="M701" s="1" t="s">
        <v>1621</v>
      </c>
      <c r="N701" s="1"/>
      <c r="O701" s="1" t="s">
        <v>30</v>
      </c>
      <c r="P701" s="1" t="s">
        <v>31</v>
      </c>
      <c r="Q701" s="1" t="s">
        <v>157</v>
      </c>
      <c r="R701" s="1" t="s">
        <v>157</v>
      </c>
      <c r="S701" s="1" t="s">
        <v>158</v>
      </c>
      <c r="T701" s="1" t="s">
        <v>634</v>
      </c>
      <c r="U701" s="1">
        <v>1.00650783E8</v>
      </c>
      <c r="X701" s="1" t="s">
        <v>117</v>
      </c>
      <c r="Y701" s="1" t="s">
        <v>1621</v>
      </c>
      <c r="Z701" s="1" t="s">
        <v>37</v>
      </c>
    </row>
    <row r="702" hidden="1">
      <c r="A702" s="1" t="s">
        <v>2720</v>
      </c>
      <c r="B702" s="1" t="s">
        <v>1371</v>
      </c>
      <c r="C702" s="1" t="s">
        <v>2721</v>
      </c>
      <c r="D702" s="1" t="s">
        <v>27</v>
      </c>
      <c r="E702" s="1" t="s">
        <v>28</v>
      </c>
      <c r="F702" s="2">
        <v>1500000.0</v>
      </c>
      <c r="G702" s="4">
        <v>44902.0</v>
      </c>
      <c r="H702" s="4">
        <f>IFERROR(__xludf.DUMMYFUNCTION("DATE(INDEX(SPLIT(G702,""/""),,3),INDEX(SPLIT(G702,""/""),,2),INDEX(SPLIT(G702,""/""),,1))"),44754.0)</f>
        <v>44754</v>
      </c>
      <c r="I702" s="1" t="s">
        <v>430</v>
      </c>
      <c r="J702" s="4">
        <f>IFERROR(__xludf.DUMMYFUNCTION("DATE(INDEX(SPLIT(I702,""/""),,3),INDEX(SPLIT(I702,""/""),,2),INDEX(SPLIT(I702,""/""),,1))"),44985.0)</f>
        <v>44985</v>
      </c>
      <c r="L702" s="1">
        <v>0.0</v>
      </c>
      <c r="M702" s="1" t="s">
        <v>1904</v>
      </c>
      <c r="N702" s="1"/>
      <c r="O702" s="1" t="s">
        <v>30</v>
      </c>
      <c r="P702" s="1" t="s">
        <v>31</v>
      </c>
      <c r="Q702" s="1" t="s">
        <v>95</v>
      </c>
      <c r="R702" s="1" t="s">
        <v>95</v>
      </c>
      <c r="S702" s="1" t="s">
        <v>96</v>
      </c>
      <c r="T702" s="1" t="s">
        <v>111</v>
      </c>
      <c r="U702" s="1">
        <v>1.0059365E8</v>
      </c>
      <c r="X702" s="1" t="s">
        <v>63</v>
      </c>
      <c r="Y702" s="1" t="s">
        <v>1904</v>
      </c>
      <c r="Z702" s="1" t="s">
        <v>37</v>
      </c>
    </row>
    <row r="703" hidden="1">
      <c r="A703" s="1" t="s">
        <v>2722</v>
      </c>
      <c r="B703" s="1" t="s">
        <v>1835</v>
      </c>
      <c r="C703" s="1" t="s">
        <v>2723</v>
      </c>
      <c r="D703" s="1" t="s">
        <v>27</v>
      </c>
      <c r="E703" s="1" t="s">
        <v>28</v>
      </c>
      <c r="F703" s="2">
        <v>1500000.0</v>
      </c>
      <c r="G703" s="4">
        <v>44836.0</v>
      </c>
      <c r="H703" s="4">
        <f>IFERROR(__xludf.DUMMYFUNCTION("DATE(INDEX(SPLIT(G703,""/""),,3),INDEX(SPLIT(G703,""/""),,2),INDEX(SPLIT(G703,""/""),,1))"),44602.0)</f>
        <v>44602</v>
      </c>
      <c r="I703" s="4">
        <v>44570.0</v>
      </c>
      <c r="J703" s="4">
        <f>IFERROR(__xludf.DUMMYFUNCTION("DATE(INDEX(SPLIT(I703,""/""),,3),INDEX(SPLIT(I703,""/""),,2),INDEX(SPLIT(I703,""/""),,1))"),44805.0)</f>
        <v>44805</v>
      </c>
      <c r="L703" s="1">
        <v>0.0</v>
      </c>
      <c r="M703" s="1" t="s">
        <v>2724</v>
      </c>
      <c r="N703" s="1"/>
      <c r="O703" s="1" t="s">
        <v>30</v>
      </c>
      <c r="P703" s="1" t="s">
        <v>31</v>
      </c>
      <c r="Q703" s="1" t="s">
        <v>32</v>
      </c>
      <c r="R703" s="1" t="s">
        <v>32</v>
      </c>
      <c r="S703" s="1" t="s">
        <v>33</v>
      </c>
      <c r="T703" s="1" t="s">
        <v>1195</v>
      </c>
      <c r="U703" s="1">
        <v>1.00606975E8</v>
      </c>
      <c r="X703" s="1" t="s">
        <v>490</v>
      </c>
      <c r="Y703" s="1" t="s">
        <v>2725</v>
      </c>
      <c r="Z703" s="1" t="s">
        <v>37</v>
      </c>
    </row>
    <row r="704" hidden="1">
      <c r="A704" s="1" t="s">
        <v>2726</v>
      </c>
      <c r="B704" s="1" t="s">
        <v>2727</v>
      </c>
      <c r="C704" s="1" t="s">
        <v>2728</v>
      </c>
      <c r="D704" s="1" t="s">
        <v>27</v>
      </c>
      <c r="E704" s="1" t="s">
        <v>28</v>
      </c>
      <c r="F704" s="2">
        <v>1500000.0</v>
      </c>
      <c r="G704" s="1" t="s">
        <v>1288</v>
      </c>
      <c r="H704" s="4">
        <f>IFERROR(__xludf.DUMMYFUNCTION("DATE(INDEX(SPLIT(G704,""/""),,3),INDEX(SPLIT(G704,""/""),,2),INDEX(SPLIT(G704,""/""),,1))"),44707.0)</f>
        <v>44707</v>
      </c>
      <c r="I704" s="1" t="s">
        <v>109</v>
      </c>
      <c r="J704" s="4">
        <f>IFERROR(__xludf.DUMMYFUNCTION("DATE(INDEX(SPLIT(I704,""/""),,3),INDEX(SPLIT(I704,""/""),,2),INDEX(SPLIT(I704,""/""),,1))"),44834.0)</f>
        <v>44834</v>
      </c>
      <c r="L704" s="1">
        <v>0.0</v>
      </c>
      <c r="M704" s="1" t="s">
        <v>1723</v>
      </c>
      <c r="N704" s="1"/>
      <c r="O704" s="1" t="s">
        <v>30</v>
      </c>
      <c r="P704" s="1" t="s">
        <v>31</v>
      </c>
      <c r="Q704" s="1" t="s">
        <v>157</v>
      </c>
      <c r="R704" s="1" t="s">
        <v>157</v>
      </c>
      <c r="S704" s="1" t="s">
        <v>158</v>
      </c>
      <c r="T704" s="1" t="s">
        <v>159</v>
      </c>
      <c r="U704" s="1">
        <v>1.00654085E8</v>
      </c>
      <c r="X704" s="1" t="s">
        <v>74</v>
      </c>
      <c r="Y704" s="1" t="s">
        <v>1723</v>
      </c>
      <c r="Z704" s="1" t="s">
        <v>37</v>
      </c>
    </row>
    <row r="705" hidden="1">
      <c r="A705" s="1" t="s">
        <v>2729</v>
      </c>
      <c r="B705" s="1" t="s">
        <v>39</v>
      </c>
      <c r="C705" s="1" t="s">
        <v>1366</v>
      </c>
      <c r="D705" s="1" t="s">
        <v>68</v>
      </c>
      <c r="E705" s="1" t="s">
        <v>28</v>
      </c>
      <c r="F705" s="2">
        <v>1500000.0</v>
      </c>
      <c r="G705" s="4">
        <v>44622.0</v>
      </c>
      <c r="H705" s="4">
        <f>IFERROR(__xludf.DUMMYFUNCTION("DATE(INDEX(SPLIT(G705,""/""),,3),INDEX(SPLIT(G705,""/""),,2),INDEX(SPLIT(G705,""/""),,1))"),44595.0)</f>
        <v>44595</v>
      </c>
      <c r="I705" s="1" t="s">
        <v>130</v>
      </c>
      <c r="J705" s="4">
        <f>IFERROR(__xludf.DUMMYFUNCTION("DATE(INDEX(SPLIT(I705,""/""),,3),INDEX(SPLIT(I705,""/""),,2),INDEX(SPLIT(I705,""/""),,1))"),44804.0)</f>
        <v>44804</v>
      </c>
      <c r="L705" s="1">
        <v>0.0</v>
      </c>
      <c r="M705" s="1" t="s">
        <v>1365</v>
      </c>
      <c r="N705" s="1"/>
      <c r="O705" s="1" t="s">
        <v>30</v>
      </c>
      <c r="P705" s="1" t="s">
        <v>31</v>
      </c>
      <c r="Q705" s="1" t="s">
        <v>228</v>
      </c>
      <c r="R705" s="1" t="s">
        <v>228</v>
      </c>
      <c r="S705" s="1" t="s">
        <v>229</v>
      </c>
      <c r="T705" s="1" t="s">
        <v>287</v>
      </c>
      <c r="U705" s="1">
        <v>1.00631257E8</v>
      </c>
      <c r="V705" s="1" t="s">
        <v>326</v>
      </c>
      <c r="W705" s="1" t="s">
        <v>45</v>
      </c>
      <c r="X705" s="1" t="s">
        <v>46</v>
      </c>
      <c r="Y705" s="1" t="s">
        <v>327</v>
      </c>
      <c r="Z705" s="1" t="s">
        <v>37</v>
      </c>
    </row>
    <row r="706" hidden="1">
      <c r="A706" s="1" t="s">
        <v>2730</v>
      </c>
      <c r="B706" s="1" t="s">
        <v>1420</v>
      </c>
      <c r="C706" s="1" t="s">
        <v>2731</v>
      </c>
      <c r="D706" s="1" t="s">
        <v>78</v>
      </c>
      <c r="E706" s="1" t="s">
        <v>28</v>
      </c>
      <c r="F706" s="2">
        <v>1500000.0</v>
      </c>
      <c r="G706" s="1" t="s">
        <v>2244</v>
      </c>
      <c r="H706" s="4">
        <f>IFERROR(__xludf.DUMMYFUNCTION("DATE(INDEX(SPLIT(G706,""/""),,3),INDEX(SPLIT(G706,""/""),,2),INDEX(SPLIT(G706,""/""),,1))"),44634.0)</f>
        <v>44634</v>
      </c>
      <c r="I706" s="4">
        <v>44690.0</v>
      </c>
      <c r="J706" s="4">
        <f>IFERROR(__xludf.DUMMYFUNCTION("DATE(INDEX(SPLIT(I706,""/""),,3),INDEX(SPLIT(I706,""/""),,2),INDEX(SPLIT(I706,""/""),,1))"),44809.0)</f>
        <v>44809</v>
      </c>
      <c r="L706" s="1">
        <v>0.0</v>
      </c>
      <c r="M706" s="1" t="s">
        <v>1741</v>
      </c>
      <c r="N706" s="1"/>
      <c r="O706" s="1" t="s">
        <v>30</v>
      </c>
      <c r="P706" s="1" t="s">
        <v>31</v>
      </c>
      <c r="Q706" s="1" t="s">
        <v>32</v>
      </c>
      <c r="R706" s="1" t="s">
        <v>32</v>
      </c>
      <c r="S706" s="1" t="s">
        <v>33</v>
      </c>
      <c r="T706" s="1" t="s">
        <v>103</v>
      </c>
      <c r="U706" s="1">
        <v>1.00645852E8</v>
      </c>
      <c r="X706" s="1" t="s">
        <v>46</v>
      </c>
      <c r="Y706" s="1" t="s">
        <v>1884</v>
      </c>
      <c r="Z706" s="1" t="s">
        <v>37</v>
      </c>
    </row>
    <row r="707" hidden="1">
      <c r="A707" s="1" t="s">
        <v>2732</v>
      </c>
      <c r="B707" s="1" t="s">
        <v>1709</v>
      </c>
      <c r="C707" s="1" t="s">
        <v>2733</v>
      </c>
      <c r="D707" s="1" t="s">
        <v>27</v>
      </c>
      <c r="E707" s="1" t="s">
        <v>28</v>
      </c>
      <c r="F707" s="2">
        <v>1500000.0</v>
      </c>
      <c r="G707" s="1" t="s">
        <v>1442</v>
      </c>
      <c r="H707" s="4">
        <f>IFERROR(__xludf.DUMMYFUNCTION("DATE(INDEX(SPLIT(G707,""/""),,3),INDEX(SPLIT(G707,""/""),,2),INDEX(SPLIT(G707,""/""),,1))"),44727.0)</f>
        <v>44727</v>
      </c>
      <c r="I707" s="1" t="s">
        <v>1678</v>
      </c>
      <c r="J707" s="4">
        <f>IFERROR(__xludf.DUMMYFUNCTION("DATE(INDEX(SPLIT(I707,""/""),,3),INDEX(SPLIT(I707,""/""),,2),INDEX(SPLIT(I707,""/""),,1))"),44819.0)</f>
        <v>44819</v>
      </c>
      <c r="L707" s="1">
        <v>0.0</v>
      </c>
      <c r="M707" s="1" t="s">
        <v>1443</v>
      </c>
      <c r="N707" s="1"/>
      <c r="O707" s="1" t="s">
        <v>30</v>
      </c>
      <c r="P707" s="1" t="s">
        <v>31</v>
      </c>
      <c r="Q707" s="1" t="s">
        <v>53</v>
      </c>
      <c r="R707" s="1" t="s">
        <v>53</v>
      </c>
      <c r="S707" s="1" t="s">
        <v>54</v>
      </c>
      <c r="U707" s="1">
        <v>1.0059033E8</v>
      </c>
      <c r="X707" s="1" t="s">
        <v>312</v>
      </c>
      <c r="Y707" s="1" t="s">
        <v>313</v>
      </c>
      <c r="Z707" s="1" t="s">
        <v>37</v>
      </c>
    </row>
    <row r="708">
      <c r="A708" s="1" t="s">
        <v>2734</v>
      </c>
      <c r="B708" s="1" t="s">
        <v>2735</v>
      </c>
      <c r="C708" s="1" t="s">
        <v>2736</v>
      </c>
      <c r="D708" s="1" t="s">
        <v>122</v>
      </c>
      <c r="E708" s="1" t="s">
        <v>28</v>
      </c>
      <c r="F708" s="2">
        <v>1500000.0</v>
      </c>
      <c r="G708" s="4">
        <v>44870.0</v>
      </c>
      <c r="H708" s="4">
        <f>IFERROR(__xludf.DUMMYFUNCTION("DATE(INDEX(SPLIT(G708,""/""),,3),INDEX(SPLIT(G708,""/""),,2),INDEX(SPLIT(G708,""/""),,1))"),44692.0)</f>
        <v>44692</v>
      </c>
      <c r="I708" s="1" t="s">
        <v>226</v>
      </c>
      <c r="J708" s="4">
        <f>IFERROR(__xludf.DUMMYFUNCTION("DATE(INDEX(SPLIT(I708,""/""),,3),INDEX(SPLIT(I708,""/""),,2),INDEX(SPLIT(I708,""/""),,1))"),44771.0)</f>
        <v>44771</v>
      </c>
      <c r="L708" s="1">
        <v>0.0</v>
      </c>
      <c r="M708" s="1" t="s">
        <v>2737</v>
      </c>
      <c r="N708" s="1"/>
      <c r="O708" s="1" t="s">
        <v>30</v>
      </c>
      <c r="P708" s="1" t="s">
        <v>31</v>
      </c>
      <c r="Q708" s="1" t="s">
        <v>53</v>
      </c>
      <c r="R708" s="1" t="s">
        <v>53</v>
      </c>
      <c r="S708" s="1" t="s">
        <v>54</v>
      </c>
      <c r="T708" s="1" t="s">
        <v>634</v>
      </c>
      <c r="U708" s="1">
        <v>1.00650713E8</v>
      </c>
      <c r="X708" s="1" t="s">
        <v>490</v>
      </c>
      <c r="Y708" s="1" t="s">
        <v>2738</v>
      </c>
      <c r="Z708" s="1" t="s">
        <v>37</v>
      </c>
    </row>
    <row r="709" hidden="1">
      <c r="A709" s="1" t="s">
        <v>2739</v>
      </c>
      <c r="B709" s="1" t="s">
        <v>2140</v>
      </c>
      <c r="C709" s="1" t="s">
        <v>2740</v>
      </c>
      <c r="D709" s="1" t="s">
        <v>78</v>
      </c>
      <c r="E709" s="1" t="s">
        <v>28</v>
      </c>
      <c r="F709" s="2">
        <v>1500000.0</v>
      </c>
      <c r="G709" s="1" t="s">
        <v>624</v>
      </c>
      <c r="H709" s="4">
        <f>IFERROR(__xludf.DUMMYFUNCTION("DATE(INDEX(SPLIT(G709,""/""),,3),INDEX(SPLIT(G709,""/""),,2),INDEX(SPLIT(G709,""/""),,1))"),44642.0)</f>
        <v>44642</v>
      </c>
      <c r="I709" s="4">
        <v>44601.0</v>
      </c>
      <c r="J709" s="4">
        <f>IFERROR(__xludf.DUMMYFUNCTION("DATE(INDEX(SPLIT(I709,""/""),,3),INDEX(SPLIT(I709,""/""),,2),INDEX(SPLIT(I709,""/""),,1))"),44806.0)</f>
        <v>44806</v>
      </c>
      <c r="L709" s="1">
        <v>0.0</v>
      </c>
      <c r="M709" s="1" t="s">
        <v>1707</v>
      </c>
      <c r="N709" s="1"/>
      <c r="O709" s="1" t="s">
        <v>30</v>
      </c>
      <c r="P709" s="1" t="s">
        <v>31</v>
      </c>
      <c r="Q709" s="1" t="s">
        <v>53</v>
      </c>
      <c r="R709" s="1" t="s">
        <v>53</v>
      </c>
      <c r="S709" s="1" t="s">
        <v>54</v>
      </c>
      <c r="T709" s="1" t="s">
        <v>634</v>
      </c>
      <c r="U709" s="1">
        <v>1.00652169E8</v>
      </c>
      <c r="X709" s="1" t="s">
        <v>117</v>
      </c>
      <c r="Y709" s="1" t="s">
        <v>1707</v>
      </c>
      <c r="Z709" s="1" t="s">
        <v>37</v>
      </c>
    </row>
    <row r="710" hidden="1">
      <c r="A710" s="1" t="s">
        <v>2741</v>
      </c>
      <c r="B710" s="1" t="s">
        <v>2742</v>
      </c>
      <c r="C710" s="1" t="s">
        <v>209</v>
      </c>
      <c r="D710" s="1" t="s">
        <v>122</v>
      </c>
      <c r="E710" s="1" t="s">
        <v>28</v>
      </c>
      <c r="F710" s="2">
        <v>1500000.0</v>
      </c>
      <c r="G710" s="1" t="s">
        <v>593</v>
      </c>
      <c r="H710" s="4">
        <f>IFERROR(__xludf.DUMMYFUNCTION("DATE(INDEX(SPLIT(G710,""/""),,3),INDEX(SPLIT(G710,""/""),,2),INDEX(SPLIT(G710,""/""),,1))"),44330.0)</f>
        <v>44330</v>
      </c>
      <c r="I710" s="1" t="s">
        <v>109</v>
      </c>
      <c r="J710" s="4">
        <f>IFERROR(__xludf.DUMMYFUNCTION("DATE(INDEX(SPLIT(I710,""/""),,3),INDEX(SPLIT(I710,""/""),,2),INDEX(SPLIT(I710,""/""),,1))"),44834.0)</f>
        <v>44834</v>
      </c>
      <c r="L710" s="1">
        <v>0.0</v>
      </c>
      <c r="M710" s="1" t="s">
        <v>211</v>
      </c>
      <c r="N710" s="1"/>
      <c r="O710" s="1" t="s">
        <v>30</v>
      </c>
      <c r="P710" s="1" t="s">
        <v>31</v>
      </c>
      <c r="Q710" s="1" t="s">
        <v>71</v>
      </c>
      <c r="R710" s="1" t="s">
        <v>71</v>
      </c>
      <c r="S710" s="1" t="s">
        <v>72</v>
      </c>
      <c r="T710" s="1" t="s">
        <v>136</v>
      </c>
      <c r="U710" s="1">
        <v>1.00590896E8</v>
      </c>
      <c r="X710" s="1" t="s">
        <v>2028</v>
      </c>
      <c r="Y710" s="1" t="s">
        <v>212</v>
      </c>
      <c r="Z710" s="1" t="s">
        <v>37</v>
      </c>
    </row>
    <row r="711" hidden="1">
      <c r="A711" s="1" t="s">
        <v>2743</v>
      </c>
      <c r="B711" s="1" t="s">
        <v>1804</v>
      </c>
      <c r="C711" s="1" t="s">
        <v>2744</v>
      </c>
      <c r="D711" s="1" t="s">
        <v>78</v>
      </c>
      <c r="E711" s="1" t="s">
        <v>28</v>
      </c>
      <c r="F711" s="2">
        <v>1500000.0</v>
      </c>
      <c r="G711" s="4">
        <v>44599.0</v>
      </c>
      <c r="H711" s="4">
        <f>IFERROR(__xludf.DUMMYFUNCTION("DATE(INDEX(SPLIT(G711,""/""),,3),INDEX(SPLIT(G711,""/""),,2),INDEX(SPLIT(G711,""/""),,1))"),44744.0)</f>
        <v>44744</v>
      </c>
      <c r="I711" s="1" t="s">
        <v>42</v>
      </c>
      <c r="J711" s="4">
        <f>IFERROR(__xludf.DUMMYFUNCTION("DATE(INDEX(SPLIT(I711,""/""),,3),INDEX(SPLIT(I711,""/""),,2),INDEX(SPLIT(I711,""/""),,1))"),44926.0)</f>
        <v>44926</v>
      </c>
      <c r="L711" s="1">
        <v>0.0</v>
      </c>
      <c r="M711" s="1" t="s">
        <v>1800</v>
      </c>
      <c r="N711" s="1"/>
      <c r="O711" s="1" t="s">
        <v>30</v>
      </c>
      <c r="P711" s="1" t="s">
        <v>31</v>
      </c>
      <c r="Q711" s="1" t="s">
        <v>32</v>
      </c>
      <c r="R711" s="1" t="s">
        <v>32</v>
      </c>
      <c r="S711" s="1" t="s">
        <v>33</v>
      </c>
      <c r="T711" s="1" t="s">
        <v>1195</v>
      </c>
      <c r="U711" s="1">
        <v>1.00610242E8</v>
      </c>
      <c r="X711" s="1" t="s">
        <v>490</v>
      </c>
      <c r="Y711" s="1" t="s">
        <v>1800</v>
      </c>
      <c r="Z711" s="1" t="s">
        <v>37</v>
      </c>
    </row>
    <row r="712" hidden="1">
      <c r="A712" s="1" t="s">
        <v>2745</v>
      </c>
      <c r="B712" s="1" t="s">
        <v>1804</v>
      </c>
      <c r="C712" s="1" t="s">
        <v>2746</v>
      </c>
      <c r="D712" s="1" t="s">
        <v>122</v>
      </c>
      <c r="E712" s="1" t="s">
        <v>28</v>
      </c>
      <c r="F712" s="2">
        <v>1500000.0</v>
      </c>
      <c r="G712" s="4">
        <v>44599.0</v>
      </c>
      <c r="H712" s="4">
        <f>IFERROR(__xludf.DUMMYFUNCTION("DATE(INDEX(SPLIT(G712,""/""),,3),INDEX(SPLIT(G712,""/""),,2),INDEX(SPLIT(G712,""/""),,1))"),44744.0)</f>
        <v>44744</v>
      </c>
      <c r="I712" s="1" t="s">
        <v>109</v>
      </c>
      <c r="J712" s="4">
        <f>IFERROR(__xludf.DUMMYFUNCTION("DATE(INDEX(SPLIT(I712,""/""),,3),INDEX(SPLIT(I712,""/""),,2),INDEX(SPLIT(I712,""/""),,1))"),44834.0)</f>
        <v>44834</v>
      </c>
      <c r="L712" s="1">
        <v>0.0</v>
      </c>
      <c r="M712" s="1" t="s">
        <v>1194</v>
      </c>
      <c r="N712" s="1"/>
      <c r="O712" s="1" t="s">
        <v>30</v>
      </c>
      <c r="P712" s="1" t="s">
        <v>31</v>
      </c>
      <c r="Q712" s="1" t="s">
        <v>32</v>
      </c>
      <c r="R712" s="1" t="s">
        <v>32</v>
      </c>
      <c r="S712" s="1" t="s">
        <v>33</v>
      </c>
      <c r="T712" s="1" t="s">
        <v>1195</v>
      </c>
      <c r="U712" s="1">
        <v>1.00586863E8</v>
      </c>
      <c r="X712" s="1" t="s">
        <v>490</v>
      </c>
      <c r="Y712" s="1" t="s">
        <v>1800</v>
      </c>
      <c r="Z712" s="1" t="s">
        <v>37</v>
      </c>
    </row>
    <row r="713">
      <c r="A713" s="1" t="s">
        <v>2747</v>
      </c>
      <c r="B713" s="1" t="s">
        <v>896</v>
      </c>
      <c r="C713" s="1" t="s">
        <v>2748</v>
      </c>
      <c r="D713" s="1" t="s">
        <v>122</v>
      </c>
      <c r="E713" s="1" t="s">
        <v>28</v>
      </c>
      <c r="F713" s="2">
        <v>1500000.0</v>
      </c>
      <c r="G713" s="1" t="s">
        <v>862</v>
      </c>
      <c r="H713" s="4">
        <f>IFERROR(__xludf.DUMMYFUNCTION("DATE(INDEX(SPLIT(G713,""/""),,3),INDEX(SPLIT(G713,""/""),,2),INDEX(SPLIT(G713,""/""),,1))"),44699.0)</f>
        <v>44699</v>
      </c>
      <c r="I713" s="1" t="s">
        <v>69</v>
      </c>
      <c r="J713" s="4">
        <f>IFERROR(__xludf.DUMMYFUNCTION("DATE(INDEX(SPLIT(I713,""/""),,3),INDEX(SPLIT(I713,""/""),,2),INDEX(SPLIT(I713,""/""),,1))"),44773.0)</f>
        <v>44773</v>
      </c>
      <c r="L713" s="1">
        <v>0.0</v>
      </c>
      <c r="M713" s="1" t="s">
        <v>1874</v>
      </c>
      <c r="N713" s="1"/>
      <c r="O713" s="1" t="s">
        <v>30</v>
      </c>
      <c r="P713" s="1" t="s">
        <v>31</v>
      </c>
      <c r="Q713" s="1" t="s">
        <v>188</v>
      </c>
      <c r="R713" s="1" t="s">
        <v>188</v>
      </c>
      <c r="S713" s="1" t="s">
        <v>189</v>
      </c>
      <c r="U713" s="1">
        <v>1.00637664E8</v>
      </c>
      <c r="X713" s="1" t="s">
        <v>490</v>
      </c>
      <c r="Y713" s="1" t="s">
        <v>1874</v>
      </c>
      <c r="Z713" s="1" t="s">
        <v>37</v>
      </c>
    </row>
    <row r="714" hidden="1">
      <c r="A714" s="1" t="s">
        <v>2749</v>
      </c>
      <c r="B714" s="1" t="s">
        <v>2750</v>
      </c>
      <c r="C714" s="1" t="s">
        <v>2751</v>
      </c>
      <c r="D714" s="1" t="s">
        <v>122</v>
      </c>
      <c r="E714" s="1" t="s">
        <v>28</v>
      </c>
      <c r="F714" s="2">
        <v>1500000.0</v>
      </c>
      <c r="G714" s="4">
        <v>44900.0</v>
      </c>
      <c r="H714" s="4">
        <f>IFERROR(__xludf.DUMMYFUNCTION("DATE(INDEX(SPLIT(G714,""/""),,3),INDEX(SPLIT(G714,""/""),,2),INDEX(SPLIT(G714,""/""),,1))"),44693.0)</f>
        <v>44693</v>
      </c>
      <c r="I714" s="1" t="s">
        <v>109</v>
      </c>
      <c r="J714" s="4">
        <f>IFERROR(__xludf.DUMMYFUNCTION("DATE(INDEX(SPLIT(I714,""/""),,3),INDEX(SPLIT(I714,""/""),,2),INDEX(SPLIT(I714,""/""),,1))"),44834.0)</f>
        <v>44834</v>
      </c>
      <c r="L714" s="1">
        <v>0.0</v>
      </c>
      <c r="M714" s="1" t="s">
        <v>2752</v>
      </c>
      <c r="N714" s="1"/>
      <c r="O714" s="1" t="s">
        <v>30</v>
      </c>
      <c r="P714" s="1" t="s">
        <v>31</v>
      </c>
      <c r="Q714" s="1" t="s">
        <v>235</v>
      </c>
      <c r="R714" s="1" t="s">
        <v>235</v>
      </c>
      <c r="S714" s="1" t="s">
        <v>236</v>
      </c>
      <c r="T714" s="1" t="s">
        <v>1349</v>
      </c>
      <c r="U714" s="1">
        <v>1.0062606E8</v>
      </c>
      <c r="X714" s="1" t="s">
        <v>375</v>
      </c>
      <c r="Y714" s="1" t="s">
        <v>2753</v>
      </c>
      <c r="Z714" s="1" t="s">
        <v>37</v>
      </c>
    </row>
    <row r="715" hidden="1">
      <c r="A715" s="1" t="s">
        <v>2754</v>
      </c>
      <c r="B715" s="1" t="s">
        <v>2755</v>
      </c>
      <c r="C715" s="1" t="s">
        <v>2756</v>
      </c>
      <c r="D715" s="1" t="s">
        <v>27</v>
      </c>
      <c r="E715" s="1" t="s">
        <v>28</v>
      </c>
      <c r="F715" s="2">
        <v>1500000.0</v>
      </c>
      <c r="G715" s="4">
        <v>44568.0</v>
      </c>
      <c r="H715" s="4">
        <f>IFERROR(__xludf.DUMMYFUNCTION("DATE(INDEX(SPLIT(G715,""/""),,3),INDEX(SPLIT(G715,""/""),,2),INDEX(SPLIT(G715,""/""),,1))"),44743.0)</f>
        <v>44743</v>
      </c>
      <c r="I715" s="1" t="s">
        <v>921</v>
      </c>
      <c r="J715" s="4">
        <f>IFERROR(__xludf.DUMMYFUNCTION("DATE(INDEX(SPLIT(I715,""/""),,3),INDEX(SPLIT(I715,""/""),,2),INDEX(SPLIT(I715,""/""),,1))"),44981.0)</f>
        <v>44981</v>
      </c>
      <c r="L715" s="1">
        <v>0.0</v>
      </c>
      <c r="M715" s="1" t="s">
        <v>2757</v>
      </c>
      <c r="N715" s="1"/>
      <c r="O715" s="1" t="s">
        <v>30</v>
      </c>
      <c r="P715" s="1" t="s">
        <v>31</v>
      </c>
      <c r="Q715" s="1" t="s">
        <v>32</v>
      </c>
      <c r="R715" s="1" t="s">
        <v>32</v>
      </c>
      <c r="S715" s="1" t="s">
        <v>33</v>
      </c>
      <c r="U715" s="1">
        <v>1.00893232E8</v>
      </c>
      <c r="X715" s="1" t="s">
        <v>117</v>
      </c>
      <c r="Y715" s="1" t="s">
        <v>2758</v>
      </c>
      <c r="Z715" s="1" t="s">
        <v>37</v>
      </c>
    </row>
    <row r="716" hidden="1">
      <c r="A716" s="1" t="s">
        <v>2759</v>
      </c>
      <c r="B716" s="1" t="s">
        <v>1629</v>
      </c>
      <c r="C716" s="1" t="s">
        <v>2760</v>
      </c>
      <c r="D716" s="1" t="s">
        <v>27</v>
      </c>
      <c r="E716" s="1" t="s">
        <v>28</v>
      </c>
      <c r="F716" s="2">
        <v>1500000.0</v>
      </c>
      <c r="G716" s="4">
        <v>43840.0</v>
      </c>
      <c r="H716" s="4">
        <f>IFERROR(__xludf.DUMMYFUNCTION("DATE(INDEX(SPLIT(G716,""/""),,3),INDEX(SPLIT(G716,""/""),,2),INDEX(SPLIT(G716,""/""),,1))"),44105.0)</f>
        <v>44105</v>
      </c>
      <c r="I716" s="1" t="s">
        <v>473</v>
      </c>
      <c r="J716" s="4">
        <f>IFERROR(__xludf.DUMMYFUNCTION("DATE(INDEX(SPLIT(I716,""/""),,3),INDEX(SPLIT(I716,""/""),,2),INDEX(SPLIT(I716,""/""),,1))"),45044.0)</f>
        <v>45044</v>
      </c>
      <c r="L716" s="1">
        <v>0.0</v>
      </c>
      <c r="M716" s="1" t="s">
        <v>1000</v>
      </c>
      <c r="N716" s="1"/>
      <c r="O716" s="1" t="s">
        <v>30</v>
      </c>
      <c r="P716" s="1" t="s">
        <v>31</v>
      </c>
      <c r="Q716" s="1" t="s">
        <v>95</v>
      </c>
      <c r="R716" s="1" t="s">
        <v>95</v>
      </c>
      <c r="S716" s="1" t="s">
        <v>96</v>
      </c>
      <c r="T716" s="1" t="s">
        <v>311</v>
      </c>
      <c r="U716" s="1">
        <v>1.00623453E8</v>
      </c>
      <c r="X716" s="1" t="s">
        <v>410</v>
      </c>
      <c r="Y716" s="1" t="s">
        <v>2761</v>
      </c>
      <c r="Z716" s="1" t="s">
        <v>37</v>
      </c>
    </row>
    <row r="717" hidden="1">
      <c r="A717" s="1" t="s">
        <v>2762</v>
      </c>
      <c r="B717" s="1" t="s">
        <v>2358</v>
      </c>
      <c r="C717" s="1" t="s">
        <v>2763</v>
      </c>
      <c r="D717" s="1" t="s">
        <v>78</v>
      </c>
      <c r="E717" s="1" t="s">
        <v>28</v>
      </c>
      <c r="F717" s="2">
        <v>1500000.0</v>
      </c>
      <c r="G717" s="1" t="s">
        <v>557</v>
      </c>
      <c r="H717" s="4">
        <f>IFERROR(__xludf.DUMMYFUNCTION("DATE(INDEX(SPLIT(G717,""/""),,3),INDEX(SPLIT(G717,""/""),,2),INDEX(SPLIT(G717,""/""),,1))"),44439.0)</f>
        <v>44439</v>
      </c>
      <c r="I717" s="1" t="s">
        <v>109</v>
      </c>
      <c r="J717" s="4">
        <f>IFERROR(__xludf.DUMMYFUNCTION("DATE(INDEX(SPLIT(I717,""/""),,3),INDEX(SPLIT(I717,""/""),,2),INDEX(SPLIT(I717,""/""),,1))"),44834.0)</f>
        <v>44834</v>
      </c>
      <c r="L717" s="1">
        <v>0.0</v>
      </c>
      <c r="M717" s="1" t="s">
        <v>2764</v>
      </c>
      <c r="N717" s="1"/>
      <c r="O717" s="1" t="s">
        <v>30</v>
      </c>
      <c r="P717" s="1" t="s">
        <v>31</v>
      </c>
      <c r="Q717" s="1" t="s">
        <v>157</v>
      </c>
      <c r="R717" s="1" t="s">
        <v>157</v>
      </c>
      <c r="S717" s="1" t="s">
        <v>158</v>
      </c>
      <c r="T717" s="1" t="s">
        <v>442</v>
      </c>
      <c r="U717" s="1">
        <v>1.00639477E8</v>
      </c>
      <c r="X717" s="1" t="s">
        <v>490</v>
      </c>
      <c r="Y717" s="1" t="s">
        <v>2765</v>
      </c>
      <c r="Z717" s="1" t="s">
        <v>37</v>
      </c>
    </row>
    <row r="718" hidden="1">
      <c r="A718" s="1" t="s">
        <v>2766</v>
      </c>
      <c r="B718" s="1" t="s">
        <v>2767</v>
      </c>
      <c r="C718" s="1" t="s">
        <v>209</v>
      </c>
      <c r="D718" s="1" t="s">
        <v>78</v>
      </c>
      <c r="E718" s="1" t="s">
        <v>28</v>
      </c>
      <c r="F718" s="2">
        <v>1500000.0</v>
      </c>
      <c r="G718" s="1" t="s">
        <v>2768</v>
      </c>
      <c r="H718" s="4">
        <f>IFERROR(__xludf.DUMMYFUNCTION("DATE(INDEX(SPLIT(G718,""/""),,3),INDEX(SPLIT(G718,""/""),,2),INDEX(SPLIT(G718,""/""),,1))"),44369.0)</f>
        <v>44369</v>
      </c>
      <c r="I718" s="1" t="s">
        <v>109</v>
      </c>
      <c r="J718" s="4">
        <f>IFERROR(__xludf.DUMMYFUNCTION("DATE(INDEX(SPLIT(I718,""/""),,3),INDEX(SPLIT(I718,""/""),,2),INDEX(SPLIT(I718,""/""),,1))"),44834.0)</f>
        <v>44834</v>
      </c>
      <c r="L718" s="1">
        <v>0.0</v>
      </c>
      <c r="M718" s="1" t="s">
        <v>211</v>
      </c>
      <c r="N718" s="1"/>
      <c r="O718" s="1" t="s">
        <v>30</v>
      </c>
      <c r="P718" s="1" t="s">
        <v>31</v>
      </c>
      <c r="Q718" s="1" t="s">
        <v>71</v>
      </c>
      <c r="R718" s="1" t="s">
        <v>71</v>
      </c>
      <c r="S718" s="1" t="s">
        <v>72</v>
      </c>
      <c r="T718" s="1" t="s">
        <v>136</v>
      </c>
      <c r="U718" s="1">
        <v>1.00590896E8</v>
      </c>
      <c r="X718" s="1" t="s">
        <v>2769</v>
      </c>
      <c r="Y718" s="1" t="s">
        <v>211</v>
      </c>
      <c r="Z718" s="1" t="s">
        <v>37</v>
      </c>
    </row>
    <row r="719" hidden="1">
      <c r="A719" s="1" t="s">
        <v>2770</v>
      </c>
      <c r="B719" s="1" t="s">
        <v>1123</v>
      </c>
      <c r="C719" s="1" t="s">
        <v>2771</v>
      </c>
      <c r="D719" s="1" t="s">
        <v>78</v>
      </c>
      <c r="E719" s="1" t="s">
        <v>28</v>
      </c>
      <c r="F719" s="2">
        <v>1500000.0</v>
      </c>
      <c r="G719" s="4">
        <v>44687.0</v>
      </c>
      <c r="H719" s="4">
        <f>IFERROR(__xludf.DUMMYFUNCTION("DATE(INDEX(SPLIT(G719,""/""),,3),INDEX(SPLIT(G719,""/""),,2),INDEX(SPLIT(G719,""/""),,1))"),44717.0)</f>
        <v>44717</v>
      </c>
      <c r="I719" s="1" t="s">
        <v>85</v>
      </c>
      <c r="J719" s="4">
        <f>IFERROR(__xludf.DUMMYFUNCTION("DATE(INDEX(SPLIT(I719,""/""),,3),INDEX(SPLIT(I719,""/""),,2),INDEX(SPLIT(I719,""/""),,1))"),44799.0)</f>
        <v>44799</v>
      </c>
      <c r="L719" s="1">
        <v>0.0</v>
      </c>
      <c r="M719" s="1" t="s">
        <v>2247</v>
      </c>
      <c r="N719" s="1"/>
      <c r="O719" s="1" t="s">
        <v>30</v>
      </c>
      <c r="P719" s="1" t="s">
        <v>31</v>
      </c>
      <c r="Q719" s="1" t="s">
        <v>32</v>
      </c>
      <c r="R719" s="1" t="s">
        <v>32</v>
      </c>
      <c r="S719" s="1" t="s">
        <v>33</v>
      </c>
      <c r="U719" s="1">
        <v>1.01076271E8</v>
      </c>
      <c r="X719" s="1" t="s">
        <v>117</v>
      </c>
      <c r="Y719" s="1" t="s">
        <v>2247</v>
      </c>
      <c r="Z719" s="1" t="s">
        <v>206</v>
      </c>
    </row>
    <row r="720" hidden="1">
      <c r="A720" s="1" t="s">
        <v>2772</v>
      </c>
      <c r="B720" s="1" t="s">
        <v>492</v>
      </c>
      <c r="C720" s="1" t="s">
        <v>2773</v>
      </c>
      <c r="D720" s="1" t="s">
        <v>27</v>
      </c>
      <c r="E720" s="1" t="s">
        <v>28</v>
      </c>
      <c r="F720" s="2">
        <v>1500000.0</v>
      </c>
      <c r="G720" s="1" t="s">
        <v>2629</v>
      </c>
      <c r="H720" s="4">
        <f>IFERROR(__xludf.DUMMYFUNCTION("DATE(INDEX(SPLIT(G720,""/""),,3),INDEX(SPLIT(G720,""/""),,2),INDEX(SPLIT(G720,""/""),,1))"),44651.0)</f>
        <v>44651</v>
      </c>
      <c r="I720" s="1" t="s">
        <v>130</v>
      </c>
      <c r="J720" s="4">
        <f>IFERROR(__xludf.DUMMYFUNCTION("DATE(INDEX(SPLIT(I720,""/""),,3),INDEX(SPLIT(I720,""/""),,2),INDEX(SPLIT(I720,""/""),,1))"),44804.0)</f>
        <v>44804</v>
      </c>
      <c r="L720" s="1">
        <v>0.0</v>
      </c>
      <c r="M720" s="1" t="s">
        <v>2096</v>
      </c>
      <c r="N720" s="1"/>
      <c r="O720" s="1" t="s">
        <v>30</v>
      </c>
      <c r="P720" s="1" t="s">
        <v>31</v>
      </c>
      <c r="Q720" s="1" t="s">
        <v>228</v>
      </c>
      <c r="R720" s="1" t="s">
        <v>228</v>
      </c>
      <c r="S720" s="1" t="s">
        <v>229</v>
      </c>
      <c r="T720" s="1" t="s">
        <v>103</v>
      </c>
      <c r="U720" s="1">
        <v>1.00619128E8</v>
      </c>
      <c r="X720" s="1" t="s">
        <v>46</v>
      </c>
      <c r="Y720" s="1" t="s">
        <v>698</v>
      </c>
      <c r="Z720" s="1" t="s">
        <v>37</v>
      </c>
    </row>
    <row r="721" hidden="1">
      <c r="A721" s="1" t="s">
        <v>2774</v>
      </c>
      <c r="B721" s="1" t="s">
        <v>2755</v>
      </c>
      <c r="C721" s="1" t="s">
        <v>2775</v>
      </c>
      <c r="D721" s="1" t="s">
        <v>78</v>
      </c>
      <c r="E721" s="1" t="s">
        <v>28</v>
      </c>
      <c r="F721" s="2">
        <v>1500000.0</v>
      </c>
      <c r="G721" s="1" t="s">
        <v>271</v>
      </c>
      <c r="H721" s="4">
        <f>IFERROR(__xludf.DUMMYFUNCTION("DATE(INDEX(SPLIT(G721,""/""),,3),INDEX(SPLIT(G721,""/""),,2),INDEX(SPLIT(G721,""/""),,1))"),44680.0)</f>
        <v>44680</v>
      </c>
      <c r="I721" s="4">
        <v>44569.0</v>
      </c>
      <c r="J721" s="4">
        <f>IFERROR(__xludf.DUMMYFUNCTION("DATE(INDEX(SPLIT(I721,""/""),,3),INDEX(SPLIT(I721,""/""),,2),INDEX(SPLIT(I721,""/""),,1))"),44774.0)</f>
        <v>44774</v>
      </c>
      <c r="L721" s="1">
        <v>0.0</v>
      </c>
      <c r="M721" s="1" t="s">
        <v>2757</v>
      </c>
      <c r="N721" s="1"/>
      <c r="O721" s="1" t="s">
        <v>30</v>
      </c>
      <c r="P721" s="1" t="s">
        <v>31</v>
      </c>
      <c r="Q721" s="1" t="s">
        <v>32</v>
      </c>
      <c r="R721" s="1" t="s">
        <v>32</v>
      </c>
      <c r="S721" s="1" t="s">
        <v>33</v>
      </c>
      <c r="U721" s="1">
        <v>1.00893232E8</v>
      </c>
      <c r="X721" s="1" t="s">
        <v>117</v>
      </c>
      <c r="Y721" s="1" t="s">
        <v>2757</v>
      </c>
      <c r="Z721" s="1" t="s">
        <v>37</v>
      </c>
    </row>
    <row r="722" hidden="1">
      <c r="A722" s="1" t="s">
        <v>2776</v>
      </c>
      <c r="B722" s="1" t="s">
        <v>784</v>
      </c>
      <c r="C722" s="1" t="s">
        <v>2777</v>
      </c>
      <c r="D722" s="1" t="s">
        <v>27</v>
      </c>
      <c r="E722" s="1" t="s">
        <v>28</v>
      </c>
      <c r="F722" s="2">
        <v>1500000.0</v>
      </c>
      <c r="G722" s="4">
        <v>44810.0</v>
      </c>
      <c r="H722" s="4">
        <f>IFERROR(__xludf.DUMMYFUNCTION("DATE(INDEX(SPLIT(G722,""/""),,3),INDEX(SPLIT(G722,""/""),,2),INDEX(SPLIT(G722,""/""),,1))"),44721.0)</f>
        <v>44721</v>
      </c>
      <c r="I722" s="1" t="s">
        <v>42</v>
      </c>
      <c r="J722" s="4">
        <f>IFERROR(__xludf.DUMMYFUNCTION("DATE(INDEX(SPLIT(I722,""/""),,3),INDEX(SPLIT(I722,""/""),,2),INDEX(SPLIT(I722,""/""),,1))"),44926.0)</f>
        <v>44926</v>
      </c>
      <c r="L722" s="1">
        <v>0.0</v>
      </c>
      <c r="M722" s="1" t="s">
        <v>1398</v>
      </c>
      <c r="N722" s="1"/>
      <c r="O722" s="1" t="s">
        <v>30</v>
      </c>
      <c r="P722" s="1" t="s">
        <v>31</v>
      </c>
      <c r="Q722" s="1" t="s">
        <v>95</v>
      </c>
      <c r="R722" s="1" t="s">
        <v>95</v>
      </c>
      <c r="S722" s="1" t="s">
        <v>96</v>
      </c>
      <c r="T722" s="1" t="s">
        <v>111</v>
      </c>
      <c r="U722" s="1">
        <v>1.0061941E8</v>
      </c>
      <c r="X722" s="1" t="s">
        <v>63</v>
      </c>
      <c r="Y722" s="1" t="s">
        <v>1770</v>
      </c>
      <c r="Z722" s="1" t="s">
        <v>37</v>
      </c>
    </row>
    <row r="723">
      <c r="A723" s="1" t="s">
        <v>2778</v>
      </c>
      <c r="B723" s="1" t="s">
        <v>756</v>
      </c>
      <c r="C723" s="1" t="s">
        <v>2779</v>
      </c>
      <c r="D723" s="1" t="s">
        <v>122</v>
      </c>
      <c r="E723" s="1" t="s">
        <v>28</v>
      </c>
      <c r="F723" s="2">
        <v>1500000.0</v>
      </c>
      <c r="G723" s="4">
        <v>44686.0</v>
      </c>
      <c r="H723" s="4">
        <f>IFERROR(__xludf.DUMMYFUNCTION("DATE(INDEX(SPLIT(G723,""/""),,3),INDEX(SPLIT(G723,""/""),,2),INDEX(SPLIT(G723,""/""),,1))"),44686.0)</f>
        <v>44686</v>
      </c>
      <c r="I723" s="1" t="s">
        <v>226</v>
      </c>
      <c r="J723" s="4">
        <f>IFERROR(__xludf.DUMMYFUNCTION("DATE(INDEX(SPLIT(I723,""/""),,3),INDEX(SPLIT(I723,""/""),,2),INDEX(SPLIT(I723,""/""),,1))"),44771.0)</f>
        <v>44771</v>
      </c>
      <c r="L723" s="1">
        <v>0.0</v>
      </c>
      <c r="M723" s="1" t="s">
        <v>2780</v>
      </c>
      <c r="N723" s="1"/>
      <c r="O723" s="1" t="s">
        <v>30</v>
      </c>
      <c r="P723" s="1" t="s">
        <v>31</v>
      </c>
      <c r="Q723" s="1" t="s">
        <v>235</v>
      </c>
      <c r="R723" s="1" t="s">
        <v>235</v>
      </c>
      <c r="S723" s="1" t="s">
        <v>236</v>
      </c>
      <c r="T723" s="1" t="s">
        <v>640</v>
      </c>
      <c r="U723" s="1">
        <v>1.0059452E8</v>
      </c>
      <c r="X723" s="1" t="s">
        <v>88</v>
      </c>
      <c r="Y723" s="1" t="s">
        <v>2780</v>
      </c>
      <c r="Z723" s="1" t="s">
        <v>206</v>
      </c>
    </row>
    <row r="724" hidden="1">
      <c r="A724" s="1" t="s">
        <v>2781</v>
      </c>
      <c r="B724" s="1" t="s">
        <v>2265</v>
      </c>
      <c r="C724" s="1" t="s">
        <v>2782</v>
      </c>
      <c r="D724" s="1" t="s">
        <v>27</v>
      </c>
      <c r="E724" s="1" t="s">
        <v>28</v>
      </c>
      <c r="F724" s="2">
        <v>1500000.0</v>
      </c>
      <c r="G724" s="1" t="s">
        <v>298</v>
      </c>
      <c r="H724" s="4">
        <f>IFERROR(__xludf.DUMMYFUNCTION("DATE(INDEX(SPLIT(G724,""/""),,3),INDEX(SPLIT(G724,""/""),,2),INDEX(SPLIT(G724,""/""),,1))"),44762.0)</f>
        <v>44762</v>
      </c>
      <c r="I724" s="4">
        <v>44570.0</v>
      </c>
      <c r="J724" s="4">
        <f>IFERROR(__xludf.DUMMYFUNCTION("DATE(INDEX(SPLIT(I724,""/""),,3),INDEX(SPLIT(I724,""/""),,2),INDEX(SPLIT(I724,""/""),,1))"),44805.0)</f>
        <v>44805</v>
      </c>
      <c r="L724" s="1">
        <v>0.0</v>
      </c>
      <c r="M724" s="1" t="s">
        <v>2325</v>
      </c>
      <c r="N724" s="1"/>
      <c r="O724" s="1" t="s">
        <v>30</v>
      </c>
      <c r="P724" s="1" t="s">
        <v>31</v>
      </c>
      <c r="Q724" s="1" t="s">
        <v>235</v>
      </c>
      <c r="R724" s="1" t="s">
        <v>235</v>
      </c>
      <c r="S724" s="1" t="s">
        <v>236</v>
      </c>
      <c r="U724" s="1">
        <v>1.00649726E8</v>
      </c>
      <c r="X724" s="1" t="s">
        <v>239</v>
      </c>
      <c r="Y724" s="1" t="s">
        <v>2325</v>
      </c>
      <c r="Z724" s="1" t="s">
        <v>37</v>
      </c>
    </row>
    <row r="725" hidden="1">
      <c r="A725" s="1" t="s">
        <v>2783</v>
      </c>
      <c r="B725" s="1" t="s">
        <v>1506</v>
      </c>
      <c r="C725" s="1" t="s">
        <v>2784</v>
      </c>
      <c r="D725" s="1" t="s">
        <v>78</v>
      </c>
      <c r="E725" s="1" t="s">
        <v>28</v>
      </c>
      <c r="F725" s="2">
        <v>1500000.0</v>
      </c>
      <c r="G725" s="1" t="s">
        <v>129</v>
      </c>
      <c r="H725" s="4">
        <f>IFERROR(__xludf.DUMMYFUNCTION("DATE(INDEX(SPLIT(G725,""/""),,3),INDEX(SPLIT(G725,""/""),,2),INDEX(SPLIT(G725,""/""),,1))"),44088.0)</f>
        <v>44088</v>
      </c>
      <c r="I725" s="1" t="s">
        <v>109</v>
      </c>
      <c r="J725" s="4">
        <f>IFERROR(__xludf.DUMMYFUNCTION("DATE(INDEX(SPLIT(I725,""/""),,3),INDEX(SPLIT(I725,""/""),,2),INDEX(SPLIT(I725,""/""),,1))"),44834.0)</f>
        <v>44834</v>
      </c>
      <c r="L725" s="1">
        <v>0.0</v>
      </c>
      <c r="M725" s="1" t="s">
        <v>878</v>
      </c>
      <c r="N725" s="1"/>
      <c r="O725" s="1" t="s">
        <v>30</v>
      </c>
      <c r="P725" s="1" t="s">
        <v>31</v>
      </c>
      <c r="Q725" s="1" t="s">
        <v>32</v>
      </c>
      <c r="R725" s="1" t="s">
        <v>32</v>
      </c>
      <c r="S725" s="1" t="s">
        <v>33</v>
      </c>
      <c r="U725" s="1">
        <v>1.00686761E8</v>
      </c>
      <c r="X725" s="1" t="s">
        <v>35</v>
      </c>
      <c r="Y725" s="1" t="s">
        <v>79</v>
      </c>
      <c r="Z725" s="1" t="s">
        <v>527</v>
      </c>
    </row>
    <row r="726" hidden="1">
      <c r="A726" s="1" t="s">
        <v>2785</v>
      </c>
      <c r="B726" s="1" t="s">
        <v>834</v>
      </c>
      <c r="C726" s="1" t="s">
        <v>2786</v>
      </c>
      <c r="D726" s="1" t="s">
        <v>78</v>
      </c>
      <c r="E726" s="1" t="s">
        <v>28</v>
      </c>
      <c r="F726" s="2">
        <v>1500000.0</v>
      </c>
      <c r="G726" s="4">
        <v>44839.0</v>
      </c>
      <c r="H726" s="4">
        <f>IFERROR(__xludf.DUMMYFUNCTION("DATE(INDEX(SPLIT(G726,""/""),,3),INDEX(SPLIT(G726,""/""),,2),INDEX(SPLIT(G726,""/""),,1))"),44691.0)</f>
        <v>44691</v>
      </c>
      <c r="I726" s="1" t="s">
        <v>109</v>
      </c>
      <c r="J726" s="4">
        <f>IFERROR(__xludf.DUMMYFUNCTION("DATE(INDEX(SPLIT(I726,""/""),,3),INDEX(SPLIT(I726,""/""),,2),INDEX(SPLIT(I726,""/""),,1))"),44834.0)</f>
        <v>44834</v>
      </c>
      <c r="L726" s="1">
        <v>0.0</v>
      </c>
      <c r="M726" s="1" t="s">
        <v>2787</v>
      </c>
      <c r="N726" s="1"/>
      <c r="O726" s="1" t="s">
        <v>30</v>
      </c>
      <c r="P726" s="1" t="s">
        <v>31</v>
      </c>
      <c r="Q726" s="1" t="s">
        <v>157</v>
      </c>
      <c r="R726" s="1" t="s">
        <v>157</v>
      </c>
      <c r="S726" s="1" t="s">
        <v>158</v>
      </c>
      <c r="U726" s="1">
        <v>1.00708984E8</v>
      </c>
      <c r="X726" s="1" t="s">
        <v>35</v>
      </c>
      <c r="Y726" s="1" t="s">
        <v>2788</v>
      </c>
      <c r="Z726" s="1" t="s">
        <v>37</v>
      </c>
    </row>
    <row r="727">
      <c r="A727" s="1" t="s">
        <v>2789</v>
      </c>
      <c r="B727" s="1" t="s">
        <v>650</v>
      </c>
      <c r="C727" s="1" t="s">
        <v>2790</v>
      </c>
      <c r="D727" s="1" t="s">
        <v>78</v>
      </c>
      <c r="E727" s="1" t="s">
        <v>28</v>
      </c>
      <c r="F727" s="2">
        <v>1500000.0</v>
      </c>
      <c r="G727" s="1" t="s">
        <v>2791</v>
      </c>
      <c r="H727" s="4">
        <f>IFERROR(__xludf.DUMMYFUNCTION("DATE(INDEX(SPLIT(G727,""/""),,3),INDEX(SPLIT(G727,""/""),,2),INDEX(SPLIT(G727,""/""),,1))"),44494.0)</f>
        <v>44494</v>
      </c>
      <c r="I727" s="1" t="s">
        <v>226</v>
      </c>
      <c r="J727" s="4">
        <f>IFERROR(__xludf.DUMMYFUNCTION("DATE(INDEX(SPLIT(I727,""/""),,3),INDEX(SPLIT(I727,""/""),,2),INDEX(SPLIT(I727,""/""),,1))"),44771.0)</f>
        <v>44771</v>
      </c>
      <c r="L727" s="1">
        <v>0.0</v>
      </c>
      <c r="M727" s="1" t="s">
        <v>2067</v>
      </c>
      <c r="N727" s="1"/>
      <c r="O727" s="1" t="s">
        <v>30</v>
      </c>
      <c r="P727" s="1" t="s">
        <v>31</v>
      </c>
      <c r="Q727" s="1" t="s">
        <v>95</v>
      </c>
      <c r="R727" s="1" t="s">
        <v>95</v>
      </c>
      <c r="S727" s="1" t="s">
        <v>96</v>
      </c>
      <c r="T727" s="1" t="s">
        <v>111</v>
      </c>
      <c r="U727" s="1">
        <v>1.00631322E8</v>
      </c>
      <c r="X727" s="1" t="s">
        <v>63</v>
      </c>
      <c r="Y727" s="1" t="s">
        <v>2792</v>
      </c>
      <c r="Z727" s="1" t="s">
        <v>37</v>
      </c>
    </row>
    <row r="728" hidden="1">
      <c r="A728" s="1" t="s">
        <v>2793</v>
      </c>
      <c r="B728" s="1" t="s">
        <v>2794</v>
      </c>
      <c r="C728" s="1" t="s">
        <v>2795</v>
      </c>
      <c r="D728" s="1" t="s">
        <v>27</v>
      </c>
      <c r="E728" s="1" t="s">
        <v>28</v>
      </c>
      <c r="F728" s="2">
        <v>1500000.0</v>
      </c>
      <c r="G728" s="1" t="s">
        <v>2796</v>
      </c>
      <c r="H728" s="4">
        <f>IFERROR(__xludf.DUMMYFUNCTION("DATE(INDEX(SPLIT(G728,""/""),,3),INDEX(SPLIT(G728,""/""),,2),INDEX(SPLIT(G728,""/""),,1))"),44464.0)</f>
        <v>44464</v>
      </c>
      <c r="I728" s="4">
        <v>44569.0</v>
      </c>
      <c r="J728" s="4">
        <f>IFERROR(__xludf.DUMMYFUNCTION("DATE(INDEX(SPLIT(I728,""/""),,3),INDEX(SPLIT(I728,""/""),,2),INDEX(SPLIT(I728,""/""),,1))"),44774.0)</f>
        <v>44774</v>
      </c>
      <c r="L728" s="1">
        <v>0.0</v>
      </c>
      <c r="M728" s="1" t="s">
        <v>956</v>
      </c>
      <c r="N728" s="1"/>
      <c r="O728" s="1" t="s">
        <v>30</v>
      </c>
      <c r="P728" s="1" t="s">
        <v>31</v>
      </c>
      <c r="Q728" s="1" t="s">
        <v>71</v>
      </c>
      <c r="R728" s="1" t="s">
        <v>71</v>
      </c>
      <c r="S728" s="1" t="s">
        <v>72</v>
      </c>
      <c r="T728" s="1" t="s">
        <v>73</v>
      </c>
      <c r="U728" s="1">
        <v>1.00653499E8</v>
      </c>
      <c r="X728" s="1" t="s">
        <v>74</v>
      </c>
      <c r="Y728" s="1" t="s">
        <v>200</v>
      </c>
      <c r="Z728" s="1" t="s">
        <v>37</v>
      </c>
    </row>
    <row r="729" hidden="1">
      <c r="A729" s="1" t="s">
        <v>2797</v>
      </c>
      <c r="B729" s="1" t="s">
        <v>427</v>
      </c>
      <c r="C729" s="1" t="s">
        <v>2798</v>
      </c>
      <c r="D729" s="1" t="s">
        <v>78</v>
      </c>
      <c r="E729" s="1" t="s">
        <v>28</v>
      </c>
      <c r="F729" s="2">
        <v>1500000.0</v>
      </c>
      <c r="G729" s="1" t="s">
        <v>586</v>
      </c>
      <c r="H729" s="4">
        <f>IFERROR(__xludf.DUMMYFUNCTION("DATE(INDEX(SPLIT(G729,""/""),,3),INDEX(SPLIT(G729,""/""),,2),INDEX(SPLIT(G729,""/""),,1))"),44726.0)</f>
        <v>44726</v>
      </c>
      <c r="I729" s="4">
        <v>44569.0</v>
      </c>
      <c r="J729" s="4">
        <f>IFERROR(__xludf.DUMMYFUNCTION("DATE(INDEX(SPLIT(I729,""/""),,3),INDEX(SPLIT(I729,""/""),,2),INDEX(SPLIT(I729,""/""),,1))"),44774.0)</f>
        <v>44774</v>
      </c>
      <c r="L729" s="1">
        <v>0.0</v>
      </c>
      <c r="M729" s="1" t="s">
        <v>891</v>
      </c>
      <c r="N729" s="1"/>
      <c r="O729" s="1" t="s">
        <v>30</v>
      </c>
      <c r="P729" s="1" t="s">
        <v>31</v>
      </c>
      <c r="Q729" s="1" t="s">
        <v>32</v>
      </c>
      <c r="R729" s="1" t="s">
        <v>32</v>
      </c>
      <c r="S729" s="1" t="s">
        <v>33</v>
      </c>
      <c r="U729" s="1">
        <v>1.00866856E8</v>
      </c>
      <c r="X729" s="1" t="s">
        <v>125</v>
      </c>
      <c r="Y729" s="1" t="s">
        <v>2233</v>
      </c>
      <c r="Z729" s="1" t="s">
        <v>37</v>
      </c>
    </row>
    <row r="730">
      <c r="A730" s="1" t="s">
        <v>2799</v>
      </c>
      <c r="B730" s="1" t="s">
        <v>1498</v>
      </c>
      <c r="C730" s="1" t="s">
        <v>2800</v>
      </c>
      <c r="D730" s="1" t="s">
        <v>122</v>
      </c>
      <c r="E730" s="1" t="s">
        <v>28</v>
      </c>
      <c r="F730" s="2">
        <v>1500000.0</v>
      </c>
      <c r="G730" s="4">
        <v>44810.0</v>
      </c>
      <c r="H730" s="4">
        <f>IFERROR(__xludf.DUMMYFUNCTION("DATE(INDEX(SPLIT(G730,""/""),,3),INDEX(SPLIT(G730,""/""),,2),INDEX(SPLIT(G730,""/""),,1))"),44721.0)</f>
        <v>44721</v>
      </c>
      <c r="I730" s="1" t="s">
        <v>226</v>
      </c>
      <c r="J730" s="4">
        <f>IFERROR(__xludf.DUMMYFUNCTION("DATE(INDEX(SPLIT(I730,""/""),,3),INDEX(SPLIT(I730,""/""),,2),INDEX(SPLIT(I730,""/""),,1))"),44771.0)</f>
        <v>44771</v>
      </c>
      <c r="L730" s="1">
        <v>0.0</v>
      </c>
      <c r="M730" s="1" t="s">
        <v>813</v>
      </c>
      <c r="N730" s="1"/>
      <c r="O730" s="1" t="s">
        <v>30</v>
      </c>
      <c r="P730" s="1" t="s">
        <v>31</v>
      </c>
      <c r="Q730" s="1" t="s">
        <v>188</v>
      </c>
      <c r="R730" s="1" t="s">
        <v>188</v>
      </c>
      <c r="S730" s="1" t="s">
        <v>189</v>
      </c>
      <c r="U730" s="1">
        <v>1.01062258E8</v>
      </c>
      <c r="X730" s="1" t="s">
        <v>361</v>
      </c>
      <c r="Y730" s="1" t="s">
        <v>2801</v>
      </c>
      <c r="Z730" s="1" t="s">
        <v>37</v>
      </c>
    </row>
    <row r="731" hidden="1">
      <c r="A731" s="1" t="s">
        <v>2802</v>
      </c>
      <c r="B731" s="1" t="s">
        <v>2803</v>
      </c>
      <c r="C731" s="1" t="s">
        <v>2804</v>
      </c>
      <c r="D731" s="1" t="s">
        <v>78</v>
      </c>
      <c r="E731" s="1" t="s">
        <v>28</v>
      </c>
      <c r="F731" s="2">
        <v>1500000.0</v>
      </c>
      <c r="G731" s="1" t="s">
        <v>2805</v>
      </c>
      <c r="H731" s="4">
        <f>IFERROR(__xludf.DUMMYFUNCTION("DATE(INDEX(SPLIT(G731,""/""),,3),INDEX(SPLIT(G731,""/""),,2),INDEX(SPLIT(G731,""/""),,1))"),44401.0)</f>
        <v>44401</v>
      </c>
      <c r="I731" s="1" t="s">
        <v>203</v>
      </c>
      <c r="J731" s="4">
        <f>IFERROR(__xludf.DUMMYFUNCTION("DATE(INDEX(SPLIT(I731,""/""),,3),INDEX(SPLIT(I731,""/""),,2),INDEX(SPLIT(I731,""/""),,1))"),44925.0)</f>
        <v>44925</v>
      </c>
      <c r="L731" s="1">
        <v>0.0</v>
      </c>
      <c r="M731" s="1" t="s">
        <v>1303</v>
      </c>
      <c r="N731" s="1"/>
      <c r="O731" s="1" t="s">
        <v>30</v>
      </c>
      <c r="P731" s="1" t="s">
        <v>31</v>
      </c>
      <c r="Q731" s="1" t="s">
        <v>235</v>
      </c>
      <c r="R731" s="1" t="s">
        <v>235</v>
      </c>
      <c r="S731" s="1" t="s">
        <v>236</v>
      </c>
      <c r="T731" s="1" t="s">
        <v>438</v>
      </c>
      <c r="U731" s="1">
        <v>1.00609073E8</v>
      </c>
      <c r="X731" s="1" t="s">
        <v>88</v>
      </c>
      <c r="Y731" s="1" t="s">
        <v>1313</v>
      </c>
      <c r="Z731" s="1" t="s">
        <v>37</v>
      </c>
    </row>
    <row r="732" hidden="1">
      <c r="A732" s="1" t="s">
        <v>2806</v>
      </c>
      <c r="B732" s="1" t="s">
        <v>1131</v>
      </c>
      <c r="C732" s="1" t="s">
        <v>2807</v>
      </c>
      <c r="D732" s="1" t="s">
        <v>27</v>
      </c>
      <c r="E732" s="1" t="s">
        <v>28</v>
      </c>
      <c r="F732" s="2">
        <v>1500000.0</v>
      </c>
      <c r="G732" s="4">
        <v>44296.0</v>
      </c>
      <c r="H732" s="4">
        <f>IFERROR(__xludf.DUMMYFUNCTION("DATE(INDEX(SPLIT(G732,""/""),,3),INDEX(SPLIT(G732,""/""),,2),INDEX(SPLIT(G732,""/""),,1))"),44473.0)</f>
        <v>44473</v>
      </c>
      <c r="I732" s="1" t="s">
        <v>203</v>
      </c>
      <c r="J732" s="4">
        <f>IFERROR(__xludf.DUMMYFUNCTION("DATE(INDEX(SPLIT(I732,""/""),,3),INDEX(SPLIT(I732,""/""),,2),INDEX(SPLIT(I732,""/""),,1))"),44925.0)</f>
        <v>44925</v>
      </c>
      <c r="L732" s="1">
        <v>0.0</v>
      </c>
      <c r="M732" s="1" t="s">
        <v>1093</v>
      </c>
      <c r="N732" s="1"/>
      <c r="O732" s="1" t="s">
        <v>30</v>
      </c>
      <c r="P732" s="1" t="s">
        <v>31</v>
      </c>
      <c r="Q732" s="1" t="s">
        <v>71</v>
      </c>
      <c r="R732" s="1" t="s">
        <v>71</v>
      </c>
      <c r="S732" s="1" t="s">
        <v>72</v>
      </c>
      <c r="T732" s="1" t="s">
        <v>73</v>
      </c>
      <c r="U732" s="1">
        <v>1.01131115E8</v>
      </c>
      <c r="X732" s="1" t="s">
        <v>74</v>
      </c>
      <c r="Y732" s="1" t="s">
        <v>2241</v>
      </c>
      <c r="Z732" s="1" t="s">
        <v>37</v>
      </c>
    </row>
    <row r="733" hidden="1">
      <c r="A733" s="1" t="s">
        <v>2808</v>
      </c>
      <c r="B733" s="1" t="s">
        <v>2809</v>
      </c>
      <c r="C733" s="1" t="s">
        <v>2810</v>
      </c>
      <c r="D733" s="1" t="s">
        <v>27</v>
      </c>
      <c r="E733" s="1" t="s">
        <v>28</v>
      </c>
      <c r="F733" s="2">
        <v>1500000.0</v>
      </c>
      <c r="G733" s="1" t="s">
        <v>2811</v>
      </c>
      <c r="H733" s="4">
        <f>IFERROR(__xludf.DUMMYFUNCTION("DATE(INDEX(SPLIT(G733,""/""),,3),INDEX(SPLIT(G733,""/""),,2),INDEX(SPLIT(G733,""/""),,1))"),43971.0)</f>
        <v>43971</v>
      </c>
      <c r="I733" s="1" t="s">
        <v>42</v>
      </c>
      <c r="J733" s="4">
        <f>IFERROR(__xludf.DUMMYFUNCTION("DATE(INDEX(SPLIT(I733,""/""),,3),INDEX(SPLIT(I733,""/""),,2),INDEX(SPLIT(I733,""/""),,1))"),44926.0)</f>
        <v>44926</v>
      </c>
      <c r="L733" s="1">
        <v>0.0</v>
      </c>
      <c r="M733" s="1" t="s">
        <v>524</v>
      </c>
      <c r="N733" s="1"/>
      <c r="O733" s="1" t="s">
        <v>30</v>
      </c>
      <c r="P733" s="1" t="s">
        <v>31</v>
      </c>
      <c r="Q733" s="1" t="s">
        <v>32</v>
      </c>
      <c r="R733" s="1" t="s">
        <v>32</v>
      </c>
      <c r="S733" s="1" t="s">
        <v>33</v>
      </c>
      <c r="T733" s="1" t="s">
        <v>2812</v>
      </c>
      <c r="U733" s="1">
        <v>1.00627768E8</v>
      </c>
      <c r="X733" s="1" t="s">
        <v>81</v>
      </c>
      <c r="Y733" s="1" t="s">
        <v>1775</v>
      </c>
      <c r="Z733" s="1" t="s">
        <v>527</v>
      </c>
    </row>
    <row r="734" hidden="1">
      <c r="A734" s="1" t="s">
        <v>2813</v>
      </c>
      <c r="B734" s="1" t="s">
        <v>1144</v>
      </c>
      <c r="C734" s="1" t="s">
        <v>2814</v>
      </c>
      <c r="D734" s="1" t="s">
        <v>78</v>
      </c>
      <c r="E734" s="1" t="s">
        <v>28</v>
      </c>
      <c r="F734" s="2">
        <v>1500000.0</v>
      </c>
      <c r="G734" s="1" t="s">
        <v>862</v>
      </c>
      <c r="H734" s="4">
        <f>IFERROR(__xludf.DUMMYFUNCTION("DATE(INDEX(SPLIT(G734,""/""),,3),INDEX(SPLIT(G734,""/""),,2),INDEX(SPLIT(G734,""/""),,1))"),44699.0)</f>
        <v>44699</v>
      </c>
      <c r="I734" s="4">
        <v>44601.0</v>
      </c>
      <c r="J734" s="4">
        <f>IFERROR(__xludf.DUMMYFUNCTION("DATE(INDEX(SPLIT(I734,""/""),,3),INDEX(SPLIT(I734,""/""),,2),INDEX(SPLIT(I734,""/""),,1))"),44806.0)</f>
        <v>44806</v>
      </c>
      <c r="L734" s="1">
        <v>0.0</v>
      </c>
      <c r="M734" s="1" t="s">
        <v>2613</v>
      </c>
      <c r="N734" s="1"/>
      <c r="O734" s="1" t="s">
        <v>30</v>
      </c>
      <c r="P734" s="1" t="s">
        <v>31</v>
      </c>
      <c r="Q734" s="1" t="s">
        <v>157</v>
      </c>
      <c r="R734" s="1" t="s">
        <v>157</v>
      </c>
      <c r="S734" s="1" t="s">
        <v>158</v>
      </c>
      <c r="T734" s="1" t="s">
        <v>1386</v>
      </c>
      <c r="U734" s="1">
        <v>1.00628059E8</v>
      </c>
      <c r="X734" s="1" t="s">
        <v>63</v>
      </c>
      <c r="Y734" s="1" t="s">
        <v>2613</v>
      </c>
      <c r="Z734" s="1" t="s">
        <v>37</v>
      </c>
    </row>
    <row r="735">
      <c r="A735" s="1" t="s">
        <v>2815</v>
      </c>
      <c r="B735" s="1" t="s">
        <v>516</v>
      </c>
      <c r="C735" s="1" t="s">
        <v>2816</v>
      </c>
      <c r="D735" s="1" t="s">
        <v>78</v>
      </c>
      <c r="E735" s="1" t="s">
        <v>28</v>
      </c>
      <c r="F735" s="2">
        <v>1500000.0</v>
      </c>
      <c r="G735" s="4">
        <v>44776.0</v>
      </c>
      <c r="H735" s="4">
        <f>IFERROR(__xludf.DUMMYFUNCTION("DATE(INDEX(SPLIT(G735,""/""),,3),INDEX(SPLIT(G735,""/""),,2),INDEX(SPLIT(G735,""/""),,1))"),44628.0)</f>
        <v>44628</v>
      </c>
      <c r="I735" s="1" t="s">
        <v>1244</v>
      </c>
      <c r="J735" s="4">
        <f>IFERROR(__xludf.DUMMYFUNCTION("DATE(INDEX(SPLIT(I735,""/""),,3),INDEX(SPLIT(I735,""/""),,2),INDEX(SPLIT(I735,""/""),,1))"),44742.0)</f>
        <v>44742</v>
      </c>
      <c r="L735" s="1">
        <v>0.0</v>
      </c>
      <c r="M735" s="1" t="s">
        <v>2817</v>
      </c>
      <c r="N735" s="1"/>
      <c r="O735" s="1" t="s">
        <v>30</v>
      </c>
      <c r="P735" s="1" t="s">
        <v>31</v>
      </c>
      <c r="Q735" s="1" t="s">
        <v>188</v>
      </c>
      <c r="R735" s="1" t="s">
        <v>188</v>
      </c>
      <c r="S735" s="1" t="s">
        <v>189</v>
      </c>
      <c r="U735" s="1">
        <v>1.00655465E8</v>
      </c>
      <c r="X735" s="1" t="s">
        <v>609</v>
      </c>
      <c r="Y735" s="1" t="s">
        <v>2818</v>
      </c>
      <c r="Z735" s="1" t="s">
        <v>37</v>
      </c>
    </row>
    <row r="736" hidden="1">
      <c r="A736" s="1" t="s">
        <v>2819</v>
      </c>
      <c r="B736" s="1" t="s">
        <v>2275</v>
      </c>
      <c r="C736" s="1" t="s">
        <v>2820</v>
      </c>
      <c r="D736" s="1" t="s">
        <v>27</v>
      </c>
      <c r="E736" s="1" t="s">
        <v>28</v>
      </c>
      <c r="F736" s="2">
        <v>1500000.0</v>
      </c>
      <c r="G736" s="4">
        <v>44626.0</v>
      </c>
      <c r="H736" s="4">
        <f>IFERROR(__xludf.DUMMYFUNCTION("DATE(INDEX(SPLIT(G736,""/""),,3),INDEX(SPLIT(G736,""/""),,2),INDEX(SPLIT(G736,""/""),,1))"),44715.0)</f>
        <v>44715</v>
      </c>
      <c r="I736" s="1" t="s">
        <v>360</v>
      </c>
      <c r="J736" s="4">
        <f>IFERROR(__xludf.DUMMYFUNCTION("DATE(INDEX(SPLIT(I736,""/""),,3),INDEX(SPLIT(I736,""/""),,2),INDEX(SPLIT(I736,""/""),,1))"),44895.0)</f>
        <v>44895</v>
      </c>
      <c r="L736" s="1">
        <v>0.0</v>
      </c>
      <c r="M736" s="1" t="s">
        <v>2277</v>
      </c>
      <c r="N736" s="1"/>
      <c r="O736" s="1" t="s">
        <v>30</v>
      </c>
      <c r="P736" s="1" t="s">
        <v>31</v>
      </c>
      <c r="Q736" s="1" t="s">
        <v>71</v>
      </c>
      <c r="R736" s="1" t="s">
        <v>71</v>
      </c>
      <c r="S736" s="1" t="s">
        <v>72</v>
      </c>
      <c r="T736" s="1" t="s">
        <v>136</v>
      </c>
      <c r="U736" s="1">
        <v>1.00619607E8</v>
      </c>
      <c r="X736" s="1" t="s">
        <v>2028</v>
      </c>
      <c r="Y736" s="1" t="s">
        <v>2278</v>
      </c>
      <c r="Z736" s="1" t="s">
        <v>37</v>
      </c>
    </row>
    <row r="737">
      <c r="A737" s="1" t="s">
        <v>2821</v>
      </c>
      <c r="B737" s="1" t="s">
        <v>2822</v>
      </c>
      <c r="C737" s="1" t="s">
        <v>2823</v>
      </c>
      <c r="D737" s="1" t="s">
        <v>27</v>
      </c>
      <c r="E737" s="1" t="s">
        <v>28</v>
      </c>
      <c r="F737" s="2">
        <v>1500000.0</v>
      </c>
      <c r="G737" s="1" t="s">
        <v>2110</v>
      </c>
      <c r="H737" s="4">
        <f>IFERROR(__xludf.DUMMYFUNCTION("DATE(INDEX(SPLIT(G737,""/""),,3),INDEX(SPLIT(G737,""/""),,2),INDEX(SPLIT(G737,""/""),,1))"),44650.0)</f>
        <v>44650</v>
      </c>
      <c r="I737" s="1" t="s">
        <v>226</v>
      </c>
      <c r="J737" s="4">
        <f>IFERROR(__xludf.DUMMYFUNCTION("DATE(INDEX(SPLIT(I737,""/""),,3),INDEX(SPLIT(I737,""/""),,2),INDEX(SPLIT(I737,""/""),,1))"),44771.0)</f>
        <v>44771</v>
      </c>
      <c r="L737" s="1">
        <v>0.0</v>
      </c>
      <c r="M737" s="1" t="s">
        <v>1084</v>
      </c>
      <c r="N737" s="1"/>
      <c r="O737" s="1" t="s">
        <v>30</v>
      </c>
      <c r="P737" s="1" t="s">
        <v>31</v>
      </c>
      <c r="Q737" s="1" t="s">
        <v>32</v>
      </c>
      <c r="R737" s="1" t="s">
        <v>32</v>
      </c>
      <c r="S737" s="1" t="s">
        <v>33</v>
      </c>
      <c r="T737" s="1" t="s">
        <v>34</v>
      </c>
      <c r="U737" s="1">
        <v>1.00601386E8</v>
      </c>
      <c r="V737" s="1" t="s">
        <v>2824</v>
      </c>
      <c r="W737" s="1" t="s">
        <v>199</v>
      </c>
      <c r="X737" s="1" t="s">
        <v>81</v>
      </c>
      <c r="Y737" s="1" t="s">
        <v>1084</v>
      </c>
      <c r="Z737" s="1" t="s">
        <v>37</v>
      </c>
    </row>
    <row r="738" hidden="1">
      <c r="A738" s="1" t="s">
        <v>2825</v>
      </c>
      <c r="B738" s="1" t="s">
        <v>784</v>
      </c>
      <c r="C738" s="1" t="s">
        <v>2826</v>
      </c>
      <c r="D738" s="1" t="s">
        <v>27</v>
      </c>
      <c r="E738" s="1" t="s">
        <v>28</v>
      </c>
      <c r="F738" s="2">
        <v>1500000.0</v>
      </c>
      <c r="G738" s="1" t="s">
        <v>586</v>
      </c>
      <c r="H738" s="4">
        <f>IFERROR(__xludf.DUMMYFUNCTION("DATE(INDEX(SPLIT(G738,""/""),,3),INDEX(SPLIT(G738,""/""),,2),INDEX(SPLIT(G738,""/""),,1))"),44726.0)</f>
        <v>44726</v>
      </c>
      <c r="I738" s="1" t="s">
        <v>203</v>
      </c>
      <c r="J738" s="4">
        <f>IFERROR(__xludf.DUMMYFUNCTION("DATE(INDEX(SPLIT(I738,""/""),,3),INDEX(SPLIT(I738,""/""),,2),INDEX(SPLIT(I738,""/""),,1))"),44925.0)</f>
        <v>44925</v>
      </c>
      <c r="L738" s="1">
        <v>0.0</v>
      </c>
      <c r="M738" s="1" t="s">
        <v>2827</v>
      </c>
      <c r="N738" s="1"/>
      <c r="O738" s="1" t="s">
        <v>30</v>
      </c>
      <c r="P738" s="1" t="s">
        <v>31</v>
      </c>
      <c r="Q738" s="1" t="s">
        <v>228</v>
      </c>
      <c r="R738" s="1" t="s">
        <v>228</v>
      </c>
      <c r="S738" s="1" t="s">
        <v>229</v>
      </c>
      <c r="T738" s="1" t="s">
        <v>1344</v>
      </c>
      <c r="U738" s="1">
        <v>1.006376E8</v>
      </c>
      <c r="X738" s="1" t="s">
        <v>63</v>
      </c>
      <c r="Y738" s="1" t="s">
        <v>2828</v>
      </c>
      <c r="Z738" s="1" t="s">
        <v>37</v>
      </c>
    </row>
    <row r="739" hidden="1">
      <c r="A739" s="1" t="s">
        <v>2829</v>
      </c>
      <c r="B739" s="1" t="s">
        <v>1120</v>
      </c>
      <c r="C739" s="1" t="s">
        <v>2830</v>
      </c>
      <c r="D739" s="1" t="s">
        <v>27</v>
      </c>
      <c r="E739" s="1" t="s">
        <v>28</v>
      </c>
      <c r="F739" s="2">
        <v>1500000.0</v>
      </c>
      <c r="G739" s="4">
        <v>44779.0</v>
      </c>
      <c r="H739" s="4">
        <f>IFERROR(__xludf.DUMMYFUNCTION("DATE(INDEX(SPLIT(G739,""/""),,3),INDEX(SPLIT(G739,""/""),,2),INDEX(SPLIT(G739,""/""),,1))"),44720.0)</f>
        <v>44720</v>
      </c>
      <c r="I739" s="1" t="s">
        <v>109</v>
      </c>
      <c r="J739" s="4">
        <f>IFERROR(__xludf.DUMMYFUNCTION("DATE(INDEX(SPLIT(I739,""/""),,3),INDEX(SPLIT(I739,""/""),,2),INDEX(SPLIT(I739,""/""),,1))"),44834.0)</f>
        <v>44834</v>
      </c>
      <c r="L739" s="1">
        <v>0.0</v>
      </c>
      <c r="M739" s="1" t="s">
        <v>2831</v>
      </c>
      <c r="N739" s="1"/>
      <c r="O739" s="1" t="s">
        <v>30</v>
      </c>
      <c r="P739" s="1" t="s">
        <v>31</v>
      </c>
      <c r="Q739" s="1" t="s">
        <v>32</v>
      </c>
      <c r="R739" s="1" t="s">
        <v>32</v>
      </c>
      <c r="S739" s="1" t="s">
        <v>33</v>
      </c>
      <c r="U739" s="1">
        <v>1.0119869E8</v>
      </c>
      <c r="X739" s="1" t="s">
        <v>46</v>
      </c>
      <c r="Y739" s="1" t="s">
        <v>2831</v>
      </c>
      <c r="Z739" s="1" t="s">
        <v>37</v>
      </c>
    </row>
    <row r="740">
      <c r="A740" s="1" t="s">
        <v>2832</v>
      </c>
      <c r="B740" s="1" t="s">
        <v>1797</v>
      </c>
      <c r="C740" s="1" t="s">
        <v>2833</v>
      </c>
      <c r="D740" s="1" t="s">
        <v>68</v>
      </c>
      <c r="E740" s="1" t="s">
        <v>28</v>
      </c>
      <c r="F740" s="2">
        <v>1500000.0</v>
      </c>
      <c r="G740" s="4">
        <v>44868.0</v>
      </c>
      <c r="H740" s="4">
        <f>IFERROR(__xludf.DUMMYFUNCTION("DATE(INDEX(SPLIT(G740,""/""),,3),INDEX(SPLIT(G740,""/""),,2),INDEX(SPLIT(G740,""/""),,1))"),44631.0)</f>
        <v>44631</v>
      </c>
      <c r="I740" s="1" t="s">
        <v>69</v>
      </c>
      <c r="J740" s="4">
        <f>IFERROR(__xludf.DUMMYFUNCTION("DATE(INDEX(SPLIT(I740,""/""),,3),INDEX(SPLIT(I740,""/""),,2),INDEX(SPLIT(I740,""/""),,1))"),44773.0)</f>
        <v>44773</v>
      </c>
      <c r="L740" s="1">
        <v>0.0</v>
      </c>
      <c r="M740" s="1" t="s">
        <v>2834</v>
      </c>
      <c r="N740" s="1"/>
      <c r="O740" s="1" t="s">
        <v>30</v>
      </c>
      <c r="P740" s="1" t="s">
        <v>31</v>
      </c>
      <c r="Q740" s="1" t="s">
        <v>188</v>
      </c>
      <c r="R740" s="1" t="s">
        <v>188</v>
      </c>
      <c r="S740" s="1" t="s">
        <v>189</v>
      </c>
      <c r="T740" s="1" t="s">
        <v>537</v>
      </c>
      <c r="U740" s="1">
        <v>1.0059719E8</v>
      </c>
      <c r="X740" s="1" t="s">
        <v>490</v>
      </c>
      <c r="Y740" s="1" t="s">
        <v>2835</v>
      </c>
      <c r="Z740" s="1" t="s">
        <v>37</v>
      </c>
    </row>
    <row r="741" hidden="1">
      <c r="A741" s="1" t="s">
        <v>2836</v>
      </c>
      <c r="B741" s="1" t="s">
        <v>617</v>
      </c>
      <c r="C741" s="1" t="s">
        <v>2837</v>
      </c>
      <c r="D741" s="1" t="s">
        <v>122</v>
      </c>
      <c r="E741" s="1" t="s">
        <v>28</v>
      </c>
      <c r="F741" s="2">
        <v>1500000.0</v>
      </c>
      <c r="G741" s="4">
        <v>44778.0</v>
      </c>
      <c r="H741" s="4">
        <f>IFERROR(__xludf.DUMMYFUNCTION("DATE(INDEX(SPLIT(G741,""/""),,3),INDEX(SPLIT(G741,""/""),,2),INDEX(SPLIT(G741,""/""),,1))"),44689.0)</f>
        <v>44689</v>
      </c>
      <c r="I741" s="4">
        <v>44601.0</v>
      </c>
      <c r="J741" s="4">
        <f>IFERROR(__xludf.DUMMYFUNCTION("DATE(INDEX(SPLIT(I741,""/""),,3),INDEX(SPLIT(I741,""/""),,2),INDEX(SPLIT(I741,""/""),,1))"),44806.0)</f>
        <v>44806</v>
      </c>
      <c r="L741" s="1">
        <v>0.0</v>
      </c>
      <c r="M741" s="1" t="s">
        <v>620</v>
      </c>
      <c r="N741" s="1"/>
      <c r="O741" s="1" t="s">
        <v>30</v>
      </c>
      <c r="P741" s="1" t="s">
        <v>31</v>
      </c>
      <c r="Q741" s="1" t="s">
        <v>32</v>
      </c>
      <c r="R741" s="1" t="s">
        <v>32</v>
      </c>
      <c r="S741" s="1" t="s">
        <v>33</v>
      </c>
      <c r="U741" s="1">
        <v>1.00609607E8</v>
      </c>
      <c r="X741" s="1" t="s">
        <v>81</v>
      </c>
      <c r="Y741" s="1" t="s">
        <v>1925</v>
      </c>
      <c r="Z741" s="1" t="s">
        <v>37</v>
      </c>
    </row>
    <row r="742" hidden="1">
      <c r="A742" s="1" t="s">
        <v>2838</v>
      </c>
      <c r="B742" s="1" t="s">
        <v>91</v>
      </c>
      <c r="C742" s="1" t="s">
        <v>2839</v>
      </c>
      <c r="D742" s="1" t="s">
        <v>78</v>
      </c>
      <c r="E742" s="1" t="s">
        <v>28</v>
      </c>
      <c r="F742" s="2">
        <v>1500000.0</v>
      </c>
      <c r="G742" s="1" t="s">
        <v>93</v>
      </c>
      <c r="H742" s="4">
        <f>IFERROR(__xludf.DUMMYFUNCTION("DATE(INDEX(SPLIT(G742,""/""),,3),INDEX(SPLIT(G742,""/""),,2),INDEX(SPLIT(G742,""/""),,1))"),44671.0)</f>
        <v>44671</v>
      </c>
      <c r="I742" s="1" t="s">
        <v>109</v>
      </c>
      <c r="J742" s="4">
        <f>IFERROR(__xludf.DUMMYFUNCTION("DATE(INDEX(SPLIT(I742,""/""),,3),INDEX(SPLIT(I742,""/""),,2),INDEX(SPLIT(I742,""/""),,1))"),44834.0)</f>
        <v>44834</v>
      </c>
      <c r="L742" s="1">
        <v>0.0</v>
      </c>
      <c r="M742" s="1" t="s">
        <v>94</v>
      </c>
      <c r="N742" s="1"/>
      <c r="O742" s="1" t="s">
        <v>30</v>
      </c>
      <c r="P742" s="1" t="s">
        <v>31</v>
      </c>
      <c r="Q742" s="1" t="s">
        <v>95</v>
      </c>
      <c r="R742" s="1" t="s">
        <v>95</v>
      </c>
      <c r="S742" s="1" t="s">
        <v>96</v>
      </c>
      <c r="T742" s="1" t="s">
        <v>97</v>
      </c>
      <c r="U742" s="1">
        <v>1.00596941E8</v>
      </c>
      <c r="X742" s="1" t="s">
        <v>98</v>
      </c>
      <c r="Y742" s="1" t="s">
        <v>94</v>
      </c>
      <c r="Z742" s="1" t="s">
        <v>37</v>
      </c>
    </row>
    <row r="743" hidden="1">
      <c r="A743" s="1" t="s">
        <v>2840</v>
      </c>
      <c r="B743" s="1" t="s">
        <v>39</v>
      </c>
      <c r="C743" s="1" t="s">
        <v>2841</v>
      </c>
      <c r="D743" s="1" t="s">
        <v>27</v>
      </c>
      <c r="E743" s="1" t="s">
        <v>28</v>
      </c>
      <c r="F743" s="2">
        <v>1500000.0</v>
      </c>
      <c r="G743" s="1" t="s">
        <v>940</v>
      </c>
      <c r="H743" s="4">
        <f>IFERROR(__xludf.DUMMYFUNCTION("DATE(INDEX(SPLIT(G743,""/""),,3),INDEX(SPLIT(G743,""/""),,2),INDEX(SPLIT(G743,""/""),,1))"),44574.0)</f>
        <v>44574</v>
      </c>
      <c r="I743" s="1" t="s">
        <v>109</v>
      </c>
      <c r="J743" s="4">
        <f>IFERROR(__xludf.DUMMYFUNCTION("DATE(INDEX(SPLIT(I743,""/""),,3),INDEX(SPLIT(I743,""/""),,2),INDEX(SPLIT(I743,""/""),,1))"),44834.0)</f>
        <v>44834</v>
      </c>
      <c r="L743" s="1">
        <v>0.0</v>
      </c>
      <c r="M743" s="1" t="s">
        <v>2842</v>
      </c>
      <c r="N743" s="1"/>
      <c r="O743" s="1" t="s">
        <v>30</v>
      </c>
      <c r="P743" s="1" t="s">
        <v>31</v>
      </c>
      <c r="Q743" s="1" t="s">
        <v>53</v>
      </c>
      <c r="R743" s="1" t="s">
        <v>53</v>
      </c>
      <c r="S743" s="1" t="s">
        <v>54</v>
      </c>
      <c r="T743" s="1" t="s">
        <v>55</v>
      </c>
      <c r="U743" s="1">
        <v>1.00586524E8</v>
      </c>
      <c r="X743" s="1" t="s">
        <v>46</v>
      </c>
      <c r="Y743" s="1" t="s">
        <v>2843</v>
      </c>
      <c r="Z743" s="1" t="s">
        <v>206</v>
      </c>
    </row>
    <row r="744" hidden="1">
      <c r="A744" s="1" t="s">
        <v>2844</v>
      </c>
      <c r="B744" s="1" t="s">
        <v>1730</v>
      </c>
      <c r="C744" s="1" t="s">
        <v>2845</v>
      </c>
      <c r="D744" s="1" t="s">
        <v>27</v>
      </c>
      <c r="E744" s="1" t="s">
        <v>28</v>
      </c>
      <c r="F744" s="2">
        <v>1500000.0</v>
      </c>
      <c r="G744" s="1" t="s">
        <v>1806</v>
      </c>
      <c r="H744" s="4">
        <f>IFERROR(__xludf.DUMMYFUNCTION("DATE(INDEX(SPLIT(G744,""/""),,3),INDEX(SPLIT(G744,""/""),,2),INDEX(SPLIT(G744,""/""),,1))"),44694.0)</f>
        <v>44694</v>
      </c>
      <c r="I744" s="1" t="s">
        <v>109</v>
      </c>
      <c r="J744" s="4">
        <f>IFERROR(__xludf.DUMMYFUNCTION("DATE(INDEX(SPLIT(I744,""/""),,3),INDEX(SPLIT(I744,""/""),,2),INDEX(SPLIT(I744,""/""),,1))"),44834.0)</f>
        <v>44834</v>
      </c>
      <c r="L744" s="1">
        <v>0.0</v>
      </c>
      <c r="M744" s="1" t="s">
        <v>524</v>
      </c>
      <c r="N744" s="1"/>
      <c r="O744" s="1" t="s">
        <v>30</v>
      </c>
      <c r="P744" s="1" t="s">
        <v>31</v>
      </c>
      <c r="Q744" s="1" t="s">
        <v>32</v>
      </c>
      <c r="R744" s="1" t="s">
        <v>32</v>
      </c>
      <c r="S744" s="1" t="s">
        <v>33</v>
      </c>
      <c r="T744" s="1" t="s">
        <v>2846</v>
      </c>
      <c r="U744" s="1">
        <v>1.00627768E8</v>
      </c>
      <c r="V744" s="1" t="s">
        <v>2847</v>
      </c>
      <c r="W744" s="1" t="s">
        <v>199</v>
      </c>
      <c r="X744" s="1" t="s">
        <v>125</v>
      </c>
      <c r="Y744" s="1" t="s">
        <v>524</v>
      </c>
      <c r="Z744" s="1" t="s">
        <v>527</v>
      </c>
    </row>
    <row r="745" hidden="1">
      <c r="A745" s="1" t="s">
        <v>2848</v>
      </c>
      <c r="B745" s="1" t="s">
        <v>83</v>
      </c>
      <c r="C745" s="1" t="s">
        <v>2849</v>
      </c>
      <c r="D745" s="1" t="s">
        <v>27</v>
      </c>
      <c r="E745" s="1" t="s">
        <v>28</v>
      </c>
      <c r="F745" s="2">
        <v>1500000.0</v>
      </c>
      <c r="G745" s="1" t="s">
        <v>298</v>
      </c>
      <c r="H745" s="4">
        <f>IFERROR(__xludf.DUMMYFUNCTION("DATE(INDEX(SPLIT(G745,""/""),,3),INDEX(SPLIT(G745,""/""),,2),INDEX(SPLIT(G745,""/""),,1))"),44762.0)</f>
        <v>44762</v>
      </c>
      <c r="I745" s="1" t="s">
        <v>281</v>
      </c>
      <c r="J745" s="4">
        <f>IFERROR(__xludf.DUMMYFUNCTION("DATE(INDEX(SPLIT(I745,""/""),,3),INDEX(SPLIT(I745,""/""),,2),INDEX(SPLIT(I745,""/""),,1))"),44865.0)</f>
        <v>44865</v>
      </c>
      <c r="L745" s="1">
        <v>0.0</v>
      </c>
      <c r="M745" s="1" t="s">
        <v>2850</v>
      </c>
      <c r="N745" s="1"/>
      <c r="O745" s="1" t="s">
        <v>30</v>
      </c>
      <c r="P745" s="1" t="s">
        <v>31</v>
      </c>
      <c r="Q745" s="1" t="s">
        <v>235</v>
      </c>
      <c r="R745" s="1" t="s">
        <v>235</v>
      </c>
      <c r="S745" s="1" t="s">
        <v>236</v>
      </c>
      <c r="T745" s="1" t="s">
        <v>753</v>
      </c>
      <c r="U745" s="1">
        <v>1.00980598E8</v>
      </c>
      <c r="X745" s="1" t="s">
        <v>88</v>
      </c>
      <c r="Y745" s="1" t="s">
        <v>2851</v>
      </c>
      <c r="Z745" s="1" t="s">
        <v>37</v>
      </c>
    </row>
    <row r="746" hidden="1">
      <c r="A746" s="1" t="s">
        <v>2852</v>
      </c>
      <c r="B746" s="1" t="s">
        <v>561</v>
      </c>
      <c r="C746" s="1" t="s">
        <v>2853</v>
      </c>
      <c r="D746" s="1" t="s">
        <v>78</v>
      </c>
      <c r="E746" s="1" t="s">
        <v>28</v>
      </c>
      <c r="F746" s="2">
        <v>1500000.0</v>
      </c>
      <c r="G746" s="4">
        <v>44055.0</v>
      </c>
      <c r="H746" s="4">
        <f>IFERROR(__xludf.DUMMYFUNCTION("DATE(INDEX(SPLIT(G746,""/""),,3),INDEX(SPLIT(G746,""/""),,2),INDEX(SPLIT(G746,""/""),,1))"),44173.0)</f>
        <v>44173</v>
      </c>
      <c r="I746" s="4">
        <v>44928.0</v>
      </c>
      <c r="J746" s="4">
        <f>IFERROR(__xludf.DUMMYFUNCTION("DATE(INDEX(SPLIT(I746,""/""),,3),INDEX(SPLIT(I746,""/""),,2),INDEX(SPLIT(I746,""/""),,1))"),44958.0)</f>
        <v>44958</v>
      </c>
      <c r="L746" s="1">
        <v>0.0</v>
      </c>
      <c r="M746" s="1" t="s">
        <v>563</v>
      </c>
      <c r="N746" s="1"/>
      <c r="O746" s="1" t="s">
        <v>30</v>
      </c>
      <c r="P746" s="1" t="s">
        <v>31</v>
      </c>
      <c r="Q746" s="1" t="s">
        <v>95</v>
      </c>
      <c r="R746" s="1" t="s">
        <v>95</v>
      </c>
      <c r="S746" s="1" t="s">
        <v>96</v>
      </c>
      <c r="T746" s="1" t="s">
        <v>311</v>
      </c>
      <c r="U746" s="1">
        <v>1.00646702E8</v>
      </c>
      <c r="X746" s="1" t="s">
        <v>361</v>
      </c>
      <c r="Y746" s="1" t="s">
        <v>564</v>
      </c>
      <c r="Z746" s="1" t="s">
        <v>37</v>
      </c>
    </row>
    <row r="747" hidden="1">
      <c r="A747" s="1" t="s">
        <v>2854</v>
      </c>
      <c r="B747" s="1" t="s">
        <v>532</v>
      </c>
      <c r="C747" s="1" t="s">
        <v>2855</v>
      </c>
      <c r="D747" s="1" t="s">
        <v>27</v>
      </c>
      <c r="E747" s="1" t="s">
        <v>28</v>
      </c>
      <c r="F747" s="2">
        <v>1500000.0</v>
      </c>
      <c r="G747" s="4">
        <v>44839.0</v>
      </c>
      <c r="H747" s="4">
        <f>IFERROR(__xludf.DUMMYFUNCTION("DATE(INDEX(SPLIT(G747,""/""),,3),INDEX(SPLIT(G747,""/""),,2),INDEX(SPLIT(G747,""/""),,1))"),44691.0)</f>
        <v>44691</v>
      </c>
      <c r="I747" s="1" t="s">
        <v>548</v>
      </c>
      <c r="J747" s="4">
        <f>IFERROR(__xludf.DUMMYFUNCTION("DATE(INDEX(SPLIT(I747,""/""),,3),INDEX(SPLIT(I747,""/""),,2),INDEX(SPLIT(I747,""/""),,1))"),44946.0)</f>
        <v>44946</v>
      </c>
      <c r="L747" s="1">
        <v>0.0</v>
      </c>
      <c r="M747" s="1" t="s">
        <v>2856</v>
      </c>
      <c r="N747" s="1"/>
      <c r="O747" s="1" t="s">
        <v>30</v>
      </c>
      <c r="P747" s="1" t="s">
        <v>31</v>
      </c>
      <c r="Q747" s="1" t="s">
        <v>71</v>
      </c>
      <c r="R747" s="1" t="s">
        <v>71</v>
      </c>
      <c r="S747" s="1" t="s">
        <v>72</v>
      </c>
      <c r="T747" s="1" t="s">
        <v>615</v>
      </c>
      <c r="U747" s="1">
        <v>1.00637221E8</v>
      </c>
      <c r="X747" s="1" t="s">
        <v>490</v>
      </c>
      <c r="Y747" s="1" t="s">
        <v>2857</v>
      </c>
      <c r="Z747" s="1" t="s">
        <v>37</v>
      </c>
    </row>
    <row r="748" hidden="1">
      <c r="A748" s="1" t="s">
        <v>2858</v>
      </c>
      <c r="B748" s="1" t="s">
        <v>532</v>
      </c>
      <c r="C748" s="1" t="s">
        <v>2859</v>
      </c>
      <c r="D748" s="1" t="s">
        <v>122</v>
      </c>
      <c r="E748" s="1" t="s">
        <v>28</v>
      </c>
      <c r="F748" s="2">
        <v>1500000.0</v>
      </c>
      <c r="G748" s="4">
        <v>44839.0</v>
      </c>
      <c r="H748" s="4">
        <f>IFERROR(__xludf.DUMMYFUNCTION("DATE(INDEX(SPLIT(G748,""/""),,3),INDEX(SPLIT(G748,""/""),,2),INDEX(SPLIT(G748,""/""),,1))"),44691.0)</f>
        <v>44691</v>
      </c>
      <c r="I748" s="4">
        <v>44903.0</v>
      </c>
      <c r="J748" s="4">
        <f>IFERROR(__xludf.DUMMYFUNCTION("DATE(INDEX(SPLIT(I748,""/""),,3),INDEX(SPLIT(I748,""/""),,2),INDEX(SPLIT(I748,""/""),,1))"),44785.0)</f>
        <v>44785</v>
      </c>
      <c r="L748" s="1">
        <v>0.0</v>
      </c>
      <c r="M748" s="1" t="s">
        <v>2856</v>
      </c>
      <c r="N748" s="1"/>
      <c r="O748" s="1" t="s">
        <v>30</v>
      </c>
      <c r="P748" s="1" t="s">
        <v>31</v>
      </c>
      <c r="Q748" s="1" t="s">
        <v>71</v>
      </c>
      <c r="R748" s="1" t="s">
        <v>71</v>
      </c>
      <c r="S748" s="1" t="s">
        <v>72</v>
      </c>
      <c r="T748" s="1" t="s">
        <v>615</v>
      </c>
      <c r="U748" s="1">
        <v>1.00637221E8</v>
      </c>
      <c r="X748" s="1" t="s">
        <v>490</v>
      </c>
      <c r="Y748" s="1" t="s">
        <v>2857</v>
      </c>
      <c r="Z748" s="1" t="s">
        <v>37</v>
      </c>
    </row>
    <row r="749" hidden="1">
      <c r="A749" s="1" t="s">
        <v>2860</v>
      </c>
      <c r="B749" s="1" t="s">
        <v>532</v>
      </c>
      <c r="C749" s="1" t="s">
        <v>2861</v>
      </c>
      <c r="D749" s="1" t="s">
        <v>27</v>
      </c>
      <c r="E749" s="1" t="s">
        <v>28</v>
      </c>
      <c r="F749" s="2">
        <v>1500000.0</v>
      </c>
      <c r="G749" s="1" t="s">
        <v>534</v>
      </c>
      <c r="H749" s="4">
        <f>IFERROR(__xludf.DUMMYFUNCTION("DATE(INDEX(SPLIT(G749,""/""),,3),INDEX(SPLIT(G749,""/""),,2),INDEX(SPLIT(G749,""/""),,1))"),44704.0)</f>
        <v>44704</v>
      </c>
      <c r="I749" s="1" t="s">
        <v>535</v>
      </c>
      <c r="J749" s="4">
        <f>IFERROR(__xludf.DUMMYFUNCTION("DATE(INDEX(SPLIT(I749,""/""),,3),INDEX(SPLIT(I749,""/""),,2),INDEX(SPLIT(I749,""/""),,1))"),44957.0)</f>
        <v>44957</v>
      </c>
      <c r="L749" s="1">
        <v>0.0</v>
      </c>
      <c r="M749" s="1" t="s">
        <v>536</v>
      </c>
      <c r="N749" s="1"/>
      <c r="O749" s="1" t="s">
        <v>30</v>
      </c>
      <c r="P749" s="1" t="s">
        <v>31</v>
      </c>
      <c r="Q749" s="1" t="s">
        <v>188</v>
      </c>
      <c r="R749" s="1" t="s">
        <v>188</v>
      </c>
      <c r="S749" s="1" t="s">
        <v>189</v>
      </c>
      <c r="T749" s="1" t="s">
        <v>537</v>
      </c>
      <c r="U749" s="1">
        <v>1.00620711E8</v>
      </c>
      <c r="X749" s="1" t="s">
        <v>490</v>
      </c>
      <c r="Y749" s="1" t="s">
        <v>538</v>
      </c>
      <c r="Z749" s="1" t="s">
        <v>37</v>
      </c>
    </row>
    <row r="750" hidden="1">
      <c r="A750" s="1" t="s">
        <v>2862</v>
      </c>
      <c r="B750" s="1" t="s">
        <v>231</v>
      </c>
      <c r="C750" s="1" t="s">
        <v>238</v>
      </c>
      <c r="D750" s="1" t="s">
        <v>68</v>
      </c>
      <c r="E750" s="1" t="s">
        <v>28</v>
      </c>
      <c r="F750" s="2">
        <v>1500000.0</v>
      </c>
      <c r="G750" s="1" t="s">
        <v>534</v>
      </c>
      <c r="H750" s="4">
        <f>IFERROR(__xludf.DUMMYFUNCTION("DATE(INDEX(SPLIT(G750,""/""),,3),INDEX(SPLIT(G750,""/""),,2),INDEX(SPLIT(G750,""/""),,1))"),44704.0)</f>
        <v>44704</v>
      </c>
      <c r="I750" s="1" t="s">
        <v>109</v>
      </c>
      <c r="J750" s="4">
        <f>IFERROR(__xludf.DUMMYFUNCTION("DATE(INDEX(SPLIT(I750,""/""),,3),INDEX(SPLIT(I750,""/""),,2),INDEX(SPLIT(I750,""/""),,1))"),44834.0)</f>
        <v>44834</v>
      </c>
      <c r="L750" s="1">
        <v>0.0</v>
      </c>
      <c r="M750" s="1" t="s">
        <v>234</v>
      </c>
      <c r="N750" s="1"/>
      <c r="O750" s="1" t="s">
        <v>30</v>
      </c>
      <c r="P750" s="1" t="s">
        <v>31</v>
      </c>
      <c r="Q750" s="1" t="s">
        <v>235</v>
      </c>
      <c r="R750" s="1" t="s">
        <v>235</v>
      </c>
      <c r="S750" s="1" t="s">
        <v>236</v>
      </c>
      <c r="T750" s="1" t="s">
        <v>237</v>
      </c>
      <c r="U750" s="1">
        <v>1.00658132E8</v>
      </c>
      <c r="W750" s="1" t="s">
        <v>56</v>
      </c>
      <c r="X750" s="1" t="s">
        <v>239</v>
      </c>
      <c r="Y750" s="1" t="s">
        <v>234</v>
      </c>
      <c r="Z750" s="1" t="s">
        <v>37</v>
      </c>
    </row>
    <row r="751" hidden="1">
      <c r="A751" s="1" t="s">
        <v>2863</v>
      </c>
      <c r="B751" s="1" t="s">
        <v>1216</v>
      </c>
      <c r="C751" s="1" t="s">
        <v>2864</v>
      </c>
      <c r="D751" s="1" t="s">
        <v>27</v>
      </c>
      <c r="E751" s="1" t="s">
        <v>28</v>
      </c>
      <c r="F751" s="2">
        <v>1500000.0</v>
      </c>
      <c r="G751" s="4">
        <v>44568.0</v>
      </c>
      <c r="H751" s="4">
        <f>IFERROR(__xludf.DUMMYFUNCTION("DATE(INDEX(SPLIT(G751,""/""),,3),INDEX(SPLIT(G751,""/""),,2),INDEX(SPLIT(G751,""/""),,1))"),44743.0)</f>
        <v>44743</v>
      </c>
      <c r="I751" s="4">
        <v>44569.0</v>
      </c>
      <c r="J751" s="4">
        <f>IFERROR(__xludf.DUMMYFUNCTION("DATE(INDEX(SPLIT(I751,""/""),,3),INDEX(SPLIT(I751,""/""),,2),INDEX(SPLIT(I751,""/""),,1))"),44774.0)</f>
        <v>44774</v>
      </c>
      <c r="L751" s="1">
        <v>0.0</v>
      </c>
      <c r="M751" s="1" t="s">
        <v>1792</v>
      </c>
      <c r="N751" s="1"/>
      <c r="O751" s="1" t="s">
        <v>30</v>
      </c>
      <c r="P751" s="1" t="s">
        <v>31</v>
      </c>
      <c r="Q751" s="1" t="s">
        <v>235</v>
      </c>
      <c r="R751" s="1" t="s">
        <v>235</v>
      </c>
      <c r="S751" s="1" t="s">
        <v>236</v>
      </c>
      <c r="T751" s="1" t="s">
        <v>438</v>
      </c>
      <c r="U751" s="1">
        <v>1.00964362E8</v>
      </c>
      <c r="X751" s="1" t="s">
        <v>88</v>
      </c>
      <c r="Y751" s="1" t="s">
        <v>2865</v>
      </c>
      <c r="Z751" s="1" t="s">
        <v>37</v>
      </c>
    </row>
    <row r="752" hidden="1">
      <c r="A752" s="1" t="s">
        <v>2866</v>
      </c>
      <c r="B752" s="1" t="s">
        <v>645</v>
      </c>
      <c r="C752" s="1" t="s">
        <v>2867</v>
      </c>
      <c r="D752" s="1" t="s">
        <v>27</v>
      </c>
      <c r="E752" s="1" t="s">
        <v>28</v>
      </c>
      <c r="F752" s="2">
        <v>1500000.0</v>
      </c>
      <c r="G752" s="1" t="s">
        <v>2868</v>
      </c>
      <c r="H752" s="4">
        <f>IFERROR(__xludf.DUMMYFUNCTION("DATE(INDEX(SPLIT(G752,""/""),,3),INDEX(SPLIT(G752,""/""),,2),INDEX(SPLIT(G752,""/""),,1))"),44436.0)</f>
        <v>44436</v>
      </c>
      <c r="I752" s="1" t="s">
        <v>430</v>
      </c>
      <c r="J752" s="4">
        <f>IFERROR(__xludf.DUMMYFUNCTION("DATE(INDEX(SPLIT(I752,""/""),,3),INDEX(SPLIT(I752,""/""),,2),INDEX(SPLIT(I752,""/""),,1))"),44985.0)</f>
        <v>44985</v>
      </c>
      <c r="L752" s="1">
        <v>0.0</v>
      </c>
      <c r="M752" s="1" t="s">
        <v>2869</v>
      </c>
      <c r="N752" s="1"/>
      <c r="O752" s="1" t="s">
        <v>30</v>
      </c>
      <c r="P752" s="1" t="s">
        <v>31</v>
      </c>
      <c r="Q752" s="1" t="s">
        <v>228</v>
      </c>
      <c r="R752" s="1" t="s">
        <v>228</v>
      </c>
      <c r="S752" s="1" t="s">
        <v>229</v>
      </c>
      <c r="T752" s="1" t="s">
        <v>2870</v>
      </c>
      <c r="U752" s="1">
        <v>1.00641939E8</v>
      </c>
      <c r="X752" s="1" t="s">
        <v>361</v>
      </c>
      <c r="Y752" s="1" t="s">
        <v>1076</v>
      </c>
      <c r="Z752" s="1" t="s">
        <v>37</v>
      </c>
    </row>
    <row r="753" hidden="1">
      <c r="A753" s="1" t="s">
        <v>2871</v>
      </c>
      <c r="B753" s="1" t="s">
        <v>981</v>
      </c>
      <c r="C753" s="1" t="s">
        <v>2872</v>
      </c>
      <c r="D753" s="1" t="s">
        <v>27</v>
      </c>
      <c r="E753" s="1" t="s">
        <v>28</v>
      </c>
      <c r="F753" s="2">
        <v>1500000.0</v>
      </c>
      <c r="G753" s="4">
        <v>44717.0</v>
      </c>
      <c r="H753" s="4">
        <f>IFERROR(__xludf.DUMMYFUNCTION("DATE(INDEX(SPLIT(G753,""/""),,3),INDEX(SPLIT(G753,""/""),,2),INDEX(SPLIT(G753,""/""),,1))"),44687.0)</f>
        <v>44687</v>
      </c>
      <c r="I753" s="1" t="s">
        <v>2873</v>
      </c>
      <c r="J753" s="4">
        <f>IFERROR(__xludf.DUMMYFUNCTION("DATE(INDEX(SPLIT(I753,""/""),,3),INDEX(SPLIT(I753,""/""),,2),INDEX(SPLIT(I753,""/""),,1))"),45470.0)</f>
        <v>45470</v>
      </c>
      <c r="L753" s="1">
        <v>0.0</v>
      </c>
      <c r="M753" s="1" t="s">
        <v>1527</v>
      </c>
      <c r="N753" s="1"/>
      <c r="O753" s="1" t="s">
        <v>30</v>
      </c>
      <c r="P753" s="1" t="s">
        <v>31</v>
      </c>
      <c r="Q753" s="1" t="s">
        <v>95</v>
      </c>
      <c r="R753" s="1" t="s">
        <v>95</v>
      </c>
      <c r="S753" s="1" t="s">
        <v>96</v>
      </c>
      <c r="T753" s="1" t="s">
        <v>489</v>
      </c>
      <c r="U753" s="1">
        <v>1.00651554E8</v>
      </c>
      <c r="X753" s="1" t="s">
        <v>490</v>
      </c>
      <c r="Y753" s="1" t="s">
        <v>985</v>
      </c>
      <c r="Z753" s="1" t="s">
        <v>37</v>
      </c>
    </row>
    <row r="754" hidden="1">
      <c r="A754" s="1" t="s">
        <v>2874</v>
      </c>
      <c r="B754" s="1" t="s">
        <v>981</v>
      </c>
      <c r="C754" s="1" t="s">
        <v>2875</v>
      </c>
      <c r="D754" s="1" t="s">
        <v>27</v>
      </c>
      <c r="E754" s="1" t="s">
        <v>28</v>
      </c>
      <c r="F754" s="2">
        <v>1500000.0</v>
      </c>
      <c r="G754" s="4">
        <v>44717.0</v>
      </c>
      <c r="H754" s="4">
        <f>IFERROR(__xludf.DUMMYFUNCTION("DATE(INDEX(SPLIT(G754,""/""),,3),INDEX(SPLIT(G754,""/""),,2),INDEX(SPLIT(G754,""/""),,1))"),44687.0)</f>
        <v>44687</v>
      </c>
      <c r="I754" s="1" t="s">
        <v>171</v>
      </c>
      <c r="J754" s="4">
        <f>IFERROR(__xludf.DUMMYFUNCTION("DATE(INDEX(SPLIT(I754,""/""),,3),INDEX(SPLIT(I754,""/""),,2),INDEX(SPLIT(I754,""/""),,1))"),45077.0)</f>
        <v>45077</v>
      </c>
      <c r="L754" s="1">
        <v>0.0</v>
      </c>
      <c r="M754" s="1" t="s">
        <v>1527</v>
      </c>
      <c r="N754" s="1"/>
      <c r="O754" s="1" t="s">
        <v>30</v>
      </c>
      <c r="P754" s="1" t="s">
        <v>31</v>
      </c>
      <c r="Q754" s="1" t="s">
        <v>95</v>
      </c>
      <c r="R754" s="1" t="s">
        <v>95</v>
      </c>
      <c r="S754" s="1" t="s">
        <v>96</v>
      </c>
      <c r="T754" s="1" t="s">
        <v>489</v>
      </c>
      <c r="U754" s="1">
        <v>1.00651554E8</v>
      </c>
      <c r="X754" s="1" t="s">
        <v>490</v>
      </c>
      <c r="Y754" s="1" t="s">
        <v>985</v>
      </c>
      <c r="Z754" s="1" t="s">
        <v>37</v>
      </c>
    </row>
    <row r="755" hidden="1">
      <c r="A755" s="1" t="s">
        <v>2876</v>
      </c>
      <c r="B755" s="1" t="s">
        <v>981</v>
      </c>
      <c r="C755" s="1" t="s">
        <v>2877</v>
      </c>
      <c r="D755" s="1" t="s">
        <v>27</v>
      </c>
      <c r="E755" s="1" t="s">
        <v>28</v>
      </c>
      <c r="F755" s="2">
        <v>1500000.0</v>
      </c>
      <c r="G755" s="4">
        <v>44717.0</v>
      </c>
      <c r="H755" s="4">
        <f>IFERROR(__xludf.DUMMYFUNCTION("DATE(INDEX(SPLIT(G755,""/""),,3),INDEX(SPLIT(G755,""/""),,2),INDEX(SPLIT(G755,""/""),,1))"),44687.0)</f>
        <v>44687</v>
      </c>
      <c r="I755" s="1" t="s">
        <v>2333</v>
      </c>
      <c r="J755" s="4">
        <f>IFERROR(__xludf.DUMMYFUNCTION("DATE(INDEX(SPLIT(I755,""/""),,3),INDEX(SPLIT(I755,""/""),,2),INDEX(SPLIT(I755,""/""),,1))"),45443.0)</f>
        <v>45443</v>
      </c>
      <c r="L755" s="1">
        <v>0.0</v>
      </c>
      <c r="M755" s="1" t="s">
        <v>1527</v>
      </c>
      <c r="N755" s="1"/>
      <c r="O755" s="1" t="s">
        <v>30</v>
      </c>
      <c r="P755" s="1" t="s">
        <v>31</v>
      </c>
      <c r="Q755" s="1" t="s">
        <v>95</v>
      </c>
      <c r="R755" s="1" t="s">
        <v>95</v>
      </c>
      <c r="S755" s="1" t="s">
        <v>96</v>
      </c>
      <c r="T755" s="1" t="s">
        <v>615</v>
      </c>
      <c r="U755" s="1">
        <v>1.00651554E8</v>
      </c>
      <c r="X755" s="1" t="s">
        <v>490</v>
      </c>
      <c r="Y755" s="1" t="s">
        <v>985</v>
      </c>
      <c r="Z755" s="1" t="s">
        <v>37</v>
      </c>
    </row>
    <row r="756" hidden="1">
      <c r="A756" s="1" t="s">
        <v>2878</v>
      </c>
      <c r="B756" s="1" t="s">
        <v>2030</v>
      </c>
      <c r="C756" s="1" t="s">
        <v>2879</v>
      </c>
      <c r="D756" s="1" t="s">
        <v>27</v>
      </c>
      <c r="E756" s="1" t="s">
        <v>28</v>
      </c>
      <c r="F756" s="2">
        <v>1500000.0</v>
      </c>
      <c r="G756" s="1" t="s">
        <v>2329</v>
      </c>
      <c r="H756" s="4">
        <f>IFERROR(__xludf.DUMMYFUNCTION("DATE(INDEX(SPLIT(G756,""/""),,3),INDEX(SPLIT(G756,""/""),,2),INDEX(SPLIT(G756,""/""),,1))"),44732.0)</f>
        <v>44732</v>
      </c>
      <c r="I756" s="4">
        <v>44572.0</v>
      </c>
      <c r="J756" s="4">
        <f>IFERROR(__xludf.DUMMYFUNCTION("DATE(INDEX(SPLIT(I756,""/""),,3),INDEX(SPLIT(I756,""/""),,2),INDEX(SPLIT(I756,""/""),,1))"),44866.0)</f>
        <v>44866</v>
      </c>
      <c r="L756" s="1">
        <v>0.0</v>
      </c>
      <c r="M756" s="1" t="s">
        <v>2032</v>
      </c>
      <c r="N756" s="1"/>
      <c r="O756" s="1" t="s">
        <v>30</v>
      </c>
      <c r="P756" s="1" t="s">
        <v>31</v>
      </c>
      <c r="Q756" s="1" t="s">
        <v>71</v>
      </c>
      <c r="R756" s="1" t="s">
        <v>71</v>
      </c>
      <c r="S756" s="1" t="s">
        <v>72</v>
      </c>
      <c r="T756" s="1" t="s">
        <v>73</v>
      </c>
      <c r="U756" s="1">
        <v>1.00929557E8</v>
      </c>
      <c r="X756" s="1" t="s">
        <v>74</v>
      </c>
      <c r="Y756" s="1" t="s">
        <v>2330</v>
      </c>
      <c r="Z756" s="1" t="s">
        <v>206</v>
      </c>
    </row>
    <row r="757" hidden="1">
      <c r="A757" s="1" t="s">
        <v>2880</v>
      </c>
      <c r="B757" s="1" t="s">
        <v>981</v>
      </c>
      <c r="C757" s="1" t="s">
        <v>2881</v>
      </c>
      <c r="D757" s="1" t="s">
        <v>27</v>
      </c>
      <c r="E757" s="1" t="s">
        <v>28</v>
      </c>
      <c r="F757" s="2">
        <v>1500000.0</v>
      </c>
      <c r="G757" s="4">
        <v>44717.0</v>
      </c>
      <c r="H757" s="4">
        <f>IFERROR(__xludf.DUMMYFUNCTION("DATE(INDEX(SPLIT(G757,""/""),,3),INDEX(SPLIT(G757,""/""),,2),INDEX(SPLIT(G757,""/""),,1))"),44687.0)</f>
        <v>44687</v>
      </c>
      <c r="I757" s="1" t="s">
        <v>2882</v>
      </c>
      <c r="J757" s="4">
        <f>IFERROR(__xludf.DUMMYFUNCTION("DATE(INDEX(SPLIT(I757,""/""),,3),INDEX(SPLIT(I757,""/""),,2),INDEX(SPLIT(I757,""/""),,1))"),45442.0)</f>
        <v>45442</v>
      </c>
      <c r="L757" s="1">
        <v>0.0</v>
      </c>
      <c r="M757" s="1" t="s">
        <v>1527</v>
      </c>
      <c r="N757" s="1"/>
      <c r="O757" s="1" t="s">
        <v>30</v>
      </c>
      <c r="P757" s="1" t="s">
        <v>31</v>
      </c>
      <c r="Q757" s="1" t="s">
        <v>95</v>
      </c>
      <c r="R757" s="1" t="s">
        <v>95</v>
      </c>
      <c r="S757" s="1" t="s">
        <v>96</v>
      </c>
      <c r="T757" s="1" t="s">
        <v>489</v>
      </c>
      <c r="U757" s="1">
        <v>1.00651554E8</v>
      </c>
      <c r="X757" s="1" t="s">
        <v>490</v>
      </c>
      <c r="Y757" s="1" t="s">
        <v>985</v>
      </c>
      <c r="Z757" s="1" t="s">
        <v>37</v>
      </c>
    </row>
    <row r="758" hidden="1">
      <c r="A758" s="1" t="s">
        <v>2883</v>
      </c>
      <c r="B758" s="1" t="s">
        <v>2884</v>
      </c>
      <c r="C758" s="1" t="s">
        <v>2885</v>
      </c>
      <c r="D758" s="1" t="s">
        <v>27</v>
      </c>
      <c r="E758" s="1" t="s">
        <v>28</v>
      </c>
      <c r="F758" s="2">
        <v>1500000.0</v>
      </c>
      <c r="G758" s="1" t="s">
        <v>2329</v>
      </c>
      <c r="H758" s="4">
        <f>IFERROR(__xludf.DUMMYFUNCTION("DATE(INDEX(SPLIT(G758,""/""),,3),INDEX(SPLIT(G758,""/""),,2),INDEX(SPLIT(G758,""/""),,1))"),44732.0)</f>
        <v>44732</v>
      </c>
      <c r="I758" s="4">
        <v>44752.0</v>
      </c>
      <c r="J758" s="4">
        <f>IFERROR(__xludf.DUMMYFUNCTION("DATE(INDEX(SPLIT(I758,""/""),,3),INDEX(SPLIT(I758,""/""),,2),INDEX(SPLIT(I758,""/""),,1))"),44841.0)</f>
        <v>44841</v>
      </c>
      <c r="L758" s="1">
        <v>0.0</v>
      </c>
      <c r="M758" s="1" t="s">
        <v>2032</v>
      </c>
      <c r="N758" s="1"/>
      <c r="O758" s="1" t="s">
        <v>30</v>
      </c>
      <c r="P758" s="1" t="s">
        <v>31</v>
      </c>
      <c r="Q758" s="1" t="s">
        <v>71</v>
      </c>
      <c r="R758" s="1" t="s">
        <v>71</v>
      </c>
      <c r="S758" s="1" t="s">
        <v>72</v>
      </c>
      <c r="T758" s="1" t="s">
        <v>73</v>
      </c>
      <c r="U758" s="1">
        <v>1.00929557E8</v>
      </c>
      <c r="X758" s="1" t="s">
        <v>74</v>
      </c>
      <c r="Y758" s="1" t="s">
        <v>2330</v>
      </c>
      <c r="Z758" s="1" t="s">
        <v>206</v>
      </c>
    </row>
    <row r="759" hidden="1">
      <c r="A759" s="1" t="s">
        <v>2886</v>
      </c>
      <c r="B759" s="1" t="s">
        <v>981</v>
      </c>
      <c r="C759" s="1" t="s">
        <v>2887</v>
      </c>
      <c r="D759" s="1" t="s">
        <v>27</v>
      </c>
      <c r="E759" s="1" t="s">
        <v>28</v>
      </c>
      <c r="F759" s="2">
        <v>1500000.0</v>
      </c>
      <c r="G759" s="4">
        <v>44717.0</v>
      </c>
      <c r="H759" s="4">
        <f>IFERROR(__xludf.DUMMYFUNCTION("DATE(INDEX(SPLIT(G759,""/""),,3),INDEX(SPLIT(G759,""/""),,2),INDEX(SPLIT(G759,""/""),,1))"),44687.0)</f>
        <v>44687</v>
      </c>
      <c r="I759" s="1" t="s">
        <v>2882</v>
      </c>
      <c r="J759" s="4">
        <f>IFERROR(__xludf.DUMMYFUNCTION("DATE(INDEX(SPLIT(I759,""/""),,3),INDEX(SPLIT(I759,""/""),,2),INDEX(SPLIT(I759,""/""),,1))"),45442.0)</f>
        <v>45442</v>
      </c>
      <c r="L759" s="1">
        <v>0.0</v>
      </c>
      <c r="M759" s="1" t="s">
        <v>984</v>
      </c>
      <c r="N759" s="1"/>
      <c r="O759" s="1" t="s">
        <v>30</v>
      </c>
      <c r="P759" s="1" t="s">
        <v>31</v>
      </c>
      <c r="Q759" s="1" t="s">
        <v>157</v>
      </c>
      <c r="R759" s="1" t="s">
        <v>157</v>
      </c>
      <c r="S759" s="1" t="s">
        <v>158</v>
      </c>
      <c r="U759" s="1">
        <v>1.00611358E8</v>
      </c>
      <c r="X759" s="1" t="s">
        <v>490</v>
      </c>
      <c r="Y759" s="1" t="s">
        <v>985</v>
      </c>
      <c r="Z759" s="1" t="s">
        <v>37</v>
      </c>
    </row>
    <row r="760" hidden="1">
      <c r="A760" s="1" t="s">
        <v>2888</v>
      </c>
      <c r="B760" s="1" t="s">
        <v>2889</v>
      </c>
      <c r="C760" s="1" t="s">
        <v>2890</v>
      </c>
      <c r="D760" s="1" t="s">
        <v>78</v>
      </c>
      <c r="E760" s="1" t="s">
        <v>28</v>
      </c>
      <c r="F760" s="2">
        <v>1500000.0</v>
      </c>
      <c r="G760" s="1" t="s">
        <v>2891</v>
      </c>
      <c r="H760" s="4">
        <f>IFERROR(__xludf.DUMMYFUNCTION("DATE(INDEX(SPLIT(G760,""/""),,3),INDEX(SPLIT(G760,""/""),,2),INDEX(SPLIT(G760,""/""),,1))"),44455.0)</f>
        <v>44455</v>
      </c>
      <c r="I760" s="1" t="s">
        <v>130</v>
      </c>
      <c r="J760" s="4">
        <f>IFERROR(__xludf.DUMMYFUNCTION("DATE(INDEX(SPLIT(I760,""/""),,3),INDEX(SPLIT(I760,""/""),,2),INDEX(SPLIT(I760,""/""),,1))"),44804.0)</f>
        <v>44804</v>
      </c>
      <c r="L760" s="1">
        <v>0.0</v>
      </c>
      <c r="M760" s="1" t="s">
        <v>2892</v>
      </c>
      <c r="N760" s="1"/>
      <c r="O760" s="1" t="s">
        <v>30</v>
      </c>
      <c r="P760" s="1" t="s">
        <v>31</v>
      </c>
      <c r="Q760" s="1" t="s">
        <v>188</v>
      </c>
      <c r="R760" s="1" t="s">
        <v>188</v>
      </c>
      <c r="S760" s="1" t="s">
        <v>189</v>
      </c>
      <c r="T760" s="1" t="s">
        <v>2893</v>
      </c>
      <c r="U760" s="1">
        <v>1.0059132E8</v>
      </c>
      <c r="X760" s="1" t="s">
        <v>74</v>
      </c>
      <c r="Y760" s="1" t="s">
        <v>200</v>
      </c>
      <c r="Z760" s="1" t="s">
        <v>37</v>
      </c>
    </row>
    <row r="761" hidden="1">
      <c r="A761" s="1" t="s">
        <v>2894</v>
      </c>
      <c r="B761" s="1" t="s">
        <v>2895</v>
      </c>
      <c r="C761" s="1" t="s">
        <v>2896</v>
      </c>
      <c r="D761" s="1" t="s">
        <v>27</v>
      </c>
      <c r="E761" s="1" t="s">
        <v>28</v>
      </c>
      <c r="F761" s="2">
        <v>1500000.0</v>
      </c>
      <c r="G761" s="4">
        <v>44480.0</v>
      </c>
      <c r="H761" s="4">
        <f>IFERROR(__xludf.DUMMYFUNCTION("DATE(INDEX(SPLIT(G761,""/""),,3),INDEX(SPLIT(G761,""/""),,2),INDEX(SPLIT(G761,""/""),,1))"),44510.0)</f>
        <v>44510</v>
      </c>
      <c r="I761" s="1" t="s">
        <v>569</v>
      </c>
      <c r="J761" s="4">
        <f>IFERROR(__xludf.DUMMYFUNCTION("DATE(INDEX(SPLIT(I761,""/""),,3),INDEX(SPLIT(I761,""/""),,2),INDEX(SPLIT(I761,""/""),,1))"),45016.0)</f>
        <v>45016</v>
      </c>
      <c r="L761" s="1">
        <v>0.0</v>
      </c>
      <c r="M761" s="1" t="s">
        <v>1040</v>
      </c>
      <c r="N761" s="1"/>
      <c r="O761" s="1" t="s">
        <v>30</v>
      </c>
      <c r="P761" s="1" t="s">
        <v>31</v>
      </c>
      <c r="Q761" s="1" t="s">
        <v>71</v>
      </c>
      <c r="R761" s="1" t="s">
        <v>71</v>
      </c>
      <c r="S761" s="1" t="s">
        <v>72</v>
      </c>
      <c r="T761" s="1" t="s">
        <v>159</v>
      </c>
      <c r="U761" s="1">
        <v>1.00619899E8</v>
      </c>
      <c r="X761" s="1" t="s">
        <v>74</v>
      </c>
      <c r="Y761" s="1" t="s">
        <v>2897</v>
      </c>
      <c r="Z761" s="1" t="s">
        <v>37</v>
      </c>
    </row>
    <row r="762" hidden="1">
      <c r="A762" s="1" t="s">
        <v>2898</v>
      </c>
      <c r="B762" s="1" t="s">
        <v>1371</v>
      </c>
      <c r="C762" s="1" t="s">
        <v>2899</v>
      </c>
      <c r="D762" s="1" t="s">
        <v>27</v>
      </c>
      <c r="E762" s="1" t="s">
        <v>28</v>
      </c>
      <c r="F762" s="2">
        <v>1500000.0</v>
      </c>
      <c r="G762" s="1" t="s">
        <v>2900</v>
      </c>
      <c r="H762" s="4">
        <f>IFERROR(__xludf.DUMMYFUNCTION("DATE(INDEX(SPLIT(G762,""/""),,3),INDEX(SPLIT(G762,""/""),,2),INDEX(SPLIT(G762,""/""),,1))"),44678.0)</f>
        <v>44678</v>
      </c>
      <c r="I762" s="1" t="s">
        <v>535</v>
      </c>
      <c r="J762" s="4">
        <f>IFERROR(__xludf.DUMMYFUNCTION("DATE(INDEX(SPLIT(I762,""/""),,3),INDEX(SPLIT(I762,""/""),,2),INDEX(SPLIT(I762,""/""),,1))"),44957.0)</f>
        <v>44957</v>
      </c>
      <c r="L762" s="1">
        <v>0.0</v>
      </c>
      <c r="M762" s="1" t="s">
        <v>1817</v>
      </c>
      <c r="N762" s="1"/>
      <c r="O762" s="1" t="s">
        <v>30</v>
      </c>
      <c r="P762" s="1" t="s">
        <v>31</v>
      </c>
      <c r="Q762" s="1" t="s">
        <v>95</v>
      </c>
      <c r="R762" s="1" t="s">
        <v>95</v>
      </c>
      <c r="S762" s="1" t="s">
        <v>96</v>
      </c>
      <c r="U762" s="1">
        <v>1.00610489E8</v>
      </c>
      <c r="X762" s="1" t="s">
        <v>63</v>
      </c>
      <c r="Y762" s="1" t="s">
        <v>2901</v>
      </c>
      <c r="Z762" s="1" t="s">
        <v>37</v>
      </c>
    </row>
    <row r="763" hidden="1">
      <c r="A763" s="1" t="s">
        <v>2902</v>
      </c>
      <c r="B763" s="1" t="s">
        <v>2903</v>
      </c>
      <c r="C763" s="1" t="s">
        <v>2904</v>
      </c>
      <c r="D763" s="1" t="s">
        <v>122</v>
      </c>
      <c r="E763" s="1" t="s">
        <v>28</v>
      </c>
      <c r="F763" s="2">
        <v>1500000.0</v>
      </c>
      <c r="G763" s="4">
        <v>44719.0</v>
      </c>
      <c r="H763" s="4">
        <f>IFERROR(__xludf.DUMMYFUNCTION("DATE(INDEX(SPLIT(G763,""/""),,3),INDEX(SPLIT(G763,""/""),,2),INDEX(SPLIT(G763,""/""),,1))"),44748.0)</f>
        <v>44748</v>
      </c>
      <c r="I763" s="4">
        <v>44752.0</v>
      </c>
      <c r="J763" s="4">
        <f>IFERROR(__xludf.DUMMYFUNCTION("DATE(INDEX(SPLIT(I763,""/""),,3),INDEX(SPLIT(I763,""/""),,2),INDEX(SPLIT(I763,""/""),,1))"),44841.0)</f>
        <v>44841</v>
      </c>
      <c r="L763" s="1">
        <v>0.0</v>
      </c>
      <c r="M763" s="1" t="s">
        <v>196</v>
      </c>
      <c r="N763" s="1"/>
      <c r="O763" s="1" t="s">
        <v>30</v>
      </c>
      <c r="P763" s="1" t="s">
        <v>31</v>
      </c>
      <c r="Q763" s="1" t="s">
        <v>53</v>
      </c>
      <c r="R763" s="1" t="s">
        <v>53</v>
      </c>
      <c r="S763" s="1" t="s">
        <v>54</v>
      </c>
      <c r="U763" s="1">
        <v>1.00589741E8</v>
      </c>
      <c r="X763" s="1" t="s">
        <v>63</v>
      </c>
      <c r="Y763" s="1" t="s">
        <v>2905</v>
      </c>
      <c r="Z763" s="1" t="s">
        <v>37</v>
      </c>
    </row>
    <row r="764" hidden="1">
      <c r="A764" s="1" t="s">
        <v>2906</v>
      </c>
      <c r="B764" s="1" t="s">
        <v>39</v>
      </c>
      <c r="C764" s="1" t="s">
        <v>2907</v>
      </c>
      <c r="D764" s="1" t="s">
        <v>27</v>
      </c>
      <c r="E764" s="1" t="s">
        <v>28</v>
      </c>
      <c r="F764" s="2">
        <v>1500000.0</v>
      </c>
      <c r="G764" s="4">
        <v>44237.0</v>
      </c>
      <c r="H764" s="4">
        <f>IFERROR(__xludf.DUMMYFUNCTION("DATE(INDEX(SPLIT(G764,""/""),,3),INDEX(SPLIT(G764,""/""),,2),INDEX(SPLIT(G764,""/""),,1))"),44471.0)</f>
        <v>44471</v>
      </c>
      <c r="I764" s="1" t="s">
        <v>42</v>
      </c>
      <c r="J764" s="4">
        <f>IFERROR(__xludf.DUMMYFUNCTION("DATE(INDEX(SPLIT(I764,""/""),,3),INDEX(SPLIT(I764,""/""),,2),INDEX(SPLIT(I764,""/""),,1))"),44926.0)</f>
        <v>44926</v>
      </c>
      <c r="L764" s="1">
        <v>0.0</v>
      </c>
      <c r="M764" s="1" t="s">
        <v>841</v>
      </c>
      <c r="N764" s="1"/>
      <c r="O764" s="1" t="s">
        <v>30</v>
      </c>
      <c r="P764" s="1" t="s">
        <v>31</v>
      </c>
      <c r="Q764" s="1" t="s">
        <v>95</v>
      </c>
      <c r="R764" s="1" t="s">
        <v>95</v>
      </c>
      <c r="S764" s="1" t="s">
        <v>96</v>
      </c>
      <c r="T764" s="1" t="s">
        <v>311</v>
      </c>
      <c r="U764" s="1">
        <v>1.00621664E8</v>
      </c>
      <c r="X764" s="1" t="s">
        <v>46</v>
      </c>
      <c r="Y764" s="1" t="s">
        <v>2908</v>
      </c>
      <c r="Z764" s="1" t="s">
        <v>37</v>
      </c>
    </row>
    <row r="765" hidden="1">
      <c r="A765" s="1" t="s">
        <v>2909</v>
      </c>
      <c r="B765" s="1" t="s">
        <v>39</v>
      </c>
      <c r="C765" s="1" t="s">
        <v>2910</v>
      </c>
      <c r="D765" s="1" t="s">
        <v>27</v>
      </c>
      <c r="E765" s="1" t="s">
        <v>28</v>
      </c>
      <c r="F765" s="2">
        <v>1500000.0</v>
      </c>
      <c r="G765" s="4">
        <v>44237.0</v>
      </c>
      <c r="H765" s="4">
        <f>IFERROR(__xludf.DUMMYFUNCTION("DATE(INDEX(SPLIT(G765,""/""),,3),INDEX(SPLIT(G765,""/""),,2),INDEX(SPLIT(G765,""/""),,1))"),44471.0)</f>
        <v>44471</v>
      </c>
      <c r="I765" s="1" t="s">
        <v>42</v>
      </c>
      <c r="J765" s="4">
        <f>IFERROR(__xludf.DUMMYFUNCTION("DATE(INDEX(SPLIT(I765,""/""),,3),INDEX(SPLIT(I765,""/""),,2),INDEX(SPLIT(I765,""/""),,1))"),44926.0)</f>
        <v>44926</v>
      </c>
      <c r="L765" s="1">
        <v>0.0</v>
      </c>
      <c r="M765" s="1" t="s">
        <v>841</v>
      </c>
      <c r="N765" s="1"/>
      <c r="O765" s="1" t="s">
        <v>30</v>
      </c>
      <c r="P765" s="1" t="s">
        <v>31</v>
      </c>
      <c r="Q765" s="1" t="s">
        <v>95</v>
      </c>
      <c r="R765" s="1" t="s">
        <v>95</v>
      </c>
      <c r="S765" s="1" t="s">
        <v>96</v>
      </c>
      <c r="T765" s="1" t="s">
        <v>311</v>
      </c>
      <c r="U765" s="1">
        <v>1.00621664E8</v>
      </c>
      <c r="X765" s="1" t="s">
        <v>46</v>
      </c>
      <c r="Y765" s="1" t="s">
        <v>2908</v>
      </c>
      <c r="Z765" s="1" t="s">
        <v>37</v>
      </c>
    </row>
    <row r="766" hidden="1">
      <c r="A766" s="1" t="s">
        <v>2911</v>
      </c>
      <c r="B766" s="1" t="s">
        <v>39</v>
      </c>
      <c r="C766" s="1" t="s">
        <v>2912</v>
      </c>
      <c r="D766" s="1" t="s">
        <v>27</v>
      </c>
      <c r="E766" s="1" t="s">
        <v>28</v>
      </c>
      <c r="F766" s="2">
        <v>1500000.0</v>
      </c>
      <c r="G766" s="4">
        <v>44237.0</v>
      </c>
      <c r="H766" s="4">
        <f>IFERROR(__xludf.DUMMYFUNCTION("DATE(INDEX(SPLIT(G766,""/""),,3),INDEX(SPLIT(G766,""/""),,2),INDEX(SPLIT(G766,""/""),,1))"),44471.0)</f>
        <v>44471</v>
      </c>
      <c r="I766" s="1" t="s">
        <v>42</v>
      </c>
      <c r="J766" s="4">
        <f>IFERROR(__xludf.DUMMYFUNCTION("DATE(INDEX(SPLIT(I766,""/""),,3),INDEX(SPLIT(I766,""/""),,2),INDEX(SPLIT(I766,""/""),,1))"),44926.0)</f>
        <v>44926</v>
      </c>
      <c r="L766" s="1">
        <v>0.0</v>
      </c>
      <c r="M766" s="1" t="s">
        <v>841</v>
      </c>
      <c r="N766" s="1"/>
      <c r="O766" s="1" t="s">
        <v>30</v>
      </c>
      <c r="P766" s="1" t="s">
        <v>31</v>
      </c>
      <c r="Q766" s="1" t="s">
        <v>95</v>
      </c>
      <c r="R766" s="1" t="s">
        <v>95</v>
      </c>
      <c r="S766" s="1" t="s">
        <v>96</v>
      </c>
      <c r="T766" s="1" t="s">
        <v>311</v>
      </c>
      <c r="U766" s="1">
        <v>1.00621664E8</v>
      </c>
      <c r="X766" s="1" t="s">
        <v>46</v>
      </c>
      <c r="Y766" s="1" t="s">
        <v>2908</v>
      </c>
      <c r="Z766" s="1" t="s">
        <v>37</v>
      </c>
    </row>
    <row r="767">
      <c r="A767" s="1" t="s">
        <v>2913</v>
      </c>
      <c r="B767" s="1" t="s">
        <v>106</v>
      </c>
      <c r="C767" s="1" t="s">
        <v>2914</v>
      </c>
      <c r="D767" s="1" t="s">
        <v>68</v>
      </c>
      <c r="E767" s="1" t="s">
        <v>28</v>
      </c>
      <c r="F767" s="2">
        <v>1500000.0</v>
      </c>
      <c r="G767" s="4">
        <v>44779.0</v>
      </c>
      <c r="H767" s="4">
        <f>IFERROR(__xludf.DUMMYFUNCTION("DATE(INDEX(SPLIT(G767,""/""),,3),INDEX(SPLIT(G767,""/""),,2),INDEX(SPLIT(G767,""/""),,1))"),44720.0)</f>
        <v>44720</v>
      </c>
      <c r="I767" s="1" t="s">
        <v>1244</v>
      </c>
      <c r="J767" s="4">
        <f>IFERROR(__xludf.DUMMYFUNCTION("DATE(INDEX(SPLIT(I767,""/""),,3),INDEX(SPLIT(I767,""/""),,2),INDEX(SPLIT(I767,""/""),,1))"),44742.0)</f>
        <v>44742</v>
      </c>
      <c r="L767" s="1">
        <v>0.0</v>
      </c>
      <c r="M767" s="1" t="s">
        <v>1412</v>
      </c>
      <c r="N767" s="1"/>
      <c r="O767" s="1" t="s">
        <v>30</v>
      </c>
      <c r="P767" s="1" t="s">
        <v>31</v>
      </c>
      <c r="Q767" s="1" t="s">
        <v>53</v>
      </c>
      <c r="R767" s="1" t="s">
        <v>53</v>
      </c>
      <c r="S767" s="1" t="s">
        <v>54</v>
      </c>
      <c r="T767" s="1" t="s">
        <v>197</v>
      </c>
      <c r="U767" s="1">
        <v>1.00589587E8</v>
      </c>
      <c r="X767" s="1" t="s">
        <v>63</v>
      </c>
      <c r="Y767" s="1" t="s">
        <v>1412</v>
      </c>
      <c r="Z767" s="1" t="s">
        <v>37</v>
      </c>
    </row>
    <row r="768" hidden="1">
      <c r="A768" s="1" t="s">
        <v>2915</v>
      </c>
      <c r="B768" s="1" t="s">
        <v>2128</v>
      </c>
      <c r="C768" s="1" t="s">
        <v>2916</v>
      </c>
      <c r="D768" s="1" t="s">
        <v>78</v>
      </c>
      <c r="E768" s="1" t="s">
        <v>28</v>
      </c>
      <c r="F768" s="2">
        <v>1500000.0</v>
      </c>
      <c r="G768" s="1" t="s">
        <v>93</v>
      </c>
      <c r="H768" s="4">
        <f>IFERROR(__xludf.DUMMYFUNCTION("DATE(INDEX(SPLIT(G768,""/""),,3),INDEX(SPLIT(G768,""/""),,2),INDEX(SPLIT(G768,""/""),,1))"),44671.0)</f>
        <v>44671</v>
      </c>
      <c r="I768" s="1" t="s">
        <v>1269</v>
      </c>
      <c r="J768" s="4">
        <f>IFERROR(__xludf.DUMMYFUNCTION("DATE(INDEX(SPLIT(I768,""/""),,3),INDEX(SPLIT(I768,""/""),,2),INDEX(SPLIT(I768,""/""),,1))"),45000.0)</f>
        <v>45000</v>
      </c>
      <c r="L768" s="1">
        <v>0.0</v>
      </c>
      <c r="M768" s="1" t="s">
        <v>1200</v>
      </c>
      <c r="N768" s="1"/>
      <c r="O768" s="1" t="s">
        <v>30</v>
      </c>
      <c r="P768" s="1" t="s">
        <v>31</v>
      </c>
      <c r="Q768" s="1" t="s">
        <v>235</v>
      </c>
      <c r="R768" s="1" t="s">
        <v>235</v>
      </c>
      <c r="S768" s="1" t="s">
        <v>236</v>
      </c>
      <c r="T768" s="1" t="s">
        <v>438</v>
      </c>
      <c r="U768" s="1">
        <v>1.00586959E8</v>
      </c>
      <c r="X768" s="1" t="s">
        <v>88</v>
      </c>
      <c r="Y768" s="1" t="s">
        <v>979</v>
      </c>
      <c r="Z768" s="1" t="s">
        <v>37</v>
      </c>
    </row>
    <row r="769" hidden="1">
      <c r="A769" s="1" t="s">
        <v>2917</v>
      </c>
      <c r="B769" s="1" t="s">
        <v>1070</v>
      </c>
      <c r="C769" s="1" t="s">
        <v>2918</v>
      </c>
      <c r="D769" s="1" t="s">
        <v>27</v>
      </c>
      <c r="E769" s="1" t="s">
        <v>28</v>
      </c>
      <c r="F769" s="2">
        <v>1500000.0</v>
      </c>
      <c r="G769" s="1" t="s">
        <v>935</v>
      </c>
      <c r="H769" s="4">
        <f>IFERROR(__xludf.DUMMYFUNCTION("DATE(INDEX(SPLIT(G769,""/""),,3),INDEX(SPLIT(G769,""/""),,2),INDEX(SPLIT(G769,""/""),,1))"),44764.0)</f>
        <v>44764</v>
      </c>
      <c r="I769" s="4">
        <v>44604.0</v>
      </c>
      <c r="J769" s="4">
        <f>IFERROR(__xludf.DUMMYFUNCTION("DATE(INDEX(SPLIT(I769,""/""),,3),INDEX(SPLIT(I769,""/""),,2),INDEX(SPLIT(I769,""/""),,1))"),44897.0)</f>
        <v>44897</v>
      </c>
      <c r="L769" s="1">
        <v>0.0</v>
      </c>
      <c r="M769" s="1" t="s">
        <v>1072</v>
      </c>
      <c r="N769" s="1"/>
      <c r="O769" s="1" t="s">
        <v>30</v>
      </c>
      <c r="P769" s="1" t="s">
        <v>31</v>
      </c>
      <c r="Q769" s="1" t="s">
        <v>157</v>
      </c>
      <c r="R769" s="1" t="s">
        <v>157</v>
      </c>
      <c r="S769" s="1" t="s">
        <v>158</v>
      </c>
      <c r="U769" s="1">
        <v>1.00594872E8</v>
      </c>
      <c r="X769" s="1" t="s">
        <v>305</v>
      </c>
      <c r="Y769" s="1" t="s">
        <v>1072</v>
      </c>
      <c r="Z769" s="1" t="s">
        <v>37</v>
      </c>
    </row>
    <row r="770" hidden="1">
      <c r="A770" s="1" t="s">
        <v>2919</v>
      </c>
      <c r="B770" s="1" t="s">
        <v>1185</v>
      </c>
      <c r="C770" s="1" t="s">
        <v>2920</v>
      </c>
      <c r="D770" s="1" t="s">
        <v>27</v>
      </c>
      <c r="E770" s="1" t="s">
        <v>28</v>
      </c>
      <c r="F770" s="2">
        <v>1500000.0</v>
      </c>
      <c r="G770" s="1" t="s">
        <v>534</v>
      </c>
      <c r="H770" s="4">
        <f>IFERROR(__xludf.DUMMYFUNCTION("DATE(INDEX(SPLIT(G770,""/""),,3),INDEX(SPLIT(G770,""/""),,2),INDEX(SPLIT(G770,""/""),,1))"),44704.0)</f>
        <v>44704</v>
      </c>
      <c r="I770" s="1" t="s">
        <v>109</v>
      </c>
      <c r="J770" s="4">
        <f>IFERROR(__xludf.DUMMYFUNCTION("DATE(INDEX(SPLIT(I770,""/""),,3),INDEX(SPLIT(I770,""/""),,2),INDEX(SPLIT(I770,""/""),,1))"),44834.0)</f>
        <v>44834</v>
      </c>
      <c r="L770" s="1">
        <v>0.0</v>
      </c>
      <c r="M770" s="1" t="s">
        <v>2921</v>
      </c>
      <c r="N770" s="1"/>
      <c r="O770" s="1" t="s">
        <v>30</v>
      </c>
      <c r="P770" s="1" t="s">
        <v>31</v>
      </c>
      <c r="Q770" s="1" t="s">
        <v>228</v>
      </c>
      <c r="R770" s="1" t="s">
        <v>228</v>
      </c>
      <c r="S770" s="1" t="s">
        <v>229</v>
      </c>
      <c r="T770" s="1" t="s">
        <v>640</v>
      </c>
      <c r="U770" s="1">
        <v>1.00609611E8</v>
      </c>
      <c r="V770" s="1" t="s">
        <v>2922</v>
      </c>
      <c r="W770" s="1" t="s">
        <v>45</v>
      </c>
      <c r="X770" s="1" t="s">
        <v>190</v>
      </c>
      <c r="Y770" s="1" t="s">
        <v>2697</v>
      </c>
      <c r="Z770" s="1" t="s">
        <v>37</v>
      </c>
    </row>
    <row r="771" hidden="1">
      <c r="A771" s="1" t="s">
        <v>2923</v>
      </c>
      <c r="B771" s="1" t="s">
        <v>1185</v>
      </c>
      <c r="C771" s="1" t="s">
        <v>2922</v>
      </c>
      <c r="D771" s="1" t="s">
        <v>27</v>
      </c>
      <c r="E771" s="1" t="s">
        <v>28</v>
      </c>
      <c r="F771" s="2">
        <v>1500000.0</v>
      </c>
      <c r="G771" s="1" t="s">
        <v>534</v>
      </c>
      <c r="H771" s="4">
        <f>IFERROR(__xludf.DUMMYFUNCTION("DATE(INDEX(SPLIT(G771,""/""),,3),INDEX(SPLIT(G771,""/""),,2),INDEX(SPLIT(G771,""/""),,1))"),44704.0)</f>
        <v>44704</v>
      </c>
      <c r="I771" s="1" t="s">
        <v>109</v>
      </c>
      <c r="J771" s="4">
        <f>IFERROR(__xludf.DUMMYFUNCTION("DATE(INDEX(SPLIT(I771,""/""),,3),INDEX(SPLIT(I771,""/""),,2),INDEX(SPLIT(I771,""/""),,1))"),44834.0)</f>
        <v>44834</v>
      </c>
      <c r="L771" s="1">
        <v>0.0</v>
      </c>
      <c r="M771" s="1" t="s">
        <v>2924</v>
      </c>
      <c r="N771" s="1"/>
      <c r="O771" s="1" t="s">
        <v>30</v>
      </c>
      <c r="P771" s="1" t="s">
        <v>31</v>
      </c>
      <c r="Q771" s="1" t="s">
        <v>157</v>
      </c>
      <c r="R771" s="1" t="s">
        <v>157</v>
      </c>
      <c r="S771" s="1" t="s">
        <v>158</v>
      </c>
      <c r="T771" s="1" t="s">
        <v>97</v>
      </c>
      <c r="U771" s="1">
        <v>1.00660701E8</v>
      </c>
      <c r="V771" s="1" t="s">
        <v>2925</v>
      </c>
      <c r="W771" s="1" t="s">
        <v>45</v>
      </c>
      <c r="X771" s="1" t="s">
        <v>190</v>
      </c>
      <c r="Y771" s="1" t="s">
        <v>2697</v>
      </c>
      <c r="Z771" s="1" t="s">
        <v>37</v>
      </c>
    </row>
    <row r="772" hidden="1">
      <c r="A772" s="1" t="s">
        <v>2926</v>
      </c>
      <c r="B772" s="1" t="s">
        <v>48</v>
      </c>
      <c r="C772" s="1" t="s">
        <v>2927</v>
      </c>
      <c r="D772" s="1" t="s">
        <v>27</v>
      </c>
      <c r="E772" s="1" t="s">
        <v>28</v>
      </c>
      <c r="F772" s="2">
        <v>1500000.0</v>
      </c>
      <c r="G772" s="4">
        <v>44598.0</v>
      </c>
      <c r="H772" s="4">
        <f>IFERROR(__xludf.DUMMYFUNCTION("DATE(INDEX(SPLIT(G772,""/""),,3),INDEX(SPLIT(G772,""/""),,2),INDEX(SPLIT(G772,""/""),,1))"),44714.0)</f>
        <v>44714</v>
      </c>
      <c r="I772" s="1" t="s">
        <v>109</v>
      </c>
      <c r="J772" s="4">
        <f>IFERROR(__xludf.DUMMYFUNCTION("DATE(INDEX(SPLIT(I772,""/""),,3),INDEX(SPLIT(I772,""/""),,2),INDEX(SPLIT(I772,""/""),,1))"),44834.0)</f>
        <v>44834</v>
      </c>
      <c r="L772" s="1">
        <v>0.0</v>
      </c>
      <c r="M772" s="1" t="s">
        <v>1098</v>
      </c>
      <c r="N772" s="1"/>
      <c r="O772" s="1" t="s">
        <v>30</v>
      </c>
      <c r="P772" s="1" t="s">
        <v>31</v>
      </c>
      <c r="Q772" s="1" t="s">
        <v>95</v>
      </c>
      <c r="R772" s="1" t="s">
        <v>95</v>
      </c>
      <c r="S772" s="1" t="s">
        <v>96</v>
      </c>
      <c r="T772" s="1" t="s">
        <v>311</v>
      </c>
      <c r="U772" s="1">
        <v>1.00634994E8</v>
      </c>
      <c r="X772" s="1" t="s">
        <v>46</v>
      </c>
      <c r="Y772" s="1" t="s">
        <v>1098</v>
      </c>
      <c r="Z772" s="1" t="s">
        <v>37</v>
      </c>
    </row>
    <row r="773" hidden="1">
      <c r="A773" s="1" t="s">
        <v>2928</v>
      </c>
      <c r="B773" s="1" t="s">
        <v>2462</v>
      </c>
      <c r="C773" s="1" t="s">
        <v>2929</v>
      </c>
      <c r="D773" s="1" t="s">
        <v>27</v>
      </c>
      <c r="E773" s="1" t="s">
        <v>28</v>
      </c>
      <c r="F773" s="2">
        <v>1500000.0</v>
      </c>
      <c r="G773" s="1" t="s">
        <v>50</v>
      </c>
      <c r="H773" s="4">
        <f>IFERROR(__xludf.DUMMYFUNCTION("DATE(INDEX(SPLIT(G773,""/""),,3),INDEX(SPLIT(G773,""/""),,2),INDEX(SPLIT(G773,""/""),,1))"),44547.0)</f>
        <v>44547</v>
      </c>
      <c r="I773" s="1" t="s">
        <v>999</v>
      </c>
      <c r="J773" s="4">
        <f>IFERROR(__xludf.DUMMYFUNCTION("DATE(INDEX(SPLIT(I773,""/""),,3),INDEX(SPLIT(I773,""/""),,2),INDEX(SPLIT(I773,""/""),,1))"),44953.0)</f>
        <v>44953</v>
      </c>
      <c r="L773" s="1">
        <v>0.0</v>
      </c>
      <c r="M773" s="1" t="s">
        <v>1704</v>
      </c>
      <c r="N773" s="1"/>
      <c r="O773" s="1" t="s">
        <v>30</v>
      </c>
      <c r="P773" s="1" t="s">
        <v>31</v>
      </c>
      <c r="Q773" s="1" t="s">
        <v>157</v>
      </c>
      <c r="R773" s="1" t="s">
        <v>157</v>
      </c>
      <c r="S773" s="1" t="s">
        <v>158</v>
      </c>
      <c r="T773" s="1" t="s">
        <v>442</v>
      </c>
      <c r="U773" s="1">
        <v>1.00654991E8</v>
      </c>
      <c r="Y773" s="1" t="s">
        <v>1969</v>
      </c>
      <c r="Z773" s="1" t="s">
        <v>37</v>
      </c>
    </row>
    <row r="774">
      <c r="A774" s="1" t="s">
        <v>2930</v>
      </c>
      <c r="B774" s="1" t="s">
        <v>2931</v>
      </c>
      <c r="C774" s="1" t="s">
        <v>2932</v>
      </c>
      <c r="D774" s="1" t="s">
        <v>27</v>
      </c>
      <c r="E774" s="1" t="s">
        <v>28</v>
      </c>
      <c r="F774" s="2">
        <v>1500000.0</v>
      </c>
      <c r="G774" s="4">
        <v>44683.0</v>
      </c>
      <c r="H774" s="4">
        <f>IFERROR(__xludf.DUMMYFUNCTION("DATE(INDEX(SPLIT(G774,""/""),,3),INDEX(SPLIT(G774,""/""),,2),INDEX(SPLIT(G774,""/""),,1))"),44597.0)</f>
        <v>44597</v>
      </c>
      <c r="I774" s="1" t="s">
        <v>226</v>
      </c>
      <c r="J774" s="4">
        <f>IFERROR(__xludf.DUMMYFUNCTION("DATE(INDEX(SPLIT(I774,""/""),,3),INDEX(SPLIT(I774,""/""),,2),INDEX(SPLIT(I774,""/""),,1))"),44771.0)</f>
        <v>44771</v>
      </c>
      <c r="L774" s="1">
        <v>0.0</v>
      </c>
      <c r="M774" s="1" t="s">
        <v>1110</v>
      </c>
      <c r="N774" s="1"/>
      <c r="O774" s="1" t="s">
        <v>30</v>
      </c>
      <c r="P774" s="1" t="s">
        <v>31</v>
      </c>
      <c r="Q774" s="1" t="s">
        <v>53</v>
      </c>
      <c r="R774" s="1" t="s">
        <v>53</v>
      </c>
      <c r="S774" s="1" t="s">
        <v>54</v>
      </c>
      <c r="T774" s="1" t="s">
        <v>55</v>
      </c>
      <c r="U774" s="1">
        <v>1.00653785E8</v>
      </c>
      <c r="X774" s="1" t="s">
        <v>35</v>
      </c>
      <c r="Y774" s="1" t="s">
        <v>1110</v>
      </c>
      <c r="Z774" s="1" t="s">
        <v>37</v>
      </c>
    </row>
    <row r="775" hidden="1">
      <c r="A775" s="1" t="s">
        <v>2933</v>
      </c>
      <c r="B775" s="1" t="s">
        <v>1429</v>
      </c>
      <c r="C775" s="1" t="s">
        <v>2934</v>
      </c>
      <c r="D775" s="1" t="s">
        <v>27</v>
      </c>
      <c r="E775" s="1" t="s">
        <v>28</v>
      </c>
      <c r="F775" s="2">
        <v>1500000.0</v>
      </c>
      <c r="G775" s="4">
        <v>44446.0</v>
      </c>
      <c r="H775" s="4">
        <f>IFERROR(__xludf.DUMMYFUNCTION("DATE(INDEX(SPLIT(G775,""/""),,3),INDEX(SPLIT(G775,""/""),,2),INDEX(SPLIT(G775,""/""),,1))"),44386.0)</f>
        <v>44386</v>
      </c>
      <c r="I775" s="4">
        <v>44992.0</v>
      </c>
      <c r="J775" s="4">
        <f>IFERROR(__xludf.DUMMYFUNCTION("DATE(INDEX(SPLIT(I775,""/""),,3),INDEX(SPLIT(I775,""/""),,2),INDEX(SPLIT(I775,""/""),,1))"),45110.0)</f>
        <v>45110</v>
      </c>
      <c r="L775" s="1">
        <v>0.0</v>
      </c>
      <c r="M775" s="1" t="s">
        <v>2935</v>
      </c>
      <c r="N775" s="1"/>
      <c r="O775" s="1" t="s">
        <v>30</v>
      </c>
      <c r="P775" s="1" t="s">
        <v>31</v>
      </c>
      <c r="Q775" s="1" t="s">
        <v>188</v>
      </c>
      <c r="R775" s="1" t="s">
        <v>188</v>
      </c>
      <c r="S775" s="1" t="s">
        <v>189</v>
      </c>
      <c r="T775" s="1" t="s">
        <v>402</v>
      </c>
      <c r="U775" s="1">
        <v>1.00602451E8</v>
      </c>
      <c r="X775" s="1" t="s">
        <v>190</v>
      </c>
      <c r="Y775" s="1" t="s">
        <v>2273</v>
      </c>
      <c r="Z775" s="1" t="s">
        <v>37</v>
      </c>
    </row>
    <row r="776" hidden="1">
      <c r="A776" s="1" t="s">
        <v>2936</v>
      </c>
      <c r="B776" s="1" t="s">
        <v>120</v>
      </c>
      <c r="C776" s="1" t="s">
        <v>2937</v>
      </c>
      <c r="D776" s="1" t="s">
        <v>78</v>
      </c>
      <c r="E776" s="1" t="s">
        <v>28</v>
      </c>
      <c r="F776" s="2">
        <v>1500000.0</v>
      </c>
      <c r="G776" s="1" t="s">
        <v>1244</v>
      </c>
      <c r="H776" s="4">
        <f>IFERROR(__xludf.DUMMYFUNCTION("DATE(INDEX(SPLIT(G776,""/""),,3),INDEX(SPLIT(G776,""/""),,2),INDEX(SPLIT(G776,""/""),,1))"),44742.0)</f>
        <v>44742</v>
      </c>
      <c r="I776" s="1" t="s">
        <v>130</v>
      </c>
      <c r="J776" s="4">
        <f>IFERROR(__xludf.DUMMYFUNCTION("DATE(INDEX(SPLIT(I776,""/""),,3),INDEX(SPLIT(I776,""/""),,2),INDEX(SPLIT(I776,""/""),,1))"),44804.0)</f>
        <v>44804</v>
      </c>
      <c r="L776" s="1">
        <v>0.0</v>
      </c>
      <c r="M776" s="1" t="s">
        <v>2938</v>
      </c>
      <c r="N776" s="1"/>
      <c r="O776" s="1" t="s">
        <v>30</v>
      </c>
      <c r="P776" s="1" t="s">
        <v>31</v>
      </c>
      <c r="Q776" s="1" t="s">
        <v>95</v>
      </c>
      <c r="R776" s="1" t="s">
        <v>95</v>
      </c>
      <c r="S776" s="1" t="s">
        <v>96</v>
      </c>
      <c r="T776" s="1" t="s">
        <v>97</v>
      </c>
      <c r="U776" s="1">
        <v>1.00627224E8</v>
      </c>
      <c r="X776" s="1" t="s">
        <v>125</v>
      </c>
      <c r="Y776" s="1" t="s">
        <v>2939</v>
      </c>
      <c r="Z776" s="1" t="s">
        <v>37</v>
      </c>
    </row>
    <row r="777" hidden="1">
      <c r="A777" s="1" t="s">
        <v>2940</v>
      </c>
      <c r="B777" s="1" t="s">
        <v>1772</v>
      </c>
      <c r="C777" s="1" t="s">
        <v>2941</v>
      </c>
      <c r="D777" s="1" t="s">
        <v>78</v>
      </c>
      <c r="E777" s="1" t="s">
        <v>28</v>
      </c>
      <c r="F777" s="2">
        <v>1500000.0</v>
      </c>
      <c r="G777" s="1" t="s">
        <v>2942</v>
      </c>
      <c r="H777" s="4">
        <f>IFERROR(__xludf.DUMMYFUNCTION("DATE(INDEX(SPLIT(G777,""/""),,3),INDEX(SPLIT(G777,""/""),,2),INDEX(SPLIT(G777,""/""),,1))"),44223.0)</f>
        <v>44223</v>
      </c>
      <c r="I777" s="1" t="s">
        <v>1426</v>
      </c>
      <c r="J777" s="4">
        <f>IFERROR(__xludf.DUMMYFUNCTION("DATE(INDEX(SPLIT(I777,""/""),,3),INDEX(SPLIT(I777,""/""),,2),INDEX(SPLIT(I777,""/""),,1))"),44826.0)</f>
        <v>44826</v>
      </c>
      <c r="L777" s="1">
        <v>0.0</v>
      </c>
      <c r="M777" s="1" t="s">
        <v>524</v>
      </c>
      <c r="N777" s="1"/>
      <c r="O777" s="1" t="s">
        <v>30</v>
      </c>
      <c r="P777" s="1" t="s">
        <v>31</v>
      </c>
      <c r="Q777" s="1" t="s">
        <v>32</v>
      </c>
      <c r="R777" s="1" t="s">
        <v>32</v>
      </c>
      <c r="S777" s="1" t="s">
        <v>33</v>
      </c>
      <c r="T777" s="1" t="s">
        <v>55</v>
      </c>
      <c r="U777" s="1">
        <v>1.00627768E8</v>
      </c>
      <c r="X777" s="1" t="s">
        <v>81</v>
      </c>
      <c r="Y777" s="1" t="s">
        <v>524</v>
      </c>
      <c r="Z777" s="1" t="s">
        <v>527</v>
      </c>
    </row>
    <row r="778" hidden="1">
      <c r="A778" s="1" t="s">
        <v>2943</v>
      </c>
      <c r="B778" s="1" t="s">
        <v>120</v>
      </c>
      <c r="C778" s="1" t="s">
        <v>2944</v>
      </c>
      <c r="D778" s="1" t="s">
        <v>78</v>
      </c>
      <c r="E778" s="1" t="s">
        <v>28</v>
      </c>
      <c r="F778" s="2">
        <v>1500000.0</v>
      </c>
      <c r="G778" s="1" t="s">
        <v>330</v>
      </c>
      <c r="H778" s="4">
        <f>IFERROR(__xludf.DUMMYFUNCTION("DATE(INDEX(SPLIT(G778,""/""),,3),INDEX(SPLIT(G778,""/""),,2),INDEX(SPLIT(G778,""/""),,1))"),44728.0)</f>
        <v>44728</v>
      </c>
      <c r="I778" s="1" t="s">
        <v>1799</v>
      </c>
      <c r="J778" s="4">
        <f>IFERROR(__xludf.DUMMYFUNCTION("DATE(INDEX(SPLIT(I778,""/""),,3),INDEX(SPLIT(I778,""/""),,2),INDEX(SPLIT(I778,""/""),,1))"),44788.0)</f>
        <v>44788</v>
      </c>
      <c r="L778" s="1">
        <v>0.0</v>
      </c>
      <c r="M778" s="1" t="s">
        <v>1649</v>
      </c>
      <c r="N778" s="1"/>
      <c r="O778" s="1" t="s">
        <v>30</v>
      </c>
      <c r="P778" s="1" t="s">
        <v>31</v>
      </c>
      <c r="Q778" s="1" t="s">
        <v>157</v>
      </c>
      <c r="R778" s="1" t="s">
        <v>157</v>
      </c>
      <c r="S778" s="1" t="s">
        <v>158</v>
      </c>
      <c r="T778" s="1" t="s">
        <v>442</v>
      </c>
      <c r="U778" s="1">
        <v>1.00643454E8</v>
      </c>
      <c r="X778" s="1" t="s">
        <v>125</v>
      </c>
      <c r="Y778" s="1" t="s">
        <v>2945</v>
      </c>
      <c r="Z778" s="1" t="s">
        <v>37</v>
      </c>
    </row>
    <row r="779">
      <c r="A779" s="1" t="s">
        <v>2946</v>
      </c>
      <c r="B779" s="1" t="s">
        <v>2947</v>
      </c>
      <c r="C779" s="1" t="s">
        <v>2948</v>
      </c>
      <c r="D779" s="1" t="s">
        <v>122</v>
      </c>
      <c r="E779" s="1" t="s">
        <v>28</v>
      </c>
      <c r="F779" s="2">
        <v>1500000.0</v>
      </c>
      <c r="G779" s="1" t="s">
        <v>2949</v>
      </c>
      <c r="H779" s="4">
        <f>IFERROR(__xludf.DUMMYFUNCTION("DATE(INDEX(SPLIT(G779,""/""),,3),INDEX(SPLIT(G779,""/""),,2),INDEX(SPLIT(G779,""/""),,1))"),44675.0)</f>
        <v>44675</v>
      </c>
      <c r="I779" s="4">
        <v>44626.0</v>
      </c>
      <c r="J779" s="4">
        <f>IFERROR(__xludf.DUMMYFUNCTION("DATE(INDEX(SPLIT(I779,""/""),,3),INDEX(SPLIT(I779,""/""),,2),INDEX(SPLIT(I779,""/""),,1))"),44715.0)</f>
        <v>44715</v>
      </c>
      <c r="K779" s="9">
        <v>44717.59861111111</v>
      </c>
      <c r="L779" s="1">
        <v>0.0</v>
      </c>
      <c r="M779" s="1" t="s">
        <v>2096</v>
      </c>
      <c r="N779" s="1"/>
      <c r="O779" s="1" t="s">
        <v>30</v>
      </c>
      <c r="P779" s="1" t="s">
        <v>31</v>
      </c>
      <c r="Q779" s="1" t="s">
        <v>228</v>
      </c>
      <c r="R779" s="1" t="s">
        <v>228</v>
      </c>
      <c r="S779" s="1" t="s">
        <v>229</v>
      </c>
      <c r="T779" s="1" t="s">
        <v>640</v>
      </c>
      <c r="U779" s="1">
        <v>1.00619128E8</v>
      </c>
      <c r="X779" s="1" t="s">
        <v>468</v>
      </c>
      <c r="Y779" s="1" t="s">
        <v>2950</v>
      </c>
      <c r="Z779" s="1" t="s">
        <v>37</v>
      </c>
    </row>
    <row r="780">
      <c r="A780" s="1" t="s">
        <v>2951</v>
      </c>
      <c r="B780" s="1" t="s">
        <v>1511</v>
      </c>
      <c r="C780" s="1" t="s">
        <v>2952</v>
      </c>
      <c r="D780" s="1" t="s">
        <v>68</v>
      </c>
      <c r="E780" s="1" t="s">
        <v>28</v>
      </c>
      <c r="F780" s="2">
        <v>1500000.0</v>
      </c>
      <c r="G780" s="1" t="s">
        <v>472</v>
      </c>
      <c r="H780" s="4">
        <f>IFERROR(__xludf.DUMMYFUNCTION("DATE(INDEX(SPLIT(G780,""/""),,3),INDEX(SPLIT(G780,""/""),,2),INDEX(SPLIT(G780,""/""),,1))"),44760.0)</f>
        <v>44760</v>
      </c>
      <c r="I780" s="1" t="s">
        <v>226</v>
      </c>
      <c r="J780" s="4">
        <f>IFERROR(__xludf.DUMMYFUNCTION("DATE(INDEX(SPLIT(I780,""/""),,3),INDEX(SPLIT(I780,""/""),,2),INDEX(SPLIT(I780,""/""),,1))"),44771.0)</f>
        <v>44771</v>
      </c>
      <c r="L780" s="1">
        <v>0.0</v>
      </c>
      <c r="M780" s="1" t="s">
        <v>984</v>
      </c>
      <c r="N780" s="1"/>
      <c r="O780" s="1" t="s">
        <v>30</v>
      </c>
      <c r="P780" s="1" t="s">
        <v>31</v>
      </c>
      <c r="Q780" s="1" t="s">
        <v>157</v>
      </c>
      <c r="R780" s="1" t="s">
        <v>157</v>
      </c>
      <c r="S780" s="1" t="s">
        <v>158</v>
      </c>
      <c r="U780" s="1">
        <v>1.00611358E8</v>
      </c>
      <c r="X780" s="1" t="s">
        <v>490</v>
      </c>
      <c r="Y780" s="1" t="s">
        <v>2953</v>
      </c>
      <c r="Z780" s="1" t="s">
        <v>37</v>
      </c>
    </row>
    <row r="781" hidden="1">
      <c r="A781" s="1" t="s">
        <v>2954</v>
      </c>
      <c r="B781" s="1" t="s">
        <v>2000</v>
      </c>
      <c r="C781" s="1" t="s">
        <v>2955</v>
      </c>
      <c r="D781" s="1" t="s">
        <v>27</v>
      </c>
      <c r="E781" s="1" t="s">
        <v>28</v>
      </c>
      <c r="F781" s="2">
        <v>1500000.0</v>
      </c>
      <c r="G781" s="4">
        <v>44745.0</v>
      </c>
      <c r="H781" s="4">
        <f>IFERROR(__xludf.DUMMYFUNCTION("DATE(INDEX(SPLIT(G781,""/""),,3),INDEX(SPLIT(G781,""/""),,2),INDEX(SPLIT(G781,""/""),,1))"),44627.0)</f>
        <v>44627</v>
      </c>
      <c r="I781" s="1" t="s">
        <v>203</v>
      </c>
      <c r="J781" s="4">
        <f>IFERROR(__xludf.DUMMYFUNCTION("DATE(INDEX(SPLIT(I781,""/""),,3),INDEX(SPLIT(I781,""/""),,2),INDEX(SPLIT(I781,""/""),,1))"),44925.0)</f>
        <v>44925</v>
      </c>
      <c r="L781" s="1">
        <v>0.0</v>
      </c>
      <c r="M781" s="1" t="s">
        <v>852</v>
      </c>
      <c r="N781" s="1"/>
      <c r="O781" s="1" t="s">
        <v>30</v>
      </c>
      <c r="P781" s="1" t="s">
        <v>31</v>
      </c>
      <c r="Q781" s="1" t="s">
        <v>157</v>
      </c>
      <c r="R781" s="1" t="s">
        <v>157</v>
      </c>
      <c r="S781" s="1" t="s">
        <v>158</v>
      </c>
      <c r="T781" s="1" t="s">
        <v>442</v>
      </c>
      <c r="U781" s="1">
        <v>1.00648457E8</v>
      </c>
      <c r="X781" s="1" t="s">
        <v>98</v>
      </c>
      <c r="Y781" s="1" t="s">
        <v>852</v>
      </c>
      <c r="Z781" s="1" t="s">
        <v>37</v>
      </c>
    </row>
    <row r="782" hidden="1">
      <c r="A782" s="1" t="s">
        <v>2956</v>
      </c>
      <c r="B782" s="1" t="s">
        <v>301</v>
      </c>
      <c r="C782" s="1" t="s">
        <v>2957</v>
      </c>
      <c r="D782" s="1" t="s">
        <v>27</v>
      </c>
      <c r="E782" s="1" t="s">
        <v>28</v>
      </c>
      <c r="F782" s="2">
        <v>1500000.0</v>
      </c>
      <c r="G782" s="4">
        <v>44686.0</v>
      </c>
      <c r="H782" s="4">
        <f>IFERROR(__xludf.DUMMYFUNCTION("DATE(INDEX(SPLIT(G782,""/""),,3),INDEX(SPLIT(G782,""/""),,2),INDEX(SPLIT(G782,""/""),,1))"),44686.0)</f>
        <v>44686</v>
      </c>
      <c r="I782" s="1" t="s">
        <v>130</v>
      </c>
      <c r="J782" s="4">
        <f>IFERROR(__xludf.DUMMYFUNCTION("DATE(INDEX(SPLIT(I782,""/""),,3),INDEX(SPLIT(I782,""/""),,2),INDEX(SPLIT(I782,""/""),,1))"),44804.0)</f>
        <v>44804</v>
      </c>
      <c r="L782" s="1">
        <v>0.0</v>
      </c>
      <c r="M782" s="1" t="s">
        <v>1036</v>
      </c>
      <c r="N782" s="1"/>
      <c r="O782" s="1" t="s">
        <v>30</v>
      </c>
      <c r="P782" s="1" t="s">
        <v>31</v>
      </c>
      <c r="Q782" s="1" t="s">
        <v>95</v>
      </c>
      <c r="R782" s="1" t="s">
        <v>95</v>
      </c>
      <c r="S782" s="1" t="s">
        <v>96</v>
      </c>
      <c r="T782" s="1" t="s">
        <v>111</v>
      </c>
      <c r="U782" s="1">
        <v>1.00633489E8</v>
      </c>
      <c r="X782" s="1" t="s">
        <v>305</v>
      </c>
      <c r="Y782" s="1" t="s">
        <v>306</v>
      </c>
      <c r="Z782" s="1" t="s">
        <v>37</v>
      </c>
    </row>
    <row r="783" hidden="1">
      <c r="A783" s="1" t="s">
        <v>2958</v>
      </c>
      <c r="B783" s="1" t="s">
        <v>1185</v>
      </c>
      <c r="C783" s="1" t="s">
        <v>2925</v>
      </c>
      <c r="D783" s="1" t="s">
        <v>27</v>
      </c>
      <c r="E783" s="1" t="s">
        <v>28</v>
      </c>
      <c r="F783" s="2">
        <v>1500000.0</v>
      </c>
      <c r="G783" s="1" t="s">
        <v>2025</v>
      </c>
      <c r="H783" s="4">
        <f>IFERROR(__xludf.DUMMYFUNCTION("DATE(INDEX(SPLIT(G783,""/""),,3),INDEX(SPLIT(G783,""/""),,2),INDEX(SPLIT(G783,""/""),,1))"),44664.0)</f>
        <v>44664</v>
      </c>
      <c r="I783" s="1" t="s">
        <v>109</v>
      </c>
      <c r="J783" s="4">
        <f>IFERROR(__xludf.DUMMYFUNCTION("DATE(INDEX(SPLIT(I783,""/""),,3),INDEX(SPLIT(I783,""/""),,2),INDEX(SPLIT(I783,""/""),,1))"),44834.0)</f>
        <v>44834</v>
      </c>
      <c r="L783" s="1">
        <v>0.0</v>
      </c>
      <c r="M783" s="1" t="s">
        <v>639</v>
      </c>
      <c r="N783" s="1"/>
      <c r="O783" s="1" t="s">
        <v>30</v>
      </c>
      <c r="P783" s="1" t="s">
        <v>31</v>
      </c>
      <c r="Q783" s="1" t="s">
        <v>228</v>
      </c>
      <c r="R783" s="1" t="s">
        <v>228</v>
      </c>
      <c r="S783" s="1" t="s">
        <v>229</v>
      </c>
      <c r="T783" s="1" t="s">
        <v>97</v>
      </c>
      <c r="U783" s="1">
        <v>1.00646519E8</v>
      </c>
      <c r="W783" s="1" t="s">
        <v>389</v>
      </c>
      <c r="X783" s="1" t="s">
        <v>190</v>
      </c>
      <c r="Y783" s="1" t="s">
        <v>2959</v>
      </c>
      <c r="Z783" s="1" t="s">
        <v>37</v>
      </c>
    </row>
    <row r="784">
      <c r="A784" s="1" t="s">
        <v>2960</v>
      </c>
      <c r="B784" s="1" t="s">
        <v>2961</v>
      </c>
      <c r="C784" s="1" t="s">
        <v>2962</v>
      </c>
      <c r="D784" s="1" t="s">
        <v>27</v>
      </c>
      <c r="E784" s="1" t="s">
        <v>28</v>
      </c>
      <c r="F784" s="2">
        <v>1500000.0</v>
      </c>
      <c r="G784" s="1" t="s">
        <v>2963</v>
      </c>
      <c r="H784" s="4">
        <f>IFERROR(__xludf.DUMMYFUNCTION("DATE(INDEX(SPLIT(G784,""/""),,3),INDEX(SPLIT(G784,""/""),,2),INDEX(SPLIT(G784,""/""),,1))"),44524.0)</f>
        <v>44524</v>
      </c>
      <c r="I784" s="1" t="s">
        <v>226</v>
      </c>
      <c r="J784" s="4">
        <f>IFERROR(__xludf.DUMMYFUNCTION("DATE(INDEX(SPLIT(I784,""/""),,3),INDEX(SPLIT(I784,""/""),,2),INDEX(SPLIT(I784,""/""),,1))"),44771.0)</f>
        <v>44771</v>
      </c>
      <c r="L784" s="1">
        <v>0.0</v>
      </c>
      <c r="M784" s="1" t="s">
        <v>2964</v>
      </c>
      <c r="N784" s="1"/>
      <c r="O784" s="1" t="s">
        <v>30</v>
      </c>
      <c r="P784" s="1" t="s">
        <v>31</v>
      </c>
      <c r="Q784" s="1" t="s">
        <v>95</v>
      </c>
      <c r="R784" s="1" t="s">
        <v>95</v>
      </c>
      <c r="S784" s="1" t="s">
        <v>96</v>
      </c>
      <c r="T784" s="1" t="s">
        <v>97</v>
      </c>
      <c r="U784" s="1">
        <v>1.00654835E8</v>
      </c>
      <c r="X784" s="1" t="s">
        <v>117</v>
      </c>
      <c r="Y784" s="1" t="s">
        <v>2964</v>
      </c>
      <c r="Z784" s="1" t="s">
        <v>206</v>
      </c>
    </row>
    <row r="785" hidden="1">
      <c r="A785" s="1" t="s">
        <v>2965</v>
      </c>
      <c r="B785" s="1" t="s">
        <v>1634</v>
      </c>
      <c r="C785" s="1" t="s">
        <v>2966</v>
      </c>
      <c r="D785" s="1" t="s">
        <v>27</v>
      </c>
      <c r="E785" s="1" t="s">
        <v>28</v>
      </c>
      <c r="F785" s="2">
        <v>1500000.0</v>
      </c>
      <c r="G785" s="1" t="s">
        <v>1259</v>
      </c>
      <c r="H785" s="4">
        <f>IFERROR(__xludf.DUMMYFUNCTION("DATE(INDEX(SPLIT(G785,""/""),,3),INDEX(SPLIT(G785,""/""),,2),INDEX(SPLIT(G785,""/""),,1))"),44763.0)</f>
        <v>44763</v>
      </c>
      <c r="I785" s="1" t="s">
        <v>130</v>
      </c>
      <c r="J785" s="4">
        <f>IFERROR(__xludf.DUMMYFUNCTION("DATE(INDEX(SPLIT(I785,""/""),,3),INDEX(SPLIT(I785,""/""),,2),INDEX(SPLIT(I785,""/""),,1))"),44804.0)</f>
        <v>44804</v>
      </c>
      <c r="L785" s="1">
        <v>0.0</v>
      </c>
      <c r="M785" s="1" t="s">
        <v>1639</v>
      </c>
      <c r="N785" s="1"/>
      <c r="O785" s="1" t="s">
        <v>30</v>
      </c>
      <c r="P785" s="1" t="s">
        <v>31</v>
      </c>
      <c r="Q785" s="1" t="s">
        <v>53</v>
      </c>
      <c r="R785" s="1" t="s">
        <v>53</v>
      </c>
      <c r="S785" s="1" t="s">
        <v>54</v>
      </c>
      <c r="T785" s="1" t="s">
        <v>634</v>
      </c>
      <c r="U785" s="1">
        <v>1.0065462E8</v>
      </c>
      <c r="X785" s="1" t="s">
        <v>125</v>
      </c>
      <c r="Y785" s="1" t="s">
        <v>1639</v>
      </c>
      <c r="Z785" s="1" t="s">
        <v>37</v>
      </c>
    </row>
    <row r="786" hidden="1">
      <c r="A786" s="1" t="s">
        <v>2967</v>
      </c>
      <c r="B786" s="1" t="s">
        <v>1185</v>
      </c>
      <c r="C786" s="1" t="s">
        <v>2968</v>
      </c>
      <c r="D786" s="1" t="s">
        <v>27</v>
      </c>
      <c r="E786" s="1" t="s">
        <v>28</v>
      </c>
      <c r="F786" s="2">
        <v>1500000.0</v>
      </c>
      <c r="G786" s="4">
        <v>44840.0</v>
      </c>
      <c r="H786" s="4">
        <f>IFERROR(__xludf.DUMMYFUNCTION("DATE(INDEX(SPLIT(G786,""/""),,3),INDEX(SPLIT(G786,""/""),,2),INDEX(SPLIT(G786,""/""),,1))"),44722.0)</f>
        <v>44722</v>
      </c>
      <c r="I786" s="1" t="s">
        <v>317</v>
      </c>
      <c r="J786" s="4">
        <f>IFERROR(__xludf.DUMMYFUNCTION("DATE(INDEX(SPLIT(I786,""/""),,3),INDEX(SPLIT(I786,""/""),,2),INDEX(SPLIT(I786,""/""),,1))"),44862.0)</f>
        <v>44862</v>
      </c>
      <c r="L786" s="1">
        <v>0.0</v>
      </c>
      <c r="M786" s="1" t="s">
        <v>1704</v>
      </c>
      <c r="N786" s="1"/>
      <c r="O786" s="1" t="s">
        <v>30</v>
      </c>
      <c r="P786" s="1" t="s">
        <v>31</v>
      </c>
      <c r="Q786" s="1" t="s">
        <v>157</v>
      </c>
      <c r="R786" s="1" t="s">
        <v>157</v>
      </c>
      <c r="S786" s="1" t="s">
        <v>158</v>
      </c>
      <c r="T786" s="1" t="s">
        <v>442</v>
      </c>
      <c r="U786" s="1">
        <v>1.00654991E8</v>
      </c>
      <c r="X786" s="1" t="s">
        <v>190</v>
      </c>
      <c r="Y786" s="1" t="s">
        <v>1969</v>
      </c>
      <c r="Z786" s="1" t="s">
        <v>37</v>
      </c>
    </row>
    <row r="787">
      <c r="A787" s="1" t="s">
        <v>2969</v>
      </c>
      <c r="B787" s="1" t="s">
        <v>2970</v>
      </c>
      <c r="C787" s="1" t="s">
        <v>2971</v>
      </c>
      <c r="D787" s="1" t="s">
        <v>122</v>
      </c>
      <c r="E787" s="1" t="s">
        <v>28</v>
      </c>
      <c r="F787" s="2">
        <v>1500000.0</v>
      </c>
      <c r="G787" s="1" t="s">
        <v>2025</v>
      </c>
      <c r="H787" s="4">
        <f>IFERROR(__xludf.DUMMYFUNCTION("DATE(INDEX(SPLIT(G787,""/""),,3),INDEX(SPLIT(G787,""/""),,2),INDEX(SPLIT(G787,""/""),,1))"),44664.0)</f>
        <v>44664</v>
      </c>
      <c r="I787" s="1" t="s">
        <v>503</v>
      </c>
      <c r="J787" s="4">
        <f>IFERROR(__xludf.DUMMYFUNCTION("DATE(INDEX(SPLIT(I787,""/""),,3),INDEX(SPLIT(I787,""/""),,2),INDEX(SPLIT(I787,""/""),,1))"),44736.0)</f>
        <v>44736</v>
      </c>
      <c r="K787" s="1" t="s">
        <v>2972</v>
      </c>
      <c r="L787" s="1">
        <v>0.0</v>
      </c>
      <c r="M787" s="1" t="s">
        <v>2973</v>
      </c>
      <c r="N787" s="1"/>
      <c r="O787" s="1" t="s">
        <v>30</v>
      </c>
      <c r="P787" s="1" t="s">
        <v>31</v>
      </c>
      <c r="Q787" s="1" t="s">
        <v>95</v>
      </c>
      <c r="R787" s="1" t="s">
        <v>95</v>
      </c>
      <c r="S787" s="1" t="s">
        <v>96</v>
      </c>
      <c r="U787" s="1">
        <v>1.00610052E8</v>
      </c>
      <c r="X787" s="1" t="s">
        <v>74</v>
      </c>
      <c r="Y787" s="1" t="s">
        <v>2973</v>
      </c>
      <c r="Z787" s="1" t="s">
        <v>527</v>
      </c>
    </row>
    <row r="788" hidden="1">
      <c r="A788" s="1" t="s">
        <v>2974</v>
      </c>
      <c r="B788" s="1" t="s">
        <v>337</v>
      </c>
      <c r="C788" s="1" t="s">
        <v>2975</v>
      </c>
      <c r="D788" s="1" t="s">
        <v>122</v>
      </c>
      <c r="E788" s="1" t="s">
        <v>28</v>
      </c>
      <c r="F788" s="2">
        <v>1500000.0</v>
      </c>
      <c r="G788" s="1" t="s">
        <v>2976</v>
      </c>
      <c r="H788" s="4">
        <f>IFERROR(__xludf.DUMMYFUNCTION("DATE(INDEX(SPLIT(G788,""/""),,3),INDEX(SPLIT(G788,""/""),,2),INDEX(SPLIT(G788,""/""),,1))"),44560.0)</f>
        <v>44560</v>
      </c>
      <c r="I788" s="1" t="s">
        <v>130</v>
      </c>
      <c r="J788" s="4">
        <f>IFERROR(__xludf.DUMMYFUNCTION("DATE(INDEX(SPLIT(I788,""/""),,3),INDEX(SPLIT(I788,""/""),,2),INDEX(SPLIT(I788,""/""),,1))"),44804.0)</f>
        <v>44804</v>
      </c>
      <c r="L788" s="1">
        <v>0.0</v>
      </c>
      <c r="M788" s="1" t="s">
        <v>339</v>
      </c>
      <c r="N788" s="1"/>
      <c r="O788" s="1" t="s">
        <v>30</v>
      </c>
      <c r="P788" s="1" t="s">
        <v>31</v>
      </c>
      <c r="Q788" s="1" t="s">
        <v>235</v>
      </c>
      <c r="R788" s="1" t="s">
        <v>235</v>
      </c>
      <c r="S788" s="1" t="s">
        <v>236</v>
      </c>
      <c r="T788" s="1" t="s">
        <v>237</v>
      </c>
      <c r="U788" s="1">
        <v>1.00588753E8</v>
      </c>
      <c r="X788" s="1" t="s">
        <v>239</v>
      </c>
      <c r="Y788" s="1" t="s">
        <v>2977</v>
      </c>
      <c r="Z788" s="1" t="s">
        <v>37</v>
      </c>
    </row>
    <row r="789">
      <c r="A789" s="1" t="s">
        <v>2978</v>
      </c>
      <c r="B789" s="1" t="s">
        <v>1634</v>
      </c>
      <c r="C789" s="1" t="s">
        <v>2979</v>
      </c>
      <c r="D789" s="1" t="s">
        <v>78</v>
      </c>
      <c r="E789" s="1" t="s">
        <v>28</v>
      </c>
      <c r="F789" s="2">
        <v>1446000.0</v>
      </c>
      <c r="G789" s="4">
        <v>44539.0</v>
      </c>
      <c r="H789" s="4">
        <f>IFERROR(__xludf.DUMMYFUNCTION("DATE(INDEX(SPLIT(G789,""/""),,3),INDEX(SPLIT(G789,""/""),,2),INDEX(SPLIT(G789,""/""),,1))"),44451.0)</f>
        <v>44451</v>
      </c>
      <c r="I789" s="1" t="s">
        <v>1501</v>
      </c>
      <c r="J789" s="4">
        <f>IFERROR(__xludf.DUMMYFUNCTION("DATE(INDEX(SPLIT(I789,""/""),,3),INDEX(SPLIT(I789,""/""),,2),INDEX(SPLIT(I789,""/""),,1))"),44711.0)</f>
        <v>44711</v>
      </c>
      <c r="L789" s="1">
        <v>0.0</v>
      </c>
      <c r="M789" s="1" t="s">
        <v>2980</v>
      </c>
      <c r="N789" s="1"/>
      <c r="O789" s="1" t="s">
        <v>30</v>
      </c>
      <c r="P789" s="1" t="s">
        <v>31</v>
      </c>
      <c r="Q789" s="1" t="s">
        <v>157</v>
      </c>
      <c r="R789" s="1" t="s">
        <v>157</v>
      </c>
      <c r="S789" s="1" t="s">
        <v>158</v>
      </c>
      <c r="T789" s="1" t="s">
        <v>159</v>
      </c>
      <c r="U789" s="1">
        <v>1.00608521E8</v>
      </c>
      <c r="X789" s="1" t="s">
        <v>490</v>
      </c>
      <c r="Y789" s="1" t="s">
        <v>2981</v>
      </c>
      <c r="Z789" s="1" t="s">
        <v>37</v>
      </c>
    </row>
    <row r="790">
      <c r="A790" s="1" t="s">
        <v>2982</v>
      </c>
      <c r="B790" s="1" t="s">
        <v>1838</v>
      </c>
      <c r="C790" s="1" t="s">
        <v>2983</v>
      </c>
      <c r="D790" s="1" t="s">
        <v>68</v>
      </c>
      <c r="E790" s="1" t="s">
        <v>28</v>
      </c>
      <c r="F790" s="2">
        <v>1440000.0</v>
      </c>
      <c r="G790" s="4">
        <v>44810.0</v>
      </c>
      <c r="H790" s="4">
        <f>IFERROR(__xludf.DUMMYFUNCTION("DATE(INDEX(SPLIT(G790,""/""),,3),INDEX(SPLIT(G790,""/""),,2),INDEX(SPLIT(G790,""/""),,1))"),44721.0)</f>
        <v>44721</v>
      </c>
      <c r="I790" s="1" t="s">
        <v>1442</v>
      </c>
      <c r="J790" s="4">
        <f>IFERROR(__xludf.DUMMYFUNCTION("DATE(INDEX(SPLIT(I790,""/""),,3),INDEX(SPLIT(I790,""/""),,2),INDEX(SPLIT(I790,""/""),,1))"),44727.0)</f>
        <v>44727</v>
      </c>
      <c r="L790" s="1">
        <v>0.0</v>
      </c>
      <c r="M790" s="1" t="s">
        <v>2984</v>
      </c>
      <c r="N790" s="1"/>
      <c r="O790" s="1" t="s">
        <v>30</v>
      </c>
      <c r="P790" s="1" t="s">
        <v>31</v>
      </c>
      <c r="Q790" s="1" t="s">
        <v>228</v>
      </c>
      <c r="R790" s="1" t="s">
        <v>228</v>
      </c>
      <c r="S790" s="1" t="s">
        <v>229</v>
      </c>
      <c r="U790" s="1">
        <v>1.00630016E8</v>
      </c>
      <c r="X790" s="1" t="s">
        <v>490</v>
      </c>
      <c r="Y790" s="1" t="s">
        <v>2984</v>
      </c>
      <c r="Z790" s="1" t="s">
        <v>37</v>
      </c>
    </row>
    <row r="791" hidden="1">
      <c r="A791" s="1" t="s">
        <v>2985</v>
      </c>
      <c r="B791" s="1" t="s">
        <v>2986</v>
      </c>
      <c r="C791" s="1" t="s">
        <v>2987</v>
      </c>
      <c r="D791" s="1" t="s">
        <v>78</v>
      </c>
      <c r="E791" s="1" t="s">
        <v>28</v>
      </c>
      <c r="F791" s="2">
        <v>1417000.0</v>
      </c>
      <c r="G791" s="1" t="s">
        <v>2988</v>
      </c>
      <c r="H791" s="4">
        <f>IFERROR(__xludf.DUMMYFUNCTION("DATE(INDEX(SPLIT(G791,""/""),,3),INDEX(SPLIT(G791,""/""),,2),INDEX(SPLIT(G791,""/""),,1))"),44523.0)</f>
        <v>44523</v>
      </c>
      <c r="I791" s="1" t="s">
        <v>203</v>
      </c>
      <c r="J791" s="4">
        <f>IFERROR(__xludf.DUMMYFUNCTION("DATE(INDEX(SPLIT(I791,""/""),,3),INDEX(SPLIT(I791,""/""),,2),INDEX(SPLIT(I791,""/""),,1))"),44925.0)</f>
        <v>44925</v>
      </c>
      <c r="L791" s="1">
        <v>0.0</v>
      </c>
      <c r="M791" s="1" t="s">
        <v>2989</v>
      </c>
      <c r="N791" s="1"/>
      <c r="O791" s="1" t="s">
        <v>30</v>
      </c>
      <c r="P791" s="1" t="s">
        <v>31</v>
      </c>
      <c r="Q791" s="1" t="s">
        <v>235</v>
      </c>
      <c r="R791" s="1" t="s">
        <v>235</v>
      </c>
      <c r="S791" s="1" t="s">
        <v>236</v>
      </c>
      <c r="T791" s="1" t="s">
        <v>2990</v>
      </c>
      <c r="U791" s="1">
        <v>1.00647463E8</v>
      </c>
      <c r="X791" s="1" t="s">
        <v>88</v>
      </c>
      <c r="Y791" s="1" t="s">
        <v>2989</v>
      </c>
      <c r="Z791" s="1" t="s">
        <v>37</v>
      </c>
    </row>
    <row r="792" hidden="1">
      <c r="A792" s="1" t="s">
        <v>2991</v>
      </c>
      <c r="B792" s="1" t="s">
        <v>2992</v>
      </c>
      <c r="C792" s="1" t="s">
        <v>2993</v>
      </c>
      <c r="D792" s="1" t="s">
        <v>27</v>
      </c>
      <c r="E792" s="1" t="s">
        <v>28</v>
      </c>
      <c r="F792" s="2">
        <v>1400000.0</v>
      </c>
      <c r="G792" s="1" t="s">
        <v>2994</v>
      </c>
      <c r="H792" s="4">
        <f>IFERROR(__xludf.DUMMYFUNCTION("DATE(INDEX(SPLIT(G792,""/""),,3),INDEX(SPLIT(G792,""/""),,2),INDEX(SPLIT(G792,""/""),,1))"),44310.0)</f>
        <v>44310</v>
      </c>
      <c r="I792" s="4">
        <v>44991.0</v>
      </c>
      <c r="J792" s="4">
        <f>IFERROR(__xludf.DUMMYFUNCTION("DATE(INDEX(SPLIT(I792,""/""),,3),INDEX(SPLIT(I792,""/""),,2),INDEX(SPLIT(I792,""/""),,1))"),45080.0)</f>
        <v>45080</v>
      </c>
      <c r="L792" s="1">
        <v>0.0</v>
      </c>
      <c r="M792" s="1" t="s">
        <v>2551</v>
      </c>
      <c r="N792" s="1"/>
      <c r="O792" s="1" t="s">
        <v>30</v>
      </c>
      <c r="P792" s="1" t="s">
        <v>31</v>
      </c>
      <c r="Q792" s="1" t="s">
        <v>95</v>
      </c>
      <c r="R792" s="1" t="s">
        <v>95</v>
      </c>
      <c r="S792" s="1" t="s">
        <v>96</v>
      </c>
      <c r="T792" s="1" t="s">
        <v>111</v>
      </c>
      <c r="U792" s="1">
        <v>1.00660092E8</v>
      </c>
      <c r="X792" s="1" t="s">
        <v>254</v>
      </c>
      <c r="Y792" s="1" t="s">
        <v>2551</v>
      </c>
      <c r="Z792" s="1" t="s">
        <v>37</v>
      </c>
    </row>
    <row r="793" hidden="1">
      <c r="A793" s="1" t="s">
        <v>2995</v>
      </c>
      <c r="B793" s="1" t="s">
        <v>1436</v>
      </c>
      <c r="C793" s="1" t="s">
        <v>2996</v>
      </c>
      <c r="D793" s="1" t="s">
        <v>78</v>
      </c>
      <c r="E793" s="1" t="s">
        <v>28</v>
      </c>
      <c r="F793" s="2">
        <v>1400000.0</v>
      </c>
      <c r="G793" s="4">
        <v>44657.0</v>
      </c>
      <c r="H793" s="4">
        <f>IFERROR(__xludf.DUMMYFUNCTION("DATE(INDEX(SPLIT(G793,""/""),,3),INDEX(SPLIT(G793,""/""),,2),INDEX(SPLIT(G793,""/""),,1))"),44716.0)</f>
        <v>44716</v>
      </c>
      <c r="I793" s="4">
        <v>44569.0</v>
      </c>
      <c r="J793" s="4">
        <f>IFERROR(__xludf.DUMMYFUNCTION("DATE(INDEX(SPLIT(I793,""/""),,3),INDEX(SPLIT(I793,""/""),,2),INDEX(SPLIT(I793,""/""),,1))"),44774.0)</f>
        <v>44774</v>
      </c>
      <c r="L793" s="1">
        <v>0.0</v>
      </c>
      <c r="M793" s="1" t="s">
        <v>1741</v>
      </c>
      <c r="N793" s="1"/>
      <c r="O793" s="1" t="s">
        <v>30</v>
      </c>
      <c r="P793" s="1" t="s">
        <v>31</v>
      </c>
      <c r="Q793" s="1" t="s">
        <v>32</v>
      </c>
      <c r="R793" s="1" t="s">
        <v>32</v>
      </c>
      <c r="S793" s="1" t="s">
        <v>33</v>
      </c>
      <c r="U793" s="1">
        <v>1.00645852E8</v>
      </c>
      <c r="X793" s="1" t="s">
        <v>410</v>
      </c>
      <c r="Y793" s="1" t="s">
        <v>2997</v>
      </c>
      <c r="Z793" s="1" t="s">
        <v>37</v>
      </c>
    </row>
    <row r="794" hidden="1">
      <c r="A794" s="1" t="s">
        <v>2998</v>
      </c>
      <c r="B794" s="1" t="s">
        <v>2999</v>
      </c>
      <c r="C794" s="1" t="s">
        <v>3000</v>
      </c>
      <c r="D794" s="1" t="s">
        <v>78</v>
      </c>
      <c r="E794" s="1" t="s">
        <v>28</v>
      </c>
      <c r="F794" s="2">
        <v>1400000.0</v>
      </c>
      <c r="G794" s="4">
        <v>44684.0</v>
      </c>
      <c r="H794" s="4">
        <f>IFERROR(__xludf.DUMMYFUNCTION("DATE(INDEX(SPLIT(G794,""/""),,3),INDEX(SPLIT(G794,""/""),,2),INDEX(SPLIT(G794,""/""),,1))"),44625.0)</f>
        <v>44625</v>
      </c>
      <c r="I794" s="4">
        <v>44930.0</v>
      </c>
      <c r="J794" s="4">
        <f>IFERROR(__xludf.DUMMYFUNCTION("DATE(INDEX(SPLIT(I794,""/""),,3),INDEX(SPLIT(I794,""/""),,2),INDEX(SPLIT(I794,""/""),,1))"),45017.0)</f>
        <v>45017</v>
      </c>
      <c r="L794" s="1">
        <v>0.0</v>
      </c>
      <c r="M794" s="1" t="s">
        <v>1194</v>
      </c>
      <c r="N794" s="1"/>
      <c r="O794" s="1" t="s">
        <v>30</v>
      </c>
      <c r="P794" s="1" t="s">
        <v>31</v>
      </c>
      <c r="Q794" s="1" t="s">
        <v>32</v>
      </c>
      <c r="R794" s="1" t="s">
        <v>32</v>
      </c>
      <c r="S794" s="1" t="s">
        <v>33</v>
      </c>
      <c r="T794" s="1" t="s">
        <v>1195</v>
      </c>
      <c r="U794" s="1">
        <v>1.00586863E8</v>
      </c>
      <c r="X794" s="1" t="s">
        <v>490</v>
      </c>
      <c r="Y794" s="1" t="s">
        <v>1196</v>
      </c>
      <c r="Z794" s="1" t="s">
        <v>37</v>
      </c>
    </row>
    <row r="795" hidden="1">
      <c r="A795" s="1" t="s">
        <v>3001</v>
      </c>
      <c r="B795" s="1" t="s">
        <v>66</v>
      </c>
      <c r="C795" s="1" t="s">
        <v>3002</v>
      </c>
      <c r="D795" s="1" t="s">
        <v>27</v>
      </c>
      <c r="E795" s="1" t="s">
        <v>28</v>
      </c>
      <c r="F795" s="2">
        <v>1400000.0</v>
      </c>
      <c r="G795" s="1" t="s">
        <v>3003</v>
      </c>
      <c r="H795" s="4">
        <f>IFERROR(__xludf.DUMMYFUNCTION("DATE(INDEX(SPLIT(G795,""/""),,3),INDEX(SPLIT(G795,""/""),,2),INDEX(SPLIT(G795,""/""),,1))"),44216.0)</f>
        <v>44216</v>
      </c>
      <c r="I795" s="1" t="s">
        <v>625</v>
      </c>
      <c r="J795" s="4">
        <f>IFERROR(__xludf.DUMMYFUNCTION("DATE(INDEX(SPLIT(I795,""/""),,3),INDEX(SPLIT(I795,""/""),,2),INDEX(SPLIT(I795,""/""),,1))"),44848.0)</f>
        <v>44848</v>
      </c>
      <c r="L795" s="1">
        <v>0.0</v>
      </c>
      <c r="M795" s="1" t="s">
        <v>318</v>
      </c>
      <c r="N795" s="1"/>
      <c r="O795" s="1" t="s">
        <v>30</v>
      </c>
      <c r="P795" s="1" t="s">
        <v>31</v>
      </c>
      <c r="Q795" s="1" t="s">
        <v>71</v>
      </c>
      <c r="R795" s="1" t="s">
        <v>71</v>
      </c>
      <c r="S795" s="1" t="s">
        <v>72</v>
      </c>
      <c r="T795" s="1" t="s">
        <v>73</v>
      </c>
      <c r="U795" s="1">
        <v>1.00654705E8</v>
      </c>
      <c r="X795" s="1" t="s">
        <v>74</v>
      </c>
      <c r="Y795" s="1" t="s">
        <v>318</v>
      </c>
      <c r="Z795" s="1" t="s">
        <v>37</v>
      </c>
    </row>
    <row r="796" hidden="1">
      <c r="A796" s="1" t="s">
        <v>3004</v>
      </c>
      <c r="B796" s="1" t="s">
        <v>3005</v>
      </c>
      <c r="C796" s="1" t="s">
        <v>3006</v>
      </c>
      <c r="D796" s="1" t="s">
        <v>78</v>
      </c>
      <c r="E796" s="1" t="s">
        <v>28</v>
      </c>
      <c r="F796" s="2">
        <v>1400000.0</v>
      </c>
      <c r="G796" s="1" t="s">
        <v>1551</v>
      </c>
      <c r="H796" s="4">
        <f>IFERROR(__xludf.DUMMYFUNCTION("DATE(INDEX(SPLIT(G796,""/""),,3),INDEX(SPLIT(G796,""/""),,2),INDEX(SPLIT(G796,""/""),,1))"),44618.0)</f>
        <v>44618</v>
      </c>
      <c r="I796" s="1" t="s">
        <v>215</v>
      </c>
      <c r="J796" s="4">
        <f>IFERROR(__xludf.DUMMYFUNCTION("DATE(INDEX(SPLIT(I796,""/""),,3),INDEX(SPLIT(I796,""/""),,2),INDEX(SPLIT(I796,""/""),,1))"),45093.0)</f>
        <v>45093</v>
      </c>
      <c r="L796" s="1">
        <v>0.0</v>
      </c>
      <c r="M796" s="1" t="s">
        <v>1194</v>
      </c>
      <c r="N796" s="1"/>
      <c r="O796" s="1" t="s">
        <v>30</v>
      </c>
      <c r="P796" s="1" t="s">
        <v>31</v>
      </c>
      <c r="Q796" s="1" t="s">
        <v>32</v>
      </c>
      <c r="R796" s="1" t="s">
        <v>32</v>
      </c>
      <c r="S796" s="1" t="s">
        <v>33</v>
      </c>
      <c r="T796" s="1" t="s">
        <v>1195</v>
      </c>
      <c r="U796" s="1">
        <v>1.00586863E8</v>
      </c>
      <c r="X796" s="1" t="s">
        <v>490</v>
      </c>
      <c r="Y796" s="1" t="s">
        <v>1196</v>
      </c>
      <c r="Z796" s="1" t="s">
        <v>37</v>
      </c>
    </row>
    <row r="797" hidden="1">
      <c r="A797" s="1" t="s">
        <v>3007</v>
      </c>
      <c r="B797" s="1" t="s">
        <v>3008</v>
      </c>
      <c r="C797" s="1" t="s">
        <v>3009</v>
      </c>
      <c r="D797" s="1" t="s">
        <v>78</v>
      </c>
      <c r="E797" s="1" t="s">
        <v>28</v>
      </c>
      <c r="F797" s="2">
        <v>1400000.0</v>
      </c>
      <c r="G797" s="1" t="s">
        <v>1551</v>
      </c>
      <c r="H797" s="4">
        <f>IFERROR(__xludf.DUMMYFUNCTION("DATE(INDEX(SPLIT(G797,""/""),,3),INDEX(SPLIT(G797,""/""),,2),INDEX(SPLIT(G797,""/""),,1))"),44618.0)</f>
        <v>44618</v>
      </c>
      <c r="I797" s="1" t="s">
        <v>102</v>
      </c>
      <c r="J797" s="4">
        <f>IFERROR(__xludf.DUMMYFUNCTION("DATE(INDEX(SPLIT(I797,""/""),,3),INDEX(SPLIT(I797,""/""),,2),INDEX(SPLIT(I797,""/""),,1))"),45046.0)</f>
        <v>45046</v>
      </c>
      <c r="L797" s="1">
        <v>0.0</v>
      </c>
      <c r="M797" s="1" t="s">
        <v>1194</v>
      </c>
      <c r="N797" s="1"/>
      <c r="O797" s="1" t="s">
        <v>30</v>
      </c>
      <c r="P797" s="1" t="s">
        <v>31</v>
      </c>
      <c r="Q797" s="1" t="s">
        <v>32</v>
      </c>
      <c r="R797" s="1" t="s">
        <v>32</v>
      </c>
      <c r="S797" s="1" t="s">
        <v>33</v>
      </c>
      <c r="T797" s="1" t="s">
        <v>1195</v>
      </c>
      <c r="U797" s="1">
        <v>1.00586863E8</v>
      </c>
      <c r="X797" s="1" t="s">
        <v>490</v>
      </c>
      <c r="Y797" s="1" t="s">
        <v>1196</v>
      </c>
      <c r="Z797" s="1" t="s">
        <v>37</v>
      </c>
    </row>
    <row r="798">
      <c r="A798" s="1" t="s">
        <v>3010</v>
      </c>
      <c r="B798" s="1" t="s">
        <v>120</v>
      </c>
      <c r="C798" s="1" t="s">
        <v>3011</v>
      </c>
      <c r="D798" s="1" t="s">
        <v>78</v>
      </c>
      <c r="E798" s="1" t="s">
        <v>28</v>
      </c>
      <c r="F798" s="2">
        <v>1400000.0</v>
      </c>
      <c r="G798" s="4">
        <v>44840.0</v>
      </c>
      <c r="H798" s="4">
        <f>IFERROR(__xludf.DUMMYFUNCTION("DATE(INDEX(SPLIT(G798,""/""),,3),INDEX(SPLIT(G798,""/""),,2),INDEX(SPLIT(G798,""/""),,1))"),44722.0)</f>
        <v>44722</v>
      </c>
      <c r="I798" s="1" t="s">
        <v>226</v>
      </c>
      <c r="J798" s="4">
        <f>IFERROR(__xludf.DUMMYFUNCTION("DATE(INDEX(SPLIT(I798,""/""),,3),INDEX(SPLIT(I798,""/""),,2),INDEX(SPLIT(I798,""/""),,1))"),44771.0)</f>
        <v>44771</v>
      </c>
      <c r="L798" s="1">
        <v>0.0</v>
      </c>
      <c r="M798" s="1" t="s">
        <v>3012</v>
      </c>
      <c r="N798" s="1"/>
      <c r="O798" s="1" t="s">
        <v>30</v>
      </c>
      <c r="P798" s="1" t="s">
        <v>31</v>
      </c>
      <c r="Q798" s="1" t="s">
        <v>188</v>
      </c>
      <c r="R798" s="1" t="s">
        <v>188</v>
      </c>
      <c r="S798" s="1" t="s">
        <v>189</v>
      </c>
      <c r="U798" s="1">
        <v>1.00621746E8</v>
      </c>
      <c r="X798" s="1" t="s">
        <v>125</v>
      </c>
      <c r="Y798" s="1" t="s">
        <v>3012</v>
      </c>
      <c r="Z798" s="1" t="s">
        <v>37</v>
      </c>
    </row>
    <row r="799">
      <c r="A799" s="1" t="s">
        <v>3013</v>
      </c>
      <c r="B799" s="1" t="s">
        <v>3014</v>
      </c>
      <c r="C799" s="1" t="s">
        <v>3015</v>
      </c>
      <c r="D799" s="1" t="s">
        <v>122</v>
      </c>
      <c r="E799" s="1" t="s">
        <v>28</v>
      </c>
      <c r="F799" s="2">
        <v>1400000.0</v>
      </c>
      <c r="G799" s="4">
        <v>43620.0</v>
      </c>
      <c r="H799" s="4">
        <f>IFERROR(__xludf.DUMMYFUNCTION("DATE(INDEX(SPLIT(G799,""/""),,3),INDEX(SPLIT(G799,""/""),,2),INDEX(SPLIT(G799,""/""),,1))"),43561.0)</f>
        <v>43561</v>
      </c>
      <c r="I799" s="1" t="s">
        <v>226</v>
      </c>
      <c r="J799" s="4">
        <f>IFERROR(__xludf.DUMMYFUNCTION("DATE(INDEX(SPLIT(I799,""/""),,3),INDEX(SPLIT(I799,""/""),,2),INDEX(SPLIT(I799,""/""),,1))"),44771.0)</f>
        <v>44771</v>
      </c>
      <c r="L799" s="1">
        <v>0.0</v>
      </c>
      <c r="M799" s="1" t="s">
        <v>2696</v>
      </c>
      <c r="N799" s="1"/>
      <c r="O799" s="1" t="s">
        <v>30</v>
      </c>
      <c r="P799" s="1" t="s">
        <v>31</v>
      </c>
      <c r="Q799" s="1" t="s">
        <v>157</v>
      </c>
      <c r="R799" s="1" t="s">
        <v>157</v>
      </c>
      <c r="S799" s="1" t="s">
        <v>158</v>
      </c>
      <c r="T799" s="1" t="s">
        <v>402</v>
      </c>
      <c r="U799" s="1">
        <v>1.00611351E8</v>
      </c>
      <c r="X799" s="1" t="s">
        <v>781</v>
      </c>
      <c r="Y799" s="1" t="s">
        <v>3016</v>
      </c>
      <c r="Z799" s="1" t="s">
        <v>37</v>
      </c>
    </row>
    <row r="800" hidden="1">
      <c r="A800" s="1" t="s">
        <v>3017</v>
      </c>
      <c r="B800" s="1" t="s">
        <v>666</v>
      </c>
      <c r="C800" s="1" t="s">
        <v>3018</v>
      </c>
      <c r="D800" s="1" t="s">
        <v>27</v>
      </c>
      <c r="E800" s="1" t="s">
        <v>28</v>
      </c>
      <c r="F800" s="2">
        <v>1400000.0</v>
      </c>
      <c r="G800" s="1" t="s">
        <v>2629</v>
      </c>
      <c r="H800" s="4">
        <f>IFERROR(__xludf.DUMMYFUNCTION("DATE(INDEX(SPLIT(G800,""/""),,3),INDEX(SPLIT(G800,""/""),,2),INDEX(SPLIT(G800,""/""),,1))"),44651.0)</f>
        <v>44651</v>
      </c>
      <c r="I800" s="4">
        <v>44601.0</v>
      </c>
      <c r="J800" s="4">
        <f>IFERROR(__xludf.DUMMYFUNCTION("DATE(INDEX(SPLIT(I800,""/""),,3),INDEX(SPLIT(I800,""/""),,2),INDEX(SPLIT(I800,""/""),,1))"),44806.0)</f>
        <v>44806</v>
      </c>
      <c r="L800" s="1">
        <v>0.0</v>
      </c>
      <c r="M800" s="1" t="s">
        <v>166</v>
      </c>
      <c r="N800" s="1"/>
      <c r="O800" s="1" t="s">
        <v>30</v>
      </c>
      <c r="P800" s="1" t="s">
        <v>31</v>
      </c>
      <c r="Q800" s="1" t="s">
        <v>53</v>
      </c>
      <c r="R800" s="1" t="s">
        <v>53</v>
      </c>
      <c r="S800" s="1" t="s">
        <v>54</v>
      </c>
      <c r="T800" s="1" t="s">
        <v>34</v>
      </c>
      <c r="U800" s="1">
        <v>1.00651094E8</v>
      </c>
      <c r="X800" s="1" t="s">
        <v>35</v>
      </c>
      <c r="Y800" s="1" t="s">
        <v>1910</v>
      </c>
      <c r="Z800" s="1" t="s">
        <v>37</v>
      </c>
    </row>
    <row r="801" hidden="1">
      <c r="A801" s="1" t="s">
        <v>3019</v>
      </c>
      <c r="B801" s="1" t="s">
        <v>3020</v>
      </c>
      <c r="C801" s="1" t="s">
        <v>3021</v>
      </c>
      <c r="D801" s="1" t="s">
        <v>78</v>
      </c>
      <c r="E801" s="1" t="s">
        <v>28</v>
      </c>
      <c r="F801" s="2">
        <v>1400000.0</v>
      </c>
      <c r="G801" s="4">
        <v>44684.0</v>
      </c>
      <c r="H801" s="4">
        <f>IFERROR(__xludf.DUMMYFUNCTION("DATE(INDEX(SPLIT(G801,""/""),,3),INDEX(SPLIT(G801,""/""),,2),INDEX(SPLIT(G801,""/""),,1))"),44625.0)</f>
        <v>44625</v>
      </c>
      <c r="I801" s="1" t="s">
        <v>102</v>
      </c>
      <c r="J801" s="4">
        <f>IFERROR(__xludf.DUMMYFUNCTION("DATE(INDEX(SPLIT(I801,""/""),,3),INDEX(SPLIT(I801,""/""),,2),INDEX(SPLIT(I801,""/""),,1))"),45046.0)</f>
        <v>45046</v>
      </c>
      <c r="L801" s="1">
        <v>0.0</v>
      </c>
      <c r="M801" s="1" t="s">
        <v>1194</v>
      </c>
      <c r="N801" s="1"/>
      <c r="O801" s="1" t="s">
        <v>30</v>
      </c>
      <c r="P801" s="1" t="s">
        <v>31</v>
      </c>
      <c r="Q801" s="1" t="s">
        <v>32</v>
      </c>
      <c r="R801" s="1" t="s">
        <v>32</v>
      </c>
      <c r="S801" s="1" t="s">
        <v>33</v>
      </c>
      <c r="T801" s="1" t="s">
        <v>1195</v>
      </c>
      <c r="U801" s="1">
        <v>1.00586863E8</v>
      </c>
      <c r="X801" s="1" t="s">
        <v>490</v>
      </c>
      <c r="Y801" s="1" t="s">
        <v>1196</v>
      </c>
      <c r="Z801" s="1" t="s">
        <v>37</v>
      </c>
    </row>
    <row r="802" hidden="1">
      <c r="A802" s="1" t="s">
        <v>3022</v>
      </c>
      <c r="B802" s="1" t="s">
        <v>3023</v>
      </c>
      <c r="C802" s="1" t="s">
        <v>3024</v>
      </c>
      <c r="D802" s="1" t="s">
        <v>78</v>
      </c>
      <c r="E802" s="1" t="s">
        <v>28</v>
      </c>
      <c r="F802" s="2">
        <v>1400000.0</v>
      </c>
      <c r="G802" s="4">
        <v>44684.0</v>
      </c>
      <c r="H802" s="4">
        <f>IFERROR(__xludf.DUMMYFUNCTION("DATE(INDEX(SPLIT(G802,""/""),,3),INDEX(SPLIT(G802,""/""),,2),INDEX(SPLIT(G802,""/""),,1))"),44625.0)</f>
        <v>44625</v>
      </c>
      <c r="I802" s="4">
        <v>44932.0</v>
      </c>
      <c r="J802" s="4">
        <f>IFERROR(__xludf.DUMMYFUNCTION("DATE(INDEX(SPLIT(I802,""/""),,3),INDEX(SPLIT(I802,""/""),,2),INDEX(SPLIT(I802,""/""),,1))"),45078.0)</f>
        <v>45078</v>
      </c>
      <c r="L802" s="1">
        <v>0.0</v>
      </c>
      <c r="M802" s="1" t="s">
        <v>1194</v>
      </c>
      <c r="N802" s="1"/>
      <c r="O802" s="1" t="s">
        <v>30</v>
      </c>
      <c r="P802" s="1" t="s">
        <v>31</v>
      </c>
      <c r="Q802" s="1" t="s">
        <v>32</v>
      </c>
      <c r="R802" s="1" t="s">
        <v>32</v>
      </c>
      <c r="S802" s="1" t="s">
        <v>33</v>
      </c>
      <c r="T802" s="1" t="s">
        <v>1195</v>
      </c>
      <c r="U802" s="1">
        <v>1.00586863E8</v>
      </c>
      <c r="X802" s="1" t="s">
        <v>490</v>
      </c>
      <c r="Y802" s="1" t="s">
        <v>1196</v>
      </c>
      <c r="Z802" s="1" t="s">
        <v>37</v>
      </c>
    </row>
    <row r="803" hidden="1">
      <c r="A803" s="1" t="s">
        <v>3025</v>
      </c>
      <c r="B803" s="1" t="s">
        <v>3026</v>
      </c>
      <c r="C803" s="1" t="s">
        <v>3027</v>
      </c>
      <c r="D803" s="1" t="s">
        <v>78</v>
      </c>
      <c r="E803" s="1" t="s">
        <v>28</v>
      </c>
      <c r="F803" s="2">
        <v>1400000.0</v>
      </c>
      <c r="G803" s="4">
        <v>44684.0</v>
      </c>
      <c r="H803" s="4">
        <f>IFERROR(__xludf.DUMMYFUNCTION("DATE(INDEX(SPLIT(G803,""/""),,3),INDEX(SPLIT(G803,""/""),,2),INDEX(SPLIT(G803,""/""),,1))"),44625.0)</f>
        <v>44625</v>
      </c>
      <c r="I803" s="4">
        <v>44931.0</v>
      </c>
      <c r="J803" s="4">
        <f>IFERROR(__xludf.DUMMYFUNCTION("DATE(INDEX(SPLIT(I803,""/""),,3),INDEX(SPLIT(I803,""/""),,2),INDEX(SPLIT(I803,""/""),,1))"),45047.0)</f>
        <v>45047</v>
      </c>
      <c r="L803" s="1">
        <v>0.0</v>
      </c>
      <c r="M803" s="1" t="s">
        <v>1194</v>
      </c>
      <c r="N803" s="1"/>
      <c r="O803" s="1" t="s">
        <v>30</v>
      </c>
      <c r="P803" s="1" t="s">
        <v>31</v>
      </c>
      <c r="Q803" s="1" t="s">
        <v>32</v>
      </c>
      <c r="R803" s="1" t="s">
        <v>32</v>
      </c>
      <c r="S803" s="1" t="s">
        <v>33</v>
      </c>
      <c r="T803" s="1" t="s">
        <v>1195</v>
      </c>
      <c r="U803" s="1">
        <v>1.00586863E8</v>
      </c>
      <c r="X803" s="1" t="s">
        <v>490</v>
      </c>
      <c r="Y803" s="1" t="s">
        <v>1196</v>
      </c>
      <c r="Z803" s="1" t="s">
        <v>37</v>
      </c>
    </row>
    <row r="804" hidden="1">
      <c r="A804" s="1" t="s">
        <v>3028</v>
      </c>
      <c r="B804" s="1" t="s">
        <v>1748</v>
      </c>
      <c r="C804" s="1" t="s">
        <v>3029</v>
      </c>
      <c r="D804" s="1" t="s">
        <v>122</v>
      </c>
      <c r="E804" s="1" t="s">
        <v>28</v>
      </c>
      <c r="F804" s="2">
        <v>1400000.0</v>
      </c>
      <c r="G804" s="1" t="s">
        <v>298</v>
      </c>
      <c r="H804" s="4">
        <f>IFERROR(__xludf.DUMMYFUNCTION("DATE(INDEX(SPLIT(G804,""/""),,3),INDEX(SPLIT(G804,""/""),,2),INDEX(SPLIT(G804,""/""),,1))"),44762.0)</f>
        <v>44762</v>
      </c>
      <c r="I804" s="4">
        <v>44903.0</v>
      </c>
      <c r="J804" s="4">
        <f>IFERROR(__xludf.DUMMYFUNCTION("DATE(INDEX(SPLIT(I804,""/""),,3),INDEX(SPLIT(I804,""/""),,2),INDEX(SPLIT(I804,""/""),,1))"),44785.0)</f>
        <v>44785</v>
      </c>
      <c r="L804" s="1">
        <v>0.0</v>
      </c>
      <c r="M804" s="1" t="s">
        <v>1944</v>
      </c>
      <c r="N804" s="1"/>
      <c r="O804" s="1" t="s">
        <v>30</v>
      </c>
      <c r="P804" s="1" t="s">
        <v>31</v>
      </c>
      <c r="Q804" s="1" t="s">
        <v>235</v>
      </c>
      <c r="R804" s="1" t="s">
        <v>235</v>
      </c>
      <c r="S804" s="1" t="s">
        <v>236</v>
      </c>
      <c r="T804" s="1" t="s">
        <v>753</v>
      </c>
      <c r="U804" s="1">
        <v>1.00628186E8</v>
      </c>
      <c r="X804" s="1" t="s">
        <v>88</v>
      </c>
      <c r="Y804" s="1" t="s">
        <v>3030</v>
      </c>
      <c r="Z804" s="1" t="s">
        <v>37</v>
      </c>
    </row>
    <row r="805" hidden="1">
      <c r="A805" s="1" t="s">
        <v>3031</v>
      </c>
      <c r="B805" s="1" t="s">
        <v>3032</v>
      </c>
      <c r="C805" s="1" t="s">
        <v>3033</v>
      </c>
      <c r="D805" s="1" t="s">
        <v>27</v>
      </c>
      <c r="E805" s="1" t="s">
        <v>28</v>
      </c>
      <c r="F805" s="2">
        <v>1400000.0</v>
      </c>
      <c r="G805" s="1" t="s">
        <v>3034</v>
      </c>
      <c r="H805" s="4">
        <f>IFERROR(__xludf.DUMMYFUNCTION("DATE(INDEX(SPLIT(G805,""/""),,3),INDEX(SPLIT(G805,""/""),,2),INDEX(SPLIT(G805,""/""),,1))"),44376.0)</f>
        <v>44376</v>
      </c>
      <c r="I805" s="1" t="s">
        <v>85</v>
      </c>
      <c r="J805" s="4">
        <f>IFERROR(__xludf.DUMMYFUNCTION("DATE(INDEX(SPLIT(I805,""/""),,3),INDEX(SPLIT(I805,""/""),,2),INDEX(SPLIT(I805,""/""),,1))"),44799.0)</f>
        <v>44799</v>
      </c>
      <c r="L805" s="1">
        <v>0.0</v>
      </c>
      <c r="M805" s="1" t="s">
        <v>1348</v>
      </c>
      <c r="N805" s="1"/>
      <c r="O805" s="1" t="s">
        <v>30</v>
      </c>
      <c r="P805" s="1" t="s">
        <v>31</v>
      </c>
      <c r="Q805" s="1" t="s">
        <v>235</v>
      </c>
      <c r="R805" s="1" t="s">
        <v>235</v>
      </c>
      <c r="S805" s="1" t="s">
        <v>236</v>
      </c>
      <c r="T805" s="1" t="s">
        <v>1349</v>
      </c>
      <c r="U805" s="1">
        <v>1.00660608E8</v>
      </c>
      <c r="X805" s="1" t="s">
        <v>609</v>
      </c>
      <c r="Y805" s="1" t="s">
        <v>1348</v>
      </c>
      <c r="Z805" s="1" t="s">
        <v>37</v>
      </c>
    </row>
    <row r="806" hidden="1">
      <c r="A806" s="1" t="s">
        <v>3035</v>
      </c>
      <c r="B806" s="1" t="s">
        <v>1445</v>
      </c>
      <c r="C806" s="1" t="s">
        <v>3036</v>
      </c>
      <c r="D806" s="1" t="s">
        <v>78</v>
      </c>
      <c r="E806" s="1" t="s">
        <v>28</v>
      </c>
      <c r="F806" s="2">
        <v>1375000.0</v>
      </c>
      <c r="G806" s="1" t="s">
        <v>3037</v>
      </c>
      <c r="H806" s="4">
        <f>IFERROR(__xludf.DUMMYFUNCTION("DATE(INDEX(SPLIT(G806,""/""),,3),INDEX(SPLIT(G806,""/""),,2),INDEX(SPLIT(G806,""/""),,1))"),44487.0)</f>
        <v>44487</v>
      </c>
      <c r="I806" s="4">
        <v>44927.0</v>
      </c>
      <c r="J806" s="4">
        <f>IFERROR(__xludf.DUMMYFUNCTION("DATE(INDEX(SPLIT(I806,""/""),,3),INDEX(SPLIT(I806,""/""),,2),INDEX(SPLIT(I806,""/""),,1))"),44927.0)</f>
        <v>44927</v>
      </c>
      <c r="L806" s="1">
        <v>0.0</v>
      </c>
      <c r="M806" s="1" t="s">
        <v>419</v>
      </c>
      <c r="N806" s="1"/>
      <c r="O806" s="1" t="s">
        <v>30</v>
      </c>
      <c r="P806" s="1" t="s">
        <v>31</v>
      </c>
      <c r="Q806" s="1" t="s">
        <v>71</v>
      </c>
      <c r="R806" s="1" t="s">
        <v>71</v>
      </c>
      <c r="S806" s="1" t="s">
        <v>72</v>
      </c>
      <c r="T806" s="1" t="s">
        <v>136</v>
      </c>
      <c r="U806" s="1">
        <v>1.0061032E8</v>
      </c>
      <c r="X806" s="1" t="s">
        <v>74</v>
      </c>
      <c r="Y806" s="1" t="s">
        <v>3038</v>
      </c>
      <c r="Z806" s="1" t="s">
        <v>37</v>
      </c>
    </row>
    <row r="807" hidden="1">
      <c r="A807" s="1" t="s">
        <v>3039</v>
      </c>
      <c r="B807" s="1" t="s">
        <v>3040</v>
      </c>
      <c r="C807" s="1" t="s">
        <v>3041</v>
      </c>
      <c r="D807" s="1" t="s">
        <v>78</v>
      </c>
      <c r="E807" s="1" t="s">
        <v>28</v>
      </c>
      <c r="F807" s="2">
        <v>1350000.0</v>
      </c>
      <c r="G807" s="1" t="s">
        <v>185</v>
      </c>
      <c r="H807" s="4">
        <f>IFERROR(__xludf.DUMMYFUNCTION("DATE(INDEX(SPLIT(G807,""/""),,3),INDEX(SPLIT(G807,""/""),,2),INDEX(SPLIT(G807,""/""),,1))"),44741.0)</f>
        <v>44741</v>
      </c>
      <c r="I807" s="4">
        <v>44689.0</v>
      </c>
      <c r="J807" s="4">
        <f>IFERROR(__xludf.DUMMYFUNCTION("DATE(INDEX(SPLIT(I807,""/""),,3),INDEX(SPLIT(I807,""/""),,2),INDEX(SPLIT(I807,""/""),,1))"),44778.0)</f>
        <v>44778</v>
      </c>
      <c r="L807" s="1">
        <v>0.0</v>
      </c>
      <c r="M807" s="1" t="s">
        <v>3042</v>
      </c>
      <c r="N807" s="1"/>
      <c r="O807" s="1" t="s">
        <v>30</v>
      </c>
      <c r="P807" s="1" t="s">
        <v>31</v>
      </c>
      <c r="Q807" s="1" t="s">
        <v>157</v>
      </c>
      <c r="R807" s="1" t="s">
        <v>157</v>
      </c>
      <c r="S807" s="1" t="s">
        <v>158</v>
      </c>
      <c r="U807" s="1">
        <v>1.00649928E8</v>
      </c>
      <c r="X807" s="1" t="s">
        <v>125</v>
      </c>
      <c r="Y807" s="1" t="s">
        <v>3042</v>
      </c>
      <c r="Z807" s="1" t="s">
        <v>37</v>
      </c>
    </row>
    <row r="808">
      <c r="A808" s="1" t="s">
        <v>3043</v>
      </c>
      <c r="B808" s="1" t="s">
        <v>3044</v>
      </c>
      <c r="C808" s="1" t="s">
        <v>3045</v>
      </c>
      <c r="D808" s="1" t="s">
        <v>68</v>
      </c>
      <c r="E808" s="1" t="s">
        <v>28</v>
      </c>
      <c r="F808" s="2">
        <v>1345500.0</v>
      </c>
      <c r="G808" s="4">
        <v>44653.0</v>
      </c>
      <c r="H808" s="4">
        <f>IFERROR(__xludf.DUMMYFUNCTION("DATE(INDEX(SPLIT(G808,""/""),,3),INDEX(SPLIT(G808,""/""),,2),INDEX(SPLIT(G808,""/""),,1))"),44596.0)</f>
        <v>44596</v>
      </c>
      <c r="I808" s="4">
        <v>44688.0</v>
      </c>
      <c r="J808" s="4">
        <f>IFERROR(__xludf.DUMMYFUNCTION("DATE(INDEX(SPLIT(I808,""/""),,3),INDEX(SPLIT(I808,""/""),,2),INDEX(SPLIT(I808,""/""),,1))"),44747.0)</f>
        <v>44747</v>
      </c>
      <c r="L808" s="1">
        <v>0.0</v>
      </c>
      <c r="M808" s="1" t="s">
        <v>3046</v>
      </c>
      <c r="N808" s="1"/>
      <c r="O808" s="1" t="s">
        <v>30</v>
      </c>
      <c r="P808" s="1" t="s">
        <v>31</v>
      </c>
      <c r="Q808" s="1" t="s">
        <v>228</v>
      </c>
      <c r="R808" s="1" t="s">
        <v>228</v>
      </c>
      <c r="S808" s="1" t="s">
        <v>229</v>
      </c>
      <c r="U808" s="1">
        <v>1.00619685E8</v>
      </c>
      <c r="X808" s="1" t="s">
        <v>63</v>
      </c>
      <c r="Y808" s="1" t="s">
        <v>3047</v>
      </c>
      <c r="Z808" s="1" t="s">
        <v>206</v>
      </c>
    </row>
    <row r="809">
      <c r="A809" s="1" t="s">
        <v>3048</v>
      </c>
      <c r="B809" s="1" t="s">
        <v>501</v>
      </c>
      <c r="C809" s="1" t="s">
        <v>506</v>
      </c>
      <c r="D809" s="1" t="s">
        <v>122</v>
      </c>
      <c r="E809" s="1" t="s">
        <v>28</v>
      </c>
      <c r="F809" s="2">
        <v>1325000.0</v>
      </c>
      <c r="G809" s="1" t="s">
        <v>164</v>
      </c>
      <c r="H809" s="4">
        <f>IFERROR(__xludf.DUMMYFUNCTION("DATE(INDEX(SPLIT(G809,""/""),,3),INDEX(SPLIT(G809,""/""),,2),INDEX(SPLIT(G809,""/""),,1))"),44706.0)</f>
        <v>44706</v>
      </c>
      <c r="I809" s="1" t="s">
        <v>226</v>
      </c>
      <c r="J809" s="4">
        <f>IFERROR(__xludf.DUMMYFUNCTION("DATE(INDEX(SPLIT(I809,""/""),,3),INDEX(SPLIT(I809,""/""),,2),INDEX(SPLIT(I809,""/""),,1))"),44771.0)</f>
        <v>44771</v>
      </c>
      <c r="L809" s="1">
        <v>0.0</v>
      </c>
      <c r="M809" s="1" t="s">
        <v>504</v>
      </c>
      <c r="N809" s="1"/>
      <c r="O809" s="1" t="s">
        <v>30</v>
      </c>
      <c r="P809" s="1" t="s">
        <v>31</v>
      </c>
      <c r="Q809" s="1" t="s">
        <v>228</v>
      </c>
      <c r="R809" s="1" t="s">
        <v>228</v>
      </c>
      <c r="S809" s="1" t="s">
        <v>229</v>
      </c>
      <c r="T809" s="1" t="s">
        <v>505</v>
      </c>
      <c r="U809" s="1">
        <v>1.00901211E8</v>
      </c>
      <c r="W809" s="1" t="s">
        <v>56</v>
      </c>
      <c r="X809" s="1" t="s">
        <v>410</v>
      </c>
      <c r="Y809" s="1" t="s">
        <v>3049</v>
      </c>
      <c r="Z809" s="1" t="s">
        <v>37</v>
      </c>
    </row>
    <row r="810" hidden="1">
      <c r="A810" s="1" t="s">
        <v>3050</v>
      </c>
      <c r="B810" s="1" t="s">
        <v>1479</v>
      </c>
      <c r="C810" s="1" t="s">
        <v>3051</v>
      </c>
      <c r="D810" s="1" t="s">
        <v>122</v>
      </c>
      <c r="E810" s="1" t="s">
        <v>28</v>
      </c>
      <c r="F810" s="2">
        <v>1304000.0</v>
      </c>
      <c r="G810" s="1" t="s">
        <v>271</v>
      </c>
      <c r="H810" s="4">
        <f>IFERROR(__xludf.DUMMYFUNCTION("DATE(INDEX(SPLIT(G810,""/""),,3),INDEX(SPLIT(G810,""/""),,2),INDEX(SPLIT(G810,""/""),,1))"),44680.0)</f>
        <v>44680</v>
      </c>
      <c r="I810" s="4">
        <v>44689.0</v>
      </c>
      <c r="J810" s="4">
        <f>IFERROR(__xludf.DUMMYFUNCTION("DATE(INDEX(SPLIT(I810,""/""),,3),INDEX(SPLIT(I810,""/""),,2),INDEX(SPLIT(I810,""/""),,1))"),44778.0)</f>
        <v>44778</v>
      </c>
      <c r="L810" s="1">
        <v>0.0</v>
      </c>
      <c r="M810" s="1" t="s">
        <v>3052</v>
      </c>
      <c r="N810" s="1"/>
      <c r="O810" s="1" t="s">
        <v>30</v>
      </c>
      <c r="P810" s="1" t="s">
        <v>31</v>
      </c>
      <c r="Q810" s="1" t="s">
        <v>32</v>
      </c>
      <c r="R810" s="1" t="s">
        <v>32</v>
      </c>
      <c r="S810" s="1" t="s">
        <v>33</v>
      </c>
      <c r="U810" s="1">
        <v>1.00610367E8</v>
      </c>
      <c r="X810" s="1" t="s">
        <v>305</v>
      </c>
      <c r="Y810" s="1" t="s">
        <v>3053</v>
      </c>
      <c r="Z810" s="1" t="s">
        <v>37</v>
      </c>
    </row>
    <row r="811" hidden="1">
      <c r="A811" s="1" t="s">
        <v>3054</v>
      </c>
      <c r="B811" s="1" t="s">
        <v>650</v>
      </c>
      <c r="C811" s="1" t="s">
        <v>3055</v>
      </c>
      <c r="D811" s="1" t="s">
        <v>78</v>
      </c>
      <c r="E811" s="1" t="s">
        <v>28</v>
      </c>
      <c r="F811" s="2">
        <v>1300000.0</v>
      </c>
      <c r="G811" s="1" t="s">
        <v>324</v>
      </c>
      <c r="H811" s="4">
        <f>IFERROR(__xludf.DUMMYFUNCTION("DATE(INDEX(SPLIT(G811,""/""),,3),INDEX(SPLIT(G811,""/""),,2),INDEX(SPLIT(G811,""/""),,1))"),44636.0)</f>
        <v>44636</v>
      </c>
      <c r="I811" s="1" t="s">
        <v>130</v>
      </c>
      <c r="J811" s="4">
        <f>IFERROR(__xludf.DUMMYFUNCTION("DATE(INDEX(SPLIT(I811,""/""),,3),INDEX(SPLIT(I811,""/""),,2),INDEX(SPLIT(I811,""/""),,1))"),44804.0)</f>
        <v>44804</v>
      </c>
      <c r="L811" s="1">
        <v>0.0</v>
      </c>
      <c r="M811" s="1" t="s">
        <v>653</v>
      </c>
      <c r="N811" s="1"/>
      <c r="O811" s="1" t="s">
        <v>30</v>
      </c>
      <c r="P811" s="1" t="s">
        <v>31</v>
      </c>
      <c r="Q811" s="1" t="s">
        <v>157</v>
      </c>
      <c r="R811" s="1" t="s">
        <v>157</v>
      </c>
      <c r="S811" s="1" t="s">
        <v>158</v>
      </c>
      <c r="U811" s="1">
        <v>1.00591141E8</v>
      </c>
      <c r="X811" s="1" t="s">
        <v>63</v>
      </c>
      <c r="Y811" s="1" t="s">
        <v>3056</v>
      </c>
      <c r="Z811" s="1" t="s">
        <v>37</v>
      </c>
    </row>
    <row r="812" hidden="1">
      <c r="A812" s="1" t="s">
        <v>3057</v>
      </c>
      <c r="B812" s="1" t="s">
        <v>3058</v>
      </c>
      <c r="C812" s="1" t="s">
        <v>3059</v>
      </c>
      <c r="D812" s="1" t="s">
        <v>27</v>
      </c>
      <c r="E812" s="1" t="s">
        <v>28</v>
      </c>
      <c r="F812" s="2">
        <v>1300000.0</v>
      </c>
      <c r="G812" s="1" t="s">
        <v>3003</v>
      </c>
      <c r="H812" s="4">
        <f>IFERROR(__xludf.DUMMYFUNCTION("DATE(INDEX(SPLIT(G812,""/""),,3),INDEX(SPLIT(G812,""/""),,2),INDEX(SPLIT(G812,""/""),,1))"),44216.0)</f>
        <v>44216</v>
      </c>
      <c r="I812" s="1" t="s">
        <v>317</v>
      </c>
      <c r="J812" s="4">
        <f>IFERROR(__xludf.DUMMYFUNCTION("DATE(INDEX(SPLIT(I812,""/""),,3),INDEX(SPLIT(I812,""/""),,2),INDEX(SPLIT(I812,""/""),,1))"),44862.0)</f>
        <v>44862</v>
      </c>
      <c r="L812" s="1">
        <v>0.0</v>
      </c>
      <c r="M812" s="1" t="s">
        <v>431</v>
      </c>
      <c r="N812" s="1"/>
      <c r="O812" s="1" t="s">
        <v>30</v>
      </c>
      <c r="P812" s="1" t="s">
        <v>31</v>
      </c>
      <c r="Q812" s="1" t="s">
        <v>157</v>
      </c>
      <c r="R812" s="1" t="s">
        <v>157</v>
      </c>
      <c r="S812" s="1" t="s">
        <v>158</v>
      </c>
      <c r="U812" s="1">
        <v>1.00650064E8</v>
      </c>
      <c r="X812" s="1" t="s">
        <v>125</v>
      </c>
      <c r="Y812" s="1" t="s">
        <v>431</v>
      </c>
      <c r="Z812" s="1" t="s">
        <v>37</v>
      </c>
    </row>
    <row r="813" hidden="1">
      <c r="A813" s="1" t="s">
        <v>3060</v>
      </c>
      <c r="B813" s="1" t="s">
        <v>3061</v>
      </c>
      <c r="C813" s="1" t="s">
        <v>3062</v>
      </c>
      <c r="D813" s="1" t="s">
        <v>78</v>
      </c>
      <c r="E813" s="1" t="s">
        <v>28</v>
      </c>
      <c r="F813" s="2">
        <v>1300000.0</v>
      </c>
      <c r="G813" s="1" t="s">
        <v>2988</v>
      </c>
      <c r="H813" s="4">
        <f>IFERROR(__xludf.DUMMYFUNCTION("DATE(INDEX(SPLIT(G813,""/""),,3),INDEX(SPLIT(G813,""/""),,2),INDEX(SPLIT(G813,""/""),,1))"),44523.0)</f>
        <v>44523</v>
      </c>
      <c r="I813" s="1" t="s">
        <v>109</v>
      </c>
      <c r="J813" s="4">
        <f>IFERROR(__xludf.DUMMYFUNCTION("DATE(INDEX(SPLIT(I813,""/""),,3),INDEX(SPLIT(I813,""/""),,2),INDEX(SPLIT(I813,""/""),,1))"),44834.0)</f>
        <v>44834</v>
      </c>
      <c r="L813" s="1">
        <v>0.0</v>
      </c>
      <c r="M813" s="1" t="s">
        <v>2905</v>
      </c>
      <c r="N813" s="1"/>
      <c r="O813" s="1" t="s">
        <v>30</v>
      </c>
      <c r="P813" s="1" t="s">
        <v>31</v>
      </c>
      <c r="Q813" s="1" t="s">
        <v>53</v>
      </c>
      <c r="R813" s="1" t="s">
        <v>53</v>
      </c>
      <c r="S813" s="1" t="s">
        <v>54</v>
      </c>
      <c r="U813" s="1">
        <v>1.01074419E8</v>
      </c>
      <c r="Y813" s="1" t="s">
        <v>2905</v>
      </c>
      <c r="Z813" s="1" t="s">
        <v>527</v>
      </c>
    </row>
    <row r="814">
      <c r="A814" s="1" t="s">
        <v>3063</v>
      </c>
      <c r="B814" s="1" t="s">
        <v>3064</v>
      </c>
      <c r="C814" s="1" t="s">
        <v>3065</v>
      </c>
      <c r="D814" s="1" t="s">
        <v>122</v>
      </c>
      <c r="E814" s="1" t="s">
        <v>28</v>
      </c>
      <c r="F814" s="2">
        <v>1300000.0</v>
      </c>
      <c r="G814" s="1" t="s">
        <v>2300</v>
      </c>
      <c r="H814" s="4">
        <f>IFERROR(__xludf.DUMMYFUNCTION("DATE(INDEX(SPLIT(G814,""/""),,3),INDEX(SPLIT(G814,""/""),,2),INDEX(SPLIT(G814,""/""),,1))"),44712.0)</f>
        <v>44712</v>
      </c>
      <c r="I814" s="1" t="s">
        <v>226</v>
      </c>
      <c r="J814" s="4">
        <f>IFERROR(__xludf.DUMMYFUNCTION("DATE(INDEX(SPLIT(I814,""/""),,3),INDEX(SPLIT(I814,""/""),,2),INDEX(SPLIT(I814,""/""),,1))"),44771.0)</f>
        <v>44771</v>
      </c>
      <c r="L814" s="1">
        <v>0.0</v>
      </c>
      <c r="M814" s="1" t="s">
        <v>3066</v>
      </c>
      <c r="N814" s="1"/>
      <c r="O814" s="1" t="s">
        <v>30</v>
      </c>
      <c r="P814" s="1" t="s">
        <v>31</v>
      </c>
      <c r="Q814" s="1" t="s">
        <v>228</v>
      </c>
      <c r="R814" s="1" t="s">
        <v>228</v>
      </c>
      <c r="S814" s="1" t="s">
        <v>229</v>
      </c>
      <c r="U814" s="1">
        <v>1.01238285E8</v>
      </c>
      <c r="V814" s="1" t="s">
        <v>3067</v>
      </c>
      <c r="W814" s="1" t="s">
        <v>45</v>
      </c>
      <c r="X814" s="1" t="s">
        <v>46</v>
      </c>
      <c r="Y814" s="1" t="s">
        <v>3066</v>
      </c>
      <c r="Z814" s="1" t="s">
        <v>206</v>
      </c>
    </row>
    <row r="815" hidden="1">
      <c r="A815" s="1" t="s">
        <v>3068</v>
      </c>
      <c r="B815" s="1" t="s">
        <v>3069</v>
      </c>
      <c r="C815" s="1" t="s">
        <v>3070</v>
      </c>
      <c r="D815" s="1" t="s">
        <v>122</v>
      </c>
      <c r="E815" s="1" t="s">
        <v>28</v>
      </c>
      <c r="F815" s="2">
        <v>1300000.0</v>
      </c>
      <c r="G815" s="1" t="s">
        <v>779</v>
      </c>
      <c r="H815" s="4">
        <f>IFERROR(__xludf.DUMMYFUNCTION("DATE(INDEX(SPLIT(G815,""/""),,3),INDEX(SPLIT(G815,""/""),,2),INDEX(SPLIT(G815,""/""),,1))"),44734.0)</f>
        <v>44734</v>
      </c>
      <c r="I815" s="1" t="s">
        <v>281</v>
      </c>
      <c r="J815" s="4">
        <f>IFERROR(__xludf.DUMMYFUNCTION("DATE(INDEX(SPLIT(I815,""/""),,3),INDEX(SPLIT(I815,""/""),,2),INDEX(SPLIT(I815,""/""),,1))"),44865.0)</f>
        <v>44865</v>
      </c>
      <c r="L815" s="1">
        <v>0.0</v>
      </c>
      <c r="M815" s="1" t="s">
        <v>196</v>
      </c>
      <c r="N815" s="1"/>
      <c r="O815" s="1" t="s">
        <v>30</v>
      </c>
      <c r="P815" s="1" t="s">
        <v>31</v>
      </c>
      <c r="Q815" s="1" t="s">
        <v>53</v>
      </c>
      <c r="R815" s="1" t="s">
        <v>53</v>
      </c>
      <c r="S815" s="1" t="s">
        <v>54</v>
      </c>
      <c r="T815" s="1" t="s">
        <v>197</v>
      </c>
      <c r="U815" s="1">
        <v>1.00589741E8</v>
      </c>
      <c r="X815" s="1" t="s">
        <v>63</v>
      </c>
      <c r="Y815" s="1" t="s">
        <v>3071</v>
      </c>
      <c r="Z815" s="1" t="s">
        <v>37</v>
      </c>
    </row>
    <row r="816">
      <c r="A816" s="1" t="s">
        <v>3072</v>
      </c>
      <c r="B816" s="1" t="s">
        <v>456</v>
      </c>
      <c r="C816" s="1" t="s">
        <v>3073</v>
      </c>
      <c r="D816" s="1" t="s">
        <v>68</v>
      </c>
      <c r="E816" s="1" t="s">
        <v>28</v>
      </c>
      <c r="F816" s="2">
        <v>1300000.0</v>
      </c>
      <c r="G816" s="4">
        <v>44869.0</v>
      </c>
      <c r="H816" s="4">
        <f>IFERROR(__xludf.DUMMYFUNCTION("DATE(INDEX(SPLIT(G816,""/""),,3),INDEX(SPLIT(G816,""/""),,2),INDEX(SPLIT(G816,""/""),,1))"),44662.0)</f>
        <v>44662</v>
      </c>
      <c r="I816" s="1" t="s">
        <v>226</v>
      </c>
      <c r="J816" s="4">
        <f>IFERROR(__xludf.DUMMYFUNCTION("DATE(INDEX(SPLIT(I816,""/""),,3),INDEX(SPLIT(I816,""/""),,2),INDEX(SPLIT(I816,""/""),,1))"),44771.0)</f>
        <v>44771</v>
      </c>
      <c r="K816" s="1" t="s">
        <v>3074</v>
      </c>
      <c r="L816" s="1">
        <v>0.0</v>
      </c>
      <c r="M816" s="1" t="s">
        <v>459</v>
      </c>
      <c r="N816" s="1"/>
      <c r="O816" s="1" t="s">
        <v>30</v>
      </c>
      <c r="P816" s="1" t="s">
        <v>31</v>
      </c>
      <c r="Q816" s="1" t="s">
        <v>53</v>
      </c>
      <c r="R816" s="1" t="s">
        <v>53</v>
      </c>
      <c r="S816" s="1" t="s">
        <v>54</v>
      </c>
      <c r="T816" s="1" t="s">
        <v>87</v>
      </c>
      <c r="U816" s="1">
        <v>1.00653756E8</v>
      </c>
      <c r="X816" s="1" t="s">
        <v>375</v>
      </c>
      <c r="Y816" s="1" t="s">
        <v>459</v>
      </c>
      <c r="Z816" s="1" t="s">
        <v>37</v>
      </c>
    </row>
    <row r="817" hidden="1">
      <c r="A817" s="1" t="s">
        <v>3075</v>
      </c>
      <c r="B817" s="1" t="s">
        <v>516</v>
      </c>
      <c r="C817" s="1" t="s">
        <v>3076</v>
      </c>
      <c r="D817" s="1" t="s">
        <v>27</v>
      </c>
      <c r="E817" s="1" t="s">
        <v>28</v>
      </c>
      <c r="F817" s="2">
        <v>1300000.0</v>
      </c>
      <c r="G817" s="4">
        <v>44686.0</v>
      </c>
      <c r="H817" s="4">
        <f>IFERROR(__xludf.DUMMYFUNCTION("DATE(INDEX(SPLIT(G817,""/""),,3),INDEX(SPLIT(G817,""/""),,2),INDEX(SPLIT(G817,""/""),,1))"),44686.0)</f>
        <v>44686</v>
      </c>
      <c r="I817" s="1" t="s">
        <v>203</v>
      </c>
      <c r="J817" s="4">
        <f>IFERROR(__xludf.DUMMYFUNCTION("DATE(INDEX(SPLIT(I817,""/""),,3),INDEX(SPLIT(I817,""/""),,2),INDEX(SPLIT(I817,""/""),,1))"),44925.0)</f>
        <v>44925</v>
      </c>
      <c r="L817" s="1">
        <v>0.0</v>
      </c>
      <c r="M817" s="1" t="s">
        <v>2703</v>
      </c>
      <c r="N817" s="1"/>
      <c r="O817" s="1" t="s">
        <v>30</v>
      </c>
      <c r="P817" s="1" t="s">
        <v>31</v>
      </c>
      <c r="Q817" s="1" t="s">
        <v>95</v>
      </c>
      <c r="R817" s="1" t="s">
        <v>95</v>
      </c>
      <c r="S817" s="1" t="s">
        <v>96</v>
      </c>
      <c r="U817" s="1">
        <v>1.01054651E8</v>
      </c>
      <c r="X817" s="1" t="s">
        <v>781</v>
      </c>
      <c r="Y817" s="1" t="s">
        <v>216</v>
      </c>
      <c r="Z817" s="1" t="s">
        <v>1783</v>
      </c>
    </row>
    <row r="818">
      <c r="A818" s="1" t="s">
        <v>3077</v>
      </c>
      <c r="B818" s="1" t="s">
        <v>3078</v>
      </c>
      <c r="C818" s="1" t="s">
        <v>3079</v>
      </c>
      <c r="D818" s="1" t="s">
        <v>122</v>
      </c>
      <c r="E818" s="1" t="s">
        <v>28</v>
      </c>
      <c r="F818" s="2">
        <v>1300000.0</v>
      </c>
      <c r="G818" s="4">
        <v>44567.0</v>
      </c>
      <c r="H818" s="4">
        <f>IFERROR(__xludf.DUMMYFUNCTION("DATE(INDEX(SPLIT(G818,""/""),,3),INDEX(SPLIT(G818,""/""),,2),INDEX(SPLIT(G818,""/""),,1))"),44713.0)</f>
        <v>44713</v>
      </c>
      <c r="I818" s="4">
        <v>44718.0</v>
      </c>
      <c r="J818" s="4">
        <f>IFERROR(__xludf.DUMMYFUNCTION("DATE(INDEX(SPLIT(I818,""/""),,3),INDEX(SPLIT(I818,""/""),,2),INDEX(SPLIT(I818,""/""),,1))"),44718.0)</f>
        <v>44718</v>
      </c>
      <c r="L818" s="1">
        <v>0.0</v>
      </c>
      <c r="M818" s="1" t="s">
        <v>2247</v>
      </c>
      <c r="N818" s="1"/>
      <c r="O818" s="1" t="s">
        <v>30</v>
      </c>
      <c r="P818" s="1" t="s">
        <v>31</v>
      </c>
      <c r="Q818" s="1" t="s">
        <v>32</v>
      </c>
      <c r="R818" s="1" t="s">
        <v>32</v>
      </c>
      <c r="S818" s="1" t="s">
        <v>33</v>
      </c>
      <c r="U818" s="1">
        <v>1.01076271E8</v>
      </c>
      <c r="X818" s="1" t="s">
        <v>125</v>
      </c>
      <c r="Y818" s="1" t="s">
        <v>3080</v>
      </c>
      <c r="Z818" s="1" t="s">
        <v>206</v>
      </c>
    </row>
    <row r="819" hidden="1">
      <c r="A819" s="1" t="s">
        <v>3081</v>
      </c>
      <c r="B819" s="1" t="s">
        <v>645</v>
      </c>
      <c r="C819" s="1" t="s">
        <v>3082</v>
      </c>
      <c r="D819" s="1" t="s">
        <v>78</v>
      </c>
      <c r="E819" s="1" t="s">
        <v>28</v>
      </c>
      <c r="F819" s="2">
        <v>1300000.0</v>
      </c>
      <c r="G819" s="1" t="s">
        <v>3083</v>
      </c>
      <c r="H819" s="4">
        <f>IFERROR(__xludf.DUMMYFUNCTION("DATE(INDEX(SPLIT(G819,""/""),,3),INDEX(SPLIT(G819,""/""),,2),INDEX(SPLIT(G819,""/""),,1))"),44225.0)</f>
        <v>44225</v>
      </c>
      <c r="I819" s="1" t="s">
        <v>203</v>
      </c>
      <c r="J819" s="4">
        <f>IFERROR(__xludf.DUMMYFUNCTION("DATE(INDEX(SPLIT(I819,""/""),,3),INDEX(SPLIT(I819,""/""),,2),INDEX(SPLIT(I819,""/""),,1))"),44925.0)</f>
        <v>44925</v>
      </c>
      <c r="L819" s="1">
        <v>0.0</v>
      </c>
      <c r="M819" s="1" t="s">
        <v>2869</v>
      </c>
      <c r="N819" s="1"/>
      <c r="O819" s="1" t="s">
        <v>30</v>
      </c>
      <c r="P819" s="1" t="s">
        <v>31</v>
      </c>
      <c r="Q819" s="1" t="s">
        <v>228</v>
      </c>
      <c r="R819" s="1" t="s">
        <v>228</v>
      </c>
      <c r="S819" s="1" t="s">
        <v>229</v>
      </c>
      <c r="T819" s="1" t="s">
        <v>2870</v>
      </c>
      <c r="U819" s="1">
        <v>1.00641939E8</v>
      </c>
      <c r="X819" s="1" t="s">
        <v>361</v>
      </c>
      <c r="Y819" s="1" t="s">
        <v>1076</v>
      </c>
      <c r="Z819" s="1" t="s">
        <v>37</v>
      </c>
    </row>
    <row r="820">
      <c r="A820" s="1" t="s">
        <v>3084</v>
      </c>
      <c r="B820" s="1" t="s">
        <v>1144</v>
      </c>
      <c r="C820" s="1" t="s">
        <v>3085</v>
      </c>
      <c r="D820" s="1" t="s">
        <v>122</v>
      </c>
      <c r="E820" s="1" t="s">
        <v>28</v>
      </c>
      <c r="F820" s="2">
        <v>1300000.0</v>
      </c>
      <c r="G820" s="4">
        <v>44625.0</v>
      </c>
      <c r="H820" s="4">
        <f>IFERROR(__xludf.DUMMYFUNCTION("DATE(INDEX(SPLIT(G820,""/""),,3),INDEX(SPLIT(G820,""/""),,2),INDEX(SPLIT(G820,""/""),,1))"),44684.0)</f>
        <v>44684</v>
      </c>
      <c r="I820" s="1" t="s">
        <v>1244</v>
      </c>
      <c r="J820" s="4">
        <f>IFERROR(__xludf.DUMMYFUNCTION("DATE(INDEX(SPLIT(I820,""/""),,3),INDEX(SPLIT(I820,""/""),,2),INDEX(SPLIT(I820,""/""),,1))"),44742.0)</f>
        <v>44742</v>
      </c>
      <c r="L820" s="1">
        <v>0.0</v>
      </c>
      <c r="M820" s="1" t="s">
        <v>2613</v>
      </c>
      <c r="N820" s="1"/>
      <c r="O820" s="1" t="s">
        <v>30</v>
      </c>
      <c r="P820" s="1" t="s">
        <v>31</v>
      </c>
      <c r="Q820" s="1" t="s">
        <v>157</v>
      </c>
      <c r="R820" s="1" t="s">
        <v>157</v>
      </c>
      <c r="S820" s="1" t="s">
        <v>158</v>
      </c>
      <c r="U820" s="1">
        <v>1.00628059E8</v>
      </c>
      <c r="X820" s="1" t="s">
        <v>63</v>
      </c>
      <c r="Y820" s="1" t="s">
        <v>3086</v>
      </c>
      <c r="Z820" s="1" t="s">
        <v>37</v>
      </c>
    </row>
    <row r="821">
      <c r="A821" s="1" t="s">
        <v>3087</v>
      </c>
      <c r="B821" s="1" t="s">
        <v>630</v>
      </c>
      <c r="C821" s="1" t="s">
        <v>3088</v>
      </c>
      <c r="D821" s="1" t="s">
        <v>68</v>
      </c>
      <c r="E821" s="1" t="s">
        <v>28</v>
      </c>
      <c r="F821" s="2">
        <v>1290000.0</v>
      </c>
      <c r="G821" s="1" t="s">
        <v>779</v>
      </c>
      <c r="H821" s="4">
        <f>IFERROR(__xludf.DUMMYFUNCTION("DATE(INDEX(SPLIT(G821,""/""),,3),INDEX(SPLIT(G821,""/""),,2),INDEX(SPLIT(G821,""/""),,1))"),44734.0)</f>
        <v>44734</v>
      </c>
      <c r="I821" s="1" t="s">
        <v>518</v>
      </c>
      <c r="J821" s="4">
        <f>IFERROR(__xludf.DUMMYFUNCTION("DATE(INDEX(SPLIT(I821,""/""),,3),INDEX(SPLIT(I821,""/""),,2),INDEX(SPLIT(I821,""/""),,1))"),44757.0)</f>
        <v>44757</v>
      </c>
      <c r="L821" s="1">
        <v>0.0</v>
      </c>
      <c r="M821" s="1" t="s">
        <v>573</v>
      </c>
      <c r="N821" s="1"/>
      <c r="O821" s="1" t="s">
        <v>30</v>
      </c>
      <c r="P821" s="1" t="s">
        <v>31</v>
      </c>
      <c r="Q821" s="1" t="s">
        <v>157</v>
      </c>
      <c r="R821" s="1" t="s">
        <v>157</v>
      </c>
      <c r="S821" s="1" t="s">
        <v>158</v>
      </c>
      <c r="T821" s="1" t="s">
        <v>634</v>
      </c>
      <c r="U821" s="1">
        <v>1.00974229E8</v>
      </c>
      <c r="V821" s="1" t="s">
        <v>635</v>
      </c>
      <c r="W821" s="1" t="s">
        <v>717</v>
      </c>
      <c r="X821" s="1" t="s">
        <v>490</v>
      </c>
      <c r="Y821" s="1" t="s">
        <v>573</v>
      </c>
      <c r="Z821" s="1" t="s">
        <v>206</v>
      </c>
    </row>
    <row r="822" hidden="1">
      <c r="A822" s="1" t="s">
        <v>3089</v>
      </c>
      <c r="B822" s="1" t="s">
        <v>1820</v>
      </c>
      <c r="C822" s="1" t="s">
        <v>3090</v>
      </c>
      <c r="D822" s="1" t="s">
        <v>78</v>
      </c>
      <c r="E822" s="1" t="s">
        <v>28</v>
      </c>
      <c r="F822" s="2">
        <v>1275000.0</v>
      </c>
      <c r="G822" s="4">
        <v>44208.0</v>
      </c>
      <c r="H822" s="4">
        <f>IFERROR(__xludf.DUMMYFUNCTION("DATE(INDEX(SPLIT(G822,""/""),,3),INDEX(SPLIT(G822,""/""),,2),INDEX(SPLIT(G822,""/""),,1))"),44531.0)</f>
        <v>44531</v>
      </c>
      <c r="I822" s="4">
        <v>44572.0</v>
      </c>
      <c r="J822" s="4">
        <f>IFERROR(__xludf.DUMMYFUNCTION("DATE(INDEX(SPLIT(I822,""/""),,3),INDEX(SPLIT(I822,""/""),,2),INDEX(SPLIT(I822,""/""),,1))"),44866.0)</f>
        <v>44866</v>
      </c>
      <c r="L822" s="1">
        <v>0.0</v>
      </c>
      <c r="M822" s="1" t="s">
        <v>299</v>
      </c>
      <c r="N822" s="1"/>
      <c r="O822" s="1" t="s">
        <v>30</v>
      </c>
      <c r="P822" s="1" t="s">
        <v>31</v>
      </c>
      <c r="Q822" s="1" t="s">
        <v>71</v>
      </c>
      <c r="R822" s="1" t="s">
        <v>71</v>
      </c>
      <c r="S822" s="1" t="s">
        <v>72</v>
      </c>
      <c r="T822" s="1" t="s">
        <v>136</v>
      </c>
      <c r="U822" s="1">
        <v>1.00610483E8</v>
      </c>
      <c r="X822" s="1" t="s">
        <v>74</v>
      </c>
      <c r="Y822" s="1" t="s">
        <v>299</v>
      </c>
      <c r="Z822" s="1" t="s">
        <v>37</v>
      </c>
    </row>
    <row r="823" hidden="1">
      <c r="A823" s="1" t="s">
        <v>3091</v>
      </c>
      <c r="B823" s="1" t="s">
        <v>2099</v>
      </c>
      <c r="C823" s="1" t="s">
        <v>3092</v>
      </c>
      <c r="D823" s="1" t="s">
        <v>78</v>
      </c>
      <c r="E823" s="1" t="s">
        <v>28</v>
      </c>
      <c r="F823" s="2">
        <v>1263000.0</v>
      </c>
      <c r="G823" s="1" t="s">
        <v>2419</v>
      </c>
      <c r="H823" s="4">
        <f>IFERROR(__xludf.DUMMYFUNCTION("DATE(INDEX(SPLIT(G823,""/""),,3),INDEX(SPLIT(G823,""/""),,2),INDEX(SPLIT(G823,""/""),,1))"),44482.0)</f>
        <v>44482</v>
      </c>
      <c r="I823" s="1" t="s">
        <v>130</v>
      </c>
      <c r="J823" s="4">
        <f>IFERROR(__xludf.DUMMYFUNCTION("DATE(INDEX(SPLIT(I823,""/""),,3),INDEX(SPLIT(I823,""/""),,2),INDEX(SPLIT(I823,""/""),,1))"),44804.0)</f>
        <v>44804</v>
      </c>
      <c r="L823" s="1">
        <v>0.0</v>
      </c>
      <c r="M823" s="1" t="s">
        <v>863</v>
      </c>
      <c r="N823" s="1"/>
      <c r="O823" s="1" t="s">
        <v>30</v>
      </c>
      <c r="P823" s="1" t="s">
        <v>31</v>
      </c>
      <c r="Q823" s="1" t="s">
        <v>32</v>
      </c>
      <c r="R823" s="1" t="s">
        <v>32</v>
      </c>
      <c r="S823" s="1" t="s">
        <v>33</v>
      </c>
      <c r="T823" s="1" t="s">
        <v>402</v>
      </c>
      <c r="U823" s="1">
        <v>1.00650568E8</v>
      </c>
      <c r="X823" s="1" t="s">
        <v>125</v>
      </c>
      <c r="Y823" s="1" t="s">
        <v>863</v>
      </c>
      <c r="Z823" s="1" t="s">
        <v>37</v>
      </c>
    </row>
    <row r="824">
      <c r="A824" s="1" t="s">
        <v>3093</v>
      </c>
      <c r="B824" s="1" t="s">
        <v>1144</v>
      </c>
      <c r="C824" s="1" t="s">
        <v>3094</v>
      </c>
      <c r="D824" s="1" t="s">
        <v>122</v>
      </c>
      <c r="E824" s="1" t="s">
        <v>28</v>
      </c>
      <c r="F824" s="2">
        <v>1260000.0</v>
      </c>
      <c r="G824" s="1" t="s">
        <v>233</v>
      </c>
      <c r="H824" s="4">
        <f>IFERROR(__xludf.DUMMYFUNCTION("DATE(INDEX(SPLIT(G824,""/""),,3),INDEX(SPLIT(G824,""/""),,2),INDEX(SPLIT(G824,""/""),,1))"),44729.0)</f>
        <v>44729</v>
      </c>
      <c r="I824" s="1" t="s">
        <v>1244</v>
      </c>
      <c r="J824" s="4">
        <f>IFERROR(__xludf.DUMMYFUNCTION("DATE(INDEX(SPLIT(I824,""/""),,3),INDEX(SPLIT(I824,""/""),,2),INDEX(SPLIT(I824,""/""),,1))"),44742.0)</f>
        <v>44742</v>
      </c>
      <c r="L824" s="1">
        <v>0.0</v>
      </c>
      <c r="M824" s="1" t="s">
        <v>1146</v>
      </c>
      <c r="N824" s="1"/>
      <c r="O824" s="1" t="s">
        <v>30</v>
      </c>
      <c r="P824" s="1" t="s">
        <v>31</v>
      </c>
      <c r="Q824" s="1" t="s">
        <v>228</v>
      </c>
      <c r="R824" s="1" t="s">
        <v>228</v>
      </c>
      <c r="S824" s="1" t="s">
        <v>229</v>
      </c>
      <c r="U824" s="1">
        <v>1.0061139E8</v>
      </c>
      <c r="X824" s="1" t="s">
        <v>63</v>
      </c>
      <c r="Y824" s="1" t="s">
        <v>3095</v>
      </c>
      <c r="Z824" s="1" t="s">
        <v>37</v>
      </c>
    </row>
    <row r="825" hidden="1">
      <c r="A825" s="1" t="s">
        <v>3096</v>
      </c>
      <c r="B825" s="1" t="s">
        <v>3097</v>
      </c>
      <c r="C825" s="1" t="s">
        <v>3098</v>
      </c>
      <c r="D825" s="1" t="s">
        <v>68</v>
      </c>
      <c r="E825" s="1" t="s">
        <v>28</v>
      </c>
      <c r="F825" s="2">
        <v>1260000.0</v>
      </c>
      <c r="G825" s="1" t="s">
        <v>2300</v>
      </c>
      <c r="H825" s="4">
        <f>IFERROR(__xludf.DUMMYFUNCTION("DATE(INDEX(SPLIT(G825,""/""),,3),INDEX(SPLIT(G825,""/""),,2),INDEX(SPLIT(G825,""/""),,1))"),44712.0)</f>
        <v>44712</v>
      </c>
      <c r="I825" s="4">
        <v>44569.0</v>
      </c>
      <c r="J825" s="4">
        <f>IFERROR(__xludf.DUMMYFUNCTION("DATE(INDEX(SPLIT(I825,""/""),,3),INDEX(SPLIT(I825,""/""),,2),INDEX(SPLIT(I825,""/""),,1))"),44774.0)</f>
        <v>44774</v>
      </c>
      <c r="L825" s="1">
        <v>0.0</v>
      </c>
      <c r="M825" s="1" t="s">
        <v>3099</v>
      </c>
      <c r="N825" s="1"/>
      <c r="O825" s="1" t="s">
        <v>30</v>
      </c>
      <c r="P825" s="1" t="s">
        <v>31</v>
      </c>
      <c r="Q825" s="1" t="s">
        <v>95</v>
      </c>
      <c r="R825" s="1" t="s">
        <v>95</v>
      </c>
      <c r="S825" s="1" t="s">
        <v>96</v>
      </c>
      <c r="T825" s="1" t="s">
        <v>640</v>
      </c>
      <c r="U825" s="1">
        <v>1.00589299E8</v>
      </c>
      <c r="X825" s="1" t="s">
        <v>117</v>
      </c>
      <c r="Y825" s="1" t="s">
        <v>3099</v>
      </c>
      <c r="Z825" s="1" t="s">
        <v>37</v>
      </c>
    </row>
    <row r="826" hidden="1">
      <c r="A826" s="1" t="s">
        <v>3100</v>
      </c>
      <c r="B826" s="1" t="s">
        <v>1417</v>
      </c>
      <c r="C826" s="1" t="s">
        <v>3101</v>
      </c>
      <c r="D826" s="1" t="s">
        <v>78</v>
      </c>
      <c r="E826" s="1" t="s">
        <v>28</v>
      </c>
      <c r="F826" s="2">
        <v>1250000.0</v>
      </c>
      <c r="G826" s="1" t="s">
        <v>330</v>
      </c>
      <c r="H826" s="4">
        <f>IFERROR(__xludf.DUMMYFUNCTION("DATE(INDEX(SPLIT(G826,""/""),,3),INDEX(SPLIT(G826,""/""),,2),INDEX(SPLIT(G826,""/""),,1))"),44728.0)</f>
        <v>44728</v>
      </c>
      <c r="I826" s="1" t="s">
        <v>85</v>
      </c>
      <c r="J826" s="4">
        <f>IFERROR(__xludf.DUMMYFUNCTION("DATE(INDEX(SPLIT(I826,""/""),,3),INDEX(SPLIT(I826,""/""),,2),INDEX(SPLIT(I826,""/""),,1))"),44799.0)</f>
        <v>44799</v>
      </c>
      <c r="L826" s="1">
        <v>0.0</v>
      </c>
      <c r="M826" s="1" t="s">
        <v>318</v>
      </c>
      <c r="N826" s="1"/>
      <c r="O826" s="1" t="s">
        <v>30</v>
      </c>
      <c r="P826" s="1" t="s">
        <v>31</v>
      </c>
      <c r="Q826" s="1" t="s">
        <v>71</v>
      </c>
      <c r="R826" s="1" t="s">
        <v>71</v>
      </c>
      <c r="S826" s="1" t="s">
        <v>72</v>
      </c>
      <c r="T826" s="1" t="s">
        <v>73</v>
      </c>
      <c r="U826" s="1">
        <v>1.00654705E8</v>
      </c>
      <c r="X826" s="1" t="s">
        <v>74</v>
      </c>
      <c r="Y826" s="1" t="s">
        <v>318</v>
      </c>
      <c r="Z826" s="1" t="s">
        <v>37</v>
      </c>
    </row>
    <row r="827">
      <c r="A827" s="1" t="s">
        <v>3102</v>
      </c>
      <c r="B827" s="1" t="s">
        <v>1144</v>
      </c>
      <c r="C827" s="1" t="s">
        <v>3103</v>
      </c>
      <c r="D827" s="1" t="s">
        <v>27</v>
      </c>
      <c r="E827" s="1" t="s">
        <v>28</v>
      </c>
      <c r="F827" s="2">
        <v>1250000.0</v>
      </c>
      <c r="G827" s="4">
        <v>44836.0</v>
      </c>
      <c r="H827" s="4">
        <f>IFERROR(__xludf.DUMMYFUNCTION("DATE(INDEX(SPLIT(G827,""/""),,3),INDEX(SPLIT(G827,""/""),,2),INDEX(SPLIT(G827,""/""),,1))"),44602.0)</f>
        <v>44602</v>
      </c>
      <c r="I827" s="1" t="s">
        <v>1244</v>
      </c>
      <c r="J827" s="4">
        <f>IFERROR(__xludf.DUMMYFUNCTION("DATE(INDEX(SPLIT(I827,""/""),,3),INDEX(SPLIT(I827,""/""),,2),INDEX(SPLIT(I827,""/""),,1))"),44742.0)</f>
        <v>44742</v>
      </c>
      <c r="L827" s="1">
        <v>0.0</v>
      </c>
      <c r="M827" s="1" t="s">
        <v>2613</v>
      </c>
      <c r="N827" s="1"/>
      <c r="O827" s="1" t="s">
        <v>30</v>
      </c>
      <c r="P827" s="1" t="s">
        <v>31</v>
      </c>
      <c r="Q827" s="1" t="s">
        <v>157</v>
      </c>
      <c r="R827" s="1" t="s">
        <v>157</v>
      </c>
      <c r="S827" s="1" t="s">
        <v>158</v>
      </c>
      <c r="U827" s="1">
        <v>1.00628059E8</v>
      </c>
      <c r="V827" s="1" t="s">
        <v>1897</v>
      </c>
      <c r="W827" s="1" t="s">
        <v>45</v>
      </c>
      <c r="X827" s="1" t="s">
        <v>63</v>
      </c>
      <c r="Y827" s="1" t="s">
        <v>1899</v>
      </c>
      <c r="Z827" s="1" t="s">
        <v>37</v>
      </c>
    </row>
    <row r="828">
      <c r="A828" s="1" t="s">
        <v>3104</v>
      </c>
      <c r="B828" s="1" t="s">
        <v>59</v>
      </c>
      <c r="C828" s="1" t="s">
        <v>3105</v>
      </c>
      <c r="D828" s="1" t="s">
        <v>27</v>
      </c>
      <c r="E828" s="1" t="s">
        <v>28</v>
      </c>
      <c r="F828" s="2">
        <v>1250000.0</v>
      </c>
      <c r="G828" s="1" t="s">
        <v>2540</v>
      </c>
      <c r="H828" s="4">
        <f>IFERROR(__xludf.DUMMYFUNCTION("DATE(INDEX(SPLIT(G828,""/""),,3),INDEX(SPLIT(G828,""/""),,2),INDEX(SPLIT(G828,""/""),,1))"),44491.0)</f>
        <v>44491</v>
      </c>
      <c r="I828" s="4">
        <v>44872.0</v>
      </c>
      <c r="J828" s="4">
        <f>IFERROR(__xludf.DUMMYFUNCTION("DATE(INDEX(SPLIT(I828,""/""),,3),INDEX(SPLIT(I828,""/""),,2),INDEX(SPLIT(I828,""/""),,1))"),44753.0)</f>
        <v>44753</v>
      </c>
      <c r="L828" s="1">
        <v>0.0</v>
      </c>
      <c r="M828" s="1" t="s">
        <v>2582</v>
      </c>
      <c r="N828" s="1"/>
      <c r="O828" s="1" t="s">
        <v>30</v>
      </c>
      <c r="P828" s="1" t="s">
        <v>31</v>
      </c>
      <c r="Q828" s="1" t="s">
        <v>157</v>
      </c>
      <c r="R828" s="1" t="s">
        <v>157</v>
      </c>
      <c r="S828" s="1" t="s">
        <v>158</v>
      </c>
      <c r="T828" s="1" t="s">
        <v>442</v>
      </c>
      <c r="U828" s="1">
        <v>1.00590772E8</v>
      </c>
      <c r="X828" s="1" t="s">
        <v>63</v>
      </c>
      <c r="Y828" s="1" t="s">
        <v>64</v>
      </c>
      <c r="Z828" s="1" t="s">
        <v>37</v>
      </c>
    </row>
    <row r="829">
      <c r="A829" s="1" t="s">
        <v>3106</v>
      </c>
      <c r="B829" s="1" t="s">
        <v>1025</v>
      </c>
      <c r="C829" s="1" t="s">
        <v>3107</v>
      </c>
      <c r="D829" s="1" t="s">
        <v>78</v>
      </c>
      <c r="E829" s="1" t="s">
        <v>28</v>
      </c>
      <c r="F829" s="2">
        <v>1250000.0</v>
      </c>
      <c r="G829" s="4">
        <v>44718.0</v>
      </c>
      <c r="H829" s="4">
        <f>IFERROR(__xludf.DUMMYFUNCTION("DATE(INDEX(SPLIT(G829,""/""),,3),INDEX(SPLIT(G829,""/""),,2),INDEX(SPLIT(G829,""/""),,1))"),44718.0)</f>
        <v>44718</v>
      </c>
      <c r="I829" s="1" t="s">
        <v>69</v>
      </c>
      <c r="J829" s="4">
        <f>IFERROR(__xludf.DUMMYFUNCTION("DATE(INDEX(SPLIT(I829,""/""),,3),INDEX(SPLIT(I829,""/""),,2),INDEX(SPLIT(I829,""/""),,1))"),44773.0)</f>
        <v>44773</v>
      </c>
      <c r="L829" s="1">
        <v>0.0</v>
      </c>
      <c r="M829" s="1" t="s">
        <v>2622</v>
      </c>
      <c r="N829" s="1"/>
      <c r="O829" s="1" t="s">
        <v>30</v>
      </c>
      <c r="P829" s="1" t="s">
        <v>31</v>
      </c>
      <c r="Q829" s="1" t="s">
        <v>71</v>
      </c>
      <c r="R829" s="1" t="s">
        <v>71</v>
      </c>
      <c r="S829" s="1" t="s">
        <v>72</v>
      </c>
      <c r="T829" s="1" t="s">
        <v>136</v>
      </c>
      <c r="U829" s="1">
        <v>1.01082364E8</v>
      </c>
      <c r="X829" s="1" t="s">
        <v>74</v>
      </c>
      <c r="Y829" s="1" t="s">
        <v>3108</v>
      </c>
      <c r="Z829" s="1" t="s">
        <v>206</v>
      </c>
    </row>
    <row r="830" hidden="1">
      <c r="A830" s="1" t="s">
        <v>3109</v>
      </c>
      <c r="B830" s="1" t="s">
        <v>3110</v>
      </c>
      <c r="C830" s="1" t="s">
        <v>3111</v>
      </c>
      <c r="D830" s="1" t="s">
        <v>27</v>
      </c>
      <c r="E830" s="1" t="s">
        <v>28</v>
      </c>
      <c r="F830" s="2">
        <v>1250000.0</v>
      </c>
      <c r="G830" s="1" t="s">
        <v>2441</v>
      </c>
      <c r="H830" s="4">
        <f>IFERROR(__xludf.DUMMYFUNCTION("DATE(INDEX(SPLIT(G830,""/""),,3),INDEX(SPLIT(G830,""/""),,2),INDEX(SPLIT(G830,""/""),,1))"),44550.0)</f>
        <v>44550</v>
      </c>
      <c r="I830" s="1" t="s">
        <v>569</v>
      </c>
      <c r="J830" s="4">
        <f>IFERROR(__xludf.DUMMYFUNCTION("DATE(INDEX(SPLIT(I830,""/""),,3),INDEX(SPLIT(I830,""/""),,2),INDEX(SPLIT(I830,""/""),,1))"),45016.0)</f>
        <v>45016</v>
      </c>
      <c r="L830" s="1">
        <v>0.0</v>
      </c>
      <c r="M830" s="1" t="s">
        <v>3112</v>
      </c>
      <c r="N830" s="1"/>
      <c r="O830" s="1" t="s">
        <v>30</v>
      </c>
      <c r="P830" s="1" t="s">
        <v>31</v>
      </c>
      <c r="Q830" s="1" t="s">
        <v>157</v>
      </c>
      <c r="R830" s="1" t="s">
        <v>157</v>
      </c>
      <c r="S830" s="1" t="s">
        <v>158</v>
      </c>
      <c r="T830" s="1" t="s">
        <v>442</v>
      </c>
      <c r="U830" s="1">
        <v>1.01141463E8</v>
      </c>
      <c r="X830" s="1" t="s">
        <v>312</v>
      </c>
      <c r="Y830" s="1" t="s">
        <v>1969</v>
      </c>
      <c r="Z830" s="1" t="s">
        <v>37</v>
      </c>
    </row>
    <row r="831">
      <c r="A831" s="1" t="s">
        <v>3113</v>
      </c>
      <c r="B831" s="1" t="s">
        <v>3114</v>
      </c>
      <c r="C831" s="1" t="s">
        <v>3115</v>
      </c>
      <c r="D831" s="1" t="s">
        <v>27</v>
      </c>
      <c r="E831" s="1" t="s">
        <v>28</v>
      </c>
      <c r="F831" s="2">
        <v>1250000.0</v>
      </c>
      <c r="G831" s="1" t="s">
        <v>2077</v>
      </c>
      <c r="H831" s="4">
        <f>IFERROR(__xludf.DUMMYFUNCTION("DATE(INDEX(SPLIT(G831,""/""),,3),INDEX(SPLIT(G831,""/""),,2),INDEX(SPLIT(G831,""/""),,1))"),44700.0)</f>
        <v>44700</v>
      </c>
      <c r="I831" s="1" t="s">
        <v>226</v>
      </c>
      <c r="J831" s="4">
        <f>IFERROR(__xludf.DUMMYFUNCTION("DATE(INDEX(SPLIT(I831,""/""),,3),INDEX(SPLIT(I831,""/""),,2),INDEX(SPLIT(I831,""/""),,1))"),44771.0)</f>
        <v>44771</v>
      </c>
      <c r="L831" s="1">
        <v>0.0</v>
      </c>
      <c r="M831" s="1" t="s">
        <v>3116</v>
      </c>
      <c r="N831" s="1"/>
      <c r="O831" s="1" t="s">
        <v>30</v>
      </c>
      <c r="P831" s="1" t="s">
        <v>31</v>
      </c>
      <c r="Q831" s="1" t="s">
        <v>157</v>
      </c>
      <c r="R831" s="1" t="s">
        <v>157</v>
      </c>
      <c r="S831" s="1" t="s">
        <v>158</v>
      </c>
      <c r="U831" s="1">
        <v>1.00574828E8</v>
      </c>
      <c r="X831" s="1" t="s">
        <v>74</v>
      </c>
      <c r="Y831" s="1" t="s">
        <v>3117</v>
      </c>
      <c r="Z831" s="1" t="s">
        <v>37</v>
      </c>
    </row>
    <row r="832">
      <c r="A832" s="1" t="s">
        <v>3118</v>
      </c>
      <c r="B832" s="1" t="s">
        <v>3119</v>
      </c>
      <c r="C832" s="1" t="s">
        <v>3120</v>
      </c>
      <c r="D832" s="1" t="s">
        <v>122</v>
      </c>
      <c r="E832" s="1" t="s">
        <v>28</v>
      </c>
      <c r="F832" s="2">
        <v>1250000.0</v>
      </c>
      <c r="G832" s="1" t="s">
        <v>1381</v>
      </c>
      <c r="H832" s="4">
        <f>IFERROR(__xludf.DUMMYFUNCTION("DATE(INDEX(SPLIT(G832,""/""),,3),INDEX(SPLIT(G832,""/""),,2),INDEX(SPLIT(G832,""/""),,1))"),44643.0)</f>
        <v>44643</v>
      </c>
      <c r="I832" s="1" t="s">
        <v>69</v>
      </c>
      <c r="J832" s="4">
        <f>IFERROR(__xludf.DUMMYFUNCTION("DATE(INDEX(SPLIT(I832,""/""),,3),INDEX(SPLIT(I832,""/""),,2),INDEX(SPLIT(I832,""/""),,1))"),44773.0)</f>
        <v>44773</v>
      </c>
      <c r="L832" s="1">
        <v>0.0</v>
      </c>
      <c r="M832" s="1" t="s">
        <v>979</v>
      </c>
      <c r="N832" s="1"/>
      <c r="O832" s="1" t="s">
        <v>30</v>
      </c>
      <c r="P832" s="1" t="s">
        <v>31</v>
      </c>
      <c r="Q832" s="1" t="s">
        <v>235</v>
      </c>
      <c r="R832" s="1" t="s">
        <v>235</v>
      </c>
      <c r="S832" s="1" t="s">
        <v>236</v>
      </c>
      <c r="T832" s="1" t="s">
        <v>438</v>
      </c>
      <c r="U832" s="1">
        <v>1.00647262E8</v>
      </c>
      <c r="X832" s="1" t="s">
        <v>88</v>
      </c>
      <c r="Y832" s="1" t="s">
        <v>979</v>
      </c>
      <c r="Z832" s="1" t="s">
        <v>37</v>
      </c>
    </row>
    <row r="833" hidden="1">
      <c r="A833" s="1" t="s">
        <v>3121</v>
      </c>
      <c r="B833" s="1" t="s">
        <v>1042</v>
      </c>
      <c r="C833" s="1" t="s">
        <v>3122</v>
      </c>
      <c r="D833" s="1" t="s">
        <v>27</v>
      </c>
      <c r="E833" s="1" t="s">
        <v>28</v>
      </c>
      <c r="F833" s="2">
        <v>1250000.0</v>
      </c>
      <c r="G833" s="1" t="s">
        <v>983</v>
      </c>
      <c r="H833" s="4">
        <f>IFERROR(__xludf.DUMMYFUNCTION("DATE(INDEX(SPLIT(G833,""/""),,3),INDEX(SPLIT(G833,""/""),,2),INDEX(SPLIT(G833,""/""),,1))"),44393.0)</f>
        <v>44393</v>
      </c>
      <c r="I833" s="4">
        <v>44876.0</v>
      </c>
      <c r="J833" s="4">
        <f>IFERROR(__xludf.DUMMYFUNCTION("DATE(INDEX(SPLIT(I833,""/""),,3),INDEX(SPLIT(I833,""/""),,2),INDEX(SPLIT(I833,""/""),,1))"),44876.0)</f>
        <v>44876</v>
      </c>
      <c r="L833" s="1">
        <v>0.0</v>
      </c>
      <c r="M833" s="1" t="s">
        <v>3123</v>
      </c>
      <c r="N833" s="1"/>
      <c r="O833" s="1" t="s">
        <v>30</v>
      </c>
      <c r="P833" s="1" t="s">
        <v>31</v>
      </c>
      <c r="Q833" s="1" t="s">
        <v>157</v>
      </c>
      <c r="R833" s="1" t="s">
        <v>157</v>
      </c>
      <c r="S833" s="1" t="s">
        <v>158</v>
      </c>
      <c r="T833" s="1" t="s">
        <v>442</v>
      </c>
      <c r="U833" s="1">
        <v>1.00875111E8</v>
      </c>
      <c r="X833" s="1" t="s">
        <v>88</v>
      </c>
      <c r="Y833" s="1" t="s">
        <v>3124</v>
      </c>
      <c r="Z833" s="1" t="s">
        <v>37</v>
      </c>
    </row>
    <row r="834" hidden="1">
      <c r="A834" s="1" t="s">
        <v>3125</v>
      </c>
      <c r="B834" s="1" t="s">
        <v>3126</v>
      </c>
      <c r="C834" s="1" t="s">
        <v>3127</v>
      </c>
      <c r="D834" s="1" t="s">
        <v>78</v>
      </c>
      <c r="E834" s="1" t="s">
        <v>28</v>
      </c>
      <c r="F834" s="2">
        <v>1250000.0</v>
      </c>
      <c r="G834" s="1" t="s">
        <v>1767</v>
      </c>
      <c r="H834" s="4">
        <f>IFERROR(__xludf.DUMMYFUNCTION("DATE(INDEX(SPLIT(G834,""/""),,3),INDEX(SPLIT(G834,""/""),,2),INDEX(SPLIT(G834,""/""),,1))"),44698.0)</f>
        <v>44698</v>
      </c>
      <c r="I834" s="1" t="s">
        <v>317</v>
      </c>
      <c r="J834" s="4">
        <f>IFERROR(__xludf.DUMMYFUNCTION("DATE(INDEX(SPLIT(I834,""/""),,3),INDEX(SPLIT(I834,""/""),,2),INDEX(SPLIT(I834,""/""),,1))"),44862.0)</f>
        <v>44862</v>
      </c>
      <c r="L834" s="1">
        <v>0.0</v>
      </c>
      <c r="M834" s="1" t="s">
        <v>1704</v>
      </c>
      <c r="N834" s="1"/>
      <c r="O834" s="1" t="s">
        <v>30</v>
      </c>
      <c r="P834" s="1" t="s">
        <v>31</v>
      </c>
      <c r="Q834" s="1" t="s">
        <v>157</v>
      </c>
      <c r="R834" s="1" t="s">
        <v>157</v>
      </c>
      <c r="S834" s="1" t="s">
        <v>158</v>
      </c>
      <c r="T834" s="1" t="s">
        <v>442</v>
      </c>
      <c r="U834" s="1">
        <v>1.00654991E8</v>
      </c>
      <c r="X834" s="1" t="s">
        <v>63</v>
      </c>
      <c r="Y834" s="1" t="s">
        <v>767</v>
      </c>
      <c r="Z834" s="1" t="s">
        <v>37</v>
      </c>
    </row>
    <row r="835" hidden="1">
      <c r="A835" s="1" t="s">
        <v>3128</v>
      </c>
      <c r="B835" s="1" t="s">
        <v>377</v>
      </c>
      <c r="C835" s="1" t="s">
        <v>3129</v>
      </c>
      <c r="D835" s="1" t="s">
        <v>78</v>
      </c>
      <c r="E835" s="1" t="s">
        <v>28</v>
      </c>
      <c r="F835" s="2">
        <v>1250000.0</v>
      </c>
      <c r="G835" s="1" t="s">
        <v>280</v>
      </c>
      <c r="H835" s="4">
        <f>IFERROR(__xludf.DUMMYFUNCTION("DATE(INDEX(SPLIT(G835,""/""),,3),INDEX(SPLIT(G835,""/""),,2),INDEX(SPLIT(G835,""/""),,1))"),44613.0)</f>
        <v>44613</v>
      </c>
      <c r="I835" s="4">
        <v>44604.0</v>
      </c>
      <c r="J835" s="4">
        <f>IFERROR(__xludf.DUMMYFUNCTION("DATE(INDEX(SPLIT(I835,""/""),,3),INDEX(SPLIT(I835,""/""),,2),INDEX(SPLIT(I835,""/""),,1))"),44897.0)</f>
        <v>44897</v>
      </c>
      <c r="L835" s="1">
        <v>0.0</v>
      </c>
      <c r="M835" s="1" t="s">
        <v>2147</v>
      </c>
      <c r="N835" s="1"/>
      <c r="O835" s="1" t="s">
        <v>30</v>
      </c>
      <c r="P835" s="1" t="s">
        <v>31</v>
      </c>
      <c r="Q835" s="1" t="s">
        <v>235</v>
      </c>
      <c r="R835" s="1" t="s">
        <v>235</v>
      </c>
      <c r="S835" s="1" t="s">
        <v>236</v>
      </c>
      <c r="T835" s="1" t="s">
        <v>237</v>
      </c>
      <c r="U835" s="1">
        <v>1.00647935E8</v>
      </c>
      <c r="X835" s="1" t="s">
        <v>239</v>
      </c>
      <c r="Y835" s="1" t="s">
        <v>2147</v>
      </c>
      <c r="Z835" s="1" t="s">
        <v>37</v>
      </c>
    </row>
    <row r="836" hidden="1">
      <c r="A836" s="1" t="s">
        <v>3130</v>
      </c>
      <c r="B836" s="1" t="s">
        <v>3131</v>
      </c>
      <c r="C836" s="1" t="s">
        <v>3132</v>
      </c>
      <c r="D836" s="1" t="s">
        <v>78</v>
      </c>
      <c r="E836" s="1" t="s">
        <v>28</v>
      </c>
      <c r="F836" s="2">
        <v>1250000.0</v>
      </c>
      <c r="G836" s="1" t="s">
        <v>343</v>
      </c>
      <c r="H836" s="4">
        <f>IFERROR(__xludf.DUMMYFUNCTION("DATE(INDEX(SPLIT(G836,""/""),,3),INDEX(SPLIT(G836,""/""),,2),INDEX(SPLIT(G836,""/""),,1))"),44761.0)</f>
        <v>44761</v>
      </c>
      <c r="I836" s="1" t="s">
        <v>999</v>
      </c>
      <c r="J836" s="4">
        <f>IFERROR(__xludf.DUMMYFUNCTION("DATE(INDEX(SPLIT(I836,""/""),,3),INDEX(SPLIT(I836,""/""),,2),INDEX(SPLIT(I836,""/""),,1))"),44953.0)</f>
        <v>44953</v>
      </c>
      <c r="L836" s="1">
        <v>0.0</v>
      </c>
      <c r="M836" s="1" t="s">
        <v>3133</v>
      </c>
      <c r="N836" s="1"/>
      <c r="O836" s="1" t="s">
        <v>30</v>
      </c>
      <c r="P836" s="1" t="s">
        <v>31</v>
      </c>
      <c r="Q836" s="1" t="s">
        <v>228</v>
      </c>
      <c r="R836" s="1" t="s">
        <v>228</v>
      </c>
      <c r="S836" s="1" t="s">
        <v>229</v>
      </c>
      <c r="T836" s="1" t="s">
        <v>513</v>
      </c>
      <c r="U836" s="1">
        <v>1.00611158E8</v>
      </c>
      <c r="X836" s="1" t="s">
        <v>2028</v>
      </c>
      <c r="Y836" s="1" t="s">
        <v>3133</v>
      </c>
      <c r="Z836" s="1" t="s">
        <v>37</v>
      </c>
    </row>
    <row r="837">
      <c r="A837" s="1" t="s">
        <v>3134</v>
      </c>
      <c r="B837" s="1" t="s">
        <v>3135</v>
      </c>
      <c r="C837" s="1" t="s">
        <v>3136</v>
      </c>
      <c r="D837" s="1" t="s">
        <v>78</v>
      </c>
      <c r="E837" s="1" t="s">
        <v>28</v>
      </c>
      <c r="F837" s="2">
        <v>1250000.0</v>
      </c>
      <c r="G837" s="1" t="s">
        <v>3137</v>
      </c>
      <c r="H837" s="4">
        <f>IFERROR(__xludf.DUMMYFUNCTION("DATE(INDEX(SPLIT(G837,""/""),,3),INDEX(SPLIT(G837,""/""),,2),INDEX(SPLIT(G837,""/""),,1))"),44731.0)</f>
        <v>44731</v>
      </c>
      <c r="I837" s="1" t="s">
        <v>226</v>
      </c>
      <c r="J837" s="4">
        <f>IFERROR(__xludf.DUMMYFUNCTION("DATE(INDEX(SPLIT(I837,""/""),,3),INDEX(SPLIT(I837,""/""),,2),INDEX(SPLIT(I837,""/""),,1))"),44771.0)</f>
        <v>44771</v>
      </c>
      <c r="L837" s="1">
        <v>0.0</v>
      </c>
      <c r="M837" s="1" t="s">
        <v>3138</v>
      </c>
      <c r="N837" s="1"/>
      <c r="O837" s="1" t="s">
        <v>30</v>
      </c>
      <c r="P837" s="1" t="s">
        <v>31</v>
      </c>
      <c r="Q837" s="1" t="s">
        <v>157</v>
      </c>
      <c r="R837" s="1" t="s">
        <v>157</v>
      </c>
      <c r="S837" s="1" t="s">
        <v>158</v>
      </c>
      <c r="T837" s="1" t="s">
        <v>442</v>
      </c>
      <c r="U837" s="1">
        <v>1.00616377E8</v>
      </c>
      <c r="X837" s="1" t="s">
        <v>490</v>
      </c>
      <c r="Y837" s="1" t="s">
        <v>3139</v>
      </c>
      <c r="Z837" s="1" t="s">
        <v>37</v>
      </c>
    </row>
    <row r="838" hidden="1">
      <c r="A838" s="1" t="s">
        <v>3140</v>
      </c>
      <c r="B838" s="1" t="s">
        <v>700</v>
      </c>
      <c r="C838" s="1" t="s">
        <v>3141</v>
      </c>
      <c r="D838" s="1" t="s">
        <v>78</v>
      </c>
      <c r="E838" s="1" t="s">
        <v>28</v>
      </c>
      <c r="F838" s="2">
        <v>1250000.0</v>
      </c>
      <c r="G838" s="1" t="s">
        <v>3142</v>
      </c>
      <c r="H838" s="4">
        <f>IFERROR(__xludf.DUMMYFUNCTION("DATE(INDEX(SPLIT(G838,""/""),,3),INDEX(SPLIT(G838,""/""),,2),INDEX(SPLIT(G838,""/""),,1))"),44611.0)</f>
        <v>44611</v>
      </c>
      <c r="I838" s="1" t="s">
        <v>130</v>
      </c>
      <c r="J838" s="4">
        <f>IFERROR(__xludf.DUMMYFUNCTION("DATE(INDEX(SPLIT(I838,""/""),,3),INDEX(SPLIT(I838,""/""),,2),INDEX(SPLIT(I838,""/""),,1))"),44804.0)</f>
        <v>44804</v>
      </c>
      <c r="L838" s="1">
        <v>0.0</v>
      </c>
      <c r="M838" s="1" t="s">
        <v>702</v>
      </c>
      <c r="N838" s="1"/>
      <c r="O838" s="1" t="s">
        <v>30</v>
      </c>
      <c r="P838" s="1" t="s">
        <v>31</v>
      </c>
      <c r="Q838" s="1" t="s">
        <v>95</v>
      </c>
      <c r="R838" s="1" t="s">
        <v>95</v>
      </c>
      <c r="S838" s="1" t="s">
        <v>96</v>
      </c>
      <c r="T838" s="1" t="s">
        <v>311</v>
      </c>
      <c r="U838" s="1">
        <v>1.00616804E8</v>
      </c>
      <c r="X838" s="1" t="s">
        <v>98</v>
      </c>
      <c r="Y838" s="1" t="s">
        <v>702</v>
      </c>
      <c r="Z838" s="1" t="s">
        <v>37</v>
      </c>
    </row>
    <row r="839">
      <c r="A839" s="1" t="s">
        <v>3143</v>
      </c>
      <c r="B839" s="1" t="s">
        <v>3144</v>
      </c>
      <c r="C839" s="1" t="s">
        <v>3145</v>
      </c>
      <c r="D839" s="1" t="s">
        <v>122</v>
      </c>
      <c r="E839" s="1" t="s">
        <v>28</v>
      </c>
      <c r="F839" s="2">
        <v>1204261.23</v>
      </c>
      <c r="G839" s="4">
        <v>44902.0</v>
      </c>
      <c r="H839" s="4">
        <f>IFERROR(__xludf.DUMMYFUNCTION("DATE(INDEX(SPLIT(G839,""/""),,3),INDEX(SPLIT(G839,""/""),,2),INDEX(SPLIT(G839,""/""),,1))"),44754.0)</f>
        <v>44754</v>
      </c>
      <c r="I839" s="1" t="s">
        <v>226</v>
      </c>
      <c r="J839" s="4">
        <f>IFERROR(__xludf.DUMMYFUNCTION("DATE(INDEX(SPLIT(I839,""/""),,3),INDEX(SPLIT(I839,""/""),,2),INDEX(SPLIT(I839,""/""),,1))"),44771.0)</f>
        <v>44771</v>
      </c>
      <c r="L839" s="1">
        <v>0.0</v>
      </c>
      <c r="M839" s="1" t="s">
        <v>3146</v>
      </c>
      <c r="N839" s="1"/>
      <c r="O839" s="1" t="s">
        <v>30</v>
      </c>
      <c r="P839" s="1" t="s">
        <v>31</v>
      </c>
      <c r="Q839" s="1" t="s">
        <v>1320</v>
      </c>
      <c r="R839" s="1" t="s">
        <v>1320</v>
      </c>
      <c r="S839" s="1" t="s">
        <v>236</v>
      </c>
      <c r="U839" s="1">
        <v>1.00614269E8</v>
      </c>
      <c r="X839" s="1" t="s">
        <v>88</v>
      </c>
      <c r="Y839" s="1" t="s">
        <v>3146</v>
      </c>
      <c r="Z839" s="1" t="s">
        <v>37</v>
      </c>
    </row>
    <row r="840" hidden="1">
      <c r="A840" s="1" t="s">
        <v>3147</v>
      </c>
      <c r="B840" s="1" t="s">
        <v>152</v>
      </c>
      <c r="C840" s="1" t="s">
        <v>3148</v>
      </c>
      <c r="D840" s="1" t="s">
        <v>122</v>
      </c>
      <c r="E840" s="1" t="s">
        <v>28</v>
      </c>
      <c r="F840" s="2">
        <v>1200000.0</v>
      </c>
      <c r="G840" s="1" t="s">
        <v>3149</v>
      </c>
      <c r="H840" s="4">
        <f>IFERROR(__xludf.DUMMYFUNCTION("DATE(INDEX(SPLIT(G840,""/""),,3),INDEX(SPLIT(G840,""/""),,2),INDEX(SPLIT(G840,""/""),,1))"),44301.0)</f>
        <v>44301</v>
      </c>
      <c r="I840" s="1" t="s">
        <v>281</v>
      </c>
      <c r="J840" s="4">
        <f>IFERROR(__xludf.DUMMYFUNCTION("DATE(INDEX(SPLIT(I840,""/""),,3),INDEX(SPLIT(I840,""/""),,2),INDEX(SPLIT(I840,""/""),,1))"),44865.0)</f>
        <v>44865</v>
      </c>
      <c r="L840" s="1">
        <v>0.0</v>
      </c>
      <c r="M840" s="1" t="s">
        <v>156</v>
      </c>
      <c r="N840" s="1"/>
      <c r="O840" s="1" t="s">
        <v>30</v>
      </c>
      <c r="P840" s="1" t="s">
        <v>31</v>
      </c>
      <c r="Q840" s="1" t="s">
        <v>157</v>
      </c>
      <c r="R840" s="1" t="s">
        <v>157</v>
      </c>
      <c r="S840" s="1" t="s">
        <v>158</v>
      </c>
      <c r="T840" s="1" t="s">
        <v>159</v>
      </c>
      <c r="U840" s="1">
        <v>1.00619165E8</v>
      </c>
      <c r="X840" s="1" t="s">
        <v>35</v>
      </c>
      <c r="Y840" s="1" t="s">
        <v>160</v>
      </c>
      <c r="Z840" s="1" t="s">
        <v>37</v>
      </c>
    </row>
    <row r="841" hidden="1">
      <c r="A841" s="1" t="s">
        <v>3150</v>
      </c>
      <c r="B841" s="1" t="s">
        <v>144</v>
      </c>
      <c r="C841" s="1" t="s">
        <v>3151</v>
      </c>
      <c r="D841" s="1" t="s">
        <v>27</v>
      </c>
      <c r="E841" s="1" t="s">
        <v>28</v>
      </c>
      <c r="F841" s="2">
        <v>1200000.0</v>
      </c>
      <c r="G841" s="4">
        <v>44743.0</v>
      </c>
      <c r="H841" s="4">
        <f>IFERROR(__xludf.DUMMYFUNCTION("DATE(INDEX(SPLIT(G841,""/""),,3),INDEX(SPLIT(G841,""/""),,2),INDEX(SPLIT(G841,""/""),,1))"),44568.0)</f>
        <v>44568</v>
      </c>
      <c r="I841" s="1" t="s">
        <v>425</v>
      </c>
      <c r="J841" s="4">
        <f>IFERROR(__xludf.DUMMYFUNCTION("DATE(INDEX(SPLIT(I841,""/""),,3),INDEX(SPLIT(I841,""/""),,2),INDEX(SPLIT(I841,""/""),,1))"),44911.0)</f>
        <v>44911</v>
      </c>
      <c r="L841" s="1">
        <v>0.0</v>
      </c>
      <c r="M841" s="1" t="s">
        <v>459</v>
      </c>
      <c r="N841" s="1"/>
      <c r="O841" s="1" t="s">
        <v>30</v>
      </c>
      <c r="P841" s="1" t="s">
        <v>31</v>
      </c>
      <c r="Q841" s="1" t="s">
        <v>53</v>
      </c>
      <c r="R841" s="1" t="s">
        <v>53</v>
      </c>
      <c r="S841" s="1" t="s">
        <v>54</v>
      </c>
      <c r="T841" s="1" t="s">
        <v>87</v>
      </c>
      <c r="U841" s="1">
        <v>1.00653756E8</v>
      </c>
      <c r="X841" s="1" t="s">
        <v>88</v>
      </c>
      <c r="Y841" s="1" t="s">
        <v>459</v>
      </c>
      <c r="Z841" s="1" t="s">
        <v>37</v>
      </c>
    </row>
    <row r="842" hidden="1">
      <c r="A842" s="1" t="s">
        <v>3152</v>
      </c>
      <c r="B842" s="1" t="s">
        <v>2121</v>
      </c>
      <c r="C842" s="1" t="s">
        <v>3153</v>
      </c>
      <c r="D842" s="1" t="s">
        <v>27</v>
      </c>
      <c r="E842" s="1" t="s">
        <v>28</v>
      </c>
      <c r="F842" s="2">
        <v>1200000.0</v>
      </c>
      <c r="G842" s="1" t="s">
        <v>1521</v>
      </c>
      <c r="H842" s="4">
        <f>IFERROR(__xludf.DUMMYFUNCTION("DATE(INDEX(SPLIT(G842,""/""),,3),INDEX(SPLIT(G842,""/""),,2),INDEX(SPLIT(G842,""/""),,1))"),44756.0)</f>
        <v>44756</v>
      </c>
      <c r="I842" s="4">
        <v>44573.0</v>
      </c>
      <c r="J842" s="4">
        <f>IFERROR(__xludf.DUMMYFUNCTION("DATE(INDEX(SPLIT(I842,""/""),,3),INDEX(SPLIT(I842,""/""),,2),INDEX(SPLIT(I842,""/""),,1))"),44896.0)</f>
        <v>44896</v>
      </c>
      <c r="L842" s="1">
        <v>0.0</v>
      </c>
      <c r="M842" s="1" t="s">
        <v>2123</v>
      </c>
      <c r="N842" s="1"/>
      <c r="O842" s="1" t="s">
        <v>30</v>
      </c>
      <c r="P842" s="1" t="s">
        <v>31</v>
      </c>
      <c r="Q842" s="1" t="s">
        <v>157</v>
      </c>
      <c r="R842" s="1" t="s">
        <v>157</v>
      </c>
      <c r="S842" s="1" t="s">
        <v>158</v>
      </c>
      <c r="U842" s="1">
        <v>1.00589248E8</v>
      </c>
      <c r="X842" s="1" t="s">
        <v>88</v>
      </c>
      <c r="Y842" s="1" t="s">
        <v>2124</v>
      </c>
      <c r="Z842" s="1" t="s">
        <v>37</v>
      </c>
    </row>
    <row r="843" hidden="1">
      <c r="A843" s="1" t="s">
        <v>3154</v>
      </c>
      <c r="B843" s="1" t="s">
        <v>2121</v>
      </c>
      <c r="C843" s="1" t="s">
        <v>3155</v>
      </c>
      <c r="D843" s="1" t="s">
        <v>27</v>
      </c>
      <c r="E843" s="1" t="s">
        <v>28</v>
      </c>
      <c r="F843" s="2">
        <v>1200000.0</v>
      </c>
      <c r="G843" s="1" t="s">
        <v>1521</v>
      </c>
      <c r="H843" s="4">
        <f>IFERROR(__xludf.DUMMYFUNCTION("DATE(INDEX(SPLIT(G843,""/""),,3),INDEX(SPLIT(G843,""/""),,2),INDEX(SPLIT(G843,""/""),,1))"),44756.0)</f>
        <v>44756</v>
      </c>
      <c r="I843" s="4">
        <v>44630.0</v>
      </c>
      <c r="J843" s="4">
        <f>IFERROR(__xludf.DUMMYFUNCTION("DATE(INDEX(SPLIT(I843,""/""),,3),INDEX(SPLIT(I843,""/""),,2),INDEX(SPLIT(I843,""/""),,1))"),44837.0)</f>
        <v>44837</v>
      </c>
      <c r="L843" s="1">
        <v>0.0</v>
      </c>
      <c r="M843" s="1" t="s">
        <v>2123</v>
      </c>
      <c r="N843" s="1"/>
      <c r="O843" s="1" t="s">
        <v>30</v>
      </c>
      <c r="P843" s="1" t="s">
        <v>31</v>
      </c>
      <c r="Q843" s="1" t="s">
        <v>157</v>
      </c>
      <c r="R843" s="1" t="s">
        <v>157</v>
      </c>
      <c r="S843" s="1" t="s">
        <v>158</v>
      </c>
      <c r="U843" s="1">
        <v>1.00589248E8</v>
      </c>
      <c r="X843" s="1" t="s">
        <v>88</v>
      </c>
      <c r="Y843" s="1" t="s">
        <v>2124</v>
      </c>
      <c r="Z843" s="1" t="s">
        <v>37</v>
      </c>
    </row>
    <row r="844" hidden="1">
      <c r="A844" s="1" t="s">
        <v>3156</v>
      </c>
      <c r="B844" s="1" t="s">
        <v>962</v>
      </c>
      <c r="C844" s="1" t="s">
        <v>3157</v>
      </c>
      <c r="D844" s="1" t="s">
        <v>122</v>
      </c>
      <c r="E844" s="1" t="s">
        <v>28</v>
      </c>
      <c r="F844" s="2">
        <v>1200000.0</v>
      </c>
      <c r="G844" s="1" t="s">
        <v>3158</v>
      </c>
      <c r="H844" s="4">
        <f>IFERROR(__xludf.DUMMYFUNCTION("DATE(INDEX(SPLIT(G844,""/""),,3),INDEX(SPLIT(G844,""/""),,2),INDEX(SPLIT(G844,""/""),,1))"),44468.0)</f>
        <v>44468</v>
      </c>
      <c r="I844" s="1" t="s">
        <v>1799</v>
      </c>
      <c r="J844" s="4">
        <f>IFERROR(__xludf.DUMMYFUNCTION("DATE(INDEX(SPLIT(I844,""/""),,3),INDEX(SPLIT(I844,""/""),,2),INDEX(SPLIT(I844,""/""),,1))"),44788.0)</f>
        <v>44788</v>
      </c>
      <c r="L844" s="1">
        <v>0.0</v>
      </c>
      <c r="M844" s="1" t="s">
        <v>3159</v>
      </c>
      <c r="N844" s="1"/>
      <c r="O844" s="1" t="s">
        <v>30</v>
      </c>
      <c r="P844" s="1" t="s">
        <v>31</v>
      </c>
      <c r="Q844" s="1" t="s">
        <v>95</v>
      </c>
      <c r="R844" s="1" t="s">
        <v>95</v>
      </c>
      <c r="S844" s="1" t="s">
        <v>96</v>
      </c>
      <c r="T844" s="1" t="s">
        <v>311</v>
      </c>
      <c r="U844" s="1">
        <v>1.00627256E8</v>
      </c>
      <c r="X844" s="1" t="s">
        <v>190</v>
      </c>
      <c r="Y844" s="1" t="s">
        <v>3159</v>
      </c>
      <c r="Z844" s="1" t="s">
        <v>527</v>
      </c>
    </row>
    <row r="845" hidden="1">
      <c r="A845" s="1" t="s">
        <v>3160</v>
      </c>
      <c r="B845" s="1" t="s">
        <v>3161</v>
      </c>
      <c r="C845" s="1" t="s">
        <v>3162</v>
      </c>
      <c r="D845" s="1" t="s">
        <v>78</v>
      </c>
      <c r="E845" s="1" t="s">
        <v>28</v>
      </c>
      <c r="F845" s="2">
        <v>1200000.0</v>
      </c>
      <c r="G845" s="4">
        <v>44568.0</v>
      </c>
      <c r="H845" s="4">
        <f>IFERROR(__xludf.DUMMYFUNCTION("DATE(INDEX(SPLIT(G845,""/""),,3),INDEX(SPLIT(G845,""/""),,2),INDEX(SPLIT(G845,""/""),,1))"),44743.0)</f>
        <v>44743</v>
      </c>
      <c r="I845" s="1" t="s">
        <v>134</v>
      </c>
      <c r="J845" s="4">
        <f>IFERROR(__xludf.DUMMYFUNCTION("DATE(INDEX(SPLIT(I845,""/""),,3),INDEX(SPLIT(I845,""/""),,2),INDEX(SPLIT(I845,""/""),,1))"),44792.0)</f>
        <v>44792</v>
      </c>
      <c r="L845" s="1">
        <v>0.0</v>
      </c>
      <c r="M845" s="1" t="s">
        <v>3163</v>
      </c>
      <c r="N845" s="1"/>
      <c r="O845" s="1" t="s">
        <v>30</v>
      </c>
      <c r="P845" s="1" t="s">
        <v>31</v>
      </c>
      <c r="Q845" s="1" t="s">
        <v>157</v>
      </c>
      <c r="R845" s="1" t="s">
        <v>157</v>
      </c>
      <c r="S845" s="1" t="s">
        <v>158</v>
      </c>
      <c r="T845" s="1" t="s">
        <v>442</v>
      </c>
      <c r="U845" s="1">
        <v>1.0062597E8</v>
      </c>
      <c r="X845" s="1" t="s">
        <v>781</v>
      </c>
      <c r="Y845" s="1" t="s">
        <v>3164</v>
      </c>
      <c r="Z845" s="1" t="s">
        <v>37</v>
      </c>
    </row>
    <row r="846" hidden="1">
      <c r="A846" s="1" t="s">
        <v>3165</v>
      </c>
      <c r="B846" s="1" t="s">
        <v>2131</v>
      </c>
      <c r="C846" s="1" t="s">
        <v>3166</v>
      </c>
      <c r="D846" s="1" t="s">
        <v>27</v>
      </c>
      <c r="E846" s="1" t="s">
        <v>28</v>
      </c>
      <c r="F846" s="2">
        <v>1200000.0</v>
      </c>
      <c r="G846" s="4">
        <v>44471.0</v>
      </c>
      <c r="H846" s="4">
        <f>IFERROR(__xludf.DUMMYFUNCTION("DATE(INDEX(SPLIT(G846,""/""),,3),INDEX(SPLIT(G846,""/""),,2),INDEX(SPLIT(G846,""/""),,1))"),44237.0)</f>
        <v>44237</v>
      </c>
      <c r="I846" s="1" t="s">
        <v>42</v>
      </c>
      <c r="J846" s="4">
        <f>IFERROR(__xludf.DUMMYFUNCTION("DATE(INDEX(SPLIT(I846,""/""),,3),INDEX(SPLIT(I846,""/""),,2),INDEX(SPLIT(I846,""/""),,1))"),44926.0)</f>
        <v>44926</v>
      </c>
      <c r="L846" s="1">
        <v>0.0</v>
      </c>
      <c r="M846" s="1" t="s">
        <v>259</v>
      </c>
      <c r="N846" s="1"/>
      <c r="O846" s="1" t="s">
        <v>30</v>
      </c>
      <c r="P846" s="1" t="s">
        <v>31</v>
      </c>
      <c r="Q846" s="1" t="s">
        <v>95</v>
      </c>
      <c r="R846" s="1" t="s">
        <v>95</v>
      </c>
      <c r="S846" s="1" t="s">
        <v>96</v>
      </c>
      <c r="T846" s="1" t="s">
        <v>260</v>
      </c>
      <c r="U846" s="1">
        <v>1.00659114E8</v>
      </c>
      <c r="X846" s="1" t="s">
        <v>239</v>
      </c>
      <c r="Y846" s="1" t="s">
        <v>3167</v>
      </c>
      <c r="Z846" s="1" t="s">
        <v>37</v>
      </c>
    </row>
    <row r="847">
      <c r="A847" s="1" t="s">
        <v>3168</v>
      </c>
      <c r="B847" s="1" t="s">
        <v>2735</v>
      </c>
      <c r="C847" s="1" t="s">
        <v>3169</v>
      </c>
      <c r="D847" s="1" t="s">
        <v>68</v>
      </c>
      <c r="E847" s="1" t="s">
        <v>28</v>
      </c>
      <c r="F847" s="2">
        <v>1200000.0</v>
      </c>
      <c r="G847" s="1" t="s">
        <v>359</v>
      </c>
      <c r="H847" s="4">
        <f>IFERROR(__xludf.DUMMYFUNCTION("DATE(INDEX(SPLIT(G847,""/""),,3),INDEX(SPLIT(G847,""/""),,2),INDEX(SPLIT(G847,""/""),,1))"),44740.0)</f>
        <v>44740</v>
      </c>
      <c r="I847" s="1" t="s">
        <v>472</v>
      </c>
      <c r="J847" s="4">
        <f>IFERROR(__xludf.DUMMYFUNCTION("DATE(INDEX(SPLIT(I847,""/""),,3),INDEX(SPLIT(I847,""/""),,2),INDEX(SPLIT(I847,""/""),,1))"),44760.0)</f>
        <v>44760</v>
      </c>
      <c r="L847" s="1">
        <v>0.0</v>
      </c>
      <c r="M847" s="1" t="s">
        <v>3170</v>
      </c>
      <c r="N847" s="1"/>
      <c r="O847" s="1" t="s">
        <v>30</v>
      </c>
      <c r="P847" s="1" t="s">
        <v>31</v>
      </c>
      <c r="Q847" s="1" t="s">
        <v>157</v>
      </c>
      <c r="R847" s="1" t="s">
        <v>157</v>
      </c>
      <c r="S847" s="1" t="s">
        <v>158</v>
      </c>
      <c r="T847" s="1" t="s">
        <v>442</v>
      </c>
      <c r="U847" s="1">
        <v>1.00626436E8</v>
      </c>
      <c r="X847" s="1" t="s">
        <v>490</v>
      </c>
      <c r="Y847" s="1" t="s">
        <v>3171</v>
      </c>
      <c r="Z847" s="1" t="s">
        <v>37</v>
      </c>
    </row>
    <row r="848" hidden="1">
      <c r="A848" s="1" t="s">
        <v>3172</v>
      </c>
      <c r="B848" s="1" t="s">
        <v>617</v>
      </c>
      <c r="C848" s="1" t="s">
        <v>3173</v>
      </c>
      <c r="D848" s="1" t="s">
        <v>27</v>
      </c>
      <c r="E848" s="1" t="s">
        <v>28</v>
      </c>
      <c r="F848" s="2">
        <v>1200000.0</v>
      </c>
      <c r="G848" s="1" t="s">
        <v>1767</v>
      </c>
      <c r="H848" s="4">
        <f>IFERROR(__xludf.DUMMYFUNCTION("DATE(INDEX(SPLIT(G848,""/""),,3),INDEX(SPLIT(G848,""/""),,2),INDEX(SPLIT(G848,""/""),,1))"),44698.0)</f>
        <v>44698</v>
      </c>
      <c r="I848" s="4">
        <v>44876.0</v>
      </c>
      <c r="J848" s="4">
        <f>IFERROR(__xludf.DUMMYFUNCTION("DATE(INDEX(SPLIT(I848,""/""),,3),INDEX(SPLIT(I848,""/""),,2),INDEX(SPLIT(I848,""/""),,1))"),44876.0)</f>
        <v>44876</v>
      </c>
      <c r="L848" s="1">
        <v>0.0</v>
      </c>
      <c r="M848" s="1" t="s">
        <v>1925</v>
      </c>
      <c r="N848" s="1"/>
      <c r="O848" s="1" t="s">
        <v>30</v>
      </c>
      <c r="P848" s="1" t="s">
        <v>31</v>
      </c>
      <c r="Q848" s="1" t="s">
        <v>32</v>
      </c>
      <c r="R848" s="1" t="s">
        <v>32</v>
      </c>
      <c r="S848" s="1" t="s">
        <v>33</v>
      </c>
      <c r="T848" s="1" t="s">
        <v>2524</v>
      </c>
      <c r="U848" s="1">
        <v>1.00626539E8</v>
      </c>
      <c r="X848" s="1" t="s">
        <v>81</v>
      </c>
      <c r="Y848" s="1" t="s">
        <v>1925</v>
      </c>
      <c r="Z848" s="1" t="s">
        <v>527</v>
      </c>
    </row>
    <row r="849" hidden="1">
      <c r="A849" s="1" t="s">
        <v>3174</v>
      </c>
      <c r="B849" s="1" t="s">
        <v>1762</v>
      </c>
      <c r="C849" s="1" t="s">
        <v>3175</v>
      </c>
      <c r="D849" s="1" t="s">
        <v>27</v>
      </c>
      <c r="E849" s="1" t="s">
        <v>28</v>
      </c>
      <c r="F849" s="2">
        <v>1200000.0</v>
      </c>
      <c r="G849" s="1" t="s">
        <v>2712</v>
      </c>
      <c r="H849" s="4">
        <f>IFERROR(__xludf.DUMMYFUNCTION("DATE(INDEX(SPLIT(G849,""/""),,3),INDEX(SPLIT(G849,""/""),,2),INDEX(SPLIT(G849,""/""),,1))"),44435.0)</f>
        <v>44435</v>
      </c>
      <c r="I849" s="1" t="s">
        <v>999</v>
      </c>
      <c r="J849" s="4">
        <f>IFERROR(__xludf.DUMMYFUNCTION("DATE(INDEX(SPLIT(I849,""/""),,3),INDEX(SPLIT(I849,""/""),,2),INDEX(SPLIT(I849,""/""),,1))"),44953.0)</f>
        <v>44953</v>
      </c>
      <c r="L849" s="1">
        <v>0.0</v>
      </c>
      <c r="M849" s="1" t="s">
        <v>1514</v>
      </c>
      <c r="N849" s="1"/>
      <c r="O849" s="1" t="s">
        <v>30</v>
      </c>
      <c r="P849" s="1" t="s">
        <v>31</v>
      </c>
      <c r="Q849" s="1" t="s">
        <v>71</v>
      </c>
      <c r="R849" s="1" t="s">
        <v>71</v>
      </c>
      <c r="S849" s="1" t="s">
        <v>72</v>
      </c>
      <c r="T849" s="1" t="s">
        <v>615</v>
      </c>
      <c r="U849" s="1">
        <v>1.006324E8</v>
      </c>
      <c r="X849" s="1" t="s">
        <v>490</v>
      </c>
      <c r="Y849" s="1" t="s">
        <v>1514</v>
      </c>
      <c r="Z849" s="1" t="s">
        <v>37</v>
      </c>
    </row>
    <row r="850" hidden="1">
      <c r="A850" s="1" t="s">
        <v>3176</v>
      </c>
      <c r="B850" s="1" t="s">
        <v>434</v>
      </c>
      <c r="C850" s="1" t="s">
        <v>3177</v>
      </c>
      <c r="D850" s="1" t="s">
        <v>27</v>
      </c>
      <c r="E850" s="1" t="s">
        <v>28</v>
      </c>
      <c r="F850" s="2">
        <v>1200000.0</v>
      </c>
      <c r="G850" s="1" t="s">
        <v>3178</v>
      </c>
      <c r="H850" s="4">
        <f>IFERROR(__xludf.DUMMYFUNCTION("DATE(INDEX(SPLIT(G850,""/""),,3),INDEX(SPLIT(G850,""/""),,2),INDEX(SPLIT(G850,""/""),,1))"),44644.0)</f>
        <v>44644</v>
      </c>
      <c r="I850" s="1" t="s">
        <v>109</v>
      </c>
      <c r="J850" s="4">
        <f>IFERROR(__xludf.DUMMYFUNCTION("DATE(INDEX(SPLIT(I850,""/""),,3),INDEX(SPLIT(I850,""/""),,2),INDEX(SPLIT(I850,""/""),,1))"),44834.0)</f>
        <v>44834</v>
      </c>
      <c r="L850" s="1">
        <v>0.0</v>
      </c>
      <c r="M850" s="1" t="s">
        <v>1814</v>
      </c>
      <c r="N850" s="1"/>
      <c r="O850" s="1" t="s">
        <v>30</v>
      </c>
      <c r="P850" s="1" t="s">
        <v>31</v>
      </c>
      <c r="Q850" s="1" t="s">
        <v>95</v>
      </c>
      <c r="R850" s="1" t="s">
        <v>95</v>
      </c>
      <c r="S850" s="1" t="s">
        <v>96</v>
      </c>
      <c r="T850" s="1" t="s">
        <v>602</v>
      </c>
      <c r="U850" s="1">
        <v>1.00597983E8</v>
      </c>
      <c r="X850" s="1" t="s">
        <v>88</v>
      </c>
      <c r="Y850" s="1" t="s">
        <v>2133</v>
      </c>
      <c r="Z850" s="1" t="s">
        <v>206</v>
      </c>
    </row>
    <row r="851" hidden="1">
      <c r="A851" s="1" t="s">
        <v>3179</v>
      </c>
      <c r="B851" s="1" t="s">
        <v>3180</v>
      </c>
      <c r="C851" s="1" t="s">
        <v>3181</v>
      </c>
      <c r="D851" s="1" t="s">
        <v>122</v>
      </c>
      <c r="E851" s="1" t="s">
        <v>28</v>
      </c>
      <c r="F851" s="2">
        <v>1200000.0</v>
      </c>
      <c r="G851" s="4">
        <v>44806.0</v>
      </c>
      <c r="H851" s="4">
        <f>IFERROR(__xludf.DUMMYFUNCTION("DATE(INDEX(SPLIT(G851,""/""),,3),INDEX(SPLIT(G851,""/""),,2),INDEX(SPLIT(G851,""/""),,1))"),44601.0)</f>
        <v>44601</v>
      </c>
      <c r="I851" s="1" t="s">
        <v>109</v>
      </c>
      <c r="J851" s="4">
        <f>IFERROR(__xludf.DUMMYFUNCTION("DATE(INDEX(SPLIT(I851,""/""),,3),INDEX(SPLIT(I851,""/""),,2),INDEX(SPLIT(I851,""/""),,1))"),44834.0)</f>
        <v>44834</v>
      </c>
      <c r="L851" s="1">
        <v>0.0</v>
      </c>
      <c r="M851" s="1" t="s">
        <v>1856</v>
      </c>
      <c r="N851" s="1"/>
      <c r="O851" s="1" t="s">
        <v>30</v>
      </c>
      <c r="P851" s="1" t="s">
        <v>31</v>
      </c>
      <c r="Q851" s="1" t="s">
        <v>32</v>
      </c>
      <c r="R851" s="1" t="s">
        <v>32</v>
      </c>
      <c r="S851" s="1" t="s">
        <v>33</v>
      </c>
      <c r="T851" s="1" t="s">
        <v>103</v>
      </c>
      <c r="U851" s="1">
        <v>1.00587434E8</v>
      </c>
      <c r="X851" s="1" t="s">
        <v>63</v>
      </c>
      <c r="Y851" s="1" t="s">
        <v>3182</v>
      </c>
      <c r="Z851" s="1" t="s">
        <v>37</v>
      </c>
    </row>
    <row r="852">
      <c r="A852" s="1" t="s">
        <v>3183</v>
      </c>
      <c r="B852" s="1" t="s">
        <v>3184</v>
      </c>
      <c r="C852" s="1" t="s">
        <v>3185</v>
      </c>
      <c r="D852" s="1" t="s">
        <v>122</v>
      </c>
      <c r="E852" s="1" t="s">
        <v>28</v>
      </c>
      <c r="F852" s="2">
        <v>1200000.0</v>
      </c>
      <c r="G852" s="1" t="s">
        <v>3186</v>
      </c>
      <c r="H852" s="4">
        <f>IFERROR(__xludf.DUMMYFUNCTION("DATE(INDEX(SPLIT(G852,""/""),,3),INDEX(SPLIT(G852,""/""),,2),INDEX(SPLIT(G852,""/""),,1))"),44529.0)</f>
        <v>44529</v>
      </c>
      <c r="I852" s="1" t="s">
        <v>226</v>
      </c>
      <c r="J852" s="4">
        <f>IFERROR(__xludf.DUMMYFUNCTION("DATE(INDEX(SPLIT(I852,""/""),,3),INDEX(SPLIT(I852,""/""),,2),INDEX(SPLIT(I852,""/""),,1))"),44771.0)</f>
        <v>44771</v>
      </c>
      <c r="L852" s="1">
        <v>0.0</v>
      </c>
      <c r="M852" s="1" t="s">
        <v>3187</v>
      </c>
      <c r="N852" s="1"/>
      <c r="O852" s="1" t="s">
        <v>30</v>
      </c>
      <c r="P852" s="1" t="s">
        <v>31</v>
      </c>
      <c r="Q852" s="1" t="s">
        <v>228</v>
      </c>
      <c r="R852" s="1" t="s">
        <v>228</v>
      </c>
      <c r="S852" s="1" t="s">
        <v>229</v>
      </c>
      <c r="T852" s="1" t="s">
        <v>640</v>
      </c>
      <c r="U852" s="1">
        <v>1.00638978E8</v>
      </c>
      <c r="V852" s="1" t="s">
        <v>3188</v>
      </c>
      <c r="W852" s="1" t="s">
        <v>45</v>
      </c>
      <c r="X852" s="1" t="s">
        <v>312</v>
      </c>
      <c r="Y852" s="1" t="s">
        <v>3189</v>
      </c>
      <c r="Z852" s="1" t="s">
        <v>37</v>
      </c>
    </row>
    <row r="853">
      <c r="A853" s="1" t="s">
        <v>3190</v>
      </c>
      <c r="B853" s="1" t="s">
        <v>3191</v>
      </c>
      <c r="C853" s="1" t="s">
        <v>3192</v>
      </c>
      <c r="D853" s="1" t="s">
        <v>122</v>
      </c>
      <c r="E853" s="1" t="s">
        <v>28</v>
      </c>
      <c r="F853" s="2">
        <v>1200000.0</v>
      </c>
      <c r="G853" s="1" t="s">
        <v>586</v>
      </c>
      <c r="H853" s="4">
        <f>IFERROR(__xludf.DUMMYFUNCTION("DATE(INDEX(SPLIT(G853,""/""),,3),INDEX(SPLIT(G853,""/""),,2),INDEX(SPLIT(G853,""/""),,1))"),44726.0)</f>
        <v>44726</v>
      </c>
      <c r="I853" s="1" t="s">
        <v>226</v>
      </c>
      <c r="J853" s="4">
        <f>IFERROR(__xludf.DUMMYFUNCTION("DATE(INDEX(SPLIT(I853,""/""),,3),INDEX(SPLIT(I853,""/""),,2),INDEX(SPLIT(I853,""/""),,1))"),44771.0)</f>
        <v>44771</v>
      </c>
      <c r="L853" s="1">
        <v>0.0</v>
      </c>
      <c r="M853" s="1" t="s">
        <v>558</v>
      </c>
      <c r="N853" s="1"/>
      <c r="O853" s="1" t="s">
        <v>30</v>
      </c>
      <c r="P853" s="1" t="s">
        <v>31</v>
      </c>
      <c r="Q853" s="1" t="s">
        <v>53</v>
      </c>
      <c r="R853" s="1" t="s">
        <v>53</v>
      </c>
      <c r="S853" s="1" t="s">
        <v>54</v>
      </c>
      <c r="T853" s="1" t="s">
        <v>87</v>
      </c>
      <c r="U853" s="1">
        <v>1.00653597E8</v>
      </c>
      <c r="X853" s="1" t="s">
        <v>88</v>
      </c>
      <c r="Y853" s="1" t="s">
        <v>558</v>
      </c>
      <c r="Z853" s="1" t="s">
        <v>37</v>
      </c>
    </row>
    <row r="854" hidden="1">
      <c r="A854" s="1" t="s">
        <v>3193</v>
      </c>
      <c r="B854" s="1" t="s">
        <v>612</v>
      </c>
      <c r="C854" s="1" t="s">
        <v>3194</v>
      </c>
      <c r="D854" s="1" t="s">
        <v>68</v>
      </c>
      <c r="E854" s="1" t="s">
        <v>28</v>
      </c>
      <c r="F854" s="2">
        <v>1200000.0</v>
      </c>
      <c r="G854" s="4">
        <v>44839.0</v>
      </c>
      <c r="H854" s="4">
        <f>IFERROR(__xludf.DUMMYFUNCTION("DATE(INDEX(SPLIT(G854,""/""),,3),INDEX(SPLIT(G854,""/""),,2),INDEX(SPLIT(G854,""/""),,1))"),44691.0)</f>
        <v>44691</v>
      </c>
      <c r="I854" s="4">
        <v>44569.0</v>
      </c>
      <c r="J854" s="4">
        <f>IFERROR(__xludf.DUMMYFUNCTION("DATE(INDEX(SPLIT(I854,""/""),,3),INDEX(SPLIT(I854,""/""),,2),INDEX(SPLIT(I854,""/""),,1))"),44774.0)</f>
        <v>44774</v>
      </c>
      <c r="L854" s="1">
        <v>0.0</v>
      </c>
      <c r="M854" s="1" t="s">
        <v>1059</v>
      </c>
      <c r="N854" s="1"/>
      <c r="O854" s="1" t="s">
        <v>30</v>
      </c>
      <c r="P854" s="1" t="s">
        <v>31</v>
      </c>
      <c r="Q854" s="1" t="s">
        <v>228</v>
      </c>
      <c r="R854" s="1" t="s">
        <v>228</v>
      </c>
      <c r="S854" s="1" t="s">
        <v>229</v>
      </c>
      <c r="U854" s="1">
        <v>1.01074484E8</v>
      </c>
      <c r="X854" s="1" t="s">
        <v>490</v>
      </c>
      <c r="Y854" s="1" t="s">
        <v>1060</v>
      </c>
      <c r="Z854" s="1" t="s">
        <v>527</v>
      </c>
    </row>
    <row r="855">
      <c r="A855" s="1" t="s">
        <v>3195</v>
      </c>
      <c r="B855" s="1" t="s">
        <v>416</v>
      </c>
      <c r="C855" s="1" t="s">
        <v>3196</v>
      </c>
      <c r="D855" s="1" t="s">
        <v>122</v>
      </c>
      <c r="E855" s="1" t="s">
        <v>28</v>
      </c>
      <c r="F855" s="2">
        <v>1200000.0</v>
      </c>
      <c r="G855" s="4">
        <v>44748.0</v>
      </c>
      <c r="H855" s="4">
        <f>IFERROR(__xludf.DUMMYFUNCTION("DATE(INDEX(SPLIT(G855,""/""),,3),INDEX(SPLIT(G855,""/""),,2),INDEX(SPLIT(G855,""/""),,1))"),44719.0)</f>
        <v>44719</v>
      </c>
      <c r="I855" s="1" t="s">
        <v>226</v>
      </c>
      <c r="J855" s="4">
        <f>IFERROR(__xludf.DUMMYFUNCTION("DATE(INDEX(SPLIT(I855,""/""),,3),INDEX(SPLIT(I855,""/""),,2),INDEX(SPLIT(I855,""/""),,1))"),44771.0)</f>
        <v>44771</v>
      </c>
      <c r="L855" s="1">
        <v>0.0</v>
      </c>
      <c r="M855" s="1" t="s">
        <v>3197</v>
      </c>
      <c r="N855" s="1"/>
      <c r="O855" s="1" t="s">
        <v>30</v>
      </c>
      <c r="P855" s="1" t="s">
        <v>31</v>
      </c>
      <c r="Q855" s="1" t="s">
        <v>71</v>
      </c>
      <c r="R855" s="1" t="s">
        <v>71</v>
      </c>
      <c r="S855" s="1" t="s">
        <v>72</v>
      </c>
      <c r="T855" s="1" t="s">
        <v>136</v>
      </c>
      <c r="U855" s="1">
        <v>1.00593964E8</v>
      </c>
      <c r="V855" s="1" t="s">
        <v>3198</v>
      </c>
      <c r="W855" s="1" t="s">
        <v>717</v>
      </c>
      <c r="X855" s="1" t="s">
        <v>74</v>
      </c>
      <c r="Y855" s="1" t="s">
        <v>3199</v>
      </c>
      <c r="Z855" s="1" t="s">
        <v>37</v>
      </c>
    </row>
    <row r="856" hidden="1">
      <c r="A856" s="1" t="s">
        <v>3200</v>
      </c>
      <c r="B856" s="1" t="s">
        <v>954</v>
      </c>
      <c r="C856" s="1" t="s">
        <v>3201</v>
      </c>
      <c r="D856" s="1" t="s">
        <v>27</v>
      </c>
      <c r="E856" s="1" t="s">
        <v>28</v>
      </c>
      <c r="F856" s="2">
        <v>1200000.0</v>
      </c>
      <c r="G856" s="1" t="s">
        <v>862</v>
      </c>
      <c r="H856" s="4">
        <f>IFERROR(__xludf.DUMMYFUNCTION("DATE(INDEX(SPLIT(G856,""/""),,3),INDEX(SPLIT(G856,""/""),,2),INDEX(SPLIT(G856,""/""),,1))"),44699.0)</f>
        <v>44699</v>
      </c>
      <c r="I856" s="1" t="s">
        <v>3202</v>
      </c>
      <c r="J856" s="4">
        <f>IFERROR(__xludf.DUMMYFUNCTION("DATE(INDEX(SPLIT(I856,""/""),,3),INDEX(SPLIT(I856,""/""),,2),INDEX(SPLIT(I856,""/""),,1))"),44830.0)</f>
        <v>44830</v>
      </c>
      <c r="L856" s="1">
        <v>0.0</v>
      </c>
      <c r="M856" s="1" t="s">
        <v>3170</v>
      </c>
      <c r="N856" s="1"/>
      <c r="O856" s="1" t="s">
        <v>30</v>
      </c>
      <c r="P856" s="1" t="s">
        <v>31</v>
      </c>
      <c r="Q856" s="1" t="s">
        <v>157</v>
      </c>
      <c r="R856" s="1" t="s">
        <v>157</v>
      </c>
      <c r="S856" s="1" t="s">
        <v>158</v>
      </c>
      <c r="U856" s="1">
        <v>1.00626436E8</v>
      </c>
      <c r="X856" s="1" t="s">
        <v>74</v>
      </c>
      <c r="Y856" s="1" t="s">
        <v>957</v>
      </c>
      <c r="Z856" s="1" t="s">
        <v>37</v>
      </c>
    </row>
    <row r="857" hidden="1">
      <c r="A857" s="1" t="s">
        <v>3203</v>
      </c>
      <c r="B857" s="1" t="s">
        <v>3204</v>
      </c>
      <c r="C857" s="1" t="s">
        <v>3205</v>
      </c>
      <c r="D857" s="1" t="s">
        <v>27</v>
      </c>
      <c r="E857" s="1" t="s">
        <v>28</v>
      </c>
      <c r="F857" s="2">
        <v>1200000.0</v>
      </c>
      <c r="G857" s="1" t="s">
        <v>3206</v>
      </c>
      <c r="H857" s="4">
        <f>IFERROR(__xludf.DUMMYFUNCTION("DATE(INDEX(SPLIT(G857,""/""),,3),INDEX(SPLIT(G857,""/""),,2),INDEX(SPLIT(G857,""/""),,1))"),44738.0)</f>
        <v>44738</v>
      </c>
      <c r="I857" s="1" t="s">
        <v>625</v>
      </c>
      <c r="J857" s="4">
        <f>IFERROR(__xludf.DUMMYFUNCTION("DATE(INDEX(SPLIT(I857,""/""),,3),INDEX(SPLIT(I857,""/""),,2),INDEX(SPLIT(I857,""/""),,1))"),44848.0)</f>
        <v>44848</v>
      </c>
      <c r="L857" s="1">
        <v>0.0</v>
      </c>
      <c r="M857" s="1" t="s">
        <v>1704</v>
      </c>
      <c r="N857" s="1"/>
      <c r="O857" s="1" t="s">
        <v>30</v>
      </c>
      <c r="P857" s="1" t="s">
        <v>31</v>
      </c>
      <c r="Q857" s="1" t="s">
        <v>157</v>
      </c>
      <c r="R857" s="1" t="s">
        <v>157</v>
      </c>
      <c r="S857" s="1" t="s">
        <v>158</v>
      </c>
      <c r="T857" s="1" t="s">
        <v>442</v>
      </c>
      <c r="U857" s="1">
        <v>1.00654991E8</v>
      </c>
      <c r="X857" s="1" t="s">
        <v>63</v>
      </c>
      <c r="Y857" s="1" t="s">
        <v>1969</v>
      </c>
      <c r="Z857" s="1" t="s">
        <v>37</v>
      </c>
    </row>
    <row r="858" hidden="1">
      <c r="A858" s="1" t="s">
        <v>3207</v>
      </c>
      <c r="B858" s="1" t="s">
        <v>357</v>
      </c>
      <c r="C858" s="1" t="s">
        <v>3208</v>
      </c>
      <c r="D858" s="1" t="s">
        <v>78</v>
      </c>
      <c r="E858" s="1" t="s">
        <v>28</v>
      </c>
      <c r="F858" s="2">
        <v>1200000.0</v>
      </c>
      <c r="G858" s="1" t="s">
        <v>1767</v>
      </c>
      <c r="H858" s="4">
        <f>IFERROR(__xludf.DUMMYFUNCTION("DATE(INDEX(SPLIT(G858,""/""),,3),INDEX(SPLIT(G858,""/""),,2),INDEX(SPLIT(G858,""/""),,1))"),44698.0)</f>
        <v>44698</v>
      </c>
      <c r="I858" s="4">
        <v>44752.0</v>
      </c>
      <c r="J858" s="4">
        <f>IFERROR(__xludf.DUMMYFUNCTION("DATE(INDEX(SPLIT(I858,""/""),,3),INDEX(SPLIT(I858,""/""),,2),INDEX(SPLIT(I858,""/""),,1))"),44841.0)</f>
        <v>44841</v>
      </c>
      <c r="L858" s="1">
        <v>0.0</v>
      </c>
      <c r="M858" s="1" t="s">
        <v>3209</v>
      </c>
      <c r="N858" s="1"/>
      <c r="O858" s="1" t="s">
        <v>30</v>
      </c>
      <c r="P858" s="1" t="s">
        <v>31</v>
      </c>
      <c r="Q858" s="1" t="s">
        <v>188</v>
      </c>
      <c r="R858" s="1" t="s">
        <v>188</v>
      </c>
      <c r="S858" s="1" t="s">
        <v>189</v>
      </c>
      <c r="T858" s="1" t="s">
        <v>287</v>
      </c>
      <c r="U858" s="1">
        <v>1.00604298E8</v>
      </c>
      <c r="X858" s="1" t="s">
        <v>361</v>
      </c>
      <c r="Y858" s="1" t="s">
        <v>884</v>
      </c>
      <c r="Z858" s="1" t="s">
        <v>37</v>
      </c>
    </row>
    <row r="859" hidden="1">
      <c r="A859" s="1" t="s">
        <v>3210</v>
      </c>
      <c r="B859" s="1" t="s">
        <v>2131</v>
      </c>
      <c r="C859" s="1" t="s">
        <v>3211</v>
      </c>
      <c r="D859" s="1" t="s">
        <v>27</v>
      </c>
      <c r="E859" s="1" t="s">
        <v>28</v>
      </c>
      <c r="F859" s="2">
        <v>1200000.0</v>
      </c>
      <c r="G859" s="4">
        <v>44776.0</v>
      </c>
      <c r="H859" s="4">
        <f>IFERROR(__xludf.DUMMYFUNCTION("DATE(INDEX(SPLIT(G859,""/""),,3),INDEX(SPLIT(G859,""/""),,2),INDEX(SPLIT(G859,""/""),,1))"),44628.0)</f>
        <v>44628</v>
      </c>
      <c r="I859" s="1" t="s">
        <v>130</v>
      </c>
      <c r="J859" s="4">
        <f>IFERROR(__xludf.DUMMYFUNCTION("DATE(INDEX(SPLIT(I859,""/""),,3),INDEX(SPLIT(I859,""/""),,2),INDEX(SPLIT(I859,""/""),,1))"),44804.0)</f>
        <v>44804</v>
      </c>
      <c r="L859" s="1">
        <v>0.0</v>
      </c>
      <c r="M859" s="1" t="s">
        <v>3212</v>
      </c>
      <c r="N859" s="1"/>
      <c r="O859" s="1" t="s">
        <v>30</v>
      </c>
      <c r="P859" s="1" t="s">
        <v>31</v>
      </c>
      <c r="Q859" s="1" t="s">
        <v>53</v>
      </c>
      <c r="R859" s="1" t="s">
        <v>53</v>
      </c>
      <c r="S859" s="1" t="s">
        <v>54</v>
      </c>
      <c r="T859" s="1" t="s">
        <v>237</v>
      </c>
      <c r="U859" s="1">
        <v>1.00898415E8</v>
      </c>
      <c r="X859" s="1" t="s">
        <v>239</v>
      </c>
      <c r="Y859" s="1" t="s">
        <v>3167</v>
      </c>
      <c r="Z859" s="1" t="s">
        <v>37</v>
      </c>
    </row>
    <row r="860" hidden="1">
      <c r="A860" s="1" t="s">
        <v>3213</v>
      </c>
      <c r="B860" s="1" t="s">
        <v>992</v>
      </c>
      <c r="C860" s="1" t="s">
        <v>3214</v>
      </c>
      <c r="D860" s="1" t="s">
        <v>78</v>
      </c>
      <c r="E860" s="1" t="s">
        <v>28</v>
      </c>
      <c r="F860" s="2">
        <v>1200000.0</v>
      </c>
      <c r="G860" s="1" t="s">
        <v>3215</v>
      </c>
      <c r="H860" s="4">
        <f>IFERROR(__xludf.DUMMYFUNCTION("DATE(INDEX(SPLIT(G860,""/""),,3),INDEX(SPLIT(G860,""/""),,2),INDEX(SPLIT(G860,""/""),,1))"),43769.0)</f>
        <v>43769</v>
      </c>
      <c r="I860" s="1" t="s">
        <v>3202</v>
      </c>
      <c r="J860" s="4">
        <f>IFERROR(__xludf.DUMMYFUNCTION("DATE(INDEX(SPLIT(I860,""/""),,3),INDEX(SPLIT(I860,""/""),,2),INDEX(SPLIT(I860,""/""),,1))"),44830.0)</f>
        <v>44830</v>
      </c>
      <c r="L860" s="1">
        <v>0.0</v>
      </c>
      <c r="M860" s="1" t="s">
        <v>3216</v>
      </c>
      <c r="N860" s="1"/>
      <c r="O860" s="1" t="s">
        <v>30</v>
      </c>
      <c r="P860" s="1" t="s">
        <v>31</v>
      </c>
      <c r="Q860" s="1" t="s">
        <v>32</v>
      </c>
      <c r="R860" s="1" t="s">
        <v>32</v>
      </c>
      <c r="S860" s="1" t="s">
        <v>33</v>
      </c>
      <c r="T860" s="1" t="s">
        <v>55</v>
      </c>
      <c r="U860" s="1">
        <v>1.00622716E8</v>
      </c>
      <c r="X860" s="1" t="s">
        <v>35</v>
      </c>
      <c r="Y860" s="1" t="s">
        <v>3216</v>
      </c>
      <c r="Z860" s="1" t="s">
        <v>37</v>
      </c>
    </row>
    <row r="861" hidden="1">
      <c r="A861" s="1" t="s">
        <v>3217</v>
      </c>
      <c r="B861" s="1" t="s">
        <v>1542</v>
      </c>
      <c r="C861" s="1" t="s">
        <v>3218</v>
      </c>
      <c r="D861" s="1" t="s">
        <v>78</v>
      </c>
      <c r="E861" s="1" t="s">
        <v>28</v>
      </c>
      <c r="F861" s="2">
        <v>1200000.0</v>
      </c>
      <c r="G861" s="4">
        <v>44811.0</v>
      </c>
      <c r="H861" s="4">
        <f>IFERROR(__xludf.DUMMYFUNCTION("DATE(INDEX(SPLIT(G861,""/""),,3),INDEX(SPLIT(G861,""/""),,2),INDEX(SPLIT(G861,""/""),,1))"),44751.0)</f>
        <v>44751</v>
      </c>
      <c r="I861" s="1" t="s">
        <v>109</v>
      </c>
      <c r="J861" s="4">
        <f>IFERROR(__xludf.DUMMYFUNCTION("DATE(INDEX(SPLIT(I861,""/""),,3),INDEX(SPLIT(I861,""/""),,2),INDEX(SPLIT(I861,""/""),,1))"),44834.0)</f>
        <v>44834</v>
      </c>
      <c r="L861" s="1">
        <v>0.0</v>
      </c>
      <c r="M861" s="1" t="s">
        <v>3219</v>
      </c>
      <c r="N861" s="1"/>
      <c r="O861" s="1" t="s">
        <v>30</v>
      </c>
      <c r="P861" s="1" t="s">
        <v>31</v>
      </c>
      <c r="Q861" s="1" t="s">
        <v>71</v>
      </c>
      <c r="R861" s="1" t="s">
        <v>71</v>
      </c>
      <c r="S861" s="1" t="s">
        <v>72</v>
      </c>
      <c r="T861" s="1" t="s">
        <v>2893</v>
      </c>
      <c r="U861" s="1">
        <v>1.01169845E8</v>
      </c>
      <c r="X861" s="1" t="s">
        <v>74</v>
      </c>
      <c r="Y861" s="1" t="s">
        <v>3220</v>
      </c>
      <c r="Z861" s="1" t="s">
        <v>206</v>
      </c>
    </row>
    <row r="862" hidden="1">
      <c r="A862" s="1" t="s">
        <v>3221</v>
      </c>
      <c r="B862" s="1" t="s">
        <v>2735</v>
      </c>
      <c r="C862" s="1" t="s">
        <v>3222</v>
      </c>
      <c r="D862" s="1" t="s">
        <v>27</v>
      </c>
      <c r="E862" s="1" t="s">
        <v>28</v>
      </c>
      <c r="F862" s="2">
        <v>1200000.0</v>
      </c>
      <c r="G862" s="4">
        <v>44318.0</v>
      </c>
      <c r="H862" s="4">
        <f>IFERROR(__xludf.DUMMYFUNCTION("DATE(INDEX(SPLIT(G862,""/""),,3),INDEX(SPLIT(G862,""/""),,2),INDEX(SPLIT(G862,""/""),,1))"),44232.0)</f>
        <v>44232</v>
      </c>
      <c r="I862" s="4">
        <v>44572.0</v>
      </c>
      <c r="J862" s="4">
        <f>IFERROR(__xludf.DUMMYFUNCTION("DATE(INDEX(SPLIT(I862,""/""),,3),INDEX(SPLIT(I862,""/""),,2),INDEX(SPLIT(I862,""/""),,1))"),44866.0)</f>
        <v>44866</v>
      </c>
      <c r="L862" s="1">
        <v>0.0</v>
      </c>
      <c r="M862" s="1" t="s">
        <v>1565</v>
      </c>
      <c r="N862" s="1"/>
      <c r="O862" s="1" t="s">
        <v>30</v>
      </c>
      <c r="P862" s="1" t="s">
        <v>31</v>
      </c>
      <c r="Q862" s="1" t="s">
        <v>157</v>
      </c>
      <c r="R862" s="1" t="s">
        <v>157</v>
      </c>
      <c r="S862" s="1" t="s">
        <v>158</v>
      </c>
      <c r="T862" s="1" t="s">
        <v>442</v>
      </c>
      <c r="U862" s="1">
        <v>1.00646908E8</v>
      </c>
      <c r="X862" s="1" t="s">
        <v>490</v>
      </c>
      <c r="Y862" s="1" t="s">
        <v>3223</v>
      </c>
      <c r="Z862" s="1" t="s">
        <v>37</v>
      </c>
    </row>
    <row r="863" hidden="1">
      <c r="A863" s="1" t="s">
        <v>3224</v>
      </c>
      <c r="B863" s="1" t="s">
        <v>975</v>
      </c>
      <c r="C863" s="1" t="s">
        <v>3225</v>
      </c>
      <c r="D863" s="1" t="s">
        <v>78</v>
      </c>
      <c r="E863" s="1" t="s">
        <v>28</v>
      </c>
      <c r="F863" s="2">
        <v>1200000.0</v>
      </c>
      <c r="G863" s="1" t="s">
        <v>1357</v>
      </c>
      <c r="H863" s="4">
        <f>IFERROR(__xludf.DUMMYFUNCTION("DATE(INDEX(SPLIT(G863,""/""),,3),INDEX(SPLIT(G863,""/""),,2),INDEX(SPLIT(G863,""/""),,1))"),44398.0)</f>
        <v>44398</v>
      </c>
      <c r="I863" s="1" t="s">
        <v>109</v>
      </c>
      <c r="J863" s="4">
        <f>IFERROR(__xludf.DUMMYFUNCTION("DATE(INDEX(SPLIT(I863,""/""),,3),INDEX(SPLIT(I863,""/""),,2),INDEX(SPLIT(I863,""/""),,1))"),44834.0)</f>
        <v>44834</v>
      </c>
      <c r="L863" s="1">
        <v>0.0</v>
      </c>
      <c r="M863" s="1" t="s">
        <v>2342</v>
      </c>
      <c r="N863" s="1"/>
      <c r="O863" s="1" t="s">
        <v>30</v>
      </c>
      <c r="P863" s="1" t="s">
        <v>31</v>
      </c>
      <c r="Q863" s="1" t="s">
        <v>53</v>
      </c>
      <c r="R863" s="1" t="s">
        <v>53</v>
      </c>
      <c r="S863" s="1" t="s">
        <v>54</v>
      </c>
      <c r="T863" s="1" t="s">
        <v>87</v>
      </c>
      <c r="U863" s="1">
        <v>1.00886112E8</v>
      </c>
      <c r="X863" s="1" t="s">
        <v>88</v>
      </c>
      <c r="Y863" s="1" t="s">
        <v>3226</v>
      </c>
      <c r="Z863" s="1" t="s">
        <v>37</v>
      </c>
    </row>
    <row r="864">
      <c r="A864" s="1" t="s">
        <v>3227</v>
      </c>
      <c r="B864" s="1" t="s">
        <v>981</v>
      </c>
      <c r="C864" s="1" t="s">
        <v>3228</v>
      </c>
      <c r="D864" s="1" t="s">
        <v>27</v>
      </c>
      <c r="E864" s="1" t="s">
        <v>28</v>
      </c>
      <c r="F864" s="2">
        <v>1200000.0</v>
      </c>
      <c r="G864" s="1" t="s">
        <v>472</v>
      </c>
      <c r="H864" s="4">
        <f>IFERROR(__xludf.DUMMYFUNCTION("DATE(INDEX(SPLIT(G864,""/""),,3),INDEX(SPLIT(G864,""/""),,2),INDEX(SPLIT(G864,""/""),,1))"),44760.0)</f>
        <v>44760</v>
      </c>
      <c r="I864" s="1" t="s">
        <v>69</v>
      </c>
      <c r="J864" s="4">
        <f>IFERROR(__xludf.DUMMYFUNCTION("DATE(INDEX(SPLIT(I864,""/""),,3),INDEX(SPLIT(I864,""/""),,2),INDEX(SPLIT(I864,""/""),,1))"),44773.0)</f>
        <v>44773</v>
      </c>
      <c r="L864" s="1">
        <v>0.0</v>
      </c>
      <c r="M864" s="1" t="s">
        <v>1527</v>
      </c>
      <c r="N864" s="1"/>
      <c r="O864" s="1" t="s">
        <v>30</v>
      </c>
      <c r="P864" s="1" t="s">
        <v>31</v>
      </c>
      <c r="Q864" s="1" t="s">
        <v>95</v>
      </c>
      <c r="R864" s="1" t="s">
        <v>95</v>
      </c>
      <c r="S864" s="1" t="s">
        <v>96</v>
      </c>
      <c r="T864" s="1" t="s">
        <v>489</v>
      </c>
      <c r="U864" s="1">
        <v>1.00651554E8</v>
      </c>
      <c r="X864" s="1" t="s">
        <v>490</v>
      </c>
      <c r="Y864" s="1" t="s">
        <v>3229</v>
      </c>
      <c r="Z864" s="1" t="s">
        <v>37</v>
      </c>
    </row>
    <row r="865">
      <c r="A865" s="1" t="s">
        <v>3230</v>
      </c>
      <c r="B865" s="1" t="s">
        <v>162</v>
      </c>
      <c r="C865" s="1" t="s">
        <v>3231</v>
      </c>
      <c r="D865" s="1" t="s">
        <v>122</v>
      </c>
      <c r="E865" s="1" t="s">
        <v>28</v>
      </c>
      <c r="F865" s="2">
        <v>1190000.0</v>
      </c>
      <c r="G865" s="4">
        <v>44899.0</v>
      </c>
      <c r="H865" s="4">
        <f>IFERROR(__xludf.DUMMYFUNCTION("DATE(INDEX(SPLIT(G865,""/""),,3),INDEX(SPLIT(G865,""/""),,2),INDEX(SPLIT(G865,""/""),,1))"),44663.0)</f>
        <v>44663</v>
      </c>
      <c r="I865" s="1" t="s">
        <v>226</v>
      </c>
      <c r="J865" s="4">
        <f>IFERROR(__xludf.DUMMYFUNCTION("DATE(INDEX(SPLIT(I865,""/""),,3),INDEX(SPLIT(I865,""/""),,2),INDEX(SPLIT(I865,""/""),,1))"),44771.0)</f>
        <v>44771</v>
      </c>
      <c r="L865" s="1">
        <v>0.0</v>
      </c>
      <c r="M865" s="1" t="s">
        <v>1643</v>
      </c>
      <c r="N865" s="1"/>
      <c r="O865" s="1" t="s">
        <v>30</v>
      </c>
      <c r="P865" s="1" t="s">
        <v>31</v>
      </c>
      <c r="Q865" s="1" t="s">
        <v>53</v>
      </c>
      <c r="R865" s="1" t="s">
        <v>53</v>
      </c>
      <c r="S865" s="1" t="s">
        <v>54</v>
      </c>
      <c r="U865" s="1">
        <v>1.00653977E8</v>
      </c>
      <c r="X865" s="1" t="s">
        <v>117</v>
      </c>
      <c r="Y865" s="1" t="s">
        <v>578</v>
      </c>
      <c r="Z865" s="1" t="s">
        <v>37</v>
      </c>
    </row>
    <row r="866" hidden="1">
      <c r="A866" s="1" t="s">
        <v>3232</v>
      </c>
      <c r="B866" s="1" t="s">
        <v>162</v>
      </c>
      <c r="C866" s="1" t="s">
        <v>3233</v>
      </c>
      <c r="D866" s="1" t="s">
        <v>27</v>
      </c>
      <c r="E866" s="1" t="s">
        <v>28</v>
      </c>
      <c r="F866" s="2">
        <v>1190000.0</v>
      </c>
      <c r="G866" s="1" t="s">
        <v>93</v>
      </c>
      <c r="H866" s="4">
        <f>IFERROR(__xludf.DUMMYFUNCTION("DATE(INDEX(SPLIT(G866,""/""),,3),INDEX(SPLIT(G866,""/""),,2),INDEX(SPLIT(G866,""/""),,1))"),44671.0)</f>
        <v>44671</v>
      </c>
      <c r="I866" s="4">
        <v>44689.0</v>
      </c>
      <c r="J866" s="4">
        <f>IFERROR(__xludf.DUMMYFUNCTION("DATE(INDEX(SPLIT(I866,""/""),,3),INDEX(SPLIT(I866,""/""),,2),INDEX(SPLIT(I866,""/""),,1))"),44778.0)</f>
        <v>44778</v>
      </c>
      <c r="L866" s="1">
        <v>0.0</v>
      </c>
      <c r="M866" s="1" t="s">
        <v>1643</v>
      </c>
      <c r="N866" s="1"/>
      <c r="O866" s="1" t="s">
        <v>30</v>
      </c>
      <c r="P866" s="1" t="s">
        <v>31</v>
      </c>
      <c r="Q866" s="1" t="s">
        <v>53</v>
      </c>
      <c r="R866" s="1" t="s">
        <v>53</v>
      </c>
      <c r="S866" s="1" t="s">
        <v>54</v>
      </c>
      <c r="U866" s="1">
        <v>1.00653977E8</v>
      </c>
      <c r="X866" s="1" t="s">
        <v>117</v>
      </c>
      <c r="Y866" s="1" t="s">
        <v>2579</v>
      </c>
      <c r="Z866" s="1" t="s">
        <v>37</v>
      </c>
    </row>
    <row r="867">
      <c r="A867" s="1" t="s">
        <v>3234</v>
      </c>
      <c r="B867" s="1" t="s">
        <v>83</v>
      </c>
      <c r="C867" s="1" t="s">
        <v>3235</v>
      </c>
      <c r="D867" s="1" t="s">
        <v>122</v>
      </c>
      <c r="E867" s="1" t="s">
        <v>28</v>
      </c>
      <c r="F867" s="2">
        <v>1180180.0</v>
      </c>
      <c r="G867" s="1" t="s">
        <v>343</v>
      </c>
      <c r="H867" s="4">
        <f>IFERROR(__xludf.DUMMYFUNCTION("DATE(INDEX(SPLIT(G867,""/""),,3),INDEX(SPLIT(G867,""/""),,2),INDEX(SPLIT(G867,""/""),,1))"),44761.0)</f>
        <v>44761</v>
      </c>
      <c r="I867" s="1" t="s">
        <v>226</v>
      </c>
      <c r="J867" s="4">
        <f>IFERROR(__xludf.DUMMYFUNCTION("DATE(INDEX(SPLIT(I867,""/""),,3),INDEX(SPLIT(I867,""/""),,2),INDEX(SPLIT(I867,""/""),,1))"),44771.0)</f>
        <v>44771</v>
      </c>
      <c r="L867" s="1">
        <v>0.0</v>
      </c>
      <c r="M867" s="1" t="s">
        <v>3236</v>
      </c>
      <c r="N867" s="1"/>
      <c r="O867" s="1" t="s">
        <v>30</v>
      </c>
      <c r="P867" s="1" t="s">
        <v>31</v>
      </c>
      <c r="Q867" s="1" t="s">
        <v>53</v>
      </c>
      <c r="R867" s="1" t="s">
        <v>53</v>
      </c>
      <c r="S867" s="1" t="s">
        <v>54</v>
      </c>
      <c r="U867" s="1">
        <v>1.00650453E8</v>
      </c>
      <c r="X867" s="1" t="s">
        <v>88</v>
      </c>
      <c r="Y867" s="1" t="s">
        <v>3236</v>
      </c>
      <c r="Z867" s="1" t="s">
        <v>37</v>
      </c>
    </row>
    <row r="868" hidden="1">
      <c r="A868" s="1" t="s">
        <v>3237</v>
      </c>
      <c r="B868" s="1" t="s">
        <v>2283</v>
      </c>
      <c r="C868" s="1" t="s">
        <v>3238</v>
      </c>
      <c r="D868" s="1" t="s">
        <v>122</v>
      </c>
      <c r="E868" s="1" t="s">
        <v>28</v>
      </c>
      <c r="F868" s="2">
        <v>1180000.0</v>
      </c>
      <c r="G868" s="1" t="s">
        <v>1154</v>
      </c>
      <c r="H868" s="4">
        <f>IFERROR(__xludf.DUMMYFUNCTION("DATE(INDEX(SPLIT(G868,""/""),,3),INDEX(SPLIT(G868,""/""),,2),INDEX(SPLIT(G868,""/""),,1))"),44735.0)</f>
        <v>44735</v>
      </c>
      <c r="I868" s="1" t="s">
        <v>130</v>
      </c>
      <c r="J868" s="4">
        <f>IFERROR(__xludf.DUMMYFUNCTION("DATE(INDEX(SPLIT(I868,""/""),,3),INDEX(SPLIT(I868,""/""),,2),INDEX(SPLIT(I868,""/""),,1))"),44804.0)</f>
        <v>44804</v>
      </c>
      <c r="L868" s="1">
        <v>0.0</v>
      </c>
      <c r="M868" s="1" t="s">
        <v>1707</v>
      </c>
      <c r="N868" s="1"/>
      <c r="O868" s="1" t="s">
        <v>30</v>
      </c>
      <c r="P868" s="1" t="s">
        <v>31</v>
      </c>
      <c r="Q868" s="1" t="s">
        <v>53</v>
      </c>
      <c r="R868" s="1" t="s">
        <v>53</v>
      </c>
      <c r="S868" s="1" t="s">
        <v>54</v>
      </c>
      <c r="T868" s="1" t="s">
        <v>634</v>
      </c>
      <c r="U868" s="1">
        <v>1.00652169E8</v>
      </c>
      <c r="X868" s="1" t="s">
        <v>490</v>
      </c>
      <c r="Y868" s="1" t="s">
        <v>2765</v>
      </c>
      <c r="Z868" s="1" t="s">
        <v>37</v>
      </c>
    </row>
    <row r="869" hidden="1">
      <c r="A869" s="1" t="s">
        <v>3239</v>
      </c>
      <c r="B869" s="1" t="s">
        <v>39</v>
      </c>
      <c r="C869" s="1" t="s">
        <v>3240</v>
      </c>
      <c r="D869" s="1" t="s">
        <v>78</v>
      </c>
      <c r="E869" s="1" t="s">
        <v>28</v>
      </c>
      <c r="F869" s="2">
        <v>1140000.0</v>
      </c>
      <c r="G869" s="1" t="s">
        <v>1806</v>
      </c>
      <c r="H869" s="4">
        <f>IFERROR(__xludf.DUMMYFUNCTION("DATE(INDEX(SPLIT(G869,""/""),,3),INDEX(SPLIT(G869,""/""),,2),INDEX(SPLIT(G869,""/""),,1))"),44694.0)</f>
        <v>44694</v>
      </c>
      <c r="I869" s="4">
        <v>44903.0</v>
      </c>
      <c r="J869" s="4">
        <f>IFERROR(__xludf.DUMMYFUNCTION("DATE(INDEX(SPLIT(I869,""/""),,3),INDEX(SPLIT(I869,""/""),,2),INDEX(SPLIT(I869,""/""),,1))"),44785.0)</f>
        <v>44785</v>
      </c>
      <c r="L869" s="1">
        <v>0.0</v>
      </c>
      <c r="M869" s="1" t="s">
        <v>678</v>
      </c>
      <c r="N869" s="1"/>
      <c r="O869" s="1" t="s">
        <v>30</v>
      </c>
      <c r="P869" s="1" t="s">
        <v>31</v>
      </c>
      <c r="Q869" s="1" t="s">
        <v>188</v>
      </c>
      <c r="R869" s="1" t="s">
        <v>188</v>
      </c>
      <c r="S869" s="1" t="s">
        <v>189</v>
      </c>
      <c r="T869" s="1" t="s">
        <v>287</v>
      </c>
      <c r="U869" s="1">
        <v>1.00904601E8</v>
      </c>
      <c r="V869" s="1" t="s">
        <v>3241</v>
      </c>
      <c r="W869" s="1" t="s">
        <v>45</v>
      </c>
      <c r="X869" s="1" t="s">
        <v>46</v>
      </c>
      <c r="Y869" s="1" t="s">
        <v>3242</v>
      </c>
      <c r="Z869" s="1" t="s">
        <v>37</v>
      </c>
    </row>
    <row r="870">
      <c r="A870" s="1" t="s">
        <v>3243</v>
      </c>
      <c r="B870" s="1" t="s">
        <v>1511</v>
      </c>
      <c r="C870" s="1" t="s">
        <v>3244</v>
      </c>
      <c r="D870" s="1" t="s">
        <v>78</v>
      </c>
      <c r="E870" s="1" t="s">
        <v>28</v>
      </c>
      <c r="F870" s="2">
        <v>1120000.0</v>
      </c>
      <c r="G870" s="1" t="s">
        <v>3245</v>
      </c>
      <c r="H870" s="4">
        <f>IFERROR(__xludf.DUMMYFUNCTION("DATE(INDEX(SPLIT(G870,""/""),,3),INDEX(SPLIT(G870,""/""),,2),INDEX(SPLIT(G870,""/""),,1))"),44452.0)</f>
        <v>44452</v>
      </c>
      <c r="I870" s="1" t="s">
        <v>1244</v>
      </c>
      <c r="J870" s="4">
        <f>IFERROR(__xludf.DUMMYFUNCTION("DATE(INDEX(SPLIT(I870,""/""),,3),INDEX(SPLIT(I870,""/""),,2),INDEX(SPLIT(I870,""/""),,1))"),44742.0)</f>
        <v>44742</v>
      </c>
      <c r="L870" s="1">
        <v>0.0</v>
      </c>
      <c r="M870" s="1" t="s">
        <v>2980</v>
      </c>
      <c r="N870" s="1"/>
      <c r="O870" s="1" t="s">
        <v>30</v>
      </c>
      <c r="P870" s="1" t="s">
        <v>31</v>
      </c>
      <c r="Q870" s="1" t="s">
        <v>157</v>
      </c>
      <c r="R870" s="1" t="s">
        <v>157</v>
      </c>
      <c r="S870" s="1" t="s">
        <v>158</v>
      </c>
      <c r="T870" s="1" t="s">
        <v>159</v>
      </c>
      <c r="U870" s="1">
        <v>1.00608521E8</v>
      </c>
      <c r="X870" s="1" t="s">
        <v>490</v>
      </c>
      <c r="Y870" s="1" t="s">
        <v>2981</v>
      </c>
      <c r="Z870" s="1" t="s">
        <v>37</v>
      </c>
    </row>
    <row r="871">
      <c r="A871" s="1" t="s">
        <v>3246</v>
      </c>
      <c r="B871" s="1" t="s">
        <v>896</v>
      </c>
      <c r="C871" s="1" t="s">
        <v>3247</v>
      </c>
      <c r="D871" s="1" t="s">
        <v>27</v>
      </c>
      <c r="E871" s="1" t="s">
        <v>28</v>
      </c>
      <c r="F871" s="2">
        <v>1111600.0</v>
      </c>
      <c r="G871" s="1" t="s">
        <v>2329</v>
      </c>
      <c r="H871" s="4">
        <f>IFERROR(__xludf.DUMMYFUNCTION("DATE(INDEX(SPLIT(G871,""/""),,3),INDEX(SPLIT(G871,""/""),,2),INDEX(SPLIT(G871,""/""),,1))"),44732.0)</f>
        <v>44732</v>
      </c>
      <c r="I871" s="1" t="s">
        <v>472</v>
      </c>
      <c r="J871" s="4">
        <f>IFERROR(__xludf.DUMMYFUNCTION("DATE(INDEX(SPLIT(I871,""/""),,3),INDEX(SPLIT(I871,""/""),,2),INDEX(SPLIT(I871,""/""),,1))"),44760.0)</f>
        <v>44760</v>
      </c>
      <c r="L871" s="1">
        <v>0.0</v>
      </c>
      <c r="M871" s="1" t="s">
        <v>3248</v>
      </c>
      <c r="N871" s="1"/>
      <c r="O871" s="1" t="s">
        <v>30</v>
      </c>
      <c r="P871" s="1" t="s">
        <v>31</v>
      </c>
      <c r="Q871" s="1" t="s">
        <v>32</v>
      </c>
      <c r="R871" s="1" t="s">
        <v>32</v>
      </c>
      <c r="S871" s="1" t="s">
        <v>33</v>
      </c>
      <c r="T871" s="1" t="s">
        <v>1195</v>
      </c>
      <c r="U871" s="1">
        <v>1.00586233E8</v>
      </c>
      <c r="X871" s="1" t="s">
        <v>490</v>
      </c>
      <c r="Y871" s="1" t="s">
        <v>3248</v>
      </c>
      <c r="Z871" s="1" t="s">
        <v>37</v>
      </c>
    </row>
    <row r="872">
      <c r="A872" s="1" t="s">
        <v>3249</v>
      </c>
      <c r="B872" s="1" t="s">
        <v>896</v>
      </c>
      <c r="C872" s="1" t="s">
        <v>3250</v>
      </c>
      <c r="D872" s="1" t="s">
        <v>68</v>
      </c>
      <c r="E872" s="1" t="s">
        <v>28</v>
      </c>
      <c r="F872" s="2">
        <v>1107191.0</v>
      </c>
      <c r="G872" s="1" t="s">
        <v>330</v>
      </c>
      <c r="H872" s="4">
        <f>IFERROR(__xludf.DUMMYFUNCTION("DATE(INDEX(SPLIT(G872,""/""),,3),INDEX(SPLIT(G872,""/""),,2),INDEX(SPLIT(G872,""/""),,1))"),44728.0)</f>
        <v>44728</v>
      </c>
      <c r="I872" s="1" t="s">
        <v>233</v>
      </c>
      <c r="J872" s="4">
        <f>IFERROR(__xludf.DUMMYFUNCTION("DATE(INDEX(SPLIT(I872,""/""),,3),INDEX(SPLIT(I872,""/""),,2),INDEX(SPLIT(I872,""/""),,1))"),44729.0)</f>
        <v>44729</v>
      </c>
      <c r="K872" s="1" t="s">
        <v>3251</v>
      </c>
      <c r="L872" s="1">
        <v>0.0</v>
      </c>
      <c r="M872" s="1" t="s">
        <v>1840</v>
      </c>
      <c r="N872" s="1"/>
      <c r="O872" s="1" t="s">
        <v>30</v>
      </c>
      <c r="P872" s="1" t="s">
        <v>31</v>
      </c>
      <c r="Q872" s="1" t="s">
        <v>71</v>
      </c>
      <c r="R872" s="1" t="s">
        <v>71</v>
      </c>
      <c r="S872" s="1" t="s">
        <v>72</v>
      </c>
      <c r="U872" s="1">
        <v>1.00617113E8</v>
      </c>
      <c r="X872" s="1" t="s">
        <v>490</v>
      </c>
      <c r="Y872" s="1" t="s">
        <v>3252</v>
      </c>
      <c r="Z872" s="1" t="s">
        <v>37</v>
      </c>
    </row>
    <row r="873">
      <c r="A873" s="1" t="s">
        <v>3253</v>
      </c>
      <c r="B873" s="1" t="s">
        <v>3254</v>
      </c>
      <c r="C873" s="1" t="s">
        <v>3255</v>
      </c>
      <c r="D873" s="1" t="s">
        <v>78</v>
      </c>
      <c r="E873" s="1" t="s">
        <v>28</v>
      </c>
      <c r="F873" s="2">
        <v>1100000.0</v>
      </c>
      <c r="G873" s="1" t="s">
        <v>185</v>
      </c>
      <c r="H873" s="4">
        <f>IFERROR(__xludf.DUMMYFUNCTION("DATE(INDEX(SPLIT(G873,""/""),,3),INDEX(SPLIT(G873,""/""),,2),INDEX(SPLIT(G873,""/""),,1))"),44741.0)</f>
        <v>44741</v>
      </c>
      <c r="I873" s="4">
        <v>44568.0</v>
      </c>
      <c r="J873" s="4">
        <f>IFERROR(__xludf.DUMMYFUNCTION("DATE(INDEX(SPLIT(I873,""/""),,3),INDEX(SPLIT(I873,""/""),,2),INDEX(SPLIT(I873,""/""),,1))"),44743.0)</f>
        <v>44743</v>
      </c>
      <c r="L873" s="1">
        <v>0.0</v>
      </c>
      <c r="M873" s="1" t="s">
        <v>3256</v>
      </c>
      <c r="N873" s="1"/>
      <c r="O873" s="1" t="s">
        <v>30</v>
      </c>
      <c r="P873" s="1" t="s">
        <v>31</v>
      </c>
      <c r="Q873" s="1" t="s">
        <v>188</v>
      </c>
      <c r="R873" s="1" t="s">
        <v>188</v>
      </c>
      <c r="S873" s="1" t="s">
        <v>189</v>
      </c>
      <c r="U873" s="1">
        <v>1.00624248E8</v>
      </c>
      <c r="X873" s="1" t="s">
        <v>2028</v>
      </c>
      <c r="Y873" s="1" t="s">
        <v>3256</v>
      </c>
      <c r="Z873" s="1" t="s">
        <v>37</v>
      </c>
    </row>
    <row r="874" hidden="1">
      <c r="A874" s="1" t="s">
        <v>3257</v>
      </c>
      <c r="B874" s="1" t="s">
        <v>2249</v>
      </c>
      <c r="C874" s="1" t="s">
        <v>3258</v>
      </c>
      <c r="D874" s="1" t="s">
        <v>78</v>
      </c>
      <c r="E874" s="1" t="s">
        <v>28</v>
      </c>
      <c r="F874" s="2">
        <v>1100000.0</v>
      </c>
      <c r="G874" s="4">
        <v>44597.0</v>
      </c>
      <c r="H874" s="4">
        <f>IFERROR(__xludf.DUMMYFUNCTION("DATE(INDEX(SPLIT(G874,""/""),,3),INDEX(SPLIT(G874,""/""),,2),INDEX(SPLIT(G874,""/""),,1))"),44683.0)</f>
        <v>44683</v>
      </c>
      <c r="I874" s="4">
        <v>44689.0</v>
      </c>
      <c r="J874" s="4">
        <f>IFERROR(__xludf.DUMMYFUNCTION("DATE(INDEX(SPLIT(I874,""/""),,3),INDEX(SPLIT(I874,""/""),,2),INDEX(SPLIT(I874,""/""),,1))"),44778.0)</f>
        <v>44778</v>
      </c>
      <c r="L874" s="1">
        <v>0.0</v>
      </c>
      <c r="M874" s="1" t="s">
        <v>558</v>
      </c>
      <c r="N874" s="1"/>
      <c r="O874" s="1" t="s">
        <v>30</v>
      </c>
      <c r="P874" s="1" t="s">
        <v>31</v>
      </c>
      <c r="Q874" s="1" t="s">
        <v>53</v>
      </c>
      <c r="R874" s="1" t="s">
        <v>53</v>
      </c>
      <c r="S874" s="1" t="s">
        <v>54</v>
      </c>
      <c r="T874" s="1" t="s">
        <v>87</v>
      </c>
      <c r="U874" s="1">
        <v>1.00653597E8</v>
      </c>
      <c r="X874" s="1" t="s">
        <v>239</v>
      </c>
      <c r="Y874" s="1" t="s">
        <v>558</v>
      </c>
      <c r="Z874" s="1" t="s">
        <v>37</v>
      </c>
    </row>
    <row r="875" hidden="1">
      <c r="A875" s="1" t="s">
        <v>3259</v>
      </c>
      <c r="B875" s="1" t="s">
        <v>120</v>
      </c>
      <c r="C875" s="1" t="s">
        <v>3260</v>
      </c>
      <c r="D875" s="1" t="s">
        <v>78</v>
      </c>
      <c r="E875" s="1" t="s">
        <v>28</v>
      </c>
      <c r="F875" s="2">
        <v>1100000.0</v>
      </c>
      <c r="G875" s="1" t="s">
        <v>2567</v>
      </c>
      <c r="H875" s="4">
        <f>IFERROR(__xludf.DUMMYFUNCTION("DATE(INDEX(SPLIT(G875,""/""),,3),INDEX(SPLIT(G875,""/""),,2),INDEX(SPLIT(G875,""/""),,1))"),44303.0)</f>
        <v>44303</v>
      </c>
      <c r="I875" s="4">
        <v>44753.0</v>
      </c>
      <c r="J875" s="4">
        <f>IFERROR(__xludf.DUMMYFUNCTION("DATE(INDEX(SPLIT(I875,""/""),,3),INDEX(SPLIT(I875,""/""),,2),INDEX(SPLIT(I875,""/""),,1))"),44872.0)</f>
        <v>44872</v>
      </c>
      <c r="L875" s="1">
        <v>0.0</v>
      </c>
      <c r="M875" s="1" t="s">
        <v>3042</v>
      </c>
      <c r="N875" s="1"/>
      <c r="O875" s="1" t="s">
        <v>30</v>
      </c>
      <c r="P875" s="1" t="s">
        <v>31</v>
      </c>
      <c r="Q875" s="1" t="s">
        <v>157</v>
      </c>
      <c r="R875" s="1" t="s">
        <v>157</v>
      </c>
      <c r="S875" s="1" t="s">
        <v>158</v>
      </c>
      <c r="T875" s="1" t="s">
        <v>442</v>
      </c>
      <c r="U875" s="1">
        <v>1.00649928E8</v>
      </c>
      <c r="X875" s="1" t="s">
        <v>125</v>
      </c>
      <c r="Y875" s="1" t="s">
        <v>3042</v>
      </c>
      <c r="Z875" s="1" t="s">
        <v>37</v>
      </c>
    </row>
    <row r="876">
      <c r="A876" s="1" t="s">
        <v>3261</v>
      </c>
      <c r="B876" s="1" t="s">
        <v>650</v>
      </c>
      <c r="C876" s="1" t="s">
        <v>3262</v>
      </c>
      <c r="D876" s="1" t="s">
        <v>122</v>
      </c>
      <c r="E876" s="1" t="s">
        <v>28</v>
      </c>
      <c r="F876" s="2">
        <v>1100000.0</v>
      </c>
      <c r="G876" s="1" t="s">
        <v>1004</v>
      </c>
      <c r="H876" s="4">
        <f>IFERROR(__xludf.DUMMYFUNCTION("DATE(INDEX(SPLIT(G876,""/""),,3),INDEX(SPLIT(G876,""/""),,2),INDEX(SPLIT(G876,""/""),,1))"),44582.0)</f>
        <v>44582</v>
      </c>
      <c r="I876" s="1" t="s">
        <v>226</v>
      </c>
      <c r="J876" s="4">
        <f>IFERROR(__xludf.DUMMYFUNCTION("DATE(INDEX(SPLIT(I876,""/""),,3),INDEX(SPLIT(I876,""/""),,2),INDEX(SPLIT(I876,""/""),,1))"),44771.0)</f>
        <v>44771</v>
      </c>
      <c r="L876" s="1">
        <v>0.0</v>
      </c>
      <c r="M876" s="1" t="s">
        <v>653</v>
      </c>
      <c r="N876" s="1"/>
      <c r="O876" s="1" t="s">
        <v>30</v>
      </c>
      <c r="P876" s="1" t="s">
        <v>31</v>
      </c>
      <c r="Q876" s="1" t="s">
        <v>157</v>
      </c>
      <c r="R876" s="1" t="s">
        <v>157</v>
      </c>
      <c r="S876" s="1" t="s">
        <v>158</v>
      </c>
      <c r="U876" s="1">
        <v>1.00591141E8</v>
      </c>
      <c r="X876" s="1" t="s">
        <v>63</v>
      </c>
      <c r="Y876" s="1" t="s">
        <v>3056</v>
      </c>
      <c r="Z876" s="1" t="s">
        <v>37</v>
      </c>
    </row>
    <row r="877">
      <c r="A877" s="1" t="s">
        <v>3263</v>
      </c>
      <c r="B877" s="1" t="s">
        <v>854</v>
      </c>
      <c r="C877" s="1" t="s">
        <v>3264</v>
      </c>
      <c r="D877" s="1" t="s">
        <v>78</v>
      </c>
      <c r="E877" s="1" t="s">
        <v>28</v>
      </c>
      <c r="F877" s="2">
        <v>1100000.0</v>
      </c>
      <c r="G877" s="4">
        <v>44564.0</v>
      </c>
      <c r="H877" s="4">
        <f>IFERROR(__xludf.DUMMYFUNCTION("DATE(INDEX(SPLIT(G877,""/""),,3),INDEX(SPLIT(G877,""/""),,2),INDEX(SPLIT(G877,""/""),,1))"),44621.0)</f>
        <v>44621</v>
      </c>
      <c r="I877" s="1" t="s">
        <v>226</v>
      </c>
      <c r="J877" s="4">
        <f>IFERROR(__xludf.DUMMYFUNCTION("DATE(INDEX(SPLIT(I877,""/""),,3),INDEX(SPLIT(I877,""/""),,2),INDEX(SPLIT(I877,""/""),,1))"),44771.0)</f>
        <v>44771</v>
      </c>
      <c r="L877" s="1">
        <v>0.0</v>
      </c>
      <c r="M877" s="1" t="s">
        <v>558</v>
      </c>
      <c r="N877" s="1"/>
      <c r="O877" s="1" t="s">
        <v>30</v>
      </c>
      <c r="P877" s="1" t="s">
        <v>31</v>
      </c>
      <c r="Q877" s="1" t="s">
        <v>53</v>
      </c>
      <c r="R877" s="1" t="s">
        <v>53</v>
      </c>
      <c r="S877" s="1" t="s">
        <v>54</v>
      </c>
      <c r="T877" s="1" t="s">
        <v>87</v>
      </c>
      <c r="U877" s="1">
        <v>1.00653597E8</v>
      </c>
      <c r="X877" s="1" t="s">
        <v>88</v>
      </c>
      <c r="Y877" s="1" t="s">
        <v>558</v>
      </c>
      <c r="Z877" s="1" t="s">
        <v>37</v>
      </c>
    </row>
    <row r="878" hidden="1">
      <c r="A878" s="1" t="s">
        <v>3265</v>
      </c>
      <c r="B878" s="1" t="s">
        <v>1291</v>
      </c>
      <c r="C878" s="1" t="s">
        <v>3266</v>
      </c>
      <c r="D878" s="1" t="s">
        <v>27</v>
      </c>
      <c r="E878" s="1" t="s">
        <v>28</v>
      </c>
      <c r="F878" s="2">
        <v>1100000.0</v>
      </c>
      <c r="G878" s="4">
        <v>44170.0</v>
      </c>
      <c r="H878" s="4">
        <f>IFERROR(__xludf.DUMMYFUNCTION("DATE(INDEX(SPLIT(G878,""/""),,3),INDEX(SPLIT(G878,""/""),,2),INDEX(SPLIT(G878,""/""),,1))"),43963.0)</f>
        <v>43963</v>
      </c>
      <c r="I878" s="1" t="s">
        <v>1460</v>
      </c>
      <c r="J878" s="4">
        <f>IFERROR(__xludf.DUMMYFUNCTION("DATE(INDEX(SPLIT(I878,""/""),,3),INDEX(SPLIT(I878,""/""),,2),INDEX(SPLIT(I878,""/""),,1))"),45138.0)</f>
        <v>45138</v>
      </c>
      <c r="L878" s="1">
        <v>0.0</v>
      </c>
      <c r="M878" s="1" t="s">
        <v>494</v>
      </c>
      <c r="N878" s="1"/>
      <c r="O878" s="1" t="s">
        <v>30</v>
      </c>
      <c r="P878" s="1" t="s">
        <v>31</v>
      </c>
      <c r="Q878" s="1" t="s">
        <v>95</v>
      </c>
      <c r="R878" s="1" t="s">
        <v>95</v>
      </c>
      <c r="S878" s="1" t="s">
        <v>96</v>
      </c>
      <c r="T878" s="1" t="s">
        <v>311</v>
      </c>
      <c r="U878" s="1">
        <v>1.0062347E8</v>
      </c>
      <c r="X878" s="1" t="s">
        <v>312</v>
      </c>
      <c r="Y878" s="1" t="s">
        <v>494</v>
      </c>
      <c r="Z878" s="1" t="s">
        <v>37</v>
      </c>
    </row>
    <row r="879" hidden="1">
      <c r="A879" s="1" t="s">
        <v>3267</v>
      </c>
      <c r="B879" s="1" t="s">
        <v>844</v>
      </c>
      <c r="C879" s="1" t="s">
        <v>3268</v>
      </c>
      <c r="D879" s="1" t="s">
        <v>78</v>
      </c>
      <c r="E879" s="1" t="s">
        <v>28</v>
      </c>
      <c r="F879" s="2">
        <v>1100000.0</v>
      </c>
      <c r="G879" s="1" t="s">
        <v>3269</v>
      </c>
      <c r="H879" s="4">
        <f>IFERROR(__xludf.DUMMYFUNCTION("DATE(INDEX(SPLIT(G879,""/""),,3),INDEX(SPLIT(G879,""/""),,2),INDEX(SPLIT(G879,""/""),,1))"),44399.0)</f>
        <v>44399</v>
      </c>
      <c r="I879" s="1" t="s">
        <v>109</v>
      </c>
      <c r="J879" s="4">
        <f>IFERROR(__xludf.DUMMYFUNCTION("DATE(INDEX(SPLIT(I879,""/""),,3),INDEX(SPLIT(I879,""/""),,2),INDEX(SPLIT(I879,""/""),,1))"),44834.0)</f>
        <v>44834</v>
      </c>
      <c r="L879" s="1">
        <v>0.0</v>
      </c>
      <c r="M879" s="1" t="s">
        <v>1129</v>
      </c>
      <c r="N879" s="1"/>
      <c r="O879" s="1" t="s">
        <v>30</v>
      </c>
      <c r="P879" s="1" t="s">
        <v>31</v>
      </c>
      <c r="Q879" s="1" t="s">
        <v>157</v>
      </c>
      <c r="R879" s="1" t="s">
        <v>157</v>
      </c>
      <c r="S879" s="1" t="s">
        <v>158</v>
      </c>
      <c r="T879" s="1" t="s">
        <v>442</v>
      </c>
      <c r="U879" s="1">
        <v>1.00650786E8</v>
      </c>
      <c r="V879" s="1" t="s">
        <v>3270</v>
      </c>
      <c r="W879" s="1" t="s">
        <v>45</v>
      </c>
      <c r="X879" s="1" t="s">
        <v>125</v>
      </c>
      <c r="Y879" s="1" t="s">
        <v>847</v>
      </c>
      <c r="Z879" s="1" t="s">
        <v>37</v>
      </c>
    </row>
    <row r="880">
      <c r="A880" s="1" t="s">
        <v>3271</v>
      </c>
      <c r="B880" s="1" t="s">
        <v>2303</v>
      </c>
      <c r="C880" s="1" t="s">
        <v>3272</v>
      </c>
      <c r="D880" s="1" t="s">
        <v>78</v>
      </c>
      <c r="E880" s="1" t="s">
        <v>28</v>
      </c>
      <c r="F880" s="2">
        <v>1100000.0</v>
      </c>
      <c r="G880" s="1" t="s">
        <v>1154</v>
      </c>
      <c r="H880" s="4">
        <f>IFERROR(__xludf.DUMMYFUNCTION("DATE(INDEX(SPLIT(G880,""/""),,3),INDEX(SPLIT(G880,""/""),,2),INDEX(SPLIT(G880,""/""),,1))"),44735.0)</f>
        <v>44735</v>
      </c>
      <c r="I880" s="1" t="s">
        <v>226</v>
      </c>
      <c r="J880" s="4">
        <f>IFERROR(__xludf.DUMMYFUNCTION("DATE(INDEX(SPLIT(I880,""/""),,3),INDEX(SPLIT(I880,""/""),,2),INDEX(SPLIT(I880,""/""),,1))"),44771.0)</f>
        <v>44771</v>
      </c>
      <c r="L880" s="1">
        <v>0.0</v>
      </c>
      <c r="M880" s="1" t="s">
        <v>558</v>
      </c>
      <c r="N880" s="1"/>
      <c r="O880" s="1" t="s">
        <v>30</v>
      </c>
      <c r="P880" s="1" t="s">
        <v>31</v>
      </c>
      <c r="Q880" s="1" t="s">
        <v>53</v>
      </c>
      <c r="R880" s="1" t="s">
        <v>53</v>
      </c>
      <c r="S880" s="1" t="s">
        <v>54</v>
      </c>
      <c r="T880" s="1" t="s">
        <v>87</v>
      </c>
      <c r="U880" s="1">
        <v>1.00653597E8</v>
      </c>
      <c r="X880" s="1" t="s">
        <v>375</v>
      </c>
      <c r="Y880" s="1" t="s">
        <v>558</v>
      </c>
      <c r="Z880" s="1" t="s">
        <v>37</v>
      </c>
    </row>
    <row r="881" hidden="1">
      <c r="A881" s="1" t="s">
        <v>3273</v>
      </c>
      <c r="B881" s="1" t="s">
        <v>83</v>
      </c>
      <c r="C881" s="1" t="s">
        <v>3274</v>
      </c>
      <c r="D881" s="1" t="s">
        <v>122</v>
      </c>
      <c r="E881" s="1" t="s">
        <v>28</v>
      </c>
      <c r="F881" s="2">
        <v>1100000.0</v>
      </c>
      <c r="G881" s="4">
        <v>44896.0</v>
      </c>
      <c r="H881" s="4">
        <f>IFERROR(__xludf.DUMMYFUNCTION("DATE(INDEX(SPLIT(G881,""/""),,3),INDEX(SPLIT(G881,""/""),,2),INDEX(SPLIT(G881,""/""),,1))"),44573.0)</f>
        <v>44573</v>
      </c>
      <c r="I881" s="1" t="s">
        <v>130</v>
      </c>
      <c r="J881" s="4">
        <f>IFERROR(__xludf.DUMMYFUNCTION("DATE(INDEX(SPLIT(I881,""/""),,3),INDEX(SPLIT(I881,""/""),,2),INDEX(SPLIT(I881,""/""),,1))"),44804.0)</f>
        <v>44804</v>
      </c>
      <c r="L881" s="1">
        <v>0.0</v>
      </c>
      <c r="M881" s="1" t="s">
        <v>193</v>
      </c>
      <c r="N881" s="1"/>
      <c r="O881" s="1" t="s">
        <v>30</v>
      </c>
      <c r="P881" s="1" t="s">
        <v>31</v>
      </c>
      <c r="Q881" s="1" t="s">
        <v>53</v>
      </c>
      <c r="R881" s="1" t="s">
        <v>53</v>
      </c>
      <c r="S881" s="1" t="s">
        <v>54</v>
      </c>
      <c r="T881" s="1" t="s">
        <v>1386</v>
      </c>
      <c r="U881" s="1">
        <v>1.00882501E8</v>
      </c>
      <c r="X881" s="1" t="s">
        <v>88</v>
      </c>
      <c r="Y881" s="1" t="s">
        <v>1737</v>
      </c>
      <c r="Z881" s="1" t="s">
        <v>37</v>
      </c>
    </row>
    <row r="882" hidden="1">
      <c r="A882" s="1" t="s">
        <v>3275</v>
      </c>
      <c r="B882" s="1" t="s">
        <v>742</v>
      </c>
      <c r="C882" s="1" t="s">
        <v>3276</v>
      </c>
      <c r="D882" s="1" t="s">
        <v>78</v>
      </c>
      <c r="E882" s="1" t="s">
        <v>28</v>
      </c>
      <c r="F882" s="2">
        <v>1100000.0</v>
      </c>
      <c r="G882" s="1" t="s">
        <v>1154</v>
      </c>
      <c r="H882" s="4">
        <f>IFERROR(__xludf.DUMMYFUNCTION("DATE(INDEX(SPLIT(G882,""/""),,3),INDEX(SPLIT(G882,""/""),,2),INDEX(SPLIT(G882,""/""),,1))"),44735.0)</f>
        <v>44735</v>
      </c>
      <c r="I882" s="4">
        <v>44601.0</v>
      </c>
      <c r="J882" s="4">
        <f>IFERROR(__xludf.DUMMYFUNCTION("DATE(INDEX(SPLIT(I882,""/""),,3),INDEX(SPLIT(I882,""/""),,2),INDEX(SPLIT(I882,""/""),,1))"),44806.0)</f>
        <v>44806</v>
      </c>
      <c r="L882" s="1">
        <v>0.0</v>
      </c>
      <c r="M882" s="1" t="s">
        <v>558</v>
      </c>
      <c r="N882" s="1"/>
      <c r="O882" s="1" t="s">
        <v>30</v>
      </c>
      <c r="P882" s="1" t="s">
        <v>31</v>
      </c>
      <c r="Q882" s="1" t="s">
        <v>53</v>
      </c>
      <c r="R882" s="1" t="s">
        <v>53</v>
      </c>
      <c r="S882" s="1" t="s">
        <v>54</v>
      </c>
      <c r="T882" s="1" t="s">
        <v>87</v>
      </c>
      <c r="U882" s="1">
        <v>1.00653597E8</v>
      </c>
      <c r="X882" s="1" t="s">
        <v>63</v>
      </c>
      <c r="Y882" s="1" t="s">
        <v>558</v>
      </c>
      <c r="Z882" s="1" t="s">
        <v>37</v>
      </c>
    </row>
    <row r="883" hidden="1">
      <c r="A883" s="1" t="s">
        <v>3277</v>
      </c>
      <c r="B883" s="1" t="s">
        <v>3278</v>
      </c>
      <c r="C883" s="1" t="s">
        <v>3279</v>
      </c>
      <c r="D883" s="1" t="s">
        <v>122</v>
      </c>
      <c r="E883" s="1" t="s">
        <v>28</v>
      </c>
      <c r="F883" s="2">
        <v>1100000.0</v>
      </c>
      <c r="G883" s="4">
        <v>44297.0</v>
      </c>
      <c r="H883" s="4">
        <f>IFERROR(__xludf.DUMMYFUNCTION("DATE(INDEX(SPLIT(G883,""/""),,3),INDEX(SPLIT(G883,""/""),,2),INDEX(SPLIT(G883,""/""),,1))"),44504.0)</f>
        <v>44504</v>
      </c>
      <c r="I883" s="1" t="s">
        <v>109</v>
      </c>
      <c r="J883" s="4">
        <f>IFERROR(__xludf.DUMMYFUNCTION("DATE(INDEX(SPLIT(I883,""/""),,3),INDEX(SPLIT(I883,""/""),,2),INDEX(SPLIT(I883,""/""),,1))"),44834.0)</f>
        <v>44834</v>
      </c>
      <c r="L883" s="1">
        <v>0.0</v>
      </c>
      <c r="M883" s="1" t="s">
        <v>211</v>
      </c>
      <c r="N883" s="1"/>
      <c r="O883" s="1" t="s">
        <v>30</v>
      </c>
      <c r="P883" s="1" t="s">
        <v>31</v>
      </c>
      <c r="Q883" s="1" t="s">
        <v>71</v>
      </c>
      <c r="R883" s="1" t="s">
        <v>71</v>
      </c>
      <c r="S883" s="1" t="s">
        <v>72</v>
      </c>
      <c r="T883" s="1" t="s">
        <v>136</v>
      </c>
      <c r="U883" s="1">
        <v>1.00590896E8</v>
      </c>
      <c r="X883" s="1" t="s">
        <v>74</v>
      </c>
      <c r="Y883" s="1" t="s">
        <v>3280</v>
      </c>
      <c r="Z883" s="1" t="s">
        <v>37</v>
      </c>
    </row>
    <row r="884" hidden="1">
      <c r="A884" s="1" t="s">
        <v>3281</v>
      </c>
      <c r="B884" s="1" t="s">
        <v>3282</v>
      </c>
      <c r="C884" s="1" t="s">
        <v>3283</v>
      </c>
      <c r="D884" s="1" t="s">
        <v>78</v>
      </c>
      <c r="E884" s="1" t="s">
        <v>28</v>
      </c>
      <c r="F884" s="2">
        <v>1100000.0</v>
      </c>
      <c r="G884" s="1" t="s">
        <v>935</v>
      </c>
      <c r="H884" s="4">
        <f>IFERROR(__xludf.DUMMYFUNCTION("DATE(INDEX(SPLIT(G884,""/""),,3),INDEX(SPLIT(G884,""/""),,2),INDEX(SPLIT(G884,""/""),,1))"),44764.0)</f>
        <v>44764</v>
      </c>
      <c r="I884" s="4">
        <v>44601.0</v>
      </c>
      <c r="J884" s="4">
        <f>IFERROR(__xludf.DUMMYFUNCTION("DATE(INDEX(SPLIT(I884,""/""),,3),INDEX(SPLIT(I884,""/""),,2),INDEX(SPLIT(I884,""/""),,1))"),44806.0)</f>
        <v>44806</v>
      </c>
      <c r="L884" s="1">
        <v>0.0</v>
      </c>
      <c r="M884" s="1" t="s">
        <v>558</v>
      </c>
      <c r="N884" s="1"/>
      <c r="O884" s="1" t="s">
        <v>30</v>
      </c>
      <c r="P884" s="1" t="s">
        <v>31</v>
      </c>
      <c r="Q884" s="1" t="s">
        <v>53</v>
      </c>
      <c r="R884" s="1" t="s">
        <v>53</v>
      </c>
      <c r="S884" s="1" t="s">
        <v>54</v>
      </c>
      <c r="U884" s="1">
        <v>1.00653597E8</v>
      </c>
      <c r="X884" s="1" t="s">
        <v>98</v>
      </c>
      <c r="Y884" s="1" t="s">
        <v>558</v>
      </c>
      <c r="Z884" s="1" t="s">
        <v>37</v>
      </c>
    </row>
    <row r="885">
      <c r="A885" s="1" t="s">
        <v>3284</v>
      </c>
      <c r="B885" s="1" t="s">
        <v>1417</v>
      </c>
      <c r="C885" s="1" t="s">
        <v>3285</v>
      </c>
      <c r="D885" s="1" t="s">
        <v>78</v>
      </c>
      <c r="E885" s="1" t="s">
        <v>28</v>
      </c>
      <c r="F885" s="2">
        <v>1080000.0</v>
      </c>
      <c r="G885" s="4">
        <v>44900.0</v>
      </c>
      <c r="H885" s="4">
        <f>IFERROR(__xludf.DUMMYFUNCTION("DATE(INDEX(SPLIT(G885,""/""),,3),INDEX(SPLIT(G885,""/""),,2),INDEX(SPLIT(G885,""/""),,1))"),44693.0)</f>
        <v>44693</v>
      </c>
      <c r="I885" s="1" t="s">
        <v>518</v>
      </c>
      <c r="J885" s="4">
        <f>IFERROR(__xludf.DUMMYFUNCTION("DATE(INDEX(SPLIT(I885,""/""),,3),INDEX(SPLIT(I885,""/""),,2),INDEX(SPLIT(I885,""/""),,1))"),44757.0)</f>
        <v>44757</v>
      </c>
      <c r="L885" s="1">
        <v>0.0</v>
      </c>
      <c r="M885" s="1" t="s">
        <v>3286</v>
      </c>
      <c r="N885" s="1"/>
      <c r="O885" s="1" t="s">
        <v>30</v>
      </c>
      <c r="P885" s="1" t="s">
        <v>31</v>
      </c>
      <c r="Q885" s="1" t="s">
        <v>53</v>
      </c>
      <c r="R885" s="1" t="s">
        <v>53</v>
      </c>
      <c r="S885" s="1" t="s">
        <v>54</v>
      </c>
      <c r="T885" s="1" t="s">
        <v>181</v>
      </c>
      <c r="U885" s="1">
        <v>1.00648136E8</v>
      </c>
      <c r="X885" s="1" t="s">
        <v>74</v>
      </c>
      <c r="Y885" s="1" t="s">
        <v>3286</v>
      </c>
      <c r="Z885" s="1" t="s">
        <v>37</v>
      </c>
    </row>
    <row r="886" hidden="1">
      <c r="A886" s="1" t="s">
        <v>3287</v>
      </c>
      <c r="B886" s="1" t="s">
        <v>3288</v>
      </c>
      <c r="C886" s="1" t="s">
        <v>3289</v>
      </c>
      <c r="D886" s="1" t="s">
        <v>122</v>
      </c>
      <c r="E886" s="1" t="s">
        <v>28</v>
      </c>
      <c r="F886" s="2">
        <v>1050000.0</v>
      </c>
      <c r="G886" s="1" t="s">
        <v>2077</v>
      </c>
      <c r="H886" s="4">
        <f>IFERROR(__xludf.DUMMYFUNCTION("DATE(INDEX(SPLIT(G886,""/""),,3),INDEX(SPLIT(G886,""/""),,2),INDEX(SPLIT(G886,""/""),,1))"),44700.0)</f>
        <v>44700</v>
      </c>
      <c r="I886" s="1" t="s">
        <v>281</v>
      </c>
      <c r="J886" s="4">
        <f>IFERROR(__xludf.DUMMYFUNCTION("DATE(INDEX(SPLIT(I886,""/""),,3),INDEX(SPLIT(I886,""/""),,2),INDEX(SPLIT(I886,""/""),,1))"),44865.0)</f>
        <v>44865</v>
      </c>
      <c r="L886" s="1">
        <v>0.0</v>
      </c>
      <c r="M886" s="1" t="s">
        <v>156</v>
      </c>
      <c r="N886" s="1"/>
      <c r="O886" s="1" t="s">
        <v>30</v>
      </c>
      <c r="P886" s="1" t="s">
        <v>31</v>
      </c>
      <c r="Q886" s="1" t="s">
        <v>157</v>
      </c>
      <c r="R886" s="1" t="s">
        <v>157</v>
      </c>
      <c r="S886" s="1" t="s">
        <v>158</v>
      </c>
      <c r="T886" s="1" t="s">
        <v>159</v>
      </c>
      <c r="U886" s="1">
        <v>1.00619165E8</v>
      </c>
      <c r="X886" s="1" t="s">
        <v>35</v>
      </c>
      <c r="Y886" s="1" t="s">
        <v>1570</v>
      </c>
      <c r="Z886" s="1" t="s">
        <v>37</v>
      </c>
    </row>
    <row r="887" hidden="1">
      <c r="A887" s="1" t="s">
        <v>3290</v>
      </c>
      <c r="B887" s="1" t="s">
        <v>1144</v>
      </c>
      <c r="C887" s="1" t="s">
        <v>3291</v>
      </c>
      <c r="D887" s="1" t="s">
        <v>78</v>
      </c>
      <c r="E887" s="1" t="s">
        <v>28</v>
      </c>
      <c r="F887" s="2">
        <v>1050000.0</v>
      </c>
      <c r="G887" s="4">
        <v>44806.0</v>
      </c>
      <c r="H887" s="4">
        <f>IFERROR(__xludf.DUMMYFUNCTION("DATE(INDEX(SPLIT(G887,""/""),,3),INDEX(SPLIT(G887,""/""),,2),INDEX(SPLIT(G887,""/""),,1))"),44601.0)</f>
        <v>44601</v>
      </c>
      <c r="I887" s="1" t="s">
        <v>130</v>
      </c>
      <c r="J887" s="4">
        <f>IFERROR(__xludf.DUMMYFUNCTION("DATE(INDEX(SPLIT(I887,""/""),,3),INDEX(SPLIT(I887,""/""),,2),INDEX(SPLIT(I887,""/""),,1))"),44804.0)</f>
        <v>44804</v>
      </c>
      <c r="L887" s="1">
        <v>0.0</v>
      </c>
      <c r="M887" s="1" t="s">
        <v>1573</v>
      </c>
      <c r="N887" s="1"/>
      <c r="O887" s="1" t="s">
        <v>30</v>
      </c>
      <c r="P887" s="1" t="s">
        <v>31</v>
      </c>
      <c r="Q887" s="1" t="s">
        <v>95</v>
      </c>
      <c r="R887" s="1" t="s">
        <v>95</v>
      </c>
      <c r="S887" s="1" t="s">
        <v>96</v>
      </c>
      <c r="T887" s="1" t="s">
        <v>1386</v>
      </c>
      <c r="U887" s="1">
        <v>1.00595231E8</v>
      </c>
      <c r="X887" s="1" t="s">
        <v>63</v>
      </c>
      <c r="Y887" s="1" t="s">
        <v>1573</v>
      </c>
      <c r="Z887" s="1" t="s">
        <v>37</v>
      </c>
    </row>
    <row r="888">
      <c r="A888" s="1" t="s">
        <v>3292</v>
      </c>
      <c r="B888" s="1" t="s">
        <v>3293</v>
      </c>
      <c r="C888" s="1" t="s">
        <v>3294</v>
      </c>
      <c r="D888" s="1" t="s">
        <v>27</v>
      </c>
      <c r="E888" s="1" t="s">
        <v>28</v>
      </c>
      <c r="F888" s="2">
        <v>1050000.0</v>
      </c>
      <c r="G888" s="1" t="s">
        <v>3295</v>
      </c>
      <c r="H888" s="4">
        <f>IFERROR(__xludf.DUMMYFUNCTION("DATE(INDEX(SPLIT(G888,""/""),,3),INDEX(SPLIT(G888,""/""),,2),INDEX(SPLIT(G888,""/""),,1))"),44575.0)</f>
        <v>44575</v>
      </c>
      <c r="I888" s="1" t="s">
        <v>518</v>
      </c>
      <c r="J888" s="4">
        <f>IFERROR(__xludf.DUMMYFUNCTION("DATE(INDEX(SPLIT(I888,""/""),,3),INDEX(SPLIT(I888,""/""),,2),INDEX(SPLIT(I888,""/""),,1))"),44757.0)</f>
        <v>44757</v>
      </c>
      <c r="L888" s="1">
        <v>0.0</v>
      </c>
      <c r="M888" s="1" t="s">
        <v>770</v>
      </c>
      <c r="N888" s="1"/>
      <c r="O888" s="1" t="s">
        <v>30</v>
      </c>
      <c r="P888" s="1" t="s">
        <v>31</v>
      </c>
      <c r="Q888" s="1" t="s">
        <v>157</v>
      </c>
      <c r="R888" s="1" t="s">
        <v>157</v>
      </c>
      <c r="S888" s="1" t="s">
        <v>158</v>
      </c>
      <c r="U888" s="1">
        <v>1.00623421E8</v>
      </c>
      <c r="X888" s="1" t="s">
        <v>63</v>
      </c>
      <c r="Y888" s="1" t="s">
        <v>3296</v>
      </c>
      <c r="Z888" s="1" t="s">
        <v>37</v>
      </c>
    </row>
    <row r="889" hidden="1">
      <c r="A889" s="1" t="s">
        <v>3297</v>
      </c>
      <c r="B889" s="1" t="s">
        <v>816</v>
      </c>
      <c r="C889" s="1" t="s">
        <v>3298</v>
      </c>
      <c r="D889" s="1" t="s">
        <v>27</v>
      </c>
      <c r="E889" s="1" t="s">
        <v>28</v>
      </c>
      <c r="F889" s="2">
        <v>1050000.0</v>
      </c>
      <c r="G889" s="4">
        <v>44902.0</v>
      </c>
      <c r="H889" s="4">
        <f>IFERROR(__xludf.DUMMYFUNCTION("DATE(INDEX(SPLIT(G889,""/""),,3),INDEX(SPLIT(G889,""/""),,2),INDEX(SPLIT(G889,""/""),,1))"),44754.0)</f>
        <v>44754</v>
      </c>
      <c r="I889" s="4">
        <v>44689.0</v>
      </c>
      <c r="J889" s="4">
        <f>IFERROR(__xludf.DUMMYFUNCTION("DATE(INDEX(SPLIT(I889,""/""),,3),INDEX(SPLIT(I889,""/""),,2),INDEX(SPLIT(I889,""/""),,1))"),44778.0)</f>
        <v>44778</v>
      </c>
      <c r="L889" s="1">
        <v>0.0</v>
      </c>
      <c r="M889" s="1" t="s">
        <v>819</v>
      </c>
      <c r="N889" s="1"/>
      <c r="O889" s="1" t="s">
        <v>30</v>
      </c>
      <c r="P889" s="1" t="s">
        <v>31</v>
      </c>
      <c r="Q889" s="1" t="s">
        <v>53</v>
      </c>
      <c r="R889" s="1" t="s">
        <v>53</v>
      </c>
      <c r="S889" s="1" t="s">
        <v>54</v>
      </c>
      <c r="T889" s="1" t="s">
        <v>634</v>
      </c>
      <c r="U889" s="1">
        <v>1.00661738E8</v>
      </c>
      <c r="X889" s="1" t="s">
        <v>490</v>
      </c>
      <c r="Y889" s="1" t="s">
        <v>2119</v>
      </c>
      <c r="Z889" s="1" t="s">
        <v>37</v>
      </c>
    </row>
    <row r="890">
      <c r="A890" s="1" t="s">
        <v>3299</v>
      </c>
      <c r="B890" s="1" t="s">
        <v>896</v>
      </c>
      <c r="C890" s="1" t="s">
        <v>3300</v>
      </c>
      <c r="D890" s="1" t="s">
        <v>27</v>
      </c>
      <c r="E890" s="1" t="s">
        <v>28</v>
      </c>
      <c r="F890" s="2">
        <v>1040500.0</v>
      </c>
      <c r="G890" s="1" t="s">
        <v>154</v>
      </c>
      <c r="H890" s="4">
        <f>IFERROR(__xludf.DUMMYFUNCTION("DATE(INDEX(SPLIT(G890,""/""),,3),INDEX(SPLIT(G890,""/""),,2),INDEX(SPLIT(G890,""/""),,1))"),44670.0)</f>
        <v>44670</v>
      </c>
      <c r="I890" s="1" t="s">
        <v>226</v>
      </c>
      <c r="J890" s="4">
        <f>IFERROR(__xludf.DUMMYFUNCTION("DATE(INDEX(SPLIT(I890,""/""),,3),INDEX(SPLIT(I890,""/""),,2),INDEX(SPLIT(I890,""/""),,1))"),44771.0)</f>
        <v>44771</v>
      </c>
      <c r="L890" s="1">
        <v>0.0</v>
      </c>
      <c r="M890" s="1" t="s">
        <v>1682</v>
      </c>
      <c r="N890" s="1"/>
      <c r="O890" s="1" t="s">
        <v>30</v>
      </c>
      <c r="P890" s="1" t="s">
        <v>31</v>
      </c>
      <c r="Q890" s="1" t="s">
        <v>188</v>
      </c>
      <c r="R890" s="1" t="s">
        <v>188</v>
      </c>
      <c r="S890" s="1" t="s">
        <v>189</v>
      </c>
      <c r="T890" s="1" t="s">
        <v>537</v>
      </c>
      <c r="U890" s="1">
        <v>1.0062009E8</v>
      </c>
      <c r="X890" s="1" t="s">
        <v>490</v>
      </c>
      <c r="Y890" s="1" t="s">
        <v>1682</v>
      </c>
      <c r="Z890" s="1" t="s">
        <v>37</v>
      </c>
    </row>
    <row r="891" hidden="1">
      <c r="A891" s="1" t="s">
        <v>3301</v>
      </c>
      <c r="B891" s="1" t="s">
        <v>1185</v>
      </c>
      <c r="C891" s="1" t="s">
        <v>3302</v>
      </c>
      <c r="D891" s="1" t="s">
        <v>27</v>
      </c>
      <c r="E891" s="1" t="s">
        <v>28</v>
      </c>
      <c r="F891" s="2">
        <v>1025000.0</v>
      </c>
      <c r="G891" s="1" t="s">
        <v>3303</v>
      </c>
      <c r="H891" s="4">
        <f>IFERROR(__xludf.DUMMYFUNCTION("DATE(INDEX(SPLIT(G891,""/""),,3),INDEX(SPLIT(G891,""/""),,2),INDEX(SPLIT(G891,""/""),,1))"),44552.0)</f>
        <v>44552</v>
      </c>
      <c r="I891" s="4">
        <v>45053.0</v>
      </c>
      <c r="J891" s="4">
        <f>IFERROR(__xludf.DUMMYFUNCTION("DATE(INDEX(SPLIT(I891,""/""),,3),INDEX(SPLIT(I891,""/""),,2),INDEX(SPLIT(I891,""/""),,1))"),45112.0)</f>
        <v>45112</v>
      </c>
      <c r="L891" s="1">
        <v>0.0</v>
      </c>
      <c r="M891" s="1" t="s">
        <v>3304</v>
      </c>
      <c r="N891" s="1"/>
      <c r="O891" s="1" t="s">
        <v>30</v>
      </c>
      <c r="P891" s="1" t="s">
        <v>31</v>
      </c>
      <c r="Q891" s="1" t="s">
        <v>188</v>
      </c>
      <c r="R891" s="1" t="s">
        <v>188</v>
      </c>
      <c r="S891" s="1" t="s">
        <v>189</v>
      </c>
      <c r="T891" s="1" t="s">
        <v>402</v>
      </c>
      <c r="U891" s="1">
        <v>1.00584866E8</v>
      </c>
      <c r="X891" s="1" t="s">
        <v>190</v>
      </c>
      <c r="Y891" s="1" t="s">
        <v>3304</v>
      </c>
      <c r="Z891" s="1" t="s">
        <v>37</v>
      </c>
    </row>
    <row r="892" hidden="1">
      <c r="A892" s="1" t="s">
        <v>3305</v>
      </c>
      <c r="B892" s="1" t="s">
        <v>896</v>
      </c>
      <c r="C892" s="1" t="s">
        <v>3306</v>
      </c>
      <c r="D892" s="1" t="s">
        <v>122</v>
      </c>
      <c r="E892" s="1" t="s">
        <v>28</v>
      </c>
      <c r="F892" s="2">
        <v>1020000.0</v>
      </c>
      <c r="G892" s="1" t="s">
        <v>359</v>
      </c>
      <c r="H892" s="4">
        <f>IFERROR(__xludf.DUMMYFUNCTION("DATE(INDEX(SPLIT(G892,""/""),,3),INDEX(SPLIT(G892,""/""),,2),INDEX(SPLIT(G892,""/""),,1))"),44740.0)</f>
        <v>44740</v>
      </c>
      <c r="I892" s="4">
        <v>44689.0</v>
      </c>
      <c r="J892" s="4">
        <f>IFERROR(__xludf.DUMMYFUNCTION("DATE(INDEX(SPLIT(I892,""/""),,3),INDEX(SPLIT(I892,""/""),,2),INDEX(SPLIT(I892,""/""),,1))"),44778.0)</f>
        <v>44778</v>
      </c>
      <c r="L892" s="1">
        <v>0.0</v>
      </c>
      <c r="M892" s="1" t="s">
        <v>3248</v>
      </c>
      <c r="N892" s="1"/>
      <c r="O892" s="1" t="s">
        <v>30</v>
      </c>
      <c r="P892" s="1" t="s">
        <v>31</v>
      </c>
      <c r="Q892" s="1" t="s">
        <v>32</v>
      </c>
      <c r="R892" s="1" t="s">
        <v>32</v>
      </c>
      <c r="S892" s="1" t="s">
        <v>33</v>
      </c>
      <c r="T892" s="1" t="s">
        <v>1195</v>
      </c>
      <c r="U892" s="1">
        <v>1.00586233E8</v>
      </c>
      <c r="X892" s="1" t="s">
        <v>490</v>
      </c>
      <c r="Y892" s="1" t="s">
        <v>3248</v>
      </c>
      <c r="Z892" s="1" t="s">
        <v>37</v>
      </c>
    </row>
    <row r="893" hidden="1">
      <c r="A893" s="1" t="s">
        <v>3307</v>
      </c>
      <c r="B893" s="1" t="s">
        <v>927</v>
      </c>
      <c r="C893" s="1" t="s">
        <v>3308</v>
      </c>
      <c r="D893" s="1" t="s">
        <v>27</v>
      </c>
      <c r="E893" s="1" t="s">
        <v>28</v>
      </c>
      <c r="F893" s="2">
        <v>1000000.0</v>
      </c>
      <c r="G893" s="1" t="s">
        <v>1521</v>
      </c>
      <c r="H893" s="4">
        <f>IFERROR(__xludf.DUMMYFUNCTION("DATE(INDEX(SPLIT(G893,""/""),,3),INDEX(SPLIT(G893,""/""),,2),INDEX(SPLIT(G893,""/""),,1))"),44756.0)</f>
        <v>44756</v>
      </c>
      <c r="I893" s="1" t="s">
        <v>109</v>
      </c>
      <c r="J893" s="4">
        <f>IFERROR(__xludf.DUMMYFUNCTION("DATE(INDEX(SPLIT(I893,""/""),,3),INDEX(SPLIT(I893,""/""),,2),INDEX(SPLIT(I893,""/""),,1))"),44834.0)</f>
        <v>44834</v>
      </c>
      <c r="L893" s="1">
        <v>0.0</v>
      </c>
      <c r="M893" s="1" t="s">
        <v>1573</v>
      </c>
      <c r="N893" s="1"/>
      <c r="O893" s="1" t="s">
        <v>30</v>
      </c>
      <c r="P893" s="1" t="s">
        <v>31</v>
      </c>
      <c r="Q893" s="1" t="s">
        <v>95</v>
      </c>
      <c r="R893" s="1" t="s">
        <v>95</v>
      </c>
      <c r="S893" s="1" t="s">
        <v>96</v>
      </c>
      <c r="T893" s="1" t="s">
        <v>1386</v>
      </c>
      <c r="U893" s="1">
        <v>1.00595231E8</v>
      </c>
      <c r="X893" s="1" t="s">
        <v>117</v>
      </c>
      <c r="Y893" s="1" t="s">
        <v>2172</v>
      </c>
      <c r="Z893" s="1" t="s">
        <v>37</v>
      </c>
    </row>
    <row r="894" hidden="1">
      <c r="A894" s="1" t="s">
        <v>3309</v>
      </c>
      <c r="B894" s="1" t="s">
        <v>1371</v>
      </c>
      <c r="C894" s="1" t="s">
        <v>3310</v>
      </c>
      <c r="D894" s="1" t="s">
        <v>27</v>
      </c>
      <c r="E894" s="1" t="s">
        <v>28</v>
      </c>
      <c r="F894" s="2">
        <v>1000000.0</v>
      </c>
      <c r="G894" s="1" t="s">
        <v>1569</v>
      </c>
      <c r="H894" s="4">
        <f>IFERROR(__xludf.DUMMYFUNCTION("DATE(INDEX(SPLIT(G894,""/""),,3),INDEX(SPLIT(G894,""/""),,2),INDEX(SPLIT(G894,""/""),,1))"),44645.0)</f>
        <v>44645</v>
      </c>
      <c r="I894" s="1" t="s">
        <v>130</v>
      </c>
      <c r="J894" s="4">
        <f>IFERROR(__xludf.DUMMYFUNCTION("DATE(INDEX(SPLIT(I894,""/""),,3),INDEX(SPLIT(I894,""/""),,2),INDEX(SPLIT(I894,""/""),,1))"),44804.0)</f>
        <v>44804</v>
      </c>
      <c r="L894" s="1">
        <v>0.0</v>
      </c>
      <c r="M894" s="1" t="s">
        <v>1817</v>
      </c>
      <c r="N894" s="1"/>
      <c r="O894" s="1" t="s">
        <v>30</v>
      </c>
      <c r="P894" s="1" t="s">
        <v>31</v>
      </c>
      <c r="Q894" s="1" t="s">
        <v>95</v>
      </c>
      <c r="R894" s="1" t="s">
        <v>95</v>
      </c>
      <c r="S894" s="1" t="s">
        <v>96</v>
      </c>
      <c r="T894" s="1" t="s">
        <v>111</v>
      </c>
      <c r="U894" s="1">
        <v>1.00610489E8</v>
      </c>
      <c r="X894" s="1" t="s">
        <v>63</v>
      </c>
      <c r="Y894" s="1" t="s">
        <v>1817</v>
      </c>
      <c r="Z894" s="1" t="s">
        <v>37</v>
      </c>
    </row>
    <row r="895" hidden="1">
      <c r="A895" s="1" t="s">
        <v>3311</v>
      </c>
      <c r="B895" s="1" t="s">
        <v>981</v>
      </c>
      <c r="C895" s="1" t="s">
        <v>3312</v>
      </c>
      <c r="D895" s="1" t="s">
        <v>27</v>
      </c>
      <c r="E895" s="1" t="s">
        <v>28</v>
      </c>
      <c r="F895" s="2">
        <v>1000000.0</v>
      </c>
      <c r="G895" s="4">
        <v>44389.0</v>
      </c>
      <c r="H895" s="4">
        <f>IFERROR(__xludf.DUMMYFUNCTION("DATE(INDEX(SPLIT(G895,""/""),,3),INDEX(SPLIT(G895,""/""),,2),INDEX(SPLIT(G895,""/""),,1))"),44537.0)</f>
        <v>44537</v>
      </c>
      <c r="I895" s="1" t="s">
        <v>109</v>
      </c>
      <c r="J895" s="4">
        <f>IFERROR(__xludf.DUMMYFUNCTION("DATE(INDEX(SPLIT(I895,""/""),,3),INDEX(SPLIT(I895,""/""),,2),INDEX(SPLIT(I895,""/""),,1))"),44834.0)</f>
        <v>44834</v>
      </c>
      <c r="L895" s="1">
        <v>0.0</v>
      </c>
      <c r="M895" s="1" t="s">
        <v>1527</v>
      </c>
      <c r="N895" s="1"/>
      <c r="O895" s="1" t="s">
        <v>30</v>
      </c>
      <c r="P895" s="1" t="s">
        <v>31</v>
      </c>
      <c r="Q895" s="1" t="s">
        <v>95</v>
      </c>
      <c r="R895" s="1" t="s">
        <v>95</v>
      </c>
      <c r="S895" s="1" t="s">
        <v>96</v>
      </c>
      <c r="T895" s="1" t="s">
        <v>489</v>
      </c>
      <c r="U895" s="1">
        <v>1.00651554E8</v>
      </c>
      <c r="X895" s="1" t="s">
        <v>490</v>
      </c>
      <c r="Y895" s="1" t="s">
        <v>1527</v>
      </c>
      <c r="Z895" s="1" t="s">
        <v>37</v>
      </c>
    </row>
    <row r="896" hidden="1">
      <c r="A896" s="1" t="s">
        <v>3313</v>
      </c>
      <c r="B896" s="1" t="s">
        <v>981</v>
      </c>
      <c r="C896" s="1" t="s">
        <v>3314</v>
      </c>
      <c r="D896" s="1" t="s">
        <v>27</v>
      </c>
      <c r="E896" s="1" t="s">
        <v>28</v>
      </c>
      <c r="F896" s="2">
        <v>1000000.0</v>
      </c>
      <c r="G896" s="4">
        <v>44389.0</v>
      </c>
      <c r="H896" s="4">
        <f>IFERROR(__xludf.DUMMYFUNCTION("DATE(INDEX(SPLIT(G896,""/""),,3),INDEX(SPLIT(G896,""/""),,2),INDEX(SPLIT(G896,""/""),,1))"),44537.0)</f>
        <v>44537</v>
      </c>
      <c r="I896" s="1" t="s">
        <v>109</v>
      </c>
      <c r="J896" s="4">
        <f>IFERROR(__xludf.DUMMYFUNCTION("DATE(INDEX(SPLIT(I896,""/""),,3),INDEX(SPLIT(I896,""/""),,2),INDEX(SPLIT(I896,""/""),,1))"),44834.0)</f>
        <v>44834</v>
      </c>
      <c r="L896" s="1">
        <v>0.0</v>
      </c>
      <c r="M896" s="1" t="s">
        <v>1527</v>
      </c>
      <c r="N896" s="1"/>
      <c r="O896" s="1" t="s">
        <v>30</v>
      </c>
      <c r="P896" s="1" t="s">
        <v>31</v>
      </c>
      <c r="Q896" s="1" t="s">
        <v>95</v>
      </c>
      <c r="R896" s="1" t="s">
        <v>95</v>
      </c>
      <c r="S896" s="1" t="s">
        <v>96</v>
      </c>
      <c r="T896" s="1" t="s">
        <v>489</v>
      </c>
      <c r="U896" s="1">
        <v>1.00651554E8</v>
      </c>
      <c r="X896" s="1" t="s">
        <v>490</v>
      </c>
      <c r="Y896" s="1" t="s">
        <v>1527</v>
      </c>
      <c r="Z896" s="1" t="s">
        <v>37</v>
      </c>
    </row>
    <row r="897" hidden="1">
      <c r="A897" s="1" t="s">
        <v>3315</v>
      </c>
      <c r="B897" s="1" t="s">
        <v>992</v>
      </c>
      <c r="C897" s="1" t="s">
        <v>3316</v>
      </c>
      <c r="D897" s="1" t="s">
        <v>78</v>
      </c>
      <c r="E897" s="1" t="s">
        <v>28</v>
      </c>
      <c r="F897" s="2">
        <v>1000000.0</v>
      </c>
      <c r="G897" s="4">
        <v>44567.0</v>
      </c>
      <c r="H897" s="4">
        <f>IFERROR(__xludf.DUMMYFUNCTION("DATE(INDEX(SPLIT(G897,""/""),,3),INDEX(SPLIT(G897,""/""),,2),INDEX(SPLIT(G897,""/""),,1))"),44713.0)</f>
        <v>44713</v>
      </c>
      <c r="I897" s="4">
        <v>44569.0</v>
      </c>
      <c r="J897" s="4">
        <f>IFERROR(__xludf.DUMMYFUNCTION("DATE(INDEX(SPLIT(I897,""/""),,3),INDEX(SPLIT(I897,""/""),,2),INDEX(SPLIT(I897,""/""),,1))"),44774.0)</f>
        <v>44774</v>
      </c>
      <c r="L897" s="1">
        <v>0.0</v>
      </c>
      <c r="M897" s="1" t="s">
        <v>3216</v>
      </c>
      <c r="N897" s="1"/>
      <c r="O897" s="1" t="s">
        <v>30</v>
      </c>
      <c r="P897" s="1" t="s">
        <v>31</v>
      </c>
      <c r="Q897" s="1" t="s">
        <v>32</v>
      </c>
      <c r="R897" s="1" t="s">
        <v>32</v>
      </c>
      <c r="S897" s="1" t="s">
        <v>33</v>
      </c>
      <c r="U897" s="1">
        <v>1.00622716E8</v>
      </c>
      <c r="X897" s="1" t="s">
        <v>35</v>
      </c>
      <c r="Y897" s="1" t="s">
        <v>3317</v>
      </c>
      <c r="Z897" s="1" t="s">
        <v>37</v>
      </c>
    </row>
    <row r="898">
      <c r="A898" s="1" t="s">
        <v>3318</v>
      </c>
      <c r="B898" s="1" t="s">
        <v>1692</v>
      </c>
      <c r="C898" s="1" t="s">
        <v>3319</v>
      </c>
      <c r="D898" s="1" t="s">
        <v>78</v>
      </c>
      <c r="E898" s="1" t="s">
        <v>28</v>
      </c>
      <c r="F898" s="2">
        <v>1000000.0</v>
      </c>
      <c r="G898" s="1" t="s">
        <v>2900</v>
      </c>
      <c r="H898" s="4">
        <f>IFERROR(__xludf.DUMMYFUNCTION("DATE(INDEX(SPLIT(G898,""/""),,3),INDEX(SPLIT(G898,""/""),,2),INDEX(SPLIT(G898,""/""),,1))"),44678.0)</f>
        <v>44678</v>
      </c>
      <c r="I898" s="1" t="s">
        <v>226</v>
      </c>
      <c r="J898" s="4">
        <f>IFERROR(__xludf.DUMMYFUNCTION("DATE(INDEX(SPLIT(I898,""/""),,3),INDEX(SPLIT(I898,""/""),,2),INDEX(SPLIT(I898,""/""),,1))"),44771.0)</f>
        <v>44771</v>
      </c>
      <c r="L898" s="1">
        <v>0.0</v>
      </c>
      <c r="M898" s="1" t="s">
        <v>1792</v>
      </c>
      <c r="N898" s="1"/>
      <c r="O898" s="1" t="s">
        <v>30</v>
      </c>
      <c r="P898" s="1" t="s">
        <v>31</v>
      </c>
      <c r="Q898" s="1" t="s">
        <v>235</v>
      </c>
      <c r="R898" s="1" t="s">
        <v>235</v>
      </c>
      <c r="S898" s="1" t="s">
        <v>236</v>
      </c>
      <c r="T898" s="1" t="s">
        <v>438</v>
      </c>
      <c r="U898" s="1">
        <v>1.00964362E8</v>
      </c>
      <c r="X898" s="1" t="s">
        <v>88</v>
      </c>
      <c r="Y898" s="1" t="s">
        <v>2865</v>
      </c>
      <c r="Z898" s="1" t="s">
        <v>37</v>
      </c>
    </row>
    <row r="899">
      <c r="A899" s="1" t="s">
        <v>3320</v>
      </c>
      <c r="B899" s="1" t="s">
        <v>1609</v>
      </c>
      <c r="C899" s="1" t="s">
        <v>3321</v>
      </c>
      <c r="D899" s="1" t="s">
        <v>27</v>
      </c>
      <c r="E899" s="1" t="s">
        <v>28</v>
      </c>
      <c r="F899" s="2">
        <v>1000000.0</v>
      </c>
      <c r="G899" s="4">
        <v>44563.0</v>
      </c>
      <c r="H899" s="4">
        <f>IFERROR(__xludf.DUMMYFUNCTION("DATE(INDEX(SPLIT(G899,""/""),,3),INDEX(SPLIT(G899,""/""),,2),INDEX(SPLIT(G899,""/""),,1))"),44593.0)</f>
        <v>44593</v>
      </c>
      <c r="I899" s="4">
        <v>44568.0</v>
      </c>
      <c r="J899" s="4">
        <f>IFERROR(__xludf.DUMMYFUNCTION("DATE(INDEX(SPLIT(I899,""/""),,3),INDEX(SPLIT(I899,""/""),,2),INDEX(SPLIT(I899,""/""),,1))"),44743.0)</f>
        <v>44743</v>
      </c>
      <c r="L899" s="1">
        <v>0.0</v>
      </c>
      <c r="M899" s="1" t="s">
        <v>1610</v>
      </c>
      <c r="N899" s="1"/>
      <c r="O899" s="1" t="s">
        <v>30</v>
      </c>
      <c r="P899" s="1" t="s">
        <v>31</v>
      </c>
      <c r="Q899" s="1" t="s">
        <v>53</v>
      </c>
      <c r="R899" s="1" t="s">
        <v>53</v>
      </c>
      <c r="S899" s="1" t="s">
        <v>54</v>
      </c>
      <c r="T899" s="1" t="s">
        <v>1386</v>
      </c>
      <c r="U899" s="1">
        <v>1.01141441E8</v>
      </c>
      <c r="X899" s="1" t="s">
        <v>81</v>
      </c>
      <c r="Y899" s="1" t="s">
        <v>1387</v>
      </c>
      <c r="Z899" s="1" t="s">
        <v>37</v>
      </c>
    </row>
    <row r="900" hidden="1">
      <c r="A900" s="1" t="s">
        <v>3322</v>
      </c>
      <c r="B900" s="1" t="s">
        <v>2822</v>
      </c>
      <c r="C900" s="1" t="s">
        <v>1604</v>
      </c>
      <c r="D900" s="1" t="s">
        <v>27</v>
      </c>
      <c r="E900" s="1" t="s">
        <v>28</v>
      </c>
      <c r="F900" s="2">
        <v>1000000.0</v>
      </c>
      <c r="G900" s="4">
        <v>44563.0</v>
      </c>
      <c r="H900" s="4">
        <f>IFERROR(__xludf.DUMMYFUNCTION("DATE(INDEX(SPLIT(G900,""/""),,3),INDEX(SPLIT(G900,""/""),,2),INDEX(SPLIT(G900,""/""),,1))"),44593.0)</f>
        <v>44593</v>
      </c>
      <c r="I900" s="1" t="s">
        <v>569</v>
      </c>
      <c r="J900" s="4">
        <f>IFERROR(__xludf.DUMMYFUNCTION("DATE(INDEX(SPLIT(I900,""/""),,3),INDEX(SPLIT(I900,""/""),,2),INDEX(SPLIT(I900,""/""),,1))"),45016.0)</f>
        <v>45016</v>
      </c>
      <c r="L900" s="1">
        <v>0.0</v>
      </c>
      <c r="M900" s="1" t="s">
        <v>303</v>
      </c>
      <c r="N900" s="1"/>
      <c r="O900" s="1" t="s">
        <v>30</v>
      </c>
      <c r="P900" s="1" t="s">
        <v>31</v>
      </c>
      <c r="Q900" s="1" t="s">
        <v>95</v>
      </c>
      <c r="R900" s="1" t="s">
        <v>95</v>
      </c>
      <c r="S900" s="1" t="s">
        <v>96</v>
      </c>
      <c r="T900" s="1" t="s">
        <v>1386</v>
      </c>
      <c r="U900" s="1">
        <v>1.00623914E8</v>
      </c>
      <c r="X900" s="1" t="s">
        <v>81</v>
      </c>
      <c r="Y900" s="1" t="s">
        <v>1387</v>
      </c>
      <c r="Z900" s="1" t="s">
        <v>37</v>
      </c>
    </row>
    <row r="901" hidden="1">
      <c r="A901" s="1" t="s">
        <v>3323</v>
      </c>
      <c r="B901" s="1" t="s">
        <v>3324</v>
      </c>
      <c r="C901" s="1" t="s">
        <v>1604</v>
      </c>
      <c r="D901" s="1" t="s">
        <v>27</v>
      </c>
      <c r="E901" s="1" t="s">
        <v>28</v>
      </c>
      <c r="F901" s="2">
        <v>1000000.0</v>
      </c>
      <c r="G901" s="4">
        <v>44563.0</v>
      </c>
      <c r="H901" s="4">
        <f>IFERROR(__xludf.DUMMYFUNCTION("DATE(INDEX(SPLIT(G901,""/""),,3),INDEX(SPLIT(G901,""/""),,2),INDEX(SPLIT(G901,""/""),,1))"),44593.0)</f>
        <v>44593</v>
      </c>
      <c r="I901" s="1" t="s">
        <v>569</v>
      </c>
      <c r="J901" s="4">
        <f>IFERROR(__xludf.DUMMYFUNCTION("DATE(INDEX(SPLIT(I901,""/""),,3),INDEX(SPLIT(I901,""/""),,2),INDEX(SPLIT(I901,""/""),,1))"),45016.0)</f>
        <v>45016</v>
      </c>
      <c r="L901" s="1">
        <v>0.0</v>
      </c>
      <c r="M901" s="1" t="s">
        <v>303</v>
      </c>
      <c r="N901" s="1"/>
      <c r="O901" s="1" t="s">
        <v>30</v>
      </c>
      <c r="P901" s="1" t="s">
        <v>31</v>
      </c>
      <c r="Q901" s="1" t="s">
        <v>95</v>
      </c>
      <c r="R901" s="1" t="s">
        <v>95</v>
      </c>
      <c r="S901" s="1" t="s">
        <v>96</v>
      </c>
      <c r="T901" s="1" t="s">
        <v>1386</v>
      </c>
      <c r="U901" s="1">
        <v>1.00623914E8</v>
      </c>
      <c r="X901" s="1" t="s">
        <v>81</v>
      </c>
      <c r="Y901" s="1" t="s">
        <v>1387</v>
      </c>
      <c r="Z901" s="1" t="s">
        <v>37</v>
      </c>
    </row>
    <row r="902" hidden="1">
      <c r="A902" s="1" t="s">
        <v>3325</v>
      </c>
      <c r="B902" s="1" t="s">
        <v>3097</v>
      </c>
      <c r="C902" s="1" t="s">
        <v>3326</v>
      </c>
      <c r="D902" s="1" t="s">
        <v>27</v>
      </c>
      <c r="E902" s="1" t="s">
        <v>28</v>
      </c>
      <c r="F902" s="2">
        <v>1000000.0</v>
      </c>
      <c r="G902" s="1" t="s">
        <v>1244</v>
      </c>
      <c r="H902" s="4">
        <f>IFERROR(__xludf.DUMMYFUNCTION("DATE(INDEX(SPLIT(G902,""/""),,3),INDEX(SPLIT(G902,""/""),,2),INDEX(SPLIT(G902,""/""),,1))"),44742.0)</f>
        <v>44742</v>
      </c>
      <c r="I902" s="1" t="s">
        <v>42</v>
      </c>
      <c r="J902" s="4">
        <f>IFERROR(__xludf.DUMMYFUNCTION("DATE(INDEX(SPLIT(I902,""/""),,3),INDEX(SPLIT(I902,""/""),,2),INDEX(SPLIT(I902,""/""),,1))"),44926.0)</f>
        <v>44926</v>
      </c>
      <c r="L902" s="1">
        <v>0.0</v>
      </c>
      <c r="M902" s="1" t="s">
        <v>3099</v>
      </c>
      <c r="N902" s="1"/>
      <c r="O902" s="1" t="s">
        <v>30</v>
      </c>
      <c r="P902" s="1" t="s">
        <v>31</v>
      </c>
      <c r="Q902" s="1" t="s">
        <v>95</v>
      </c>
      <c r="R902" s="1" t="s">
        <v>95</v>
      </c>
      <c r="S902" s="1" t="s">
        <v>96</v>
      </c>
      <c r="T902" s="1" t="s">
        <v>831</v>
      </c>
      <c r="U902" s="1">
        <v>1.00589299E8</v>
      </c>
      <c r="X902" s="1" t="s">
        <v>117</v>
      </c>
      <c r="Y902" s="1" t="s">
        <v>2402</v>
      </c>
      <c r="Z902" s="1" t="s">
        <v>37</v>
      </c>
    </row>
    <row r="903" hidden="1">
      <c r="A903" s="1" t="s">
        <v>3327</v>
      </c>
      <c r="B903" s="1" t="s">
        <v>1772</v>
      </c>
      <c r="C903" s="1" t="s">
        <v>1604</v>
      </c>
      <c r="D903" s="1" t="s">
        <v>27</v>
      </c>
      <c r="E903" s="1" t="s">
        <v>28</v>
      </c>
      <c r="F903" s="2">
        <v>1000000.0</v>
      </c>
      <c r="G903" s="4">
        <v>44563.0</v>
      </c>
      <c r="H903" s="4">
        <f>IFERROR(__xludf.DUMMYFUNCTION("DATE(INDEX(SPLIT(G903,""/""),,3),INDEX(SPLIT(G903,""/""),,2),INDEX(SPLIT(G903,""/""),,1))"),44593.0)</f>
        <v>44593</v>
      </c>
      <c r="I903" s="1" t="s">
        <v>569</v>
      </c>
      <c r="J903" s="4">
        <f>IFERROR(__xludf.DUMMYFUNCTION("DATE(INDEX(SPLIT(I903,""/""),,3),INDEX(SPLIT(I903,""/""),,2),INDEX(SPLIT(I903,""/""),,1))"),45016.0)</f>
        <v>45016</v>
      </c>
      <c r="L903" s="1">
        <v>0.0</v>
      </c>
      <c r="M903" s="1" t="s">
        <v>303</v>
      </c>
      <c r="N903" s="1"/>
      <c r="O903" s="1" t="s">
        <v>30</v>
      </c>
      <c r="P903" s="1" t="s">
        <v>31</v>
      </c>
      <c r="Q903" s="1" t="s">
        <v>95</v>
      </c>
      <c r="R903" s="1" t="s">
        <v>95</v>
      </c>
      <c r="S903" s="1" t="s">
        <v>96</v>
      </c>
      <c r="T903" s="1" t="s">
        <v>1386</v>
      </c>
      <c r="U903" s="1">
        <v>1.00623914E8</v>
      </c>
      <c r="X903" s="1" t="s">
        <v>81</v>
      </c>
      <c r="Y903" s="1" t="s">
        <v>1387</v>
      </c>
      <c r="Z903" s="1" t="s">
        <v>37</v>
      </c>
    </row>
    <row r="904" hidden="1">
      <c r="A904" s="1" t="s">
        <v>3328</v>
      </c>
      <c r="B904" s="1" t="s">
        <v>3329</v>
      </c>
      <c r="C904" s="1" t="s">
        <v>1604</v>
      </c>
      <c r="D904" s="1" t="s">
        <v>27</v>
      </c>
      <c r="E904" s="1" t="s">
        <v>28</v>
      </c>
      <c r="F904" s="2">
        <v>1000000.0</v>
      </c>
      <c r="G904" s="4">
        <v>44563.0</v>
      </c>
      <c r="H904" s="4">
        <f>IFERROR(__xludf.DUMMYFUNCTION("DATE(INDEX(SPLIT(G904,""/""),,3),INDEX(SPLIT(G904,""/""),,2),INDEX(SPLIT(G904,""/""),,1))"),44593.0)</f>
        <v>44593</v>
      </c>
      <c r="I904" s="1" t="s">
        <v>569</v>
      </c>
      <c r="J904" s="4">
        <f>IFERROR(__xludf.DUMMYFUNCTION("DATE(INDEX(SPLIT(I904,""/""),,3),INDEX(SPLIT(I904,""/""),,2),INDEX(SPLIT(I904,""/""),,1))"),45016.0)</f>
        <v>45016</v>
      </c>
      <c r="L904" s="1">
        <v>0.0</v>
      </c>
      <c r="M904" s="1" t="s">
        <v>303</v>
      </c>
      <c r="N904" s="1"/>
      <c r="O904" s="1" t="s">
        <v>30</v>
      </c>
      <c r="P904" s="1" t="s">
        <v>31</v>
      </c>
      <c r="Q904" s="1" t="s">
        <v>95</v>
      </c>
      <c r="R904" s="1" t="s">
        <v>95</v>
      </c>
      <c r="S904" s="1" t="s">
        <v>96</v>
      </c>
      <c r="T904" s="1" t="s">
        <v>1386</v>
      </c>
      <c r="U904" s="1">
        <v>1.00623914E8</v>
      </c>
      <c r="X904" s="1" t="s">
        <v>81</v>
      </c>
      <c r="Y904" s="1" t="s">
        <v>1387</v>
      </c>
      <c r="Z904" s="1" t="s">
        <v>37</v>
      </c>
    </row>
    <row r="905" hidden="1">
      <c r="A905" s="1" t="s">
        <v>3330</v>
      </c>
      <c r="B905" s="1" t="s">
        <v>954</v>
      </c>
      <c r="C905" s="1" t="s">
        <v>3331</v>
      </c>
      <c r="D905" s="1" t="s">
        <v>27</v>
      </c>
      <c r="E905" s="1" t="s">
        <v>28</v>
      </c>
      <c r="F905" s="2">
        <v>1000000.0</v>
      </c>
      <c r="G905" s="1" t="s">
        <v>619</v>
      </c>
      <c r="H905" s="4">
        <f>IFERROR(__xludf.DUMMYFUNCTION("DATE(INDEX(SPLIT(G905,""/""),,3),INDEX(SPLIT(G905,""/""),,2),INDEX(SPLIT(G905,""/""),,1))"),44490.0)</f>
        <v>44490</v>
      </c>
      <c r="I905" s="1" t="s">
        <v>109</v>
      </c>
      <c r="J905" s="4">
        <f>IFERROR(__xludf.DUMMYFUNCTION("DATE(INDEX(SPLIT(I905,""/""),,3),INDEX(SPLIT(I905,""/""),,2),INDEX(SPLIT(I905,""/""),,1))"),44834.0)</f>
        <v>44834</v>
      </c>
      <c r="L905" s="1">
        <v>0.0</v>
      </c>
      <c r="M905" s="1" t="s">
        <v>1941</v>
      </c>
      <c r="N905" s="1"/>
      <c r="O905" s="1" t="s">
        <v>30</v>
      </c>
      <c r="P905" s="1" t="s">
        <v>31</v>
      </c>
      <c r="Q905" s="1" t="s">
        <v>71</v>
      </c>
      <c r="R905" s="1" t="s">
        <v>71</v>
      </c>
      <c r="S905" s="1" t="s">
        <v>72</v>
      </c>
      <c r="T905" s="1" t="s">
        <v>73</v>
      </c>
      <c r="U905" s="1">
        <v>1.00649673E8</v>
      </c>
      <c r="X905" s="1" t="s">
        <v>74</v>
      </c>
      <c r="Y905" s="1" t="s">
        <v>1941</v>
      </c>
      <c r="Z905" s="1" t="s">
        <v>37</v>
      </c>
    </row>
    <row r="906" hidden="1">
      <c r="A906" s="1" t="s">
        <v>3332</v>
      </c>
      <c r="B906" s="1" t="s">
        <v>370</v>
      </c>
      <c r="C906" s="1" t="s">
        <v>3333</v>
      </c>
      <c r="D906" s="1" t="s">
        <v>78</v>
      </c>
      <c r="E906" s="1" t="s">
        <v>28</v>
      </c>
      <c r="F906" s="2">
        <v>1000000.0</v>
      </c>
      <c r="G906" s="4">
        <v>44808.0</v>
      </c>
      <c r="H906" s="4">
        <f>IFERROR(__xludf.DUMMYFUNCTION("DATE(INDEX(SPLIT(G906,""/""),,3),INDEX(SPLIT(G906,""/""),,2),INDEX(SPLIT(G906,""/""),,1))"),44660.0)</f>
        <v>44660</v>
      </c>
      <c r="I906" s="1" t="s">
        <v>165</v>
      </c>
      <c r="J906" s="4">
        <f>IFERROR(__xludf.DUMMYFUNCTION("DATE(INDEX(SPLIT(I906,""/""),,3),INDEX(SPLIT(I906,""/""),,2),INDEX(SPLIT(I906,""/""),,1))"),44803.0)</f>
        <v>44803</v>
      </c>
      <c r="L906" s="1">
        <v>0.0</v>
      </c>
      <c r="M906" s="1" t="s">
        <v>2086</v>
      </c>
      <c r="N906" s="1"/>
      <c r="O906" s="1" t="s">
        <v>30</v>
      </c>
      <c r="P906" s="1" t="s">
        <v>31</v>
      </c>
      <c r="Q906" s="1" t="s">
        <v>235</v>
      </c>
      <c r="R906" s="1" t="s">
        <v>235</v>
      </c>
      <c r="S906" s="1" t="s">
        <v>236</v>
      </c>
      <c r="T906" s="1" t="s">
        <v>2372</v>
      </c>
      <c r="U906" s="1">
        <v>1.00647488E8</v>
      </c>
      <c r="X906" s="1" t="s">
        <v>239</v>
      </c>
      <c r="Y906" s="1" t="s">
        <v>2086</v>
      </c>
      <c r="Z906" s="1" t="s">
        <v>37</v>
      </c>
    </row>
    <row r="907" hidden="1">
      <c r="A907" s="1" t="s">
        <v>3334</v>
      </c>
      <c r="B907" s="1" t="s">
        <v>2145</v>
      </c>
      <c r="C907" s="1" t="s">
        <v>2148</v>
      </c>
      <c r="D907" s="1" t="s">
        <v>27</v>
      </c>
      <c r="E907" s="1" t="s">
        <v>28</v>
      </c>
      <c r="F907" s="2">
        <v>1000000.0</v>
      </c>
      <c r="G907" s="1" t="s">
        <v>359</v>
      </c>
      <c r="H907" s="4">
        <f>IFERROR(__xludf.DUMMYFUNCTION("DATE(INDEX(SPLIT(G907,""/""),,3),INDEX(SPLIT(G907,""/""),,2),INDEX(SPLIT(G907,""/""),,1))"),44740.0)</f>
        <v>44740</v>
      </c>
      <c r="I907" s="1" t="s">
        <v>317</v>
      </c>
      <c r="J907" s="4">
        <f>IFERROR(__xludf.DUMMYFUNCTION("DATE(INDEX(SPLIT(I907,""/""),,3),INDEX(SPLIT(I907,""/""),,2),INDEX(SPLIT(I907,""/""),,1))"),44862.0)</f>
        <v>44862</v>
      </c>
      <c r="L907" s="1">
        <v>0.0</v>
      </c>
      <c r="M907" s="1" t="s">
        <v>2147</v>
      </c>
      <c r="N907" s="1"/>
      <c r="O907" s="1" t="s">
        <v>30</v>
      </c>
      <c r="P907" s="1" t="s">
        <v>31</v>
      </c>
      <c r="Q907" s="1" t="s">
        <v>235</v>
      </c>
      <c r="R907" s="1" t="s">
        <v>235</v>
      </c>
      <c r="S907" s="1" t="s">
        <v>236</v>
      </c>
      <c r="T907" s="1" t="s">
        <v>237</v>
      </c>
      <c r="U907" s="1">
        <v>1.00647935E8</v>
      </c>
      <c r="V907" s="1" t="s">
        <v>3335</v>
      </c>
      <c r="W907" s="1" t="s">
        <v>199</v>
      </c>
      <c r="X907" s="1" t="s">
        <v>239</v>
      </c>
      <c r="Y907" s="1" t="s">
        <v>2147</v>
      </c>
      <c r="Z907" s="1" t="s">
        <v>37</v>
      </c>
    </row>
    <row r="908" hidden="1">
      <c r="A908" s="1" t="s">
        <v>3336</v>
      </c>
      <c r="B908" s="1" t="s">
        <v>1492</v>
      </c>
      <c r="C908" s="1" t="s">
        <v>3337</v>
      </c>
      <c r="D908" s="1" t="s">
        <v>122</v>
      </c>
      <c r="E908" s="1" t="s">
        <v>28</v>
      </c>
      <c r="F908" s="2">
        <v>1000000.0</v>
      </c>
      <c r="G908" s="4">
        <v>44777.0</v>
      </c>
      <c r="H908" s="4">
        <f>IFERROR(__xludf.DUMMYFUNCTION("DATE(INDEX(SPLIT(G908,""/""),,3),INDEX(SPLIT(G908,""/""),,2),INDEX(SPLIT(G908,""/""),,1))"),44659.0)</f>
        <v>44659</v>
      </c>
      <c r="I908" s="1" t="s">
        <v>1750</v>
      </c>
      <c r="J908" s="4">
        <f>IFERROR(__xludf.DUMMYFUNCTION("DATE(INDEX(SPLIT(I908,""/""),,3),INDEX(SPLIT(I908,""/""),,2),INDEX(SPLIT(I908,""/""),,1))"),44802.0)</f>
        <v>44802</v>
      </c>
      <c r="L908" s="1">
        <v>0.0</v>
      </c>
      <c r="M908" s="1" t="s">
        <v>552</v>
      </c>
      <c r="N908" s="1"/>
      <c r="O908" s="1" t="s">
        <v>30</v>
      </c>
      <c r="P908" s="1" t="s">
        <v>31</v>
      </c>
      <c r="Q908" s="1" t="s">
        <v>188</v>
      </c>
      <c r="R908" s="1" t="s">
        <v>188</v>
      </c>
      <c r="S908" s="1" t="s">
        <v>189</v>
      </c>
      <c r="T908" s="1" t="s">
        <v>287</v>
      </c>
      <c r="U908" s="1">
        <v>1.00662144E8</v>
      </c>
      <c r="V908" s="1" t="s">
        <v>3338</v>
      </c>
      <c r="W908" s="1" t="s">
        <v>45</v>
      </c>
      <c r="X908" s="1" t="s">
        <v>81</v>
      </c>
      <c r="Y908" s="1" t="s">
        <v>3339</v>
      </c>
      <c r="Z908" s="1" t="s">
        <v>37</v>
      </c>
    </row>
    <row r="909" hidden="1">
      <c r="A909" s="1" t="s">
        <v>3340</v>
      </c>
      <c r="B909" s="1" t="s">
        <v>177</v>
      </c>
      <c r="C909" s="1" t="s">
        <v>3341</v>
      </c>
      <c r="D909" s="1" t="s">
        <v>27</v>
      </c>
      <c r="E909" s="1" t="s">
        <v>28</v>
      </c>
      <c r="F909" s="2">
        <v>1000000.0</v>
      </c>
      <c r="G909" s="4">
        <v>44808.0</v>
      </c>
      <c r="H909" s="4">
        <f>IFERROR(__xludf.DUMMYFUNCTION("DATE(INDEX(SPLIT(G909,""/""),,3),INDEX(SPLIT(G909,""/""),,2),INDEX(SPLIT(G909,""/""),,1))"),44660.0)</f>
        <v>44660</v>
      </c>
      <c r="I909" s="4">
        <v>45019.0</v>
      </c>
      <c r="J909" s="4">
        <f>IFERROR(__xludf.DUMMYFUNCTION("DATE(INDEX(SPLIT(I909,""/""),,3),INDEX(SPLIT(I909,""/""),,2),INDEX(SPLIT(I909,""/""),,1))"),44989.0)</f>
        <v>44989</v>
      </c>
      <c r="L909" s="1">
        <v>0.0</v>
      </c>
      <c r="M909" s="1" t="s">
        <v>124</v>
      </c>
      <c r="N909" s="1"/>
      <c r="O909" s="1" t="s">
        <v>30</v>
      </c>
      <c r="P909" s="1" t="s">
        <v>31</v>
      </c>
      <c r="Q909" s="1" t="s">
        <v>53</v>
      </c>
      <c r="R909" s="1" t="s">
        <v>53</v>
      </c>
      <c r="S909" s="1" t="s">
        <v>54</v>
      </c>
      <c r="T909" s="1" t="s">
        <v>181</v>
      </c>
      <c r="U909" s="1">
        <v>1.00651441E8</v>
      </c>
      <c r="X909" s="1" t="s">
        <v>74</v>
      </c>
      <c r="Y909" s="1" t="s">
        <v>180</v>
      </c>
      <c r="Z909" s="1" t="s">
        <v>37</v>
      </c>
    </row>
    <row r="910" hidden="1">
      <c r="A910" s="1" t="s">
        <v>3342</v>
      </c>
      <c r="B910" s="1" t="s">
        <v>3343</v>
      </c>
      <c r="C910" s="1" t="s">
        <v>3344</v>
      </c>
      <c r="D910" s="1" t="s">
        <v>27</v>
      </c>
      <c r="E910" s="1" t="s">
        <v>28</v>
      </c>
      <c r="F910" s="2">
        <v>1000000.0</v>
      </c>
      <c r="G910" s="4">
        <v>44688.0</v>
      </c>
      <c r="H910" s="4">
        <f>IFERROR(__xludf.DUMMYFUNCTION("DATE(INDEX(SPLIT(G910,""/""),,3),INDEX(SPLIT(G910,""/""),,2),INDEX(SPLIT(G910,""/""),,1))"),44747.0)</f>
        <v>44747</v>
      </c>
      <c r="I910" s="1" t="s">
        <v>203</v>
      </c>
      <c r="J910" s="4">
        <f>IFERROR(__xludf.DUMMYFUNCTION("DATE(INDEX(SPLIT(I910,""/""),,3),INDEX(SPLIT(I910,""/""),,2),INDEX(SPLIT(I910,""/""),,1))"),44925.0)</f>
        <v>44925</v>
      </c>
      <c r="L910" s="1">
        <v>0.0</v>
      </c>
      <c r="M910" s="1" t="s">
        <v>3345</v>
      </c>
      <c r="N910" s="1"/>
      <c r="O910" s="1" t="s">
        <v>30</v>
      </c>
      <c r="P910" s="1" t="s">
        <v>31</v>
      </c>
      <c r="Q910" s="1" t="s">
        <v>32</v>
      </c>
      <c r="R910" s="1" t="s">
        <v>32</v>
      </c>
      <c r="S910" s="1" t="s">
        <v>33</v>
      </c>
      <c r="T910" s="1" t="s">
        <v>34</v>
      </c>
      <c r="U910" s="1">
        <v>1.0107868E8</v>
      </c>
      <c r="X910" s="1" t="s">
        <v>63</v>
      </c>
      <c r="Y910" s="1" t="s">
        <v>3346</v>
      </c>
      <c r="Z910" s="1" t="s">
        <v>527</v>
      </c>
    </row>
    <row r="911" hidden="1">
      <c r="A911" s="1" t="s">
        <v>3347</v>
      </c>
      <c r="B911" s="1" t="s">
        <v>1479</v>
      </c>
      <c r="C911" s="1" t="s">
        <v>3348</v>
      </c>
      <c r="D911" s="1" t="s">
        <v>78</v>
      </c>
      <c r="E911" s="1" t="s">
        <v>28</v>
      </c>
      <c r="F911" s="2">
        <v>1000000.0</v>
      </c>
      <c r="G911" s="1" t="s">
        <v>3349</v>
      </c>
      <c r="H911" s="4">
        <f>IFERROR(__xludf.DUMMYFUNCTION("DATE(INDEX(SPLIT(G911,""/""),,3),INDEX(SPLIT(G911,""/""),,2),INDEX(SPLIT(G911,""/""),,1))"),44648.0)</f>
        <v>44648</v>
      </c>
      <c r="I911" s="1" t="s">
        <v>360</v>
      </c>
      <c r="J911" s="4">
        <f>IFERROR(__xludf.DUMMYFUNCTION("DATE(INDEX(SPLIT(I911,""/""),,3),INDEX(SPLIT(I911,""/""),,2),INDEX(SPLIT(I911,""/""),,1))"),44895.0)</f>
        <v>44895</v>
      </c>
      <c r="L911" s="1">
        <v>0.0</v>
      </c>
      <c r="M911" s="1" t="s">
        <v>3133</v>
      </c>
      <c r="N911" s="1"/>
      <c r="O911" s="1" t="s">
        <v>30</v>
      </c>
      <c r="P911" s="1" t="s">
        <v>31</v>
      </c>
      <c r="Q911" s="1" t="s">
        <v>228</v>
      </c>
      <c r="R911" s="1" t="s">
        <v>228</v>
      </c>
      <c r="S911" s="1" t="s">
        <v>229</v>
      </c>
      <c r="T911" s="1" t="s">
        <v>513</v>
      </c>
      <c r="U911" s="1">
        <v>1.00611158E8</v>
      </c>
      <c r="X911" s="1" t="s">
        <v>305</v>
      </c>
      <c r="Y911" s="1" t="s">
        <v>3350</v>
      </c>
      <c r="Z911" s="1" t="s">
        <v>37</v>
      </c>
    </row>
    <row r="912" hidden="1">
      <c r="A912" s="1" t="s">
        <v>3351</v>
      </c>
      <c r="B912" s="1" t="s">
        <v>1748</v>
      </c>
      <c r="C912" s="1" t="s">
        <v>3352</v>
      </c>
      <c r="D912" s="1" t="s">
        <v>27</v>
      </c>
      <c r="E912" s="1" t="s">
        <v>28</v>
      </c>
      <c r="F912" s="2">
        <v>1000000.0</v>
      </c>
      <c r="G912" s="1" t="s">
        <v>1863</v>
      </c>
      <c r="H912" s="4">
        <f>IFERROR(__xludf.DUMMYFUNCTION("DATE(INDEX(SPLIT(G912,""/""),,3),INDEX(SPLIT(G912,""/""),,2),INDEX(SPLIT(G912,""/""),,1))"),44069.0)</f>
        <v>44069</v>
      </c>
      <c r="I912" s="1" t="s">
        <v>1750</v>
      </c>
      <c r="J912" s="4">
        <f>IFERROR(__xludf.DUMMYFUNCTION("DATE(INDEX(SPLIT(I912,""/""),,3),INDEX(SPLIT(I912,""/""),,2),INDEX(SPLIT(I912,""/""),,1))"),44802.0)</f>
        <v>44802</v>
      </c>
      <c r="L912" s="1">
        <v>0.0</v>
      </c>
      <c r="M912" s="1" t="s">
        <v>437</v>
      </c>
      <c r="N912" s="1"/>
      <c r="O912" s="1" t="s">
        <v>30</v>
      </c>
      <c r="P912" s="1" t="s">
        <v>31</v>
      </c>
      <c r="Q912" s="1" t="s">
        <v>235</v>
      </c>
      <c r="R912" s="1" t="s">
        <v>235</v>
      </c>
      <c r="S912" s="1" t="s">
        <v>236</v>
      </c>
      <c r="T912" s="1" t="s">
        <v>1349</v>
      </c>
      <c r="U912" s="1">
        <v>1.00650375E8</v>
      </c>
      <c r="X912" s="1" t="s">
        <v>88</v>
      </c>
      <c r="Y912" s="1" t="s">
        <v>3353</v>
      </c>
      <c r="Z912" s="1" t="s">
        <v>37</v>
      </c>
    </row>
    <row r="913" hidden="1">
      <c r="A913" s="1" t="s">
        <v>3354</v>
      </c>
      <c r="B913" s="1" t="s">
        <v>3343</v>
      </c>
      <c r="C913" s="1" t="s">
        <v>3355</v>
      </c>
      <c r="D913" s="1" t="s">
        <v>27</v>
      </c>
      <c r="E913" s="1" t="s">
        <v>28</v>
      </c>
      <c r="F913" s="2">
        <v>1000000.0</v>
      </c>
      <c r="G913" s="4">
        <v>44688.0</v>
      </c>
      <c r="H913" s="4">
        <f>IFERROR(__xludf.DUMMYFUNCTION("DATE(INDEX(SPLIT(G913,""/""),,3),INDEX(SPLIT(G913,""/""),,2),INDEX(SPLIT(G913,""/""),,1))"),44747.0)</f>
        <v>44747</v>
      </c>
      <c r="I913" s="1" t="s">
        <v>203</v>
      </c>
      <c r="J913" s="4">
        <f>IFERROR(__xludf.DUMMYFUNCTION("DATE(INDEX(SPLIT(I913,""/""),,3),INDEX(SPLIT(I913,""/""),,2),INDEX(SPLIT(I913,""/""),,1))"),44925.0)</f>
        <v>44925</v>
      </c>
      <c r="L913" s="1">
        <v>0.0</v>
      </c>
      <c r="M913" s="1" t="s">
        <v>1856</v>
      </c>
      <c r="N913" s="1"/>
      <c r="O913" s="1" t="s">
        <v>30</v>
      </c>
      <c r="P913" s="1" t="s">
        <v>31</v>
      </c>
      <c r="Q913" s="1" t="s">
        <v>32</v>
      </c>
      <c r="R913" s="1" t="s">
        <v>32</v>
      </c>
      <c r="S913" s="1" t="s">
        <v>33</v>
      </c>
      <c r="T913" s="1" t="s">
        <v>34</v>
      </c>
      <c r="U913" s="1">
        <v>1.00587434E8</v>
      </c>
      <c r="X913" s="1" t="s">
        <v>63</v>
      </c>
      <c r="Y913" s="1" t="s">
        <v>3346</v>
      </c>
      <c r="Z913" s="1" t="s">
        <v>37</v>
      </c>
    </row>
    <row r="914" hidden="1">
      <c r="A914" s="1" t="s">
        <v>3356</v>
      </c>
      <c r="B914" s="1" t="s">
        <v>269</v>
      </c>
      <c r="C914" s="1" t="s">
        <v>3357</v>
      </c>
      <c r="D914" s="1" t="s">
        <v>27</v>
      </c>
      <c r="E914" s="1" t="s">
        <v>28</v>
      </c>
      <c r="F914" s="2">
        <v>1000000.0</v>
      </c>
      <c r="G914" s="1" t="s">
        <v>1063</v>
      </c>
      <c r="H914" s="4">
        <f>IFERROR(__xludf.DUMMYFUNCTION("DATE(INDEX(SPLIT(G914,""/""),,3),INDEX(SPLIT(G914,""/""),,2),INDEX(SPLIT(G914,""/""),,1))"),44068.0)</f>
        <v>44068</v>
      </c>
      <c r="I914" s="4">
        <v>44604.0</v>
      </c>
      <c r="J914" s="4">
        <f>IFERROR(__xludf.DUMMYFUNCTION("DATE(INDEX(SPLIT(I914,""/""),,3),INDEX(SPLIT(I914,""/""),,2),INDEX(SPLIT(I914,""/""),,1))"),44897.0)</f>
        <v>44897</v>
      </c>
      <c r="L914" s="1">
        <v>0.0</v>
      </c>
      <c r="M914" s="1" t="s">
        <v>272</v>
      </c>
      <c r="N914" s="1"/>
      <c r="O914" s="1" t="s">
        <v>30</v>
      </c>
      <c r="P914" s="1" t="s">
        <v>31</v>
      </c>
      <c r="Q914" s="1" t="s">
        <v>95</v>
      </c>
      <c r="R914" s="1" t="s">
        <v>95</v>
      </c>
      <c r="S914" s="1" t="s">
        <v>96</v>
      </c>
      <c r="T914" s="1" t="s">
        <v>217</v>
      </c>
      <c r="U914" s="1">
        <v>1.00633579E8</v>
      </c>
      <c r="X914" s="1" t="s">
        <v>35</v>
      </c>
      <c r="Y914" s="1" t="s">
        <v>1064</v>
      </c>
      <c r="Z914" s="1" t="s">
        <v>37</v>
      </c>
    </row>
    <row r="915">
      <c r="A915" s="1" t="s">
        <v>3358</v>
      </c>
      <c r="B915" s="1" t="s">
        <v>3359</v>
      </c>
      <c r="C915" s="1" t="s">
        <v>3360</v>
      </c>
      <c r="D915" s="1" t="s">
        <v>78</v>
      </c>
      <c r="E915" s="1" t="s">
        <v>28</v>
      </c>
      <c r="F915" s="2">
        <v>1000000.0</v>
      </c>
      <c r="G915" s="1" t="s">
        <v>354</v>
      </c>
      <c r="H915" s="4">
        <f>IFERROR(__xludf.DUMMYFUNCTION("DATE(INDEX(SPLIT(G915,""/""),,3),INDEX(SPLIT(G915,""/""),,2),INDEX(SPLIT(G915,""/""),,1))"),44673.0)</f>
        <v>44673</v>
      </c>
      <c r="I915" s="1" t="s">
        <v>503</v>
      </c>
      <c r="J915" s="4">
        <f>IFERROR(__xludf.DUMMYFUNCTION("DATE(INDEX(SPLIT(I915,""/""),,3),INDEX(SPLIT(I915,""/""),,2),INDEX(SPLIT(I915,""/""),,1))"),44736.0)</f>
        <v>44736</v>
      </c>
      <c r="L915" s="1">
        <v>0.0</v>
      </c>
      <c r="M915" s="1" t="s">
        <v>3361</v>
      </c>
      <c r="N915" s="1"/>
      <c r="O915" s="1" t="s">
        <v>30</v>
      </c>
      <c r="P915" s="1" t="s">
        <v>31</v>
      </c>
      <c r="Q915" s="1" t="s">
        <v>53</v>
      </c>
      <c r="R915" s="1" t="s">
        <v>53</v>
      </c>
      <c r="S915" s="1" t="s">
        <v>54</v>
      </c>
      <c r="U915" s="1">
        <v>1.00652454E8</v>
      </c>
      <c r="X915" s="1" t="s">
        <v>88</v>
      </c>
      <c r="Y915" s="1" t="s">
        <v>3362</v>
      </c>
      <c r="Z915" s="1" t="s">
        <v>37</v>
      </c>
    </row>
    <row r="916" hidden="1">
      <c r="A916" s="1" t="s">
        <v>3363</v>
      </c>
      <c r="B916" s="1" t="s">
        <v>3364</v>
      </c>
      <c r="C916" s="1" t="s">
        <v>3365</v>
      </c>
      <c r="D916" s="1" t="s">
        <v>27</v>
      </c>
      <c r="E916" s="1" t="s">
        <v>28</v>
      </c>
      <c r="F916" s="2">
        <v>1000000.0</v>
      </c>
      <c r="G916" s="1" t="s">
        <v>185</v>
      </c>
      <c r="H916" s="4">
        <f>IFERROR(__xludf.DUMMYFUNCTION("DATE(INDEX(SPLIT(G916,""/""),,3),INDEX(SPLIT(G916,""/""),,2),INDEX(SPLIT(G916,""/""),,1))"),44741.0)</f>
        <v>44741</v>
      </c>
      <c r="I916" s="1" t="s">
        <v>683</v>
      </c>
      <c r="J916" s="4">
        <f>IFERROR(__xludf.DUMMYFUNCTION("DATE(INDEX(SPLIT(I916,""/""),,3),INDEX(SPLIT(I916,""/""),,2),INDEX(SPLIT(I916,""/""),,1))"),45015.0)</f>
        <v>45015</v>
      </c>
      <c r="L916" s="1">
        <v>0.0</v>
      </c>
      <c r="M916" s="1" t="s">
        <v>1723</v>
      </c>
      <c r="N916" s="1"/>
      <c r="O916" s="1" t="s">
        <v>30</v>
      </c>
      <c r="P916" s="1" t="s">
        <v>31</v>
      </c>
      <c r="Q916" s="1" t="s">
        <v>157</v>
      </c>
      <c r="R916" s="1" t="s">
        <v>157</v>
      </c>
      <c r="S916" s="1" t="s">
        <v>158</v>
      </c>
      <c r="T916" s="1" t="s">
        <v>159</v>
      </c>
      <c r="U916" s="1">
        <v>1.00654085E8</v>
      </c>
      <c r="X916" s="1" t="s">
        <v>74</v>
      </c>
      <c r="Y916" s="1" t="s">
        <v>2014</v>
      </c>
      <c r="Z916" s="1" t="s">
        <v>37</v>
      </c>
    </row>
    <row r="917" hidden="1">
      <c r="A917" s="1" t="s">
        <v>3366</v>
      </c>
      <c r="B917" s="1" t="s">
        <v>3367</v>
      </c>
      <c r="C917" s="1" t="s">
        <v>3368</v>
      </c>
      <c r="D917" s="1" t="s">
        <v>27</v>
      </c>
      <c r="E917" s="1" t="s">
        <v>28</v>
      </c>
      <c r="F917" s="2">
        <v>1000000.0</v>
      </c>
      <c r="G917" s="1" t="s">
        <v>185</v>
      </c>
      <c r="H917" s="4">
        <f>IFERROR(__xludf.DUMMYFUNCTION("DATE(INDEX(SPLIT(G917,""/""),,3),INDEX(SPLIT(G917,""/""),,2),INDEX(SPLIT(G917,""/""),,1))"),44741.0)</f>
        <v>44741</v>
      </c>
      <c r="I917" s="1" t="s">
        <v>203</v>
      </c>
      <c r="J917" s="4">
        <f>IFERROR(__xludf.DUMMYFUNCTION("DATE(INDEX(SPLIT(I917,""/""),,3),INDEX(SPLIT(I917,""/""),,2),INDEX(SPLIT(I917,""/""),,1))"),44925.0)</f>
        <v>44925</v>
      </c>
      <c r="L917" s="1">
        <v>0.0</v>
      </c>
      <c r="M917" s="1" t="s">
        <v>1723</v>
      </c>
      <c r="N917" s="1"/>
      <c r="O917" s="1" t="s">
        <v>30</v>
      </c>
      <c r="P917" s="1" t="s">
        <v>31</v>
      </c>
      <c r="Q917" s="1" t="s">
        <v>157</v>
      </c>
      <c r="R917" s="1" t="s">
        <v>157</v>
      </c>
      <c r="S917" s="1" t="s">
        <v>158</v>
      </c>
      <c r="U917" s="1">
        <v>1.00654085E8</v>
      </c>
      <c r="X917" s="1" t="s">
        <v>74</v>
      </c>
      <c r="Y917" s="1" t="s">
        <v>2014</v>
      </c>
      <c r="Z917" s="1" t="s">
        <v>37</v>
      </c>
    </row>
    <row r="918">
      <c r="A918" s="1" t="s">
        <v>3369</v>
      </c>
      <c r="B918" s="1" t="s">
        <v>66</v>
      </c>
      <c r="C918" s="1" t="s">
        <v>3370</v>
      </c>
      <c r="D918" s="1" t="s">
        <v>78</v>
      </c>
      <c r="E918" s="1" t="s">
        <v>28</v>
      </c>
      <c r="F918" s="2">
        <v>1000000.0</v>
      </c>
      <c r="G918" s="1" t="s">
        <v>586</v>
      </c>
      <c r="H918" s="4">
        <f>IFERROR(__xludf.DUMMYFUNCTION("DATE(INDEX(SPLIT(G918,""/""),,3),INDEX(SPLIT(G918,""/""),,2),INDEX(SPLIT(G918,""/""),,1))"),44726.0)</f>
        <v>44726</v>
      </c>
      <c r="I918" s="1" t="s">
        <v>226</v>
      </c>
      <c r="J918" s="4">
        <f>IFERROR(__xludf.DUMMYFUNCTION("DATE(INDEX(SPLIT(I918,""/""),,3),INDEX(SPLIT(I918,""/""),,2),INDEX(SPLIT(I918,""/""),,1))"),44771.0)</f>
        <v>44771</v>
      </c>
      <c r="L918" s="1">
        <v>0.0</v>
      </c>
      <c r="M918" s="1" t="s">
        <v>1685</v>
      </c>
      <c r="N918" s="1"/>
      <c r="O918" s="1" t="s">
        <v>30</v>
      </c>
      <c r="P918" s="1" t="s">
        <v>31</v>
      </c>
      <c r="Q918" s="1" t="s">
        <v>228</v>
      </c>
      <c r="R918" s="1" t="s">
        <v>228</v>
      </c>
      <c r="S918" s="1" t="s">
        <v>229</v>
      </c>
      <c r="T918" s="1" t="s">
        <v>505</v>
      </c>
      <c r="U918" s="1">
        <v>1.00612055E8</v>
      </c>
      <c r="X918" s="1" t="s">
        <v>74</v>
      </c>
      <c r="Y918" s="1" t="s">
        <v>1685</v>
      </c>
      <c r="Z918" s="1" t="s">
        <v>37</v>
      </c>
    </row>
    <row r="919" hidden="1">
      <c r="A919" s="1" t="s">
        <v>3371</v>
      </c>
      <c r="B919" s="1" t="s">
        <v>392</v>
      </c>
      <c r="C919" s="1" t="s">
        <v>3372</v>
      </c>
      <c r="D919" s="1" t="s">
        <v>27</v>
      </c>
      <c r="E919" s="1" t="s">
        <v>28</v>
      </c>
      <c r="F919" s="2">
        <v>1000000.0</v>
      </c>
      <c r="G919" s="1" t="s">
        <v>418</v>
      </c>
      <c r="H919" s="4">
        <f>IFERROR(__xludf.DUMMYFUNCTION("DATE(INDEX(SPLIT(G919,""/""),,3),INDEX(SPLIT(G919,""/""),,2),INDEX(SPLIT(G919,""/""),,1))"),44755.0)</f>
        <v>44755</v>
      </c>
      <c r="I919" s="1" t="s">
        <v>85</v>
      </c>
      <c r="J919" s="4">
        <f>IFERROR(__xludf.DUMMYFUNCTION("DATE(INDEX(SPLIT(I919,""/""),,3),INDEX(SPLIT(I919,""/""),,2),INDEX(SPLIT(I919,""/""),,1))"),44799.0)</f>
        <v>44799</v>
      </c>
      <c r="L919" s="1">
        <v>0.0</v>
      </c>
      <c r="M919" s="1" t="s">
        <v>234</v>
      </c>
      <c r="N919" s="1"/>
      <c r="O919" s="1" t="s">
        <v>30</v>
      </c>
      <c r="P919" s="1" t="s">
        <v>31</v>
      </c>
      <c r="Q919" s="1" t="s">
        <v>235</v>
      </c>
      <c r="R919" s="1" t="s">
        <v>235</v>
      </c>
      <c r="S919" s="1" t="s">
        <v>236</v>
      </c>
      <c r="T919" s="1" t="s">
        <v>237</v>
      </c>
      <c r="U919" s="1">
        <v>1.00658132E8</v>
      </c>
      <c r="X919" s="1" t="s">
        <v>239</v>
      </c>
      <c r="Y919" s="1" t="s">
        <v>234</v>
      </c>
      <c r="Z919" s="1" t="s">
        <v>37</v>
      </c>
    </row>
    <row r="920" hidden="1">
      <c r="A920" s="1" t="s">
        <v>3373</v>
      </c>
      <c r="B920" s="1" t="s">
        <v>3374</v>
      </c>
      <c r="C920" s="1" t="s">
        <v>3375</v>
      </c>
      <c r="D920" s="1" t="s">
        <v>27</v>
      </c>
      <c r="E920" s="1" t="s">
        <v>28</v>
      </c>
      <c r="F920" s="2">
        <v>1000000.0</v>
      </c>
      <c r="G920" s="4">
        <v>44688.0</v>
      </c>
      <c r="H920" s="4">
        <f>IFERROR(__xludf.DUMMYFUNCTION("DATE(INDEX(SPLIT(G920,""/""),,3),INDEX(SPLIT(G920,""/""),,2),INDEX(SPLIT(G920,""/""),,1))"),44747.0)</f>
        <v>44747</v>
      </c>
      <c r="I920" s="1" t="s">
        <v>203</v>
      </c>
      <c r="J920" s="4">
        <f>IFERROR(__xludf.DUMMYFUNCTION("DATE(INDEX(SPLIT(I920,""/""),,3),INDEX(SPLIT(I920,""/""),,2),INDEX(SPLIT(I920,""/""),,1))"),44925.0)</f>
        <v>44925</v>
      </c>
      <c r="L920" s="1">
        <v>0.0</v>
      </c>
      <c r="M920" s="1" t="s">
        <v>3376</v>
      </c>
      <c r="N920" s="1"/>
      <c r="O920" s="1" t="s">
        <v>30</v>
      </c>
      <c r="P920" s="1" t="s">
        <v>31</v>
      </c>
      <c r="Q920" s="1" t="s">
        <v>32</v>
      </c>
      <c r="R920" s="1" t="s">
        <v>32</v>
      </c>
      <c r="S920" s="1" t="s">
        <v>33</v>
      </c>
      <c r="T920" s="1" t="s">
        <v>34</v>
      </c>
      <c r="U920" s="1">
        <v>1.00597272E8</v>
      </c>
      <c r="X920" s="1" t="s">
        <v>410</v>
      </c>
      <c r="Y920" s="1" t="s">
        <v>3377</v>
      </c>
      <c r="Z920" s="1" t="s">
        <v>206</v>
      </c>
    </row>
    <row r="921" hidden="1">
      <c r="A921" s="1" t="s">
        <v>3378</v>
      </c>
      <c r="B921" s="1" t="s">
        <v>2735</v>
      </c>
      <c r="C921" s="1" t="s">
        <v>3379</v>
      </c>
      <c r="D921" s="1" t="s">
        <v>27</v>
      </c>
      <c r="E921" s="1" t="s">
        <v>28</v>
      </c>
      <c r="F921" s="2">
        <v>1000000.0</v>
      </c>
      <c r="G921" s="1" t="s">
        <v>1092</v>
      </c>
      <c r="H921" s="4">
        <f>IFERROR(__xludf.DUMMYFUNCTION("DATE(INDEX(SPLIT(G921,""/""),,3),INDEX(SPLIT(G921,""/""),,2),INDEX(SPLIT(G921,""/""),,1))"),44489.0)</f>
        <v>44489</v>
      </c>
      <c r="I921" s="1" t="s">
        <v>203</v>
      </c>
      <c r="J921" s="4">
        <f>IFERROR(__xludf.DUMMYFUNCTION("DATE(INDEX(SPLIT(I921,""/""),,3),INDEX(SPLIT(I921,""/""),,2),INDEX(SPLIT(I921,""/""),,1))"),44925.0)</f>
        <v>44925</v>
      </c>
      <c r="L921" s="1">
        <v>0.0</v>
      </c>
      <c r="M921" s="1" t="s">
        <v>1552</v>
      </c>
      <c r="N921" s="1"/>
      <c r="O921" s="1" t="s">
        <v>30</v>
      </c>
      <c r="P921" s="1" t="s">
        <v>31</v>
      </c>
      <c r="Q921" s="1" t="s">
        <v>32</v>
      </c>
      <c r="R921" s="1" t="s">
        <v>32</v>
      </c>
      <c r="S921" s="1" t="s">
        <v>33</v>
      </c>
      <c r="T921" s="1" t="s">
        <v>1195</v>
      </c>
      <c r="U921" s="1">
        <v>1.00637597E8</v>
      </c>
      <c r="V921" s="1" t="s">
        <v>3380</v>
      </c>
      <c r="W921" s="1" t="s">
        <v>199</v>
      </c>
      <c r="X921" s="1" t="s">
        <v>490</v>
      </c>
      <c r="Y921" s="1" t="s">
        <v>1552</v>
      </c>
      <c r="Z921" s="1" t="s">
        <v>37</v>
      </c>
    </row>
    <row r="922" hidden="1">
      <c r="A922" s="1" t="s">
        <v>3381</v>
      </c>
      <c r="B922" s="1" t="s">
        <v>1144</v>
      </c>
      <c r="C922" s="1" t="s">
        <v>3382</v>
      </c>
      <c r="D922" s="1" t="s">
        <v>27</v>
      </c>
      <c r="E922" s="1" t="s">
        <v>28</v>
      </c>
      <c r="F922" s="2">
        <v>1000000.0</v>
      </c>
      <c r="G922" s="4">
        <v>44688.0</v>
      </c>
      <c r="H922" s="4">
        <f>IFERROR(__xludf.DUMMYFUNCTION("DATE(INDEX(SPLIT(G922,""/""),,3),INDEX(SPLIT(G922,""/""),,2),INDEX(SPLIT(G922,""/""),,1))"),44747.0)</f>
        <v>44747</v>
      </c>
      <c r="I922" s="1" t="s">
        <v>203</v>
      </c>
      <c r="J922" s="4">
        <f>IFERROR(__xludf.DUMMYFUNCTION("DATE(INDEX(SPLIT(I922,""/""),,3),INDEX(SPLIT(I922,""/""),,2),INDEX(SPLIT(I922,""/""),,1))"),44925.0)</f>
        <v>44925</v>
      </c>
      <c r="L922" s="1">
        <v>0.0</v>
      </c>
      <c r="M922" s="1" t="s">
        <v>1856</v>
      </c>
      <c r="N922" s="1"/>
      <c r="O922" s="1" t="s">
        <v>30</v>
      </c>
      <c r="P922" s="1" t="s">
        <v>31</v>
      </c>
      <c r="Q922" s="1" t="s">
        <v>32</v>
      </c>
      <c r="R922" s="1" t="s">
        <v>32</v>
      </c>
      <c r="S922" s="1" t="s">
        <v>33</v>
      </c>
      <c r="T922" s="1" t="s">
        <v>34</v>
      </c>
      <c r="U922" s="1">
        <v>1.00587434E8</v>
      </c>
      <c r="X922" s="1" t="s">
        <v>63</v>
      </c>
      <c r="Y922" s="1" t="s">
        <v>3377</v>
      </c>
      <c r="Z922" s="1" t="s">
        <v>37</v>
      </c>
    </row>
    <row r="923" hidden="1">
      <c r="A923" s="1" t="s">
        <v>3383</v>
      </c>
      <c r="B923" s="1" t="s">
        <v>3384</v>
      </c>
      <c r="C923" s="1" t="s">
        <v>3385</v>
      </c>
      <c r="D923" s="1" t="s">
        <v>27</v>
      </c>
      <c r="E923" s="1" t="s">
        <v>28</v>
      </c>
      <c r="F923" s="2">
        <v>1000000.0</v>
      </c>
      <c r="G923" s="1" t="s">
        <v>185</v>
      </c>
      <c r="H923" s="4">
        <f>IFERROR(__xludf.DUMMYFUNCTION("DATE(INDEX(SPLIT(G923,""/""),,3),INDEX(SPLIT(G923,""/""),,2),INDEX(SPLIT(G923,""/""),,1))"),44741.0)</f>
        <v>44741</v>
      </c>
      <c r="I923" s="1" t="s">
        <v>109</v>
      </c>
      <c r="J923" s="4">
        <f>IFERROR(__xludf.DUMMYFUNCTION("DATE(INDEX(SPLIT(I923,""/""),,3),INDEX(SPLIT(I923,""/""),,2),INDEX(SPLIT(I923,""/""),,1))"),44834.0)</f>
        <v>44834</v>
      </c>
      <c r="L923" s="1">
        <v>0.0</v>
      </c>
      <c r="M923" s="1" t="s">
        <v>3042</v>
      </c>
      <c r="N923" s="1"/>
      <c r="O923" s="1" t="s">
        <v>30</v>
      </c>
      <c r="P923" s="1" t="s">
        <v>31</v>
      </c>
      <c r="Q923" s="1" t="s">
        <v>157</v>
      </c>
      <c r="R923" s="1" t="s">
        <v>157</v>
      </c>
      <c r="S923" s="1" t="s">
        <v>158</v>
      </c>
      <c r="U923" s="1">
        <v>1.00649928E8</v>
      </c>
      <c r="X923" s="1" t="s">
        <v>125</v>
      </c>
      <c r="Y923" s="1" t="s">
        <v>3386</v>
      </c>
      <c r="Z923" s="1" t="s">
        <v>37</v>
      </c>
    </row>
    <row r="924" hidden="1">
      <c r="A924" s="1" t="s">
        <v>3387</v>
      </c>
      <c r="B924" s="1" t="s">
        <v>650</v>
      </c>
      <c r="C924" s="1" t="s">
        <v>3388</v>
      </c>
      <c r="D924" s="1" t="s">
        <v>27</v>
      </c>
      <c r="E924" s="1" t="s">
        <v>28</v>
      </c>
      <c r="F924" s="2">
        <v>1000000.0</v>
      </c>
      <c r="G924" s="4">
        <v>44688.0</v>
      </c>
      <c r="H924" s="4">
        <f>IFERROR(__xludf.DUMMYFUNCTION("DATE(INDEX(SPLIT(G924,""/""),,3),INDEX(SPLIT(G924,""/""),,2),INDEX(SPLIT(G924,""/""),,1))"),44747.0)</f>
        <v>44747</v>
      </c>
      <c r="I924" s="1" t="s">
        <v>203</v>
      </c>
      <c r="J924" s="4">
        <f>IFERROR(__xludf.DUMMYFUNCTION("DATE(INDEX(SPLIT(I924,""/""),,3),INDEX(SPLIT(I924,""/""),,2),INDEX(SPLIT(I924,""/""),,1))"),44925.0)</f>
        <v>44925</v>
      </c>
      <c r="L924" s="1">
        <v>0.0</v>
      </c>
      <c r="M924" s="1" t="s">
        <v>1856</v>
      </c>
      <c r="N924" s="1"/>
      <c r="O924" s="1" t="s">
        <v>30</v>
      </c>
      <c r="P924" s="1" t="s">
        <v>31</v>
      </c>
      <c r="Q924" s="1" t="s">
        <v>32</v>
      </c>
      <c r="R924" s="1" t="s">
        <v>32</v>
      </c>
      <c r="S924" s="1" t="s">
        <v>33</v>
      </c>
      <c r="T924" s="1" t="s">
        <v>34</v>
      </c>
      <c r="U924" s="1">
        <v>1.00587434E8</v>
      </c>
      <c r="X924" s="1" t="s">
        <v>63</v>
      </c>
      <c r="Y924" s="1" t="s">
        <v>3377</v>
      </c>
      <c r="Z924" s="1" t="s">
        <v>37</v>
      </c>
    </row>
    <row r="925" hidden="1">
      <c r="A925" s="1" t="s">
        <v>3389</v>
      </c>
      <c r="B925" s="1" t="s">
        <v>2735</v>
      </c>
      <c r="C925" s="1" t="s">
        <v>3390</v>
      </c>
      <c r="D925" s="1" t="s">
        <v>27</v>
      </c>
      <c r="E925" s="1" t="s">
        <v>28</v>
      </c>
      <c r="F925" s="2">
        <v>1000000.0</v>
      </c>
      <c r="G925" s="1" t="s">
        <v>3391</v>
      </c>
      <c r="H925" s="4">
        <f>IFERROR(__xludf.DUMMYFUNCTION("DATE(INDEX(SPLIT(G925,""/""),,3),INDEX(SPLIT(G925,""/""),,2),INDEX(SPLIT(G925,""/""),,1))"),44272.0)</f>
        <v>44272</v>
      </c>
      <c r="I925" s="1" t="s">
        <v>42</v>
      </c>
      <c r="J925" s="4">
        <f>IFERROR(__xludf.DUMMYFUNCTION("DATE(INDEX(SPLIT(I925,""/""),,3),INDEX(SPLIT(I925,""/""),,2),INDEX(SPLIT(I925,""/""),,1))"),44926.0)</f>
        <v>44926</v>
      </c>
      <c r="L925" s="1">
        <v>0.0</v>
      </c>
      <c r="M925" s="1" t="s">
        <v>3138</v>
      </c>
      <c r="N925" s="1"/>
      <c r="O925" s="1" t="s">
        <v>30</v>
      </c>
      <c r="P925" s="1" t="s">
        <v>31</v>
      </c>
      <c r="Q925" s="1" t="s">
        <v>157</v>
      </c>
      <c r="R925" s="1" t="s">
        <v>157</v>
      </c>
      <c r="S925" s="1" t="s">
        <v>158</v>
      </c>
      <c r="T925" s="1" t="s">
        <v>442</v>
      </c>
      <c r="U925" s="1">
        <v>1.00616377E8</v>
      </c>
      <c r="X925" s="1" t="s">
        <v>490</v>
      </c>
      <c r="Y925" s="1" t="s">
        <v>3392</v>
      </c>
      <c r="Z925" s="1" t="s">
        <v>37</v>
      </c>
    </row>
    <row r="926" hidden="1">
      <c r="A926" s="1" t="s">
        <v>3393</v>
      </c>
      <c r="B926" s="1" t="s">
        <v>784</v>
      </c>
      <c r="C926" s="1" t="s">
        <v>3394</v>
      </c>
      <c r="D926" s="1" t="s">
        <v>27</v>
      </c>
      <c r="E926" s="1" t="s">
        <v>28</v>
      </c>
      <c r="F926" s="2">
        <v>1000000.0</v>
      </c>
      <c r="G926" s="4">
        <v>44688.0</v>
      </c>
      <c r="H926" s="4">
        <f>IFERROR(__xludf.DUMMYFUNCTION("DATE(INDEX(SPLIT(G926,""/""),,3),INDEX(SPLIT(G926,""/""),,2),INDEX(SPLIT(G926,""/""),,1))"),44747.0)</f>
        <v>44747</v>
      </c>
      <c r="I926" s="1" t="s">
        <v>203</v>
      </c>
      <c r="J926" s="4">
        <f>IFERROR(__xludf.DUMMYFUNCTION("DATE(INDEX(SPLIT(I926,""/""),,3),INDEX(SPLIT(I926,""/""),,2),INDEX(SPLIT(I926,""/""),,1))"),44925.0)</f>
        <v>44925</v>
      </c>
      <c r="L926" s="1">
        <v>0.0</v>
      </c>
      <c r="M926" s="1" t="s">
        <v>1856</v>
      </c>
      <c r="N926" s="1"/>
      <c r="O926" s="1" t="s">
        <v>30</v>
      </c>
      <c r="P926" s="1" t="s">
        <v>31</v>
      </c>
      <c r="Q926" s="1" t="s">
        <v>32</v>
      </c>
      <c r="R926" s="1" t="s">
        <v>32</v>
      </c>
      <c r="S926" s="1" t="s">
        <v>33</v>
      </c>
      <c r="T926" s="1" t="s">
        <v>34</v>
      </c>
      <c r="U926" s="1">
        <v>1.00587434E8</v>
      </c>
      <c r="X926" s="1" t="s">
        <v>63</v>
      </c>
      <c r="Y926" s="1" t="s">
        <v>3377</v>
      </c>
      <c r="Z926" s="1" t="s">
        <v>37</v>
      </c>
    </row>
    <row r="927" hidden="1">
      <c r="A927" s="1" t="s">
        <v>3395</v>
      </c>
      <c r="B927" s="1" t="s">
        <v>3396</v>
      </c>
      <c r="C927" s="1" t="s">
        <v>3397</v>
      </c>
      <c r="D927" s="1" t="s">
        <v>27</v>
      </c>
      <c r="E927" s="1" t="s">
        <v>28</v>
      </c>
      <c r="F927" s="2">
        <v>1000000.0</v>
      </c>
      <c r="G927" s="4">
        <v>44688.0</v>
      </c>
      <c r="H927" s="4">
        <f>IFERROR(__xludf.DUMMYFUNCTION("DATE(INDEX(SPLIT(G927,""/""),,3),INDEX(SPLIT(G927,""/""),,2),INDEX(SPLIT(G927,""/""),,1))"),44747.0)</f>
        <v>44747</v>
      </c>
      <c r="I927" s="1" t="s">
        <v>203</v>
      </c>
      <c r="J927" s="4">
        <f>IFERROR(__xludf.DUMMYFUNCTION("DATE(INDEX(SPLIT(I927,""/""),,3),INDEX(SPLIT(I927,""/""),,2),INDEX(SPLIT(I927,""/""),,1))"),44925.0)</f>
        <v>44925</v>
      </c>
      <c r="L927" s="1">
        <v>0.0</v>
      </c>
      <c r="M927" s="1" t="s">
        <v>401</v>
      </c>
      <c r="N927" s="1"/>
      <c r="O927" s="1" t="s">
        <v>30</v>
      </c>
      <c r="P927" s="1" t="s">
        <v>31</v>
      </c>
      <c r="Q927" s="1" t="s">
        <v>32</v>
      </c>
      <c r="R927" s="1" t="s">
        <v>32</v>
      </c>
      <c r="S927" s="1" t="s">
        <v>33</v>
      </c>
      <c r="T927" s="1" t="s">
        <v>402</v>
      </c>
      <c r="U927" s="1">
        <v>1.0059112E8</v>
      </c>
      <c r="X927" s="1" t="s">
        <v>117</v>
      </c>
      <c r="Y927" s="1" t="s">
        <v>3377</v>
      </c>
      <c r="Z927" s="1" t="s">
        <v>37</v>
      </c>
    </row>
    <row r="928" hidden="1">
      <c r="A928" s="1" t="s">
        <v>3398</v>
      </c>
      <c r="B928" s="1" t="s">
        <v>3399</v>
      </c>
      <c r="C928" s="1" t="s">
        <v>3400</v>
      </c>
      <c r="D928" s="1" t="s">
        <v>27</v>
      </c>
      <c r="E928" s="1" t="s">
        <v>28</v>
      </c>
      <c r="F928" s="2">
        <v>1000000.0</v>
      </c>
      <c r="G928" s="4">
        <v>44688.0</v>
      </c>
      <c r="H928" s="4">
        <f>IFERROR(__xludf.DUMMYFUNCTION("DATE(INDEX(SPLIT(G928,""/""),,3),INDEX(SPLIT(G928,""/""),,2),INDEX(SPLIT(G928,""/""),,1))"),44747.0)</f>
        <v>44747</v>
      </c>
      <c r="I928" s="1" t="s">
        <v>203</v>
      </c>
      <c r="J928" s="4">
        <f>IFERROR(__xludf.DUMMYFUNCTION("DATE(INDEX(SPLIT(I928,""/""),,3),INDEX(SPLIT(I928,""/""),,2),INDEX(SPLIT(I928,""/""),,1))"),44925.0)</f>
        <v>44925</v>
      </c>
      <c r="L928" s="1">
        <v>0.0</v>
      </c>
      <c r="M928" s="1" t="s">
        <v>401</v>
      </c>
      <c r="N928" s="1"/>
      <c r="O928" s="1" t="s">
        <v>30</v>
      </c>
      <c r="P928" s="1" t="s">
        <v>31</v>
      </c>
      <c r="Q928" s="1" t="s">
        <v>32</v>
      </c>
      <c r="R928" s="1" t="s">
        <v>32</v>
      </c>
      <c r="S928" s="1" t="s">
        <v>33</v>
      </c>
      <c r="T928" s="1" t="s">
        <v>34</v>
      </c>
      <c r="U928" s="1">
        <v>1.0059112E8</v>
      </c>
      <c r="X928" s="1" t="s">
        <v>63</v>
      </c>
      <c r="Y928" s="1" t="s">
        <v>3377</v>
      </c>
      <c r="Z928" s="1" t="s">
        <v>37</v>
      </c>
    </row>
    <row r="929" hidden="1">
      <c r="A929" s="1" t="s">
        <v>3401</v>
      </c>
      <c r="B929" s="1" t="s">
        <v>1854</v>
      </c>
      <c r="C929" s="1" t="s">
        <v>3402</v>
      </c>
      <c r="D929" s="1" t="s">
        <v>27</v>
      </c>
      <c r="E929" s="1" t="s">
        <v>28</v>
      </c>
      <c r="F929" s="2">
        <v>1000000.0</v>
      </c>
      <c r="G929" s="4">
        <v>44688.0</v>
      </c>
      <c r="H929" s="4">
        <f>IFERROR(__xludf.DUMMYFUNCTION("DATE(INDEX(SPLIT(G929,""/""),,3),INDEX(SPLIT(G929,""/""),,2),INDEX(SPLIT(G929,""/""),,1))"),44747.0)</f>
        <v>44747</v>
      </c>
      <c r="I929" s="1" t="s">
        <v>203</v>
      </c>
      <c r="J929" s="4">
        <f>IFERROR(__xludf.DUMMYFUNCTION("DATE(INDEX(SPLIT(I929,""/""),,3),INDEX(SPLIT(I929,""/""),,2),INDEX(SPLIT(I929,""/""),,1))"),44925.0)</f>
        <v>44925</v>
      </c>
      <c r="L929" s="1">
        <v>0.0</v>
      </c>
      <c r="M929" s="1" t="s">
        <v>2831</v>
      </c>
      <c r="N929" s="1"/>
      <c r="O929" s="1" t="s">
        <v>30</v>
      </c>
      <c r="P929" s="1" t="s">
        <v>31</v>
      </c>
      <c r="Q929" s="1" t="s">
        <v>32</v>
      </c>
      <c r="R929" s="1" t="s">
        <v>32</v>
      </c>
      <c r="S929" s="1" t="s">
        <v>33</v>
      </c>
      <c r="T929" s="1" t="s">
        <v>34</v>
      </c>
      <c r="U929" s="1">
        <v>1.0119869E8</v>
      </c>
      <c r="X929" s="1" t="s">
        <v>63</v>
      </c>
      <c r="Y929" s="1" t="s">
        <v>3377</v>
      </c>
      <c r="Z929" s="1" t="s">
        <v>37</v>
      </c>
    </row>
    <row r="930" hidden="1">
      <c r="A930" s="1" t="s">
        <v>3403</v>
      </c>
      <c r="B930" s="1" t="s">
        <v>3404</v>
      </c>
      <c r="C930" s="1" t="s">
        <v>3405</v>
      </c>
      <c r="D930" s="1" t="s">
        <v>27</v>
      </c>
      <c r="E930" s="1" t="s">
        <v>28</v>
      </c>
      <c r="F930" s="2">
        <v>1000000.0</v>
      </c>
      <c r="G930" s="1" t="s">
        <v>3406</v>
      </c>
      <c r="H930" s="4">
        <f>IFERROR(__xludf.DUMMYFUNCTION("DATE(INDEX(SPLIT(G930,""/""),,3),INDEX(SPLIT(G930,""/""),,2),INDEX(SPLIT(G930,""/""),,1))"),44009.0)</f>
        <v>44009</v>
      </c>
      <c r="I930" s="1" t="s">
        <v>3407</v>
      </c>
      <c r="J930" s="4">
        <f>IFERROR(__xludf.DUMMYFUNCTION("DATE(INDEX(SPLIT(I930,""/""),,3),INDEX(SPLIT(I930,""/""),,2),INDEX(SPLIT(I930,""/""),,1))"),45059.0)</f>
        <v>45059</v>
      </c>
      <c r="L930" s="1">
        <v>0.0</v>
      </c>
      <c r="M930" s="1" t="s">
        <v>3408</v>
      </c>
      <c r="N930" s="1"/>
      <c r="O930" s="1" t="s">
        <v>30</v>
      </c>
      <c r="P930" s="1" t="s">
        <v>31</v>
      </c>
      <c r="Q930" s="1" t="s">
        <v>95</v>
      </c>
      <c r="R930" s="1" t="s">
        <v>95</v>
      </c>
      <c r="S930" s="1" t="s">
        <v>96</v>
      </c>
      <c r="T930" s="1" t="s">
        <v>3409</v>
      </c>
      <c r="U930" s="1">
        <v>1.00953783E8</v>
      </c>
      <c r="X930" s="1" t="s">
        <v>312</v>
      </c>
      <c r="Y930" s="1" t="s">
        <v>2689</v>
      </c>
      <c r="Z930" s="1" t="s">
        <v>527</v>
      </c>
    </row>
    <row r="931" hidden="1">
      <c r="A931" s="1" t="s">
        <v>3410</v>
      </c>
      <c r="B931" s="1" t="s">
        <v>666</v>
      </c>
      <c r="C931" s="1" t="s">
        <v>1604</v>
      </c>
      <c r="D931" s="1" t="s">
        <v>27</v>
      </c>
      <c r="E931" s="1" t="s">
        <v>28</v>
      </c>
      <c r="F931" s="2">
        <v>1000000.0</v>
      </c>
      <c r="G931" s="4">
        <v>44867.0</v>
      </c>
      <c r="H931" s="4">
        <f>IFERROR(__xludf.DUMMYFUNCTION("DATE(INDEX(SPLIT(G931,""/""),,3),INDEX(SPLIT(G931,""/""),,2),INDEX(SPLIT(G931,""/""),,1))"),44603.0)</f>
        <v>44603</v>
      </c>
      <c r="I931" s="4">
        <v>44570.0</v>
      </c>
      <c r="J931" s="4">
        <f>IFERROR(__xludf.DUMMYFUNCTION("DATE(INDEX(SPLIT(I931,""/""),,3),INDEX(SPLIT(I931,""/""),,2),INDEX(SPLIT(I931,""/""),,1))"),44805.0)</f>
        <v>44805</v>
      </c>
      <c r="L931" s="1">
        <v>0.0</v>
      </c>
      <c r="M931" s="1" t="s">
        <v>3411</v>
      </c>
      <c r="N931" s="1"/>
      <c r="O931" s="1" t="s">
        <v>30</v>
      </c>
      <c r="P931" s="1" t="s">
        <v>31</v>
      </c>
      <c r="Q931" s="1" t="s">
        <v>53</v>
      </c>
      <c r="R931" s="1" t="s">
        <v>53</v>
      </c>
      <c r="S931" s="1" t="s">
        <v>54</v>
      </c>
      <c r="T931" s="1" t="s">
        <v>1386</v>
      </c>
      <c r="U931" s="1">
        <v>1.00649472E8</v>
      </c>
      <c r="X931" s="1" t="s">
        <v>35</v>
      </c>
      <c r="Y931" s="1" t="s">
        <v>1387</v>
      </c>
      <c r="Z931" s="1" t="s">
        <v>37</v>
      </c>
    </row>
    <row r="932" hidden="1">
      <c r="A932" s="1" t="s">
        <v>3412</v>
      </c>
      <c r="B932" s="1" t="s">
        <v>83</v>
      </c>
      <c r="C932" s="1" t="s">
        <v>3413</v>
      </c>
      <c r="D932" s="1" t="s">
        <v>122</v>
      </c>
      <c r="E932" s="1" t="s">
        <v>28</v>
      </c>
      <c r="F932" s="2">
        <v>1000000.0</v>
      </c>
      <c r="G932" s="4">
        <v>44567.0</v>
      </c>
      <c r="H932" s="4">
        <f>IFERROR(__xludf.DUMMYFUNCTION("DATE(INDEX(SPLIT(G932,""/""),,3),INDEX(SPLIT(G932,""/""),,2),INDEX(SPLIT(G932,""/""),,1))"),44713.0)</f>
        <v>44713</v>
      </c>
      <c r="I932" s="4">
        <v>44569.0</v>
      </c>
      <c r="J932" s="4">
        <f>IFERROR(__xludf.DUMMYFUNCTION("DATE(INDEX(SPLIT(I932,""/""),,3),INDEX(SPLIT(I932,""/""),,2),INDEX(SPLIT(I932,""/""),,1))"),44774.0)</f>
        <v>44774</v>
      </c>
      <c r="L932" s="1">
        <v>0.0</v>
      </c>
      <c r="M932" s="1" t="s">
        <v>1944</v>
      </c>
      <c r="N932" s="1"/>
      <c r="O932" s="1" t="s">
        <v>30</v>
      </c>
      <c r="P932" s="1" t="s">
        <v>31</v>
      </c>
      <c r="Q932" s="1" t="s">
        <v>235</v>
      </c>
      <c r="R932" s="1" t="s">
        <v>235</v>
      </c>
      <c r="S932" s="1" t="s">
        <v>236</v>
      </c>
      <c r="T932" s="1" t="s">
        <v>753</v>
      </c>
      <c r="U932" s="1">
        <v>1.00628186E8</v>
      </c>
      <c r="X932" s="1" t="s">
        <v>88</v>
      </c>
      <c r="Y932" s="1" t="s">
        <v>3414</v>
      </c>
      <c r="Z932" s="1" t="s">
        <v>37</v>
      </c>
    </row>
    <row r="933" hidden="1">
      <c r="A933" s="1" t="s">
        <v>3415</v>
      </c>
      <c r="B933" s="1" t="s">
        <v>2903</v>
      </c>
      <c r="C933" s="1" t="s">
        <v>3416</v>
      </c>
      <c r="D933" s="1" t="s">
        <v>27</v>
      </c>
      <c r="E933" s="1" t="s">
        <v>28</v>
      </c>
      <c r="F933" s="2">
        <v>1000000.0</v>
      </c>
      <c r="G933" s="4">
        <v>44719.0</v>
      </c>
      <c r="H933" s="4">
        <f>IFERROR(__xludf.DUMMYFUNCTION("DATE(INDEX(SPLIT(G933,""/""),,3),INDEX(SPLIT(G933,""/""),,2),INDEX(SPLIT(G933,""/""),,1))"),44748.0)</f>
        <v>44748</v>
      </c>
      <c r="I933" s="1" t="s">
        <v>203</v>
      </c>
      <c r="J933" s="4">
        <f>IFERROR(__xludf.DUMMYFUNCTION("DATE(INDEX(SPLIT(I933,""/""),,3),INDEX(SPLIT(I933,""/""),,2),INDEX(SPLIT(I933,""/""),,1))"),44925.0)</f>
        <v>44925</v>
      </c>
      <c r="L933" s="1">
        <v>0.0</v>
      </c>
      <c r="M933" s="1" t="s">
        <v>2831</v>
      </c>
      <c r="N933" s="1"/>
      <c r="O933" s="1" t="s">
        <v>30</v>
      </c>
      <c r="P933" s="1" t="s">
        <v>31</v>
      </c>
      <c r="Q933" s="1" t="s">
        <v>32</v>
      </c>
      <c r="R933" s="1" t="s">
        <v>32</v>
      </c>
      <c r="S933" s="1" t="s">
        <v>33</v>
      </c>
      <c r="T933" s="1" t="s">
        <v>34</v>
      </c>
      <c r="U933" s="1">
        <v>1.0119869E8</v>
      </c>
      <c r="X933" s="1" t="s">
        <v>63</v>
      </c>
      <c r="Y933" s="1" t="s">
        <v>3377</v>
      </c>
      <c r="Z933" s="1" t="s">
        <v>37</v>
      </c>
    </row>
    <row r="934" hidden="1">
      <c r="A934" s="1" t="s">
        <v>3417</v>
      </c>
      <c r="B934" s="1" t="s">
        <v>1634</v>
      </c>
      <c r="C934" s="1" t="s">
        <v>3418</v>
      </c>
      <c r="D934" s="1" t="s">
        <v>27</v>
      </c>
      <c r="E934" s="1" t="s">
        <v>28</v>
      </c>
      <c r="F934" s="2">
        <v>1000000.0</v>
      </c>
      <c r="G934" s="1" t="s">
        <v>354</v>
      </c>
      <c r="H934" s="4">
        <f>IFERROR(__xludf.DUMMYFUNCTION("DATE(INDEX(SPLIT(G934,""/""),,3),INDEX(SPLIT(G934,""/""),,2),INDEX(SPLIT(G934,""/""),,1))"),44673.0)</f>
        <v>44673</v>
      </c>
      <c r="I934" s="4">
        <v>45170.0</v>
      </c>
      <c r="J934" s="4">
        <f>IFERROR(__xludf.DUMMYFUNCTION("DATE(INDEX(SPLIT(I934,""/""),,3),INDEX(SPLIT(I934,""/""),,2),INDEX(SPLIT(I934,""/""),,1))"),44935.0)</f>
        <v>44935</v>
      </c>
      <c r="L934" s="1">
        <v>0.0</v>
      </c>
      <c r="M934" s="1" t="s">
        <v>3419</v>
      </c>
      <c r="N934" s="1"/>
      <c r="O934" s="1" t="s">
        <v>30</v>
      </c>
      <c r="P934" s="1" t="s">
        <v>31</v>
      </c>
      <c r="Q934" s="1" t="s">
        <v>32</v>
      </c>
      <c r="R934" s="1" t="s">
        <v>32</v>
      </c>
      <c r="S934" s="1" t="s">
        <v>33</v>
      </c>
      <c r="T934" s="1" t="s">
        <v>1195</v>
      </c>
      <c r="U934" s="1">
        <v>1.00651998E8</v>
      </c>
      <c r="X934" s="1" t="s">
        <v>490</v>
      </c>
      <c r="Y934" s="1" t="s">
        <v>3420</v>
      </c>
      <c r="Z934" s="1" t="s">
        <v>37</v>
      </c>
    </row>
    <row r="935" hidden="1">
      <c r="A935" s="1" t="s">
        <v>3421</v>
      </c>
      <c r="B935" s="1" t="s">
        <v>532</v>
      </c>
      <c r="C935" s="1" t="s">
        <v>3422</v>
      </c>
      <c r="D935" s="1" t="s">
        <v>27</v>
      </c>
      <c r="E935" s="1" t="s">
        <v>28</v>
      </c>
      <c r="F935" s="2">
        <v>1000000.0</v>
      </c>
      <c r="G935" s="4">
        <v>44563.0</v>
      </c>
      <c r="H935" s="4">
        <f>IFERROR(__xludf.DUMMYFUNCTION("DATE(INDEX(SPLIT(G935,""/""),,3),INDEX(SPLIT(G935,""/""),,2),INDEX(SPLIT(G935,""/""),,1))"),44593.0)</f>
        <v>44593</v>
      </c>
      <c r="I935" s="1" t="s">
        <v>447</v>
      </c>
      <c r="J935" s="4">
        <f>IFERROR(__xludf.DUMMYFUNCTION("DATE(INDEX(SPLIT(I935,""/""),,3),INDEX(SPLIT(I935,""/""),,2),INDEX(SPLIT(I935,""/""),,1))"),44910.0)</f>
        <v>44910</v>
      </c>
      <c r="L935" s="1">
        <v>0.0</v>
      </c>
      <c r="M935" s="1" t="s">
        <v>1639</v>
      </c>
      <c r="N935" s="1"/>
      <c r="O935" s="1" t="s">
        <v>30</v>
      </c>
      <c r="P935" s="1" t="s">
        <v>31</v>
      </c>
      <c r="Q935" s="1" t="s">
        <v>53</v>
      </c>
      <c r="R935" s="1" t="s">
        <v>53</v>
      </c>
      <c r="S935" s="1" t="s">
        <v>54</v>
      </c>
      <c r="T935" s="1" t="s">
        <v>634</v>
      </c>
      <c r="U935" s="1">
        <v>1.0065462E8</v>
      </c>
      <c r="X935" s="1" t="s">
        <v>490</v>
      </c>
      <c r="Y935" s="1" t="s">
        <v>1639</v>
      </c>
      <c r="Z935" s="1" t="s">
        <v>37</v>
      </c>
    </row>
    <row r="936" hidden="1">
      <c r="A936" s="1" t="s">
        <v>3423</v>
      </c>
      <c r="B936" s="1" t="s">
        <v>3424</v>
      </c>
      <c r="C936" s="1" t="s">
        <v>3425</v>
      </c>
      <c r="D936" s="1" t="s">
        <v>27</v>
      </c>
      <c r="E936" s="1" t="s">
        <v>28</v>
      </c>
      <c r="F936" s="2">
        <v>1000000.0</v>
      </c>
      <c r="G936" s="4">
        <v>44719.0</v>
      </c>
      <c r="H936" s="4">
        <f>IFERROR(__xludf.DUMMYFUNCTION("DATE(INDEX(SPLIT(G936,""/""),,3),INDEX(SPLIT(G936,""/""),,2),INDEX(SPLIT(G936,""/""),,1))"),44748.0)</f>
        <v>44748</v>
      </c>
      <c r="I936" s="1" t="s">
        <v>203</v>
      </c>
      <c r="J936" s="4">
        <f>IFERROR(__xludf.DUMMYFUNCTION("DATE(INDEX(SPLIT(I936,""/""),,3),INDEX(SPLIT(I936,""/""),,2),INDEX(SPLIT(I936,""/""),,1))"),44925.0)</f>
        <v>44925</v>
      </c>
      <c r="L936" s="1">
        <v>0.0</v>
      </c>
      <c r="M936" s="1" t="s">
        <v>3182</v>
      </c>
      <c r="N936" s="1"/>
      <c r="O936" s="1" t="s">
        <v>30</v>
      </c>
      <c r="P936" s="1" t="s">
        <v>31</v>
      </c>
      <c r="Q936" s="1" t="s">
        <v>32</v>
      </c>
      <c r="R936" s="1" t="s">
        <v>32</v>
      </c>
      <c r="S936" s="1" t="s">
        <v>33</v>
      </c>
      <c r="T936" s="1" t="s">
        <v>34</v>
      </c>
      <c r="U936" s="1">
        <v>1.00592587E8</v>
      </c>
      <c r="X936" s="1" t="s">
        <v>63</v>
      </c>
      <c r="Y936" s="1" t="s">
        <v>3377</v>
      </c>
      <c r="Z936" s="1" t="s">
        <v>37</v>
      </c>
    </row>
    <row r="937" hidden="1">
      <c r="A937" s="1" t="s">
        <v>3426</v>
      </c>
      <c r="B937" s="1" t="s">
        <v>1070</v>
      </c>
      <c r="C937" s="1" t="s">
        <v>3427</v>
      </c>
      <c r="D937" s="1" t="s">
        <v>27</v>
      </c>
      <c r="E937" s="1" t="s">
        <v>28</v>
      </c>
      <c r="F937" s="2">
        <v>1000000.0</v>
      </c>
      <c r="G937" s="4">
        <v>44719.0</v>
      </c>
      <c r="H937" s="4">
        <f>IFERROR(__xludf.DUMMYFUNCTION("DATE(INDEX(SPLIT(G937,""/""),,3),INDEX(SPLIT(G937,""/""),,2),INDEX(SPLIT(G937,""/""),,1))"),44748.0)</f>
        <v>44748</v>
      </c>
      <c r="I937" s="1" t="s">
        <v>203</v>
      </c>
      <c r="J937" s="4">
        <f>IFERROR(__xludf.DUMMYFUNCTION("DATE(INDEX(SPLIT(I937,""/""),,3),INDEX(SPLIT(I937,""/""),,2),INDEX(SPLIT(I937,""/""),,1))"),44925.0)</f>
        <v>44925</v>
      </c>
      <c r="L937" s="1">
        <v>0.0</v>
      </c>
      <c r="M937" s="1" t="s">
        <v>1856</v>
      </c>
      <c r="N937" s="1"/>
      <c r="O937" s="1" t="s">
        <v>30</v>
      </c>
      <c r="P937" s="1" t="s">
        <v>31</v>
      </c>
      <c r="Q937" s="1" t="s">
        <v>32</v>
      </c>
      <c r="R937" s="1" t="s">
        <v>32</v>
      </c>
      <c r="S937" s="1" t="s">
        <v>33</v>
      </c>
      <c r="T937" s="1" t="s">
        <v>34</v>
      </c>
      <c r="U937" s="1">
        <v>1.00587434E8</v>
      </c>
      <c r="X937" s="1" t="s">
        <v>305</v>
      </c>
      <c r="Y937" s="1" t="s">
        <v>3377</v>
      </c>
      <c r="Z937" s="1" t="s">
        <v>37</v>
      </c>
    </row>
    <row r="938" hidden="1">
      <c r="A938" s="1" t="s">
        <v>3428</v>
      </c>
      <c r="B938" s="1" t="s">
        <v>3429</v>
      </c>
      <c r="C938" s="1" t="s">
        <v>3430</v>
      </c>
      <c r="D938" s="1" t="s">
        <v>27</v>
      </c>
      <c r="E938" s="1" t="s">
        <v>28</v>
      </c>
      <c r="F938" s="2">
        <v>1000000.0</v>
      </c>
      <c r="G938" s="4">
        <v>44719.0</v>
      </c>
      <c r="H938" s="4">
        <f>IFERROR(__xludf.DUMMYFUNCTION("DATE(INDEX(SPLIT(G938,""/""),,3),INDEX(SPLIT(G938,""/""),,2),INDEX(SPLIT(G938,""/""),,1))"),44748.0)</f>
        <v>44748</v>
      </c>
      <c r="I938" s="1" t="s">
        <v>203</v>
      </c>
      <c r="J938" s="4">
        <f>IFERROR(__xludf.DUMMYFUNCTION("DATE(INDEX(SPLIT(I938,""/""),,3),INDEX(SPLIT(I938,""/""),,2),INDEX(SPLIT(I938,""/""),,1))"),44925.0)</f>
        <v>44925</v>
      </c>
      <c r="L938" s="1">
        <v>0.0</v>
      </c>
      <c r="M938" s="1" t="s">
        <v>3182</v>
      </c>
      <c r="N938" s="1"/>
      <c r="O938" s="1" t="s">
        <v>30</v>
      </c>
      <c r="P938" s="1" t="s">
        <v>31</v>
      </c>
      <c r="Q938" s="1" t="s">
        <v>32</v>
      </c>
      <c r="R938" s="1" t="s">
        <v>32</v>
      </c>
      <c r="S938" s="1" t="s">
        <v>33</v>
      </c>
      <c r="T938" s="1" t="s">
        <v>34</v>
      </c>
      <c r="U938" s="1">
        <v>1.00592587E8</v>
      </c>
      <c r="X938" s="1" t="s">
        <v>63</v>
      </c>
      <c r="Y938" s="1" t="s">
        <v>3377</v>
      </c>
      <c r="Z938" s="1" t="s">
        <v>37</v>
      </c>
    </row>
    <row r="939" hidden="1">
      <c r="A939" s="1" t="s">
        <v>3431</v>
      </c>
      <c r="B939" s="1" t="s">
        <v>1861</v>
      </c>
      <c r="C939" s="1" t="s">
        <v>3432</v>
      </c>
      <c r="D939" s="1" t="s">
        <v>27</v>
      </c>
      <c r="E939" s="1" t="s">
        <v>28</v>
      </c>
      <c r="F939" s="2">
        <v>1000000.0</v>
      </c>
      <c r="G939" s="4">
        <v>44719.0</v>
      </c>
      <c r="H939" s="4">
        <f>IFERROR(__xludf.DUMMYFUNCTION("DATE(INDEX(SPLIT(G939,""/""),,3),INDEX(SPLIT(G939,""/""),,2),INDEX(SPLIT(G939,""/""),,1))"),44748.0)</f>
        <v>44748</v>
      </c>
      <c r="I939" s="1" t="s">
        <v>203</v>
      </c>
      <c r="J939" s="4">
        <f>IFERROR(__xludf.DUMMYFUNCTION("DATE(INDEX(SPLIT(I939,""/""),,3),INDEX(SPLIT(I939,""/""),,2),INDEX(SPLIT(I939,""/""),,1))"),44925.0)</f>
        <v>44925</v>
      </c>
      <c r="L939" s="1">
        <v>0.0</v>
      </c>
      <c r="M939" s="1" t="s">
        <v>3182</v>
      </c>
      <c r="N939" s="1"/>
      <c r="O939" s="1" t="s">
        <v>30</v>
      </c>
      <c r="P939" s="1" t="s">
        <v>31</v>
      </c>
      <c r="Q939" s="1" t="s">
        <v>32</v>
      </c>
      <c r="R939" s="1" t="s">
        <v>32</v>
      </c>
      <c r="S939" s="1" t="s">
        <v>33</v>
      </c>
      <c r="T939" s="1" t="s">
        <v>34</v>
      </c>
      <c r="U939" s="1">
        <v>1.00592587E8</v>
      </c>
      <c r="X939" s="1" t="s">
        <v>305</v>
      </c>
      <c r="Y939" s="1" t="s">
        <v>3377</v>
      </c>
      <c r="Z939" s="1" t="s">
        <v>37</v>
      </c>
    </row>
    <row r="940" hidden="1">
      <c r="A940" s="1" t="s">
        <v>3433</v>
      </c>
      <c r="B940" s="1" t="s">
        <v>3434</v>
      </c>
      <c r="C940" s="1" t="s">
        <v>3435</v>
      </c>
      <c r="D940" s="1" t="s">
        <v>27</v>
      </c>
      <c r="E940" s="1" t="s">
        <v>28</v>
      </c>
      <c r="F940" s="2">
        <v>1000000.0</v>
      </c>
      <c r="G940" s="4">
        <v>44719.0</v>
      </c>
      <c r="H940" s="4">
        <f>IFERROR(__xludf.DUMMYFUNCTION("DATE(INDEX(SPLIT(G940,""/""),,3),INDEX(SPLIT(G940,""/""),,2),INDEX(SPLIT(G940,""/""),,1))"),44748.0)</f>
        <v>44748</v>
      </c>
      <c r="I940" s="1" t="s">
        <v>203</v>
      </c>
      <c r="J940" s="4">
        <f>IFERROR(__xludf.DUMMYFUNCTION("DATE(INDEX(SPLIT(I940,""/""),,3),INDEX(SPLIT(I940,""/""),,2),INDEX(SPLIT(I940,""/""),,1))"),44925.0)</f>
        <v>44925</v>
      </c>
      <c r="L940" s="1">
        <v>0.0</v>
      </c>
      <c r="M940" s="1" t="s">
        <v>3182</v>
      </c>
      <c r="N940" s="1"/>
      <c r="O940" s="1" t="s">
        <v>30</v>
      </c>
      <c r="P940" s="1" t="s">
        <v>31</v>
      </c>
      <c r="Q940" s="1" t="s">
        <v>32</v>
      </c>
      <c r="R940" s="1" t="s">
        <v>32</v>
      </c>
      <c r="S940" s="1" t="s">
        <v>33</v>
      </c>
      <c r="T940" s="1" t="s">
        <v>402</v>
      </c>
      <c r="U940" s="1">
        <v>1.00592587E8</v>
      </c>
      <c r="X940" s="1" t="s">
        <v>117</v>
      </c>
      <c r="Y940" s="1" t="s">
        <v>3377</v>
      </c>
      <c r="Z940" s="1" t="s">
        <v>37</v>
      </c>
    </row>
    <row r="941" hidden="1">
      <c r="A941" s="1" t="s">
        <v>3436</v>
      </c>
      <c r="B941" s="1" t="s">
        <v>1042</v>
      </c>
      <c r="C941" s="1" t="s">
        <v>3437</v>
      </c>
      <c r="D941" s="1" t="s">
        <v>27</v>
      </c>
      <c r="E941" s="1" t="s">
        <v>28</v>
      </c>
      <c r="F941" s="2">
        <v>1000000.0</v>
      </c>
      <c r="G941" s="1" t="s">
        <v>3438</v>
      </c>
      <c r="H941" s="4">
        <f>IFERROR(__xludf.DUMMYFUNCTION("DATE(INDEX(SPLIT(G941,""/""),,3),INDEX(SPLIT(G941,""/""),,2),INDEX(SPLIT(G941,""/""),,1))"),44407.0)</f>
        <v>44407</v>
      </c>
      <c r="I941" s="1" t="s">
        <v>109</v>
      </c>
      <c r="J941" s="4">
        <f>IFERROR(__xludf.DUMMYFUNCTION("DATE(INDEX(SPLIT(I941,""/""),,3),INDEX(SPLIT(I941,""/""),,2),INDEX(SPLIT(I941,""/""),,1))"),44834.0)</f>
        <v>44834</v>
      </c>
      <c r="L941" s="1">
        <v>0.0</v>
      </c>
      <c r="M941" s="1" t="s">
        <v>1792</v>
      </c>
      <c r="N941" s="1"/>
      <c r="O941" s="1" t="s">
        <v>30</v>
      </c>
      <c r="P941" s="1" t="s">
        <v>31</v>
      </c>
      <c r="Q941" s="1" t="s">
        <v>235</v>
      </c>
      <c r="R941" s="1" t="s">
        <v>235</v>
      </c>
      <c r="S941" s="1" t="s">
        <v>236</v>
      </c>
      <c r="T941" s="1" t="s">
        <v>438</v>
      </c>
      <c r="U941" s="1">
        <v>1.00964362E8</v>
      </c>
      <c r="X941" s="1" t="s">
        <v>88</v>
      </c>
      <c r="Y941" s="1" t="s">
        <v>3439</v>
      </c>
      <c r="Z941" s="1" t="s">
        <v>37</v>
      </c>
    </row>
    <row r="942" hidden="1">
      <c r="A942" s="1" t="s">
        <v>3440</v>
      </c>
      <c r="B942" s="1" t="s">
        <v>301</v>
      </c>
      <c r="C942" s="1" t="s">
        <v>3441</v>
      </c>
      <c r="D942" s="1" t="s">
        <v>27</v>
      </c>
      <c r="E942" s="1" t="s">
        <v>28</v>
      </c>
      <c r="F942" s="2">
        <v>1000000.0</v>
      </c>
      <c r="G942" s="4">
        <v>44719.0</v>
      </c>
      <c r="H942" s="4">
        <f>IFERROR(__xludf.DUMMYFUNCTION("DATE(INDEX(SPLIT(G942,""/""),,3),INDEX(SPLIT(G942,""/""),,2),INDEX(SPLIT(G942,""/""),,1))"),44748.0)</f>
        <v>44748</v>
      </c>
      <c r="I942" s="1" t="s">
        <v>203</v>
      </c>
      <c r="J942" s="4">
        <f>IFERROR(__xludf.DUMMYFUNCTION("DATE(INDEX(SPLIT(I942,""/""),,3),INDEX(SPLIT(I942,""/""),,2),INDEX(SPLIT(I942,""/""),,1))"),44925.0)</f>
        <v>44925</v>
      </c>
      <c r="L942" s="1">
        <v>0.0</v>
      </c>
      <c r="M942" s="1" t="s">
        <v>3182</v>
      </c>
      <c r="N942" s="1"/>
      <c r="O942" s="1" t="s">
        <v>30</v>
      </c>
      <c r="P942" s="1" t="s">
        <v>31</v>
      </c>
      <c r="Q942" s="1" t="s">
        <v>32</v>
      </c>
      <c r="R942" s="1" t="s">
        <v>32</v>
      </c>
      <c r="S942" s="1" t="s">
        <v>33</v>
      </c>
      <c r="U942" s="1">
        <v>1.00592587E8</v>
      </c>
      <c r="X942" s="1" t="s">
        <v>305</v>
      </c>
      <c r="Y942" s="1" t="s">
        <v>3377</v>
      </c>
      <c r="Z942" s="1" t="s">
        <v>37</v>
      </c>
    </row>
    <row r="943" hidden="1">
      <c r="A943" s="1" t="s">
        <v>3442</v>
      </c>
      <c r="B943" s="1" t="s">
        <v>662</v>
      </c>
      <c r="C943" s="1" t="s">
        <v>3443</v>
      </c>
      <c r="D943" s="1" t="s">
        <v>122</v>
      </c>
      <c r="E943" s="1" t="s">
        <v>28</v>
      </c>
      <c r="F943" s="2">
        <v>1000000.0</v>
      </c>
      <c r="G943" s="1" t="s">
        <v>3444</v>
      </c>
      <c r="H943" s="4">
        <f>IFERROR(__xludf.DUMMYFUNCTION("DATE(INDEX(SPLIT(G943,""/""),,3),INDEX(SPLIT(G943,""/""),,2),INDEX(SPLIT(G943,""/""),,1))"),44545.0)</f>
        <v>44545</v>
      </c>
      <c r="I943" s="4">
        <v>44601.0</v>
      </c>
      <c r="J943" s="4">
        <f>IFERROR(__xludf.DUMMYFUNCTION("DATE(INDEX(SPLIT(I943,""/""),,3),INDEX(SPLIT(I943,""/""),,2),INDEX(SPLIT(I943,""/""),,1))"),44806.0)</f>
        <v>44806</v>
      </c>
      <c r="L943" s="1">
        <v>0.0</v>
      </c>
      <c r="M943" s="1" t="s">
        <v>1439</v>
      </c>
      <c r="N943" s="1"/>
      <c r="O943" s="1" t="s">
        <v>30</v>
      </c>
      <c r="P943" s="1" t="s">
        <v>31</v>
      </c>
      <c r="Q943" s="1" t="s">
        <v>32</v>
      </c>
      <c r="R943" s="1" t="s">
        <v>32</v>
      </c>
      <c r="S943" s="1" t="s">
        <v>33</v>
      </c>
      <c r="T943" s="1" t="s">
        <v>103</v>
      </c>
      <c r="U943" s="1">
        <v>1.00585872E8</v>
      </c>
      <c r="X943" s="1" t="s">
        <v>46</v>
      </c>
      <c r="Y943" s="1" t="s">
        <v>1439</v>
      </c>
      <c r="Z943" s="1" t="s">
        <v>37</v>
      </c>
    </row>
    <row r="944" hidden="1">
      <c r="A944" s="1" t="s">
        <v>3445</v>
      </c>
      <c r="B944" s="1" t="s">
        <v>3446</v>
      </c>
      <c r="C944" s="1" t="s">
        <v>3447</v>
      </c>
      <c r="D944" s="1" t="s">
        <v>78</v>
      </c>
      <c r="E944" s="1" t="s">
        <v>28</v>
      </c>
      <c r="F944" s="2">
        <v>1000000.0</v>
      </c>
      <c r="G944" s="1" t="s">
        <v>2251</v>
      </c>
      <c r="H944" s="4">
        <f>IFERROR(__xludf.DUMMYFUNCTION("DATE(INDEX(SPLIT(G944,""/""),,3),INDEX(SPLIT(G944,""/""),,2),INDEX(SPLIT(G944,""/""),,1))"),44498.0)</f>
        <v>44498</v>
      </c>
      <c r="I944" s="1" t="s">
        <v>85</v>
      </c>
      <c r="J944" s="4">
        <f>IFERROR(__xludf.DUMMYFUNCTION("DATE(INDEX(SPLIT(I944,""/""),,3),INDEX(SPLIT(I944,""/""),,2),INDEX(SPLIT(I944,""/""),,1))"),44799.0)</f>
        <v>44799</v>
      </c>
      <c r="L944" s="1">
        <v>0.0</v>
      </c>
      <c r="M944" s="1" t="s">
        <v>3448</v>
      </c>
      <c r="N944" s="1"/>
      <c r="O944" s="1" t="s">
        <v>30</v>
      </c>
      <c r="P944" s="1" t="s">
        <v>31</v>
      </c>
      <c r="Q944" s="1" t="s">
        <v>53</v>
      </c>
      <c r="R944" s="1" t="s">
        <v>53</v>
      </c>
      <c r="S944" s="1" t="s">
        <v>54</v>
      </c>
      <c r="T944" s="1" t="s">
        <v>197</v>
      </c>
      <c r="U944" s="1">
        <v>1.00652316E8</v>
      </c>
      <c r="X944" s="1" t="s">
        <v>63</v>
      </c>
      <c r="Y944" s="1" t="s">
        <v>3448</v>
      </c>
      <c r="Z944" s="1" t="s">
        <v>37</v>
      </c>
    </row>
    <row r="945" hidden="1">
      <c r="A945" s="1" t="s">
        <v>3449</v>
      </c>
      <c r="B945" s="1" t="s">
        <v>948</v>
      </c>
      <c r="C945" s="1" t="s">
        <v>3450</v>
      </c>
      <c r="D945" s="1" t="s">
        <v>27</v>
      </c>
      <c r="E945" s="1" t="s">
        <v>28</v>
      </c>
      <c r="F945" s="2">
        <v>1000000.0</v>
      </c>
      <c r="G945" s="1" t="s">
        <v>3451</v>
      </c>
      <c r="H945" s="4">
        <f>IFERROR(__xludf.DUMMYFUNCTION("DATE(INDEX(SPLIT(G945,""/""),,3),INDEX(SPLIT(G945,""/""),,2),INDEX(SPLIT(G945,""/""),,1))"),44002.0)</f>
        <v>44002</v>
      </c>
      <c r="I945" s="1" t="s">
        <v>130</v>
      </c>
      <c r="J945" s="4">
        <f>IFERROR(__xludf.DUMMYFUNCTION("DATE(INDEX(SPLIT(I945,""/""),,3),INDEX(SPLIT(I945,""/""),,2),INDEX(SPLIT(I945,""/""),,1))"),44804.0)</f>
        <v>44804</v>
      </c>
      <c r="L945" s="1">
        <v>0.0</v>
      </c>
      <c r="M945" s="1" t="s">
        <v>951</v>
      </c>
      <c r="N945" s="1"/>
      <c r="O945" s="1" t="s">
        <v>30</v>
      </c>
      <c r="P945" s="1" t="s">
        <v>31</v>
      </c>
      <c r="Q945" s="1" t="s">
        <v>157</v>
      </c>
      <c r="R945" s="1" t="s">
        <v>157</v>
      </c>
      <c r="S945" s="1" t="s">
        <v>158</v>
      </c>
      <c r="T945" s="1" t="s">
        <v>159</v>
      </c>
      <c r="U945" s="1">
        <v>1.00653269E8</v>
      </c>
      <c r="X945" s="1" t="s">
        <v>74</v>
      </c>
      <c r="Y945" s="1" t="s">
        <v>951</v>
      </c>
      <c r="Z945" s="1" t="s">
        <v>37</v>
      </c>
    </row>
    <row r="946" hidden="1">
      <c r="A946" s="1" t="s">
        <v>3452</v>
      </c>
      <c r="B946" s="1" t="s">
        <v>3453</v>
      </c>
      <c r="C946" s="1" t="s">
        <v>3454</v>
      </c>
      <c r="D946" s="1" t="s">
        <v>27</v>
      </c>
      <c r="E946" s="1" t="s">
        <v>28</v>
      </c>
      <c r="F946" s="2">
        <v>1000000.0</v>
      </c>
      <c r="G946" s="4">
        <v>44563.0</v>
      </c>
      <c r="H946" s="4">
        <f>IFERROR(__xludf.DUMMYFUNCTION("DATE(INDEX(SPLIT(G946,""/""),,3),INDEX(SPLIT(G946,""/""),,2),INDEX(SPLIT(G946,""/""),,1))"),44593.0)</f>
        <v>44593</v>
      </c>
      <c r="I946" s="1" t="s">
        <v>425</v>
      </c>
      <c r="J946" s="4">
        <f>IFERROR(__xludf.DUMMYFUNCTION("DATE(INDEX(SPLIT(I946,""/""),,3),INDEX(SPLIT(I946,""/""),,2),INDEX(SPLIT(I946,""/""),,1))"),44911.0)</f>
        <v>44911</v>
      </c>
      <c r="L946" s="1">
        <v>0.0</v>
      </c>
      <c r="M946" s="1" t="s">
        <v>1685</v>
      </c>
      <c r="N946" s="1"/>
      <c r="O946" s="1" t="s">
        <v>30</v>
      </c>
      <c r="P946" s="1" t="s">
        <v>31</v>
      </c>
      <c r="Q946" s="1" t="s">
        <v>228</v>
      </c>
      <c r="R946" s="1" t="s">
        <v>228</v>
      </c>
      <c r="S946" s="1" t="s">
        <v>229</v>
      </c>
      <c r="T946" s="1" t="s">
        <v>505</v>
      </c>
      <c r="U946" s="1">
        <v>1.00612055E8</v>
      </c>
      <c r="X946" s="1" t="s">
        <v>190</v>
      </c>
      <c r="Y946" s="1" t="s">
        <v>3455</v>
      </c>
      <c r="Z946" s="1" t="s">
        <v>37</v>
      </c>
    </row>
    <row r="947" hidden="1">
      <c r="A947" s="1" t="s">
        <v>3456</v>
      </c>
      <c r="B947" s="1" t="s">
        <v>889</v>
      </c>
      <c r="C947" s="1" t="s">
        <v>3457</v>
      </c>
      <c r="D947" s="1" t="s">
        <v>27</v>
      </c>
      <c r="E947" s="1" t="s">
        <v>28</v>
      </c>
      <c r="F947" s="2">
        <v>1000000.0</v>
      </c>
      <c r="G947" s="1" t="s">
        <v>3458</v>
      </c>
      <c r="H947" s="4">
        <f>IFERROR(__xludf.DUMMYFUNCTION("DATE(INDEX(SPLIT(G947,""/""),,3),INDEX(SPLIT(G947,""/""),,2),INDEX(SPLIT(G947,""/""),,1))"),44548.0)</f>
        <v>44548</v>
      </c>
      <c r="I947" s="1" t="s">
        <v>130</v>
      </c>
      <c r="J947" s="4">
        <f>IFERROR(__xludf.DUMMYFUNCTION("DATE(INDEX(SPLIT(I947,""/""),,3),INDEX(SPLIT(I947,""/""),,2),INDEX(SPLIT(I947,""/""),,1))"),44804.0)</f>
        <v>44804</v>
      </c>
      <c r="L947" s="1">
        <v>0.0</v>
      </c>
      <c r="M947" s="1" t="s">
        <v>868</v>
      </c>
      <c r="N947" s="1"/>
      <c r="O947" s="1" t="s">
        <v>30</v>
      </c>
      <c r="P947" s="1" t="s">
        <v>31</v>
      </c>
      <c r="Q947" s="1" t="s">
        <v>157</v>
      </c>
      <c r="R947" s="1" t="s">
        <v>157</v>
      </c>
      <c r="S947" s="1" t="s">
        <v>158</v>
      </c>
      <c r="T947" s="1" t="s">
        <v>442</v>
      </c>
      <c r="U947" s="1">
        <v>1.00655091E8</v>
      </c>
      <c r="X947" s="1" t="s">
        <v>125</v>
      </c>
      <c r="Y947" s="1" t="s">
        <v>3459</v>
      </c>
      <c r="Z947" s="1" t="s">
        <v>37</v>
      </c>
    </row>
    <row r="948" hidden="1">
      <c r="A948" s="1" t="s">
        <v>3460</v>
      </c>
      <c r="B948" s="1" t="s">
        <v>223</v>
      </c>
      <c r="C948" s="1" t="s">
        <v>3461</v>
      </c>
      <c r="D948" s="1" t="s">
        <v>27</v>
      </c>
      <c r="E948" s="1" t="s">
        <v>28</v>
      </c>
      <c r="F948" s="2">
        <v>1000000.0</v>
      </c>
      <c r="G948" s="4">
        <v>44563.0</v>
      </c>
      <c r="H948" s="4">
        <f>IFERROR(__xludf.DUMMYFUNCTION("DATE(INDEX(SPLIT(G948,""/""),,3),INDEX(SPLIT(G948,""/""),,2),INDEX(SPLIT(G948,""/""),,1))"),44593.0)</f>
        <v>44593</v>
      </c>
      <c r="I948" s="4">
        <v>44570.0</v>
      </c>
      <c r="J948" s="4">
        <f>IFERROR(__xludf.DUMMYFUNCTION("DATE(INDEX(SPLIT(I948,""/""),,3),INDEX(SPLIT(I948,""/""),,2),INDEX(SPLIT(I948,""/""),,1))"),44805.0)</f>
        <v>44805</v>
      </c>
      <c r="L948" s="1">
        <v>0.0</v>
      </c>
      <c r="M948" s="1" t="s">
        <v>1610</v>
      </c>
      <c r="N948" s="1"/>
      <c r="O948" s="1" t="s">
        <v>30</v>
      </c>
      <c r="P948" s="1" t="s">
        <v>31</v>
      </c>
      <c r="Q948" s="1" t="s">
        <v>53</v>
      </c>
      <c r="R948" s="1" t="s">
        <v>53</v>
      </c>
      <c r="S948" s="1" t="s">
        <v>54</v>
      </c>
      <c r="T948" s="1" t="s">
        <v>1386</v>
      </c>
      <c r="U948" s="1">
        <v>1.01141441E8</v>
      </c>
      <c r="X948" s="1" t="s">
        <v>81</v>
      </c>
      <c r="Y948" s="1" t="s">
        <v>1387</v>
      </c>
      <c r="Z948" s="1" t="s">
        <v>37</v>
      </c>
    </row>
    <row r="949" hidden="1">
      <c r="A949" s="1" t="s">
        <v>3462</v>
      </c>
      <c r="B949" s="1" t="s">
        <v>1619</v>
      </c>
      <c r="C949" s="1" t="s">
        <v>3463</v>
      </c>
      <c r="D949" s="1" t="s">
        <v>27</v>
      </c>
      <c r="E949" s="1" t="s">
        <v>28</v>
      </c>
      <c r="F949" s="2">
        <v>1000000.0</v>
      </c>
      <c r="G949" s="4">
        <v>44625.0</v>
      </c>
      <c r="H949" s="4">
        <f>IFERROR(__xludf.DUMMYFUNCTION("DATE(INDEX(SPLIT(G949,""/""),,3),INDEX(SPLIT(G949,""/""),,2),INDEX(SPLIT(G949,""/""),,1))"),44684.0)</f>
        <v>44684</v>
      </c>
      <c r="I949" s="4">
        <v>44569.0</v>
      </c>
      <c r="J949" s="4">
        <f>IFERROR(__xludf.DUMMYFUNCTION("DATE(INDEX(SPLIT(I949,""/""),,3),INDEX(SPLIT(I949,""/""),,2),INDEX(SPLIT(I949,""/""),,1))"),44774.0)</f>
        <v>44774</v>
      </c>
      <c r="L949" s="1">
        <v>0.0</v>
      </c>
      <c r="M949" s="1" t="s">
        <v>1833</v>
      </c>
      <c r="N949" s="1"/>
      <c r="O949" s="1" t="s">
        <v>30</v>
      </c>
      <c r="P949" s="1" t="s">
        <v>31</v>
      </c>
      <c r="Q949" s="1" t="s">
        <v>53</v>
      </c>
      <c r="R949" s="1" t="s">
        <v>53</v>
      </c>
      <c r="S949" s="1" t="s">
        <v>54</v>
      </c>
      <c r="T949" s="1" t="s">
        <v>159</v>
      </c>
      <c r="U949" s="1">
        <v>1.0105484E8</v>
      </c>
      <c r="X949" s="1" t="s">
        <v>117</v>
      </c>
      <c r="Y949" s="1" t="s">
        <v>578</v>
      </c>
      <c r="Z949" s="1" t="s">
        <v>37</v>
      </c>
    </row>
    <row r="950" hidden="1">
      <c r="A950" s="1" t="s">
        <v>3464</v>
      </c>
      <c r="B950" s="1" t="s">
        <v>3465</v>
      </c>
      <c r="C950" s="1" t="s">
        <v>3466</v>
      </c>
      <c r="D950" s="1" t="s">
        <v>27</v>
      </c>
      <c r="E950" s="1" t="s">
        <v>28</v>
      </c>
      <c r="F950" s="2">
        <v>1000000.0</v>
      </c>
      <c r="G950" s="1" t="s">
        <v>3467</v>
      </c>
      <c r="H950" s="4">
        <f>IFERROR(__xludf.DUMMYFUNCTION("DATE(INDEX(SPLIT(G950,""/""),,3),INDEX(SPLIT(G950,""/""),,2),INDEX(SPLIT(G950,""/""),,1))"),44615.0)</f>
        <v>44615</v>
      </c>
      <c r="I950" s="1" t="s">
        <v>203</v>
      </c>
      <c r="J950" s="4">
        <f>IFERROR(__xludf.DUMMYFUNCTION("DATE(INDEX(SPLIT(I950,""/""),,3),INDEX(SPLIT(I950,""/""),,2),INDEX(SPLIT(I950,""/""),,1))"),44925.0)</f>
        <v>44925</v>
      </c>
      <c r="L950" s="1">
        <v>0.0</v>
      </c>
      <c r="M950" s="1" t="s">
        <v>852</v>
      </c>
      <c r="N950" s="1"/>
      <c r="O950" s="1" t="s">
        <v>30</v>
      </c>
      <c r="P950" s="1" t="s">
        <v>31</v>
      </c>
      <c r="Q950" s="1" t="s">
        <v>157</v>
      </c>
      <c r="R950" s="1" t="s">
        <v>157</v>
      </c>
      <c r="S950" s="1" t="s">
        <v>158</v>
      </c>
      <c r="T950" s="1" t="s">
        <v>442</v>
      </c>
      <c r="U950" s="1">
        <v>1.00648457E8</v>
      </c>
      <c r="X950" s="1" t="s">
        <v>781</v>
      </c>
      <c r="Y950" s="1" t="s">
        <v>852</v>
      </c>
      <c r="Z950" s="1" t="s">
        <v>37</v>
      </c>
    </row>
    <row r="951" hidden="1">
      <c r="A951" s="1" t="s">
        <v>3468</v>
      </c>
      <c r="B951" s="1" t="s">
        <v>427</v>
      </c>
      <c r="C951" s="1" t="s">
        <v>3469</v>
      </c>
      <c r="D951" s="1" t="s">
        <v>27</v>
      </c>
      <c r="E951" s="1" t="s">
        <v>28</v>
      </c>
      <c r="F951" s="2">
        <v>1000000.0</v>
      </c>
      <c r="G951" s="1" t="s">
        <v>3470</v>
      </c>
      <c r="H951" s="4">
        <f>IFERROR(__xludf.DUMMYFUNCTION("DATE(INDEX(SPLIT(G951,""/""),,3),INDEX(SPLIT(G951,""/""),,2),INDEX(SPLIT(G951,""/""),,1))"),44126.0)</f>
        <v>44126</v>
      </c>
      <c r="I951" s="4">
        <v>44570.0</v>
      </c>
      <c r="J951" s="4">
        <f>IFERROR(__xludf.DUMMYFUNCTION("DATE(INDEX(SPLIT(I951,""/""),,3),INDEX(SPLIT(I951,""/""),,2),INDEX(SPLIT(I951,""/""),,1))"),44805.0)</f>
        <v>44805</v>
      </c>
      <c r="L951" s="1">
        <v>0.0</v>
      </c>
      <c r="M951" s="1" t="s">
        <v>2787</v>
      </c>
      <c r="N951" s="1"/>
      <c r="O951" s="1" t="s">
        <v>30</v>
      </c>
      <c r="P951" s="1" t="s">
        <v>31</v>
      </c>
      <c r="Q951" s="1" t="s">
        <v>157</v>
      </c>
      <c r="R951" s="1" t="s">
        <v>157</v>
      </c>
      <c r="S951" s="1" t="s">
        <v>158</v>
      </c>
      <c r="T951" s="1" t="s">
        <v>442</v>
      </c>
      <c r="U951" s="1">
        <v>1.00708984E8</v>
      </c>
      <c r="X951" s="1" t="s">
        <v>125</v>
      </c>
      <c r="Y951" s="1" t="s">
        <v>432</v>
      </c>
      <c r="Z951" s="1" t="s">
        <v>37</v>
      </c>
    </row>
    <row r="952" hidden="1">
      <c r="A952" s="1" t="s">
        <v>3471</v>
      </c>
      <c r="B952" s="1" t="s">
        <v>3472</v>
      </c>
      <c r="C952" s="1" t="s">
        <v>3473</v>
      </c>
      <c r="D952" s="1" t="s">
        <v>27</v>
      </c>
      <c r="E952" s="1" t="s">
        <v>28</v>
      </c>
      <c r="F952" s="2">
        <v>1000000.0</v>
      </c>
      <c r="G952" s="4">
        <v>44623.0</v>
      </c>
      <c r="H952" s="4">
        <f>IFERROR(__xludf.DUMMYFUNCTION("DATE(INDEX(SPLIT(G952,""/""),,3),INDEX(SPLIT(G952,""/""),,2),INDEX(SPLIT(G952,""/""),,1))"),44623.0)</f>
        <v>44623</v>
      </c>
      <c r="I952" s="1" t="s">
        <v>203</v>
      </c>
      <c r="J952" s="4">
        <f>IFERROR(__xludf.DUMMYFUNCTION("DATE(INDEX(SPLIT(I952,""/""),,3),INDEX(SPLIT(I952,""/""),,2),INDEX(SPLIT(I952,""/""),,1))"),44925.0)</f>
        <v>44925</v>
      </c>
      <c r="L952" s="1">
        <v>0.0</v>
      </c>
      <c r="M952" s="1" t="s">
        <v>3474</v>
      </c>
      <c r="N952" s="1"/>
      <c r="O952" s="1" t="s">
        <v>30</v>
      </c>
      <c r="P952" s="1" t="s">
        <v>31</v>
      </c>
      <c r="Q952" s="1" t="s">
        <v>95</v>
      </c>
      <c r="R952" s="1" t="s">
        <v>95</v>
      </c>
      <c r="S952" s="1" t="s">
        <v>96</v>
      </c>
      <c r="U952" s="1">
        <v>1.00650841E8</v>
      </c>
      <c r="X952" s="1" t="s">
        <v>490</v>
      </c>
      <c r="Y952" s="1" t="s">
        <v>3474</v>
      </c>
      <c r="Z952" s="1" t="s">
        <v>37</v>
      </c>
    </row>
    <row r="953" hidden="1">
      <c r="A953" s="1" t="s">
        <v>3475</v>
      </c>
      <c r="B953" s="1" t="s">
        <v>1562</v>
      </c>
      <c r="C953" s="1" t="s">
        <v>3476</v>
      </c>
      <c r="D953" s="1" t="s">
        <v>27</v>
      </c>
      <c r="E953" s="1" t="s">
        <v>28</v>
      </c>
      <c r="F953" s="2">
        <v>1000000.0</v>
      </c>
      <c r="G953" s="1" t="s">
        <v>1259</v>
      </c>
      <c r="H953" s="4">
        <f>IFERROR(__xludf.DUMMYFUNCTION("DATE(INDEX(SPLIT(G953,""/""),,3),INDEX(SPLIT(G953,""/""),,2),INDEX(SPLIT(G953,""/""),,1))"),44763.0)</f>
        <v>44763</v>
      </c>
      <c r="I953" s="1" t="s">
        <v>569</v>
      </c>
      <c r="J953" s="4">
        <f>IFERROR(__xludf.DUMMYFUNCTION("DATE(INDEX(SPLIT(I953,""/""),,3),INDEX(SPLIT(I953,""/""),,2),INDEX(SPLIT(I953,""/""),,1))"),45016.0)</f>
        <v>45016</v>
      </c>
      <c r="L953" s="1">
        <v>0.0</v>
      </c>
      <c r="M953" s="1" t="s">
        <v>1565</v>
      </c>
      <c r="N953" s="1"/>
      <c r="O953" s="1" t="s">
        <v>30</v>
      </c>
      <c r="P953" s="1" t="s">
        <v>31</v>
      </c>
      <c r="Q953" s="1" t="s">
        <v>157</v>
      </c>
      <c r="R953" s="1" t="s">
        <v>157</v>
      </c>
      <c r="S953" s="1" t="s">
        <v>158</v>
      </c>
      <c r="T953" s="1" t="s">
        <v>442</v>
      </c>
      <c r="U953" s="1">
        <v>1.00646908E8</v>
      </c>
      <c r="X953" s="1" t="s">
        <v>781</v>
      </c>
      <c r="Y953" s="1" t="s">
        <v>1969</v>
      </c>
      <c r="Z953" s="1" t="s">
        <v>37</v>
      </c>
    </row>
    <row r="954" hidden="1">
      <c r="A954" s="1" t="s">
        <v>3477</v>
      </c>
      <c r="B954" s="1" t="s">
        <v>2735</v>
      </c>
      <c r="C954" s="1" t="s">
        <v>3466</v>
      </c>
      <c r="D954" s="1" t="s">
        <v>27</v>
      </c>
      <c r="E954" s="1" t="s">
        <v>28</v>
      </c>
      <c r="F954" s="2">
        <v>1000000.0</v>
      </c>
      <c r="G954" s="1" t="s">
        <v>3467</v>
      </c>
      <c r="H954" s="4">
        <f>IFERROR(__xludf.DUMMYFUNCTION("DATE(INDEX(SPLIT(G954,""/""),,3),INDEX(SPLIT(G954,""/""),,2),INDEX(SPLIT(G954,""/""),,1))"),44615.0)</f>
        <v>44615</v>
      </c>
      <c r="I954" s="1" t="s">
        <v>203</v>
      </c>
      <c r="J954" s="4">
        <f>IFERROR(__xludf.DUMMYFUNCTION("DATE(INDEX(SPLIT(I954,""/""),,3),INDEX(SPLIT(I954,""/""),,2),INDEX(SPLIT(I954,""/""),,1))"),44925.0)</f>
        <v>44925</v>
      </c>
      <c r="L954" s="1">
        <v>0.0</v>
      </c>
      <c r="M954" s="1" t="s">
        <v>852</v>
      </c>
      <c r="N954" s="1"/>
      <c r="O954" s="1" t="s">
        <v>30</v>
      </c>
      <c r="P954" s="1" t="s">
        <v>31</v>
      </c>
      <c r="Q954" s="1" t="s">
        <v>157</v>
      </c>
      <c r="R954" s="1" t="s">
        <v>157</v>
      </c>
      <c r="S954" s="1" t="s">
        <v>158</v>
      </c>
      <c r="T954" s="1" t="s">
        <v>442</v>
      </c>
      <c r="U954" s="1">
        <v>1.00648457E8</v>
      </c>
      <c r="X954" s="1" t="s">
        <v>490</v>
      </c>
      <c r="Y954" s="1" t="s">
        <v>852</v>
      </c>
      <c r="Z954" s="1" t="s">
        <v>37</v>
      </c>
    </row>
    <row r="955" hidden="1">
      <c r="A955" s="1" t="s">
        <v>3478</v>
      </c>
      <c r="B955" s="1" t="s">
        <v>223</v>
      </c>
      <c r="C955" s="1" t="s">
        <v>3479</v>
      </c>
      <c r="D955" s="1" t="s">
        <v>27</v>
      </c>
      <c r="E955" s="1" t="s">
        <v>28</v>
      </c>
      <c r="F955" s="2">
        <v>1000000.0</v>
      </c>
      <c r="G955" s="1" t="s">
        <v>330</v>
      </c>
      <c r="H955" s="4">
        <f>IFERROR(__xludf.DUMMYFUNCTION("DATE(INDEX(SPLIT(G955,""/""),,3),INDEX(SPLIT(G955,""/""),,2),INDEX(SPLIT(G955,""/""),,1))"),44728.0)</f>
        <v>44728</v>
      </c>
      <c r="I955" s="4">
        <v>44689.0</v>
      </c>
      <c r="J955" s="4">
        <f>IFERROR(__xludf.DUMMYFUNCTION("DATE(INDEX(SPLIT(I955,""/""),,3),INDEX(SPLIT(I955,""/""),,2),INDEX(SPLIT(I955,""/""),,1))"),44778.0)</f>
        <v>44778</v>
      </c>
      <c r="L955" s="1">
        <v>0.0</v>
      </c>
      <c r="M955" s="1" t="s">
        <v>141</v>
      </c>
      <c r="N955" s="1"/>
      <c r="O955" s="1" t="s">
        <v>30</v>
      </c>
      <c r="P955" s="1" t="s">
        <v>31</v>
      </c>
      <c r="Q955" s="1" t="s">
        <v>95</v>
      </c>
      <c r="R955" s="1" t="s">
        <v>95</v>
      </c>
      <c r="S955" s="1" t="s">
        <v>96</v>
      </c>
      <c r="T955" s="1" t="s">
        <v>217</v>
      </c>
      <c r="U955" s="1">
        <v>1.00658522E8</v>
      </c>
      <c r="X955" s="1" t="s">
        <v>81</v>
      </c>
      <c r="Y955" s="1" t="s">
        <v>3480</v>
      </c>
      <c r="Z955" s="1" t="s">
        <v>37</v>
      </c>
    </row>
    <row r="956" hidden="1">
      <c r="A956" s="1" t="s">
        <v>3481</v>
      </c>
      <c r="B956" s="1" t="s">
        <v>1596</v>
      </c>
      <c r="C956" s="1" t="s">
        <v>3482</v>
      </c>
      <c r="D956" s="1" t="s">
        <v>78</v>
      </c>
      <c r="E956" s="1" t="s">
        <v>28</v>
      </c>
      <c r="F956" s="2">
        <v>1000000.0</v>
      </c>
      <c r="G956" s="1" t="s">
        <v>3467</v>
      </c>
      <c r="H956" s="4">
        <f>IFERROR(__xludf.DUMMYFUNCTION("DATE(INDEX(SPLIT(G956,""/""),,3),INDEX(SPLIT(G956,""/""),,2),INDEX(SPLIT(G956,""/""),,1))"),44615.0)</f>
        <v>44615</v>
      </c>
      <c r="I956" s="1" t="s">
        <v>203</v>
      </c>
      <c r="J956" s="4">
        <f>IFERROR(__xludf.DUMMYFUNCTION("DATE(INDEX(SPLIT(I956,""/""),,3),INDEX(SPLIT(I956,""/""),,2),INDEX(SPLIT(I956,""/""),,1))"),44925.0)</f>
        <v>44925</v>
      </c>
      <c r="L956" s="1">
        <v>0.0</v>
      </c>
      <c r="M956" s="1" t="s">
        <v>852</v>
      </c>
      <c r="N956" s="1"/>
      <c r="O956" s="1" t="s">
        <v>30</v>
      </c>
      <c r="P956" s="1" t="s">
        <v>31</v>
      </c>
      <c r="Q956" s="1" t="s">
        <v>157</v>
      </c>
      <c r="R956" s="1" t="s">
        <v>157</v>
      </c>
      <c r="S956" s="1" t="s">
        <v>158</v>
      </c>
      <c r="T956" s="1" t="s">
        <v>442</v>
      </c>
      <c r="U956" s="1">
        <v>1.00648457E8</v>
      </c>
      <c r="X956" s="1" t="s">
        <v>125</v>
      </c>
      <c r="Y956" s="1" t="s">
        <v>852</v>
      </c>
      <c r="Z956" s="1" t="s">
        <v>37</v>
      </c>
    </row>
    <row r="957" hidden="1">
      <c r="A957" s="1" t="s">
        <v>3483</v>
      </c>
      <c r="B957" s="1" t="s">
        <v>1835</v>
      </c>
      <c r="C957" s="1" t="s">
        <v>3484</v>
      </c>
      <c r="D957" s="1" t="s">
        <v>27</v>
      </c>
      <c r="E957" s="1" t="s">
        <v>28</v>
      </c>
      <c r="F957" s="2">
        <v>1000000.0</v>
      </c>
      <c r="G957" s="1" t="s">
        <v>382</v>
      </c>
      <c r="H957" s="4">
        <f>IFERROR(__xludf.DUMMYFUNCTION("DATE(INDEX(SPLIT(G957,""/""),,3),INDEX(SPLIT(G957,""/""),,2),INDEX(SPLIT(G957,""/""),,1))"),44758.0)</f>
        <v>44758</v>
      </c>
      <c r="I957" s="1" t="s">
        <v>134</v>
      </c>
      <c r="J957" s="4">
        <f>IFERROR(__xludf.DUMMYFUNCTION("DATE(INDEX(SPLIT(I957,""/""),,3),INDEX(SPLIT(I957,""/""),,2),INDEX(SPLIT(I957,""/""),,1))"),44792.0)</f>
        <v>44792</v>
      </c>
      <c r="L957" s="1">
        <v>0.0</v>
      </c>
      <c r="M957" s="1" t="s">
        <v>3485</v>
      </c>
      <c r="N957" s="1"/>
      <c r="O957" s="1" t="s">
        <v>30</v>
      </c>
      <c r="P957" s="1" t="s">
        <v>31</v>
      </c>
      <c r="Q957" s="1" t="s">
        <v>71</v>
      </c>
      <c r="R957" s="1" t="s">
        <v>71</v>
      </c>
      <c r="S957" s="1" t="s">
        <v>72</v>
      </c>
      <c r="T957" s="1" t="s">
        <v>615</v>
      </c>
      <c r="U957" s="1">
        <v>1.01080198E8</v>
      </c>
      <c r="X957" s="1" t="s">
        <v>490</v>
      </c>
      <c r="Y957" s="1" t="s">
        <v>899</v>
      </c>
      <c r="Z957" s="1" t="s">
        <v>206</v>
      </c>
    </row>
    <row r="958" hidden="1">
      <c r="A958" s="1" t="s">
        <v>3486</v>
      </c>
      <c r="B958" s="1" t="s">
        <v>308</v>
      </c>
      <c r="C958" s="1" t="s">
        <v>3487</v>
      </c>
      <c r="D958" s="1" t="s">
        <v>27</v>
      </c>
      <c r="E958" s="1" t="s">
        <v>28</v>
      </c>
      <c r="F958" s="2">
        <v>1000000.0</v>
      </c>
      <c r="G958" s="4">
        <v>44144.0</v>
      </c>
      <c r="H958" s="4">
        <f>IFERROR(__xludf.DUMMYFUNCTION("DATE(INDEX(SPLIT(G958,""/""),,3),INDEX(SPLIT(G958,""/""),,2),INDEX(SPLIT(G958,""/""),,1))"),44085.0)</f>
        <v>44085</v>
      </c>
      <c r="I958" s="4">
        <v>44569.0</v>
      </c>
      <c r="J958" s="4">
        <f>IFERROR(__xludf.DUMMYFUNCTION("DATE(INDEX(SPLIT(I958,""/""),,3),INDEX(SPLIT(I958,""/""),,2),INDEX(SPLIT(I958,""/""),,1))"),44774.0)</f>
        <v>44774</v>
      </c>
      <c r="L958" s="1">
        <v>0.0</v>
      </c>
      <c r="M958" s="1" t="s">
        <v>313</v>
      </c>
      <c r="N958" s="1"/>
      <c r="O958" s="1" t="s">
        <v>30</v>
      </c>
      <c r="P958" s="1" t="s">
        <v>31</v>
      </c>
      <c r="Q958" s="1" t="s">
        <v>32</v>
      </c>
      <c r="R958" s="1" t="s">
        <v>32</v>
      </c>
      <c r="S958" s="1" t="s">
        <v>33</v>
      </c>
      <c r="T958" s="1" t="s">
        <v>103</v>
      </c>
      <c r="U958" s="1">
        <v>1.00608155E8</v>
      </c>
      <c r="X958" s="1" t="s">
        <v>312</v>
      </c>
      <c r="Y958" s="1" t="s">
        <v>313</v>
      </c>
      <c r="Z958" s="1" t="s">
        <v>37</v>
      </c>
    </row>
    <row r="959" hidden="1">
      <c r="A959" s="1" t="s">
        <v>3488</v>
      </c>
      <c r="B959" s="1" t="s">
        <v>3489</v>
      </c>
      <c r="C959" s="1" t="s">
        <v>3490</v>
      </c>
      <c r="D959" s="1" t="s">
        <v>27</v>
      </c>
      <c r="E959" s="1" t="s">
        <v>28</v>
      </c>
      <c r="F959" s="2">
        <v>1000000.0</v>
      </c>
      <c r="G959" s="1" t="s">
        <v>3158</v>
      </c>
      <c r="H959" s="4">
        <f>IFERROR(__xludf.DUMMYFUNCTION("DATE(INDEX(SPLIT(G959,""/""),,3),INDEX(SPLIT(G959,""/""),,2),INDEX(SPLIT(G959,""/""),,1))"),44468.0)</f>
        <v>44468</v>
      </c>
      <c r="I959" s="1" t="s">
        <v>109</v>
      </c>
      <c r="J959" s="4">
        <f>IFERROR(__xludf.DUMMYFUNCTION("DATE(INDEX(SPLIT(I959,""/""),,3),INDEX(SPLIT(I959,""/""),,2),INDEX(SPLIT(I959,""/""),,1))"),44834.0)</f>
        <v>44834</v>
      </c>
      <c r="L959" s="1">
        <v>0.0</v>
      </c>
      <c r="M959" s="1" t="s">
        <v>1200</v>
      </c>
      <c r="N959" s="1"/>
      <c r="O959" s="1" t="s">
        <v>30</v>
      </c>
      <c r="P959" s="1" t="s">
        <v>31</v>
      </c>
      <c r="Q959" s="1" t="s">
        <v>235</v>
      </c>
      <c r="R959" s="1" t="s">
        <v>235</v>
      </c>
      <c r="S959" s="1" t="s">
        <v>236</v>
      </c>
      <c r="T959" s="1" t="s">
        <v>438</v>
      </c>
      <c r="U959" s="1">
        <v>1.00586959E8</v>
      </c>
      <c r="X959" s="1" t="s">
        <v>88</v>
      </c>
      <c r="Y959" s="1" t="s">
        <v>1200</v>
      </c>
      <c r="Z959" s="1" t="s">
        <v>37</v>
      </c>
    </row>
    <row r="960" hidden="1">
      <c r="A960" s="1" t="s">
        <v>3491</v>
      </c>
      <c r="B960" s="1" t="s">
        <v>3489</v>
      </c>
      <c r="C960" s="1" t="s">
        <v>3492</v>
      </c>
      <c r="D960" s="1" t="s">
        <v>27</v>
      </c>
      <c r="E960" s="1" t="s">
        <v>28</v>
      </c>
      <c r="F960" s="2">
        <v>1000000.0</v>
      </c>
      <c r="G960" s="1" t="s">
        <v>3158</v>
      </c>
      <c r="H960" s="4">
        <f>IFERROR(__xludf.DUMMYFUNCTION("DATE(INDEX(SPLIT(G960,""/""),,3),INDEX(SPLIT(G960,""/""),,2),INDEX(SPLIT(G960,""/""),,1))"),44468.0)</f>
        <v>44468</v>
      </c>
      <c r="I960" s="1" t="s">
        <v>109</v>
      </c>
      <c r="J960" s="4">
        <f>IFERROR(__xludf.DUMMYFUNCTION("DATE(INDEX(SPLIT(I960,""/""),,3),INDEX(SPLIT(I960,""/""),,2),INDEX(SPLIT(I960,""/""),,1))"),44834.0)</f>
        <v>44834</v>
      </c>
      <c r="L960" s="1">
        <v>0.0</v>
      </c>
      <c r="M960" s="1" t="s">
        <v>1200</v>
      </c>
      <c r="N960" s="1"/>
      <c r="O960" s="1" t="s">
        <v>30</v>
      </c>
      <c r="P960" s="1" t="s">
        <v>31</v>
      </c>
      <c r="Q960" s="1" t="s">
        <v>235</v>
      </c>
      <c r="R960" s="1" t="s">
        <v>235</v>
      </c>
      <c r="S960" s="1" t="s">
        <v>236</v>
      </c>
      <c r="T960" s="1" t="s">
        <v>438</v>
      </c>
      <c r="U960" s="1">
        <v>1.00586959E8</v>
      </c>
      <c r="X960" s="1" t="s">
        <v>88</v>
      </c>
      <c r="Y960" s="1" t="s">
        <v>1200</v>
      </c>
      <c r="Z960" s="1" t="s">
        <v>37</v>
      </c>
    </row>
    <row r="961" hidden="1">
      <c r="A961" s="1" t="s">
        <v>3493</v>
      </c>
      <c r="B961" s="1" t="s">
        <v>3494</v>
      </c>
      <c r="C961" s="1" t="s">
        <v>3495</v>
      </c>
      <c r="D961" s="1" t="s">
        <v>27</v>
      </c>
      <c r="E961" s="1" t="s">
        <v>28</v>
      </c>
      <c r="F961" s="2">
        <v>1000000.0</v>
      </c>
      <c r="G961" s="1" t="s">
        <v>3178</v>
      </c>
      <c r="H961" s="4">
        <f>IFERROR(__xludf.DUMMYFUNCTION("DATE(INDEX(SPLIT(G961,""/""),,3),INDEX(SPLIT(G961,""/""),,2),INDEX(SPLIT(G961,""/""),,1))"),44644.0)</f>
        <v>44644</v>
      </c>
      <c r="I961" s="1" t="s">
        <v>42</v>
      </c>
      <c r="J961" s="4">
        <f>IFERROR(__xludf.DUMMYFUNCTION("DATE(INDEX(SPLIT(I961,""/""),,3),INDEX(SPLIT(I961,""/""),,2),INDEX(SPLIT(I961,""/""),,1))"),44926.0)</f>
        <v>44926</v>
      </c>
      <c r="L961" s="1">
        <v>0.0</v>
      </c>
      <c r="M961" s="1" t="s">
        <v>1382</v>
      </c>
      <c r="N961" s="1"/>
      <c r="O961" s="1" t="s">
        <v>30</v>
      </c>
      <c r="P961" s="1" t="s">
        <v>31</v>
      </c>
      <c r="Q961" s="1" t="s">
        <v>157</v>
      </c>
      <c r="R961" s="1" t="s">
        <v>157</v>
      </c>
      <c r="S961" s="1" t="s">
        <v>158</v>
      </c>
      <c r="U961" s="1">
        <v>1.00584043E8</v>
      </c>
      <c r="X961" s="1" t="s">
        <v>254</v>
      </c>
      <c r="Y961" s="1" t="s">
        <v>1382</v>
      </c>
      <c r="Z961" s="1" t="s">
        <v>37</v>
      </c>
    </row>
    <row r="962" hidden="1">
      <c r="A962" s="1" t="s">
        <v>3496</v>
      </c>
      <c r="B962" s="1" t="s">
        <v>826</v>
      </c>
      <c r="C962" s="1" t="s">
        <v>3497</v>
      </c>
      <c r="D962" s="1" t="s">
        <v>27</v>
      </c>
      <c r="E962" s="1" t="s">
        <v>28</v>
      </c>
      <c r="F962" s="2">
        <v>1000000.0</v>
      </c>
      <c r="G962" s="4">
        <v>44257.0</v>
      </c>
      <c r="H962" s="4">
        <f>IFERROR(__xludf.DUMMYFUNCTION("DATE(INDEX(SPLIT(G962,""/""),,3),INDEX(SPLIT(G962,""/""),,2),INDEX(SPLIT(G962,""/""),,1))"),44230.0)</f>
        <v>44230</v>
      </c>
      <c r="I962" s="1" t="s">
        <v>203</v>
      </c>
      <c r="J962" s="4">
        <f>IFERROR(__xludf.DUMMYFUNCTION("DATE(INDEX(SPLIT(I962,""/""),,3),INDEX(SPLIT(I962,""/""),,2),INDEX(SPLIT(I962,""/""),,1))"),44925.0)</f>
        <v>44925</v>
      </c>
      <c r="L962" s="1">
        <v>0.0</v>
      </c>
      <c r="M962" s="1" t="s">
        <v>868</v>
      </c>
      <c r="N962" s="1"/>
      <c r="O962" s="1" t="s">
        <v>30</v>
      </c>
      <c r="P962" s="1" t="s">
        <v>31</v>
      </c>
      <c r="Q962" s="1" t="s">
        <v>157</v>
      </c>
      <c r="R962" s="1" t="s">
        <v>157</v>
      </c>
      <c r="S962" s="1" t="s">
        <v>158</v>
      </c>
      <c r="T962" s="1" t="s">
        <v>442</v>
      </c>
      <c r="U962" s="1">
        <v>1.00655091E8</v>
      </c>
      <c r="X962" s="1" t="s">
        <v>125</v>
      </c>
      <c r="Y962" s="1" t="s">
        <v>3498</v>
      </c>
      <c r="Z962" s="1" t="s">
        <v>37</v>
      </c>
    </row>
    <row r="963" hidden="1">
      <c r="A963" s="1" t="s">
        <v>3499</v>
      </c>
      <c r="B963" s="1" t="s">
        <v>308</v>
      </c>
      <c r="C963" s="1" t="s">
        <v>3500</v>
      </c>
      <c r="D963" s="1" t="s">
        <v>27</v>
      </c>
      <c r="E963" s="1" t="s">
        <v>28</v>
      </c>
      <c r="F963" s="2">
        <v>1000000.0</v>
      </c>
      <c r="G963" s="4">
        <v>44144.0</v>
      </c>
      <c r="H963" s="4">
        <f>IFERROR(__xludf.DUMMYFUNCTION("DATE(INDEX(SPLIT(G963,""/""),,3),INDEX(SPLIT(G963,""/""),,2),INDEX(SPLIT(G963,""/""),,1))"),44085.0)</f>
        <v>44085</v>
      </c>
      <c r="I963" s="1" t="s">
        <v>1312</v>
      </c>
      <c r="J963" s="4">
        <f>IFERROR(__xludf.DUMMYFUNCTION("DATE(INDEX(SPLIT(I963,""/""),,3),INDEX(SPLIT(I963,""/""),,2),INDEX(SPLIT(I963,""/""),,1))"),44791.0)</f>
        <v>44791</v>
      </c>
      <c r="L963" s="1">
        <v>0.0</v>
      </c>
      <c r="M963" s="1" t="s">
        <v>1443</v>
      </c>
      <c r="N963" s="1"/>
      <c r="O963" s="1" t="s">
        <v>30</v>
      </c>
      <c r="P963" s="1" t="s">
        <v>31</v>
      </c>
      <c r="Q963" s="1" t="s">
        <v>53</v>
      </c>
      <c r="R963" s="1" t="s">
        <v>53</v>
      </c>
      <c r="S963" s="1" t="s">
        <v>54</v>
      </c>
      <c r="T963" s="1" t="s">
        <v>103</v>
      </c>
      <c r="U963" s="1">
        <v>1.0059033E8</v>
      </c>
      <c r="X963" s="1" t="s">
        <v>312</v>
      </c>
      <c r="Y963" s="1" t="s">
        <v>313</v>
      </c>
      <c r="Z963" s="1" t="s">
        <v>37</v>
      </c>
    </row>
    <row r="964" hidden="1">
      <c r="A964" s="1" t="s">
        <v>3501</v>
      </c>
      <c r="B964" s="1" t="s">
        <v>532</v>
      </c>
      <c r="C964" s="1" t="s">
        <v>3502</v>
      </c>
      <c r="D964" s="1" t="s">
        <v>27</v>
      </c>
      <c r="E964" s="1" t="s">
        <v>28</v>
      </c>
      <c r="F964" s="2">
        <v>1000000.0</v>
      </c>
      <c r="G964" s="4">
        <v>44564.0</v>
      </c>
      <c r="H964" s="4">
        <f>IFERROR(__xludf.DUMMYFUNCTION("DATE(INDEX(SPLIT(G964,""/""),,3),INDEX(SPLIT(G964,""/""),,2),INDEX(SPLIT(G964,""/""),,1))"),44621.0)</f>
        <v>44621</v>
      </c>
      <c r="I964" s="1" t="s">
        <v>109</v>
      </c>
      <c r="J964" s="4">
        <f>IFERROR(__xludf.DUMMYFUNCTION("DATE(INDEX(SPLIT(I964,""/""),,3),INDEX(SPLIT(I964,""/""),,2),INDEX(SPLIT(I964,""/""),,1))"),44834.0)</f>
        <v>44834</v>
      </c>
      <c r="L964" s="1">
        <v>0.0</v>
      </c>
      <c r="M964" s="1" t="s">
        <v>3503</v>
      </c>
      <c r="N964" s="1"/>
      <c r="O964" s="1" t="s">
        <v>30</v>
      </c>
      <c r="P964" s="1" t="s">
        <v>31</v>
      </c>
      <c r="Q964" s="1" t="s">
        <v>95</v>
      </c>
      <c r="R964" s="1" t="s">
        <v>95</v>
      </c>
      <c r="S964" s="1" t="s">
        <v>96</v>
      </c>
      <c r="T964" s="1" t="s">
        <v>489</v>
      </c>
      <c r="U964" s="1">
        <v>1.00625578E8</v>
      </c>
      <c r="X964" s="1" t="s">
        <v>490</v>
      </c>
      <c r="Y964" s="1" t="s">
        <v>3503</v>
      </c>
      <c r="Z964" s="1" t="s">
        <v>37</v>
      </c>
    </row>
    <row r="965" hidden="1">
      <c r="A965" s="1" t="s">
        <v>3504</v>
      </c>
      <c r="B965" s="1" t="s">
        <v>3505</v>
      </c>
      <c r="C965" s="1" t="s">
        <v>3506</v>
      </c>
      <c r="D965" s="1" t="s">
        <v>27</v>
      </c>
      <c r="E965" s="1" t="s">
        <v>28</v>
      </c>
      <c r="F965" s="2">
        <v>1000000.0</v>
      </c>
      <c r="G965" s="1" t="s">
        <v>359</v>
      </c>
      <c r="H965" s="4">
        <f>IFERROR(__xludf.DUMMYFUNCTION("DATE(INDEX(SPLIT(G965,""/""),,3),INDEX(SPLIT(G965,""/""),,2),INDEX(SPLIT(G965,""/""),,1))"),44740.0)</f>
        <v>44740</v>
      </c>
      <c r="I965" s="4">
        <v>44689.0</v>
      </c>
      <c r="J965" s="4">
        <f>IFERROR(__xludf.DUMMYFUNCTION("DATE(INDEX(SPLIT(I965,""/""),,3),INDEX(SPLIT(I965,""/""),,2),INDEX(SPLIT(I965,""/""),,1))"),44778.0)</f>
        <v>44778</v>
      </c>
      <c r="L965" s="1">
        <v>0.0</v>
      </c>
      <c r="M965" s="1" t="s">
        <v>3507</v>
      </c>
      <c r="N965" s="1"/>
      <c r="O965" s="1" t="s">
        <v>30</v>
      </c>
      <c r="P965" s="1" t="s">
        <v>31</v>
      </c>
      <c r="Q965" s="1" t="s">
        <v>235</v>
      </c>
      <c r="R965" s="1" t="s">
        <v>235</v>
      </c>
      <c r="S965" s="1" t="s">
        <v>236</v>
      </c>
      <c r="T965" s="1" t="s">
        <v>1349</v>
      </c>
      <c r="U965" s="1">
        <v>1.00585834E8</v>
      </c>
      <c r="X965" s="1" t="s">
        <v>375</v>
      </c>
      <c r="Y965" s="1" t="s">
        <v>3508</v>
      </c>
      <c r="Z965" s="1" t="s">
        <v>37</v>
      </c>
    </row>
    <row r="966" hidden="1">
      <c r="A966" s="1" t="s">
        <v>3509</v>
      </c>
      <c r="B966" s="1" t="s">
        <v>301</v>
      </c>
      <c r="C966" s="1" t="s">
        <v>3510</v>
      </c>
      <c r="D966" s="1" t="s">
        <v>27</v>
      </c>
      <c r="E966" s="1" t="s">
        <v>28</v>
      </c>
      <c r="F966" s="2">
        <v>1000000.0</v>
      </c>
      <c r="G966" s="1" t="s">
        <v>41</v>
      </c>
      <c r="H966" s="4">
        <f>IFERROR(__xludf.DUMMYFUNCTION("DATE(INDEX(SPLIT(G966,""/""),,3),INDEX(SPLIT(G966,""/""),,2),INDEX(SPLIT(G966,""/""),,1))"),44607.0)</f>
        <v>44607</v>
      </c>
      <c r="I966" s="1" t="s">
        <v>85</v>
      </c>
      <c r="J966" s="4">
        <f>IFERROR(__xludf.DUMMYFUNCTION("DATE(INDEX(SPLIT(I966,""/""),,3),INDEX(SPLIT(I966,""/""),,2),INDEX(SPLIT(I966,""/""),,1))"),44799.0)</f>
        <v>44799</v>
      </c>
      <c r="L966" s="1">
        <v>0.0</v>
      </c>
      <c r="M966" s="1" t="s">
        <v>1036</v>
      </c>
      <c r="N966" s="1"/>
      <c r="O966" s="1" t="s">
        <v>30</v>
      </c>
      <c r="P966" s="1" t="s">
        <v>31</v>
      </c>
      <c r="Q966" s="1" t="s">
        <v>95</v>
      </c>
      <c r="R966" s="1" t="s">
        <v>95</v>
      </c>
      <c r="S966" s="1" t="s">
        <v>96</v>
      </c>
      <c r="T966" s="1" t="s">
        <v>111</v>
      </c>
      <c r="U966" s="1">
        <v>1.00633489E8</v>
      </c>
      <c r="X966" s="1" t="s">
        <v>305</v>
      </c>
      <c r="Y966" s="1" t="s">
        <v>1036</v>
      </c>
      <c r="Z966" s="1" t="s">
        <v>37</v>
      </c>
    </row>
    <row r="967">
      <c r="A967" s="1" t="s">
        <v>3511</v>
      </c>
      <c r="B967" s="1" t="s">
        <v>2895</v>
      </c>
      <c r="C967" s="1" t="s">
        <v>3512</v>
      </c>
      <c r="D967" s="1" t="s">
        <v>27</v>
      </c>
      <c r="E967" s="1" t="s">
        <v>28</v>
      </c>
      <c r="F967" s="2">
        <v>1000000.0</v>
      </c>
      <c r="G967" s="4">
        <v>44656.0</v>
      </c>
      <c r="H967" s="4">
        <f>IFERROR(__xludf.DUMMYFUNCTION("DATE(INDEX(SPLIT(G967,""/""),,3),INDEX(SPLIT(G967,""/""),,2),INDEX(SPLIT(G967,""/""),,1))"),44685.0)</f>
        <v>44685</v>
      </c>
      <c r="I967" s="1" t="s">
        <v>226</v>
      </c>
      <c r="J967" s="4">
        <f>IFERROR(__xludf.DUMMYFUNCTION("DATE(INDEX(SPLIT(I967,""/""),,3),INDEX(SPLIT(I967,""/""),,2),INDEX(SPLIT(I967,""/""),,1))"),44771.0)</f>
        <v>44771</v>
      </c>
      <c r="L967" s="1">
        <v>0.0</v>
      </c>
      <c r="M967" s="1" t="s">
        <v>1027</v>
      </c>
      <c r="N967" s="1"/>
      <c r="O967" s="1" t="s">
        <v>30</v>
      </c>
      <c r="P967" s="1" t="s">
        <v>31</v>
      </c>
      <c r="Q967" s="1" t="s">
        <v>53</v>
      </c>
      <c r="R967" s="1" t="s">
        <v>53</v>
      </c>
      <c r="S967" s="1" t="s">
        <v>54</v>
      </c>
      <c r="T967" s="1" t="s">
        <v>181</v>
      </c>
      <c r="U967" s="1">
        <v>1.00879751E8</v>
      </c>
      <c r="X967" s="1" t="s">
        <v>74</v>
      </c>
      <c r="Y967" s="1" t="s">
        <v>3513</v>
      </c>
      <c r="Z967" s="1" t="s">
        <v>37</v>
      </c>
    </row>
    <row r="968">
      <c r="A968" s="1" t="s">
        <v>3514</v>
      </c>
      <c r="B968" s="1" t="s">
        <v>1144</v>
      </c>
      <c r="C968" s="1" t="s">
        <v>3515</v>
      </c>
      <c r="D968" s="1" t="s">
        <v>78</v>
      </c>
      <c r="E968" s="1" t="s">
        <v>28</v>
      </c>
      <c r="F968" s="2">
        <v>1000000.0</v>
      </c>
      <c r="G968" s="1" t="s">
        <v>3516</v>
      </c>
      <c r="H968" s="4">
        <f>IFERROR(__xludf.DUMMYFUNCTION("DATE(INDEX(SPLIT(G968,""/""),,3),INDEX(SPLIT(G968,""/""),,2),INDEX(SPLIT(G968,""/""),,1))"),43848.0)</f>
        <v>43848</v>
      </c>
      <c r="I968" s="1" t="s">
        <v>1244</v>
      </c>
      <c r="J968" s="4">
        <f>IFERROR(__xludf.DUMMYFUNCTION("DATE(INDEX(SPLIT(I968,""/""),,3),INDEX(SPLIT(I968,""/""),,2),INDEX(SPLIT(I968,""/""),,1))"),44742.0)</f>
        <v>44742</v>
      </c>
      <c r="L968" s="1">
        <v>0.0</v>
      </c>
      <c r="M968" s="1" t="s">
        <v>3517</v>
      </c>
      <c r="N968" s="1"/>
      <c r="O968" s="1" t="s">
        <v>30</v>
      </c>
      <c r="P968" s="1" t="s">
        <v>31</v>
      </c>
      <c r="Q968" s="1" t="s">
        <v>95</v>
      </c>
      <c r="R968" s="1" t="s">
        <v>95</v>
      </c>
      <c r="S968" s="1" t="s">
        <v>96</v>
      </c>
      <c r="T968" s="1" t="s">
        <v>111</v>
      </c>
      <c r="U968" s="1">
        <v>1.00638855E8</v>
      </c>
      <c r="X968" s="1" t="s">
        <v>63</v>
      </c>
      <c r="Y968" s="1" t="s">
        <v>3517</v>
      </c>
      <c r="Z968" s="1" t="s">
        <v>37</v>
      </c>
    </row>
    <row r="969">
      <c r="A969" s="1" t="s">
        <v>3518</v>
      </c>
      <c r="B969" s="1" t="s">
        <v>1371</v>
      </c>
      <c r="C969" s="1" t="s">
        <v>3519</v>
      </c>
      <c r="D969" s="1" t="s">
        <v>27</v>
      </c>
      <c r="E969" s="1" t="s">
        <v>28</v>
      </c>
      <c r="F969" s="2">
        <v>1000000.0</v>
      </c>
      <c r="G969" s="4">
        <v>44625.0</v>
      </c>
      <c r="H969" s="4">
        <f>IFERROR(__xludf.DUMMYFUNCTION("DATE(INDEX(SPLIT(G969,""/""),,3),INDEX(SPLIT(G969,""/""),,2),INDEX(SPLIT(G969,""/""),,1))"),44684.0)</f>
        <v>44684</v>
      </c>
      <c r="I969" s="1" t="s">
        <v>1244</v>
      </c>
      <c r="J969" s="4">
        <f>IFERROR(__xludf.DUMMYFUNCTION("DATE(INDEX(SPLIT(I969,""/""),,3),INDEX(SPLIT(I969,""/""),,2),INDEX(SPLIT(I969,""/""),,1))"),44742.0)</f>
        <v>44742</v>
      </c>
      <c r="L969" s="1">
        <v>0.0</v>
      </c>
      <c r="M969" s="1" t="s">
        <v>780</v>
      </c>
      <c r="N969" s="1"/>
      <c r="O969" s="1" t="s">
        <v>30</v>
      </c>
      <c r="P969" s="1" t="s">
        <v>31</v>
      </c>
      <c r="Q969" s="1" t="s">
        <v>157</v>
      </c>
      <c r="R969" s="1" t="s">
        <v>157</v>
      </c>
      <c r="S969" s="1" t="s">
        <v>158</v>
      </c>
      <c r="T969" s="1" t="s">
        <v>442</v>
      </c>
      <c r="U969" s="1">
        <v>1.00654914E8</v>
      </c>
      <c r="X969" s="1" t="s">
        <v>63</v>
      </c>
      <c r="Y969" s="1" t="s">
        <v>3520</v>
      </c>
      <c r="Z969" s="1" t="s">
        <v>37</v>
      </c>
    </row>
    <row r="970" hidden="1">
      <c r="A970" s="1" t="s">
        <v>3521</v>
      </c>
      <c r="B970" s="1" t="s">
        <v>529</v>
      </c>
      <c r="C970" s="1" t="s">
        <v>3522</v>
      </c>
      <c r="D970" s="1" t="s">
        <v>27</v>
      </c>
      <c r="E970" s="1" t="s">
        <v>28</v>
      </c>
      <c r="F970" s="2">
        <v>1000000.0</v>
      </c>
      <c r="G970" s="4">
        <v>44297.0</v>
      </c>
      <c r="H970" s="4">
        <f>IFERROR(__xludf.DUMMYFUNCTION("DATE(INDEX(SPLIT(G970,""/""),,3),INDEX(SPLIT(G970,""/""),,2),INDEX(SPLIT(G970,""/""),,1))"),44504.0)</f>
        <v>44504</v>
      </c>
      <c r="I970" s="1" t="s">
        <v>42</v>
      </c>
      <c r="J970" s="4">
        <f>IFERROR(__xludf.DUMMYFUNCTION("DATE(INDEX(SPLIT(I970,""/""),,3),INDEX(SPLIT(I970,""/""),,2),INDEX(SPLIT(I970,""/""),,1))"),44926.0)</f>
        <v>44926</v>
      </c>
      <c r="L970" s="1">
        <v>0.0</v>
      </c>
      <c r="M970" s="1" t="s">
        <v>2842</v>
      </c>
      <c r="N970" s="1"/>
      <c r="O970" s="1" t="s">
        <v>30</v>
      </c>
      <c r="P970" s="1" t="s">
        <v>31</v>
      </c>
      <c r="Q970" s="1" t="s">
        <v>53</v>
      </c>
      <c r="R970" s="1" t="s">
        <v>53</v>
      </c>
      <c r="S970" s="1" t="s">
        <v>54</v>
      </c>
      <c r="U970" s="1">
        <v>1.00586524E8</v>
      </c>
      <c r="V970" s="1" t="s">
        <v>3523</v>
      </c>
      <c r="W970" s="1" t="s">
        <v>45</v>
      </c>
      <c r="X970" s="1" t="s">
        <v>410</v>
      </c>
      <c r="Y970" s="1" t="s">
        <v>2842</v>
      </c>
      <c r="Z970" s="1" t="s">
        <v>206</v>
      </c>
    </row>
    <row r="971" hidden="1">
      <c r="A971" s="1" t="s">
        <v>3524</v>
      </c>
      <c r="B971" s="1" t="s">
        <v>529</v>
      </c>
      <c r="C971" s="1" t="s">
        <v>3523</v>
      </c>
      <c r="D971" s="1" t="s">
        <v>122</v>
      </c>
      <c r="E971" s="1" t="s">
        <v>28</v>
      </c>
      <c r="F971" s="2">
        <v>1000000.0</v>
      </c>
      <c r="G971" s="4">
        <v>44297.0</v>
      </c>
      <c r="H971" s="4">
        <f>IFERROR(__xludf.DUMMYFUNCTION("DATE(INDEX(SPLIT(G971,""/""),,3),INDEX(SPLIT(G971,""/""),,2),INDEX(SPLIT(G971,""/""),,1))"),44504.0)</f>
        <v>44504</v>
      </c>
      <c r="I971" s="4">
        <v>44569.0</v>
      </c>
      <c r="J971" s="4">
        <f>IFERROR(__xludf.DUMMYFUNCTION("DATE(INDEX(SPLIT(I971,""/""),,3),INDEX(SPLIT(I971,""/""),,2),INDEX(SPLIT(I971,""/""),,1))"),44774.0)</f>
        <v>44774</v>
      </c>
      <c r="L971" s="1">
        <v>0.0</v>
      </c>
      <c r="M971" s="1" t="s">
        <v>2842</v>
      </c>
      <c r="N971" s="1"/>
      <c r="O971" s="1" t="s">
        <v>30</v>
      </c>
      <c r="P971" s="1" t="s">
        <v>31</v>
      </c>
      <c r="Q971" s="1" t="s">
        <v>53</v>
      </c>
      <c r="R971" s="1" t="s">
        <v>53</v>
      </c>
      <c r="S971" s="1" t="s">
        <v>54</v>
      </c>
      <c r="U971" s="1">
        <v>1.00586524E8</v>
      </c>
      <c r="V971" s="1" t="s">
        <v>3525</v>
      </c>
      <c r="W971" s="1" t="s">
        <v>45</v>
      </c>
      <c r="X971" s="1" t="s">
        <v>410</v>
      </c>
      <c r="Y971" s="1" t="s">
        <v>2842</v>
      </c>
      <c r="Z971" s="1" t="s">
        <v>206</v>
      </c>
    </row>
    <row r="972" hidden="1">
      <c r="A972" s="1" t="s">
        <v>3526</v>
      </c>
      <c r="B972" s="1" t="s">
        <v>1042</v>
      </c>
      <c r="C972" s="1" t="s">
        <v>3527</v>
      </c>
      <c r="D972" s="1" t="s">
        <v>27</v>
      </c>
      <c r="E972" s="1" t="s">
        <v>28</v>
      </c>
      <c r="F972" s="2">
        <v>1000000.0</v>
      </c>
      <c r="G972" s="4">
        <v>44567.0</v>
      </c>
      <c r="H972" s="4">
        <f>IFERROR(__xludf.DUMMYFUNCTION("DATE(INDEX(SPLIT(G972,""/""),,3),INDEX(SPLIT(G972,""/""),,2),INDEX(SPLIT(G972,""/""),,1))"),44713.0)</f>
        <v>44713</v>
      </c>
      <c r="I972" s="1" t="s">
        <v>109</v>
      </c>
      <c r="J972" s="4">
        <f>IFERROR(__xludf.DUMMYFUNCTION("DATE(INDEX(SPLIT(I972,""/""),,3),INDEX(SPLIT(I972,""/""),,2),INDEX(SPLIT(I972,""/""),,1))"),44834.0)</f>
        <v>44834</v>
      </c>
      <c r="L972" s="1">
        <v>0.0</v>
      </c>
      <c r="M972" s="1" t="s">
        <v>1792</v>
      </c>
      <c r="N972" s="1"/>
      <c r="O972" s="1" t="s">
        <v>30</v>
      </c>
      <c r="P972" s="1" t="s">
        <v>31</v>
      </c>
      <c r="Q972" s="1" t="s">
        <v>235</v>
      </c>
      <c r="R972" s="1" t="s">
        <v>235</v>
      </c>
      <c r="S972" s="1" t="s">
        <v>236</v>
      </c>
      <c r="T972" s="1" t="s">
        <v>438</v>
      </c>
      <c r="U972" s="1">
        <v>1.00964362E8</v>
      </c>
      <c r="X972" s="1" t="s">
        <v>88</v>
      </c>
      <c r="Y972" s="1" t="s">
        <v>2865</v>
      </c>
      <c r="Z972" s="1" t="s">
        <v>37</v>
      </c>
    </row>
    <row r="973" hidden="1">
      <c r="A973" s="1" t="s">
        <v>3528</v>
      </c>
      <c r="B973" s="1" t="s">
        <v>120</v>
      </c>
      <c r="C973" s="1" t="s">
        <v>3529</v>
      </c>
      <c r="D973" s="1" t="s">
        <v>122</v>
      </c>
      <c r="E973" s="1" t="s">
        <v>28</v>
      </c>
      <c r="F973" s="2">
        <v>1000000.0</v>
      </c>
      <c r="G973" s="4">
        <v>44567.0</v>
      </c>
      <c r="H973" s="4">
        <f>IFERROR(__xludf.DUMMYFUNCTION("DATE(INDEX(SPLIT(G973,""/""),,3),INDEX(SPLIT(G973,""/""),,2),INDEX(SPLIT(G973,""/""),,1))"),44713.0)</f>
        <v>44713</v>
      </c>
      <c r="I973" s="4">
        <v>44628.0</v>
      </c>
      <c r="J973" s="4">
        <f>IFERROR(__xludf.DUMMYFUNCTION("DATE(INDEX(SPLIT(I973,""/""),,3),INDEX(SPLIT(I973,""/""),,2),INDEX(SPLIT(I973,""/""),,1))"),44776.0)</f>
        <v>44776</v>
      </c>
      <c r="L973" s="1">
        <v>0.0</v>
      </c>
      <c r="M973" s="1" t="s">
        <v>1610</v>
      </c>
      <c r="N973" s="1"/>
      <c r="O973" s="1" t="s">
        <v>30</v>
      </c>
      <c r="P973" s="1" t="s">
        <v>31</v>
      </c>
      <c r="Q973" s="1" t="s">
        <v>53</v>
      </c>
      <c r="R973" s="1" t="s">
        <v>53</v>
      </c>
      <c r="S973" s="1" t="s">
        <v>54</v>
      </c>
      <c r="T973" s="1" t="s">
        <v>1386</v>
      </c>
      <c r="U973" s="1">
        <v>1.01141441E8</v>
      </c>
      <c r="X973" s="1" t="s">
        <v>125</v>
      </c>
      <c r="Y973" s="1" t="s">
        <v>3530</v>
      </c>
      <c r="Z973" s="1" t="s">
        <v>37</v>
      </c>
    </row>
    <row r="974" hidden="1">
      <c r="A974" s="1" t="s">
        <v>3531</v>
      </c>
      <c r="B974" s="1" t="s">
        <v>3532</v>
      </c>
      <c r="C974" s="1" t="s">
        <v>3533</v>
      </c>
      <c r="D974" s="1" t="s">
        <v>78</v>
      </c>
      <c r="E974" s="1" t="s">
        <v>28</v>
      </c>
      <c r="F974" s="2">
        <v>1000000.0</v>
      </c>
      <c r="G974" s="4">
        <v>44387.0</v>
      </c>
      <c r="H974" s="4">
        <f>IFERROR(__xludf.DUMMYFUNCTION("DATE(INDEX(SPLIT(G974,""/""),,3),INDEX(SPLIT(G974,""/""),,2),INDEX(SPLIT(G974,""/""),,1))"),44476.0)</f>
        <v>44476</v>
      </c>
      <c r="I974" s="1" t="s">
        <v>430</v>
      </c>
      <c r="J974" s="4">
        <f>IFERROR(__xludf.DUMMYFUNCTION("DATE(INDEX(SPLIT(I974,""/""),,3),INDEX(SPLIT(I974,""/""),,2),INDEX(SPLIT(I974,""/""),,1))"),44985.0)</f>
        <v>44985</v>
      </c>
      <c r="L974" s="1">
        <v>0.0</v>
      </c>
      <c r="M974" s="1" t="s">
        <v>1373</v>
      </c>
      <c r="N974" s="1"/>
      <c r="O974" s="1" t="s">
        <v>30</v>
      </c>
      <c r="P974" s="1" t="s">
        <v>31</v>
      </c>
      <c r="Q974" s="1" t="s">
        <v>95</v>
      </c>
      <c r="R974" s="1" t="s">
        <v>95</v>
      </c>
      <c r="S974" s="1" t="s">
        <v>96</v>
      </c>
      <c r="U974" s="1">
        <v>1.00626753E8</v>
      </c>
      <c r="X974" s="1" t="s">
        <v>63</v>
      </c>
      <c r="Y974" s="1" t="s">
        <v>3534</v>
      </c>
      <c r="Z974" s="1" t="s">
        <v>37</v>
      </c>
    </row>
    <row r="975" hidden="1">
      <c r="A975" s="1" t="s">
        <v>3535</v>
      </c>
      <c r="B975" s="1" t="s">
        <v>120</v>
      </c>
      <c r="C975" s="1" t="s">
        <v>3536</v>
      </c>
      <c r="D975" s="1" t="s">
        <v>27</v>
      </c>
      <c r="E975" s="1" t="s">
        <v>28</v>
      </c>
      <c r="F975" s="2">
        <v>1000000.0</v>
      </c>
      <c r="G975" s="4">
        <v>44718.0</v>
      </c>
      <c r="H975" s="4">
        <f>IFERROR(__xludf.DUMMYFUNCTION("DATE(INDEX(SPLIT(G975,""/""),,3),INDEX(SPLIT(G975,""/""),,2),INDEX(SPLIT(G975,""/""),,1))"),44718.0)</f>
        <v>44718</v>
      </c>
      <c r="I975" s="1" t="s">
        <v>293</v>
      </c>
      <c r="J975" s="4">
        <f>IFERROR(__xludf.DUMMYFUNCTION("DATE(INDEX(SPLIT(I975,""/""),,3),INDEX(SPLIT(I975,""/""),,2),INDEX(SPLIT(I975,""/""),,1))"),44918.0)</f>
        <v>44918</v>
      </c>
      <c r="L975" s="1">
        <v>0.0</v>
      </c>
      <c r="M975" s="1" t="s">
        <v>3537</v>
      </c>
      <c r="N975" s="1"/>
      <c r="O975" s="1" t="s">
        <v>30</v>
      </c>
      <c r="P975" s="1" t="s">
        <v>31</v>
      </c>
      <c r="Q975" s="1" t="s">
        <v>32</v>
      </c>
      <c r="R975" s="1" t="s">
        <v>32</v>
      </c>
      <c r="S975" s="1" t="s">
        <v>33</v>
      </c>
      <c r="U975" s="1">
        <v>1.00589948E8</v>
      </c>
      <c r="X975" s="1" t="s">
        <v>125</v>
      </c>
      <c r="Y975" s="1" t="s">
        <v>3538</v>
      </c>
      <c r="Z975" s="1" t="s">
        <v>37</v>
      </c>
    </row>
    <row r="976">
      <c r="A976" s="1" t="s">
        <v>3539</v>
      </c>
      <c r="B976" s="1" t="s">
        <v>1371</v>
      </c>
      <c r="C976" s="1" t="s">
        <v>3540</v>
      </c>
      <c r="D976" s="1" t="s">
        <v>122</v>
      </c>
      <c r="E976" s="1" t="s">
        <v>28</v>
      </c>
      <c r="F976" s="2">
        <v>1000000.0</v>
      </c>
      <c r="G976" s="4">
        <v>44597.0</v>
      </c>
      <c r="H976" s="4">
        <f>IFERROR(__xludf.DUMMYFUNCTION("DATE(INDEX(SPLIT(G976,""/""),,3),INDEX(SPLIT(G976,""/""),,2),INDEX(SPLIT(G976,""/""),,1))"),44683.0)</f>
        <v>44683</v>
      </c>
      <c r="I976" s="4">
        <v>44568.0</v>
      </c>
      <c r="J976" s="4">
        <f>IFERROR(__xludf.DUMMYFUNCTION("DATE(INDEX(SPLIT(I976,""/""),,3),INDEX(SPLIT(I976,""/""),,2),INDEX(SPLIT(I976,""/""),,1))"),44743.0)</f>
        <v>44743</v>
      </c>
      <c r="L976" s="1">
        <v>0.0</v>
      </c>
      <c r="M976" s="1" t="s">
        <v>1484</v>
      </c>
      <c r="N976" s="1"/>
      <c r="O976" s="1" t="s">
        <v>30</v>
      </c>
      <c r="P976" s="1" t="s">
        <v>31</v>
      </c>
      <c r="Q976" s="1" t="s">
        <v>95</v>
      </c>
      <c r="R976" s="1" t="s">
        <v>95</v>
      </c>
      <c r="S976" s="1" t="s">
        <v>96</v>
      </c>
      <c r="T976" s="1" t="s">
        <v>111</v>
      </c>
      <c r="U976" s="1">
        <v>1.00585718E8</v>
      </c>
      <c r="X976" s="1" t="s">
        <v>63</v>
      </c>
      <c r="Y976" s="1" t="s">
        <v>3541</v>
      </c>
      <c r="Z976" s="1" t="s">
        <v>37</v>
      </c>
    </row>
    <row r="977">
      <c r="A977" s="1" t="s">
        <v>3542</v>
      </c>
      <c r="B977" s="1" t="s">
        <v>566</v>
      </c>
      <c r="C977" s="1" t="s">
        <v>3543</v>
      </c>
      <c r="D977" s="1" t="s">
        <v>27</v>
      </c>
      <c r="E977" s="1" t="s">
        <v>28</v>
      </c>
      <c r="F977" s="2">
        <v>1000000.0</v>
      </c>
      <c r="G977" s="1" t="s">
        <v>394</v>
      </c>
      <c r="H977" s="4">
        <f>IFERROR(__xludf.DUMMYFUNCTION("DATE(INDEX(SPLIT(G977,""/""),,3),INDEX(SPLIT(G977,""/""),,2),INDEX(SPLIT(G977,""/""),,1))"),44677.0)</f>
        <v>44677</v>
      </c>
      <c r="I977" s="4">
        <v>44567.0</v>
      </c>
      <c r="J977" s="4">
        <f>IFERROR(__xludf.DUMMYFUNCTION("DATE(INDEX(SPLIT(I977,""/""),,3),INDEX(SPLIT(I977,""/""),,2),INDEX(SPLIT(I977,""/""),,1))"),44713.0)</f>
        <v>44713</v>
      </c>
      <c r="L977" s="1">
        <v>0.0</v>
      </c>
      <c r="M977" s="1" t="s">
        <v>2067</v>
      </c>
      <c r="N977" s="1"/>
      <c r="O977" s="1" t="s">
        <v>30</v>
      </c>
      <c r="P977" s="1" t="s">
        <v>31</v>
      </c>
      <c r="Q977" s="1" t="s">
        <v>95</v>
      </c>
      <c r="R977" s="1" t="s">
        <v>95</v>
      </c>
      <c r="S977" s="1" t="s">
        <v>96</v>
      </c>
      <c r="T977" s="1" t="s">
        <v>111</v>
      </c>
      <c r="U977" s="1">
        <v>1.00631322E8</v>
      </c>
      <c r="X977" s="1" t="s">
        <v>63</v>
      </c>
      <c r="Y977" s="1" t="s">
        <v>767</v>
      </c>
      <c r="Z977" s="1" t="s">
        <v>37</v>
      </c>
    </row>
    <row r="978">
      <c r="A978" s="1" t="s">
        <v>3544</v>
      </c>
      <c r="B978" s="1" t="s">
        <v>3532</v>
      </c>
      <c r="C978" s="1" t="s">
        <v>3545</v>
      </c>
      <c r="D978" s="1" t="s">
        <v>78</v>
      </c>
      <c r="E978" s="1" t="s">
        <v>28</v>
      </c>
      <c r="F978" s="2">
        <v>1000000.0</v>
      </c>
      <c r="G978" s="4">
        <v>44387.0</v>
      </c>
      <c r="H978" s="4">
        <f>IFERROR(__xludf.DUMMYFUNCTION("DATE(INDEX(SPLIT(G978,""/""),,3),INDEX(SPLIT(G978,""/""),,2),INDEX(SPLIT(G978,""/""),,1))"),44476.0)</f>
        <v>44476</v>
      </c>
      <c r="I978" s="1" t="s">
        <v>226</v>
      </c>
      <c r="J978" s="4">
        <f>IFERROR(__xludf.DUMMYFUNCTION("DATE(INDEX(SPLIT(I978,""/""),,3),INDEX(SPLIT(I978,""/""),,2),INDEX(SPLIT(I978,""/""),,1))"),44771.0)</f>
        <v>44771</v>
      </c>
      <c r="L978" s="1">
        <v>0.0</v>
      </c>
      <c r="M978" s="1" t="s">
        <v>3546</v>
      </c>
      <c r="N978" s="1"/>
      <c r="O978" s="1" t="s">
        <v>30</v>
      </c>
      <c r="P978" s="1" t="s">
        <v>31</v>
      </c>
      <c r="Q978" s="1" t="s">
        <v>53</v>
      </c>
      <c r="R978" s="1" t="s">
        <v>53</v>
      </c>
      <c r="S978" s="1" t="s">
        <v>54</v>
      </c>
      <c r="T978" s="1" t="s">
        <v>197</v>
      </c>
      <c r="U978" s="1">
        <v>1.00608164E8</v>
      </c>
      <c r="X978" s="1" t="s">
        <v>63</v>
      </c>
      <c r="Y978" s="1" t="s">
        <v>3534</v>
      </c>
      <c r="Z978" s="1" t="s">
        <v>37</v>
      </c>
    </row>
    <row r="979" hidden="1">
      <c r="A979" s="1" t="s">
        <v>3547</v>
      </c>
      <c r="B979" s="1" t="s">
        <v>1070</v>
      </c>
      <c r="C979" s="1" t="s">
        <v>3548</v>
      </c>
      <c r="D979" s="1" t="s">
        <v>27</v>
      </c>
      <c r="E979" s="1" t="s">
        <v>28</v>
      </c>
      <c r="F979" s="2">
        <v>1000000.0</v>
      </c>
      <c r="G979" s="4">
        <v>44748.0</v>
      </c>
      <c r="H979" s="4">
        <f>IFERROR(__xludf.DUMMYFUNCTION("DATE(INDEX(SPLIT(G979,""/""),,3),INDEX(SPLIT(G979,""/""),,2),INDEX(SPLIT(G979,""/""),,1))"),44719.0)</f>
        <v>44719</v>
      </c>
      <c r="I979" s="1" t="s">
        <v>3202</v>
      </c>
      <c r="J979" s="4">
        <f>IFERROR(__xludf.DUMMYFUNCTION("DATE(INDEX(SPLIT(I979,""/""),,3),INDEX(SPLIT(I979,""/""),,2),INDEX(SPLIT(I979,""/""),,1))"),44830.0)</f>
        <v>44830</v>
      </c>
      <c r="L979" s="1">
        <v>0.0</v>
      </c>
      <c r="M979" s="1" t="s">
        <v>1072</v>
      </c>
      <c r="N979" s="1"/>
      <c r="O979" s="1" t="s">
        <v>30</v>
      </c>
      <c r="P979" s="1" t="s">
        <v>31</v>
      </c>
      <c r="Q979" s="1" t="s">
        <v>157</v>
      </c>
      <c r="R979" s="1" t="s">
        <v>157</v>
      </c>
      <c r="S979" s="1" t="s">
        <v>158</v>
      </c>
      <c r="T979" s="1" t="s">
        <v>571</v>
      </c>
      <c r="U979" s="1">
        <v>1.00594872E8</v>
      </c>
      <c r="X979" s="1" t="s">
        <v>305</v>
      </c>
      <c r="Y979" s="1" t="s">
        <v>1072</v>
      </c>
      <c r="Z979" s="1" t="s">
        <v>37</v>
      </c>
    </row>
    <row r="980" hidden="1">
      <c r="A980" s="1" t="s">
        <v>3549</v>
      </c>
      <c r="B980" s="1" t="s">
        <v>704</v>
      </c>
      <c r="C980" s="1" t="s">
        <v>3550</v>
      </c>
      <c r="D980" s="1" t="s">
        <v>78</v>
      </c>
      <c r="E980" s="1" t="s">
        <v>28</v>
      </c>
      <c r="F980" s="2">
        <v>1000000.0</v>
      </c>
      <c r="G980" s="1" t="s">
        <v>185</v>
      </c>
      <c r="H980" s="4">
        <f>IFERROR(__xludf.DUMMYFUNCTION("DATE(INDEX(SPLIT(G980,""/""),,3),INDEX(SPLIT(G980,""/""),,2),INDEX(SPLIT(G980,""/""),,1))"),44741.0)</f>
        <v>44741</v>
      </c>
      <c r="I980" s="1" t="s">
        <v>109</v>
      </c>
      <c r="J980" s="4">
        <f>IFERROR(__xludf.DUMMYFUNCTION("DATE(INDEX(SPLIT(I980,""/""),,3),INDEX(SPLIT(I980,""/""),,2),INDEX(SPLIT(I980,""/""),,1))"),44834.0)</f>
        <v>44834</v>
      </c>
      <c r="L980" s="1">
        <v>0.0</v>
      </c>
      <c r="M980" s="1" t="s">
        <v>1439</v>
      </c>
      <c r="N980" s="1"/>
      <c r="O980" s="1" t="s">
        <v>30</v>
      </c>
      <c r="P980" s="1" t="s">
        <v>31</v>
      </c>
      <c r="Q980" s="1" t="s">
        <v>32</v>
      </c>
      <c r="R980" s="1" t="s">
        <v>32</v>
      </c>
      <c r="S980" s="1" t="s">
        <v>33</v>
      </c>
      <c r="U980" s="1">
        <v>1.00585872E8</v>
      </c>
      <c r="X980" s="1" t="s">
        <v>35</v>
      </c>
      <c r="Y980" s="1" t="s">
        <v>1439</v>
      </c>
      <c r="Z980" s="1" t="s">
        <v>37</v>
      </c>
    </row>
    <row r="981" hidden="1">
      <c r="A981" s="1" t="s">
        <v>3551</v>
      </c>
      <c r="B981" s="1" t="s">
        <v>301</v>
      </c>
      <c r="C981" s="1" t="s">
        <v>3552</v>
      </c>
      <c r="D981" s="1" t="s">
        <v>78</v>
      </c>
      <c r="E981" s="1" t="s">
        <v>28</v>
      </c>
      <c r="F981" s="2">
        <v>1000000.0</v>
      </c>
      <c r="G981" s="4">
        <v>43929.0</v>
      </c>
      <c r="H981" s="4">
        <f>IFERROR(__xludf.DUMMYFUNCTION("DATE(INDEX(SPLIT(G981,""/""),,3),INDEX(SPLIT(G981,""/""),,2),INDEX(SPLIT(G981,""/""),,1))"),44047.0)</f>
        <v>44047</v>
      </c>
      <c r="I981" s="1" t="s">
        <v>569</v>
      </c>
      <c r="J981" s="4">
        <f>IFERROR(__xludf.DUMMYFUNCTION("DATE(INDEX(SPLIT(I981,""/""),,3),INDEX(SPLIT(I981,""/""),,2),INDEX(SPLIT(I981,""/""),,1))"),45016.0)</f>
        <v>45016</v>
      </c>
      <c r="L981" s="1">
        <v>0.0</v>
      </c>
      <c r="M981" s="1" t="s">
        <v>1036</v>
      </c>
      <c r="N981" s="1"/>
      <c r="O981" s="1" t="s">
        <v>30</v>
      </c>
      <c r="P981" s="1" t="s">
        <v>31</v>
      </c>
      <c r="Q981" s="1" t="s">
        <v>95</v>
      </c>
      <c r="R981" s="1" t="s">
        <v>95</v>
      </c>
      <c r="S981" s="1" t="s">
        <v>96</v>
      </c>
      <c r="T981" s="1" t="s">
        <v>111</v>
      </c>
      <c r="U981" s="1">
        <v>1.00633489E8</v>
      </c>
      <c r="X981" s="1" t="s">
        <v>305</v>
      </c>
      <c r="Y981" s="1" t="s">
        <v>1036</v>
      </c>
      <c r="Z981" s="1" t="s">
        <v>37</v>
      </c>
    </row>
    <row r="982" hidden="1">
      <c r="A982" s="1" t="s">
        <v>3553</v>
      </c>
      <c r="B982" s="1" t="s">
        <v>3554</v>
      </c>
      <c r="C982" s="1" t="s">
        <v>3466</v>
      </c>
      <c r="D982" s="1" t="s">
        <v>27</v>
      </c>
      <c r="E982" s="1" t="s">
        <v>28</v>
      </c>
      <c r="F982" s="2">
        <v>1000000.0</v>
      </c>
      <c r="G982" s="1" t="s">
        <v>3467</v>
      </c>
      <c r="H982" s="4">
        <f>IFERROR(__xludf.DUMMYFUNCTION("DATE(INDEX(SPLIT(G982,""/""),,3),INDEX(SPLIT(G982,""/""),,2),INDEX(SPLIT(G982,""/""),,1))"),44615.0)</f>
        <v>44615</v>
      </c>
      <c r="I982" s="1" t="s">
        <v>203</v>
      </c>
      <c r="J982" s="4">
        <f>IFERROR(__xludf.DUMMYFUNCTION("DATE(INDEX(SPLIT(I982,""/""),,3),INDEX(SPLIT(I982,""/""),,2),INDEX(SPLIT(I982,""/""),,1))"),44925.0)</f>
        <v>44925</v>
      </c>
      <c r="L982" s="1">
        <v>0.0</v>
      </c>
      <c r="M982" s="1" t="s">
        <v>852</v>
      </c>
      <c r="N982" s="1"/>
      <c r="O982" s="1" t="s">
        <v>30</v>
      </c>
      <c r="P982" s="1" t="s">
        <v>31</v>
      </c>
      <c r="Q982" s="1" t="s">
        <v>157</v>
      </c>
      <c r="R982" s="1" t="s">
        <v>157</v>
      </c>
      <c r="S982" s="1" t="s">
        <v>158</v>
      </c>
      <c r="T982" s="1" t="s">
        <v>442</v>
      </c>
      <c r="U982" s="1">
        <v>1.00648457E8</v>
      </c>
      <c r="X982" s="1" t="s">
        <v>117</v>
      </c>
      <c r="Y982" s="1" t="s">
        <v>852</v>
      </c>
      <c r="Z982" s="1" t="s">
        <v>37</v>
      </c>
    </row>
    <row r="983" hidden="1">
      <c r="A983" s="1" t="s">
        <v>3555</v>
      </c>
      <c r="B983" s="1" t="s">
        <v>3556</v>
      </c>
      <c r="C983" s="1" t="s">
        <v>3466</v>
      </c>
      <c r="D983" s="1" t="s">
        <v>27</v>
      </c>
      <c r="E983" s="1" t="s">
        <v>28</v>
      </c>
      <c r="F983" s="2">
        <v>1000000.0</v>
      </c>
      <c r="G983" s="1" t="s">
        <v>3467</v>
      </c>
      <c r="H983" s="4">
        <f>IFERROR(__xludf.DUMMYFUNCTION("DATE(INDEX(SPLIT(G983,""/""),,3),INDEX(SPLIT(G983,""/""),,2),INDEX(SPLIT(G983,""/""),,1))"),44615.0)</f>
        <v>44615</v>
      </c>
      <c r="I983" s="1" t="s">
        <v>203</v>
      </c>
      <c r="J983" s="4">
        <f>IFERROR(__xludf.DUMMYFUNCTION("DATE(INDEX(SPLIT(I983,""/""),,3),INDEX(SPLIT(I983,""/""),,2),INDEX(SPLIT(I983,""/""),,1))"),44925.0)</f>
        <v>44925</v>
      </c>
      <c r="L983" s="1">
        <v>0.0</v>
      </c>
      <c r="M983" s="1" t="s">
        <v>852</v>
      </c>
      <c r="N983" s="1"/>
      <c r="O983" s="1" t="s">
        <v>30</v>
      </c>
      <c r="P983" s="1" t="s">
        <v>31</v>
      </c>
      <c r="Q983" s="1" t="s">
        <v>157</v>
      </c>
      <c r="R983" s="1" t="s">
        <v>157</v>
      </c>
      <c r="S983" s="1" t="s">
        <v>158</v>
      </c>
      <c r="T983" s="1" t="s">
        <v>442</v>
      </c>
      <c r="U983" s="1">
        <v>1.00648457E8</v>
      </c>
      <c r="X983" s="1" t="s">
        <v>117</v>
      </c>
      <c r="Y983" s="1" t="s">
        <v>852</v>
      </c>
      <c r="Z983" s="1" t="s">
        <v>37</v>
      </c>
    </row>
    <row r="984" hidden="1">
      <c r="A984" s="1" t="s">
        <v>3557</v>
      </c>
      <c r="B984" s="1" t="s">
        <v>373</v>
      </c>
      <c r="C984" s="1" t="s">
        <v>3466</v>
      </c>
      <c r="D984" s="1" t="s">
        <v>27</v>
      </c>
      <c r="E984" s="1" t="s">
        <v>28</v>
      </c>
      <c r="F984" s="2">
        <v>1000000.0</v>
      </c>
      <c r="G984" s="1" t="s">
        <v>3467</v>
      </c>
      <c r="H984" s="4">
        <f>IFERROR(__xludf.DUMMYFUNCTION("DATE(INDEX(SPLIT(G984,""/""),,3),INDEX(SPLIT(G984,""/""),,2),INDEX(SPLIT(G984,""/""),,1))"),44615.0)</f>
        <v>44615</v>
      </c>
      <c r="I984" s="1" t="s">
        <v>203</v>
      </c>
      <c r="J984" s="4">
        <f>IFERROR(__xludf.DUMMYFUNCTION("DATE(INDEX(SPLIT(I984,""/""),,3),INDEX(SPLIT(I984,""/""),,2),INDEX(SPLIT(I984,""/""),,1))"),44925.0)</f>
        <v>44925</v>
      </c>
      <c r="L984" s="1">
        <v>0.0</v>
      </c>
      <c r="M984" s="1" t="s">
        <v>852</v>
      </c>
      <c r="N984" s="1"/>
      <c r="O984" s="1" t="s">
        <v>30</v>
      </c>
      <c r="P984" s="1" t="s">
        <v>31</v>
      </c>
      <c r="Q984" s="1" t="s">
        <v>157</v>
      </c>
      <c r="R984" s="1" t="s">
        <v>157</v>
      </c>
      <c r="S984" s="1" t="s">
        <v>158</v>
      </c>
      <c r="U984" s="1">
        <v>1.00648457E8</v>
      </c>
      <c r="X984" s="1" t="s">
        <v>125</v>
      </c>
      <c r="Y984" s="1" t="s">
        <v>852</v>
      </c>
      <c r="Z984" s="1" t="s">
        <v>37</v>
      </c>
    </row>
    <row r="985" hidden="1">
      <c r="A985" s="1" t="s">
        <v>3558</v>
      </c>
      <c r="B985" s="1" t="s">
        <v>1535</v>
      </c>
      <c r="C985" s="1" t="s">
        <v>3466</v>
      </c>
      <c r="D985" s="1" t="s">
        <v>27</v>
      </c>
      <c r="E985" s="1" t="s">
        <v>28</v>
      </c>
      <c r="F985" s="2">
        <v>1000000.0</v>
      </c>
      <c r="G985" s="1" t="s">
        <v>3467</v>
      </c>
      <c r="H985" s="4">
        <f>IFERROR(__xludf.DUMMYFUNCTION("DATE(INDEX(SPLIT(G985,""/""),,3),INDEX(SPLIT(G985,""/""),,2),INDEX(SPLIT(G985,""/""),,1))"),44615.0)</f>
        <v>44615</v>
      </c>
      <c r="I985" s="1" t="s">
        <v>203</v>
      </c>
      <c r="J985" s="4">
        <f>IFERROR(__xludf.DUMMYFUNCTION("DATE(INDEX(SPLIT(I985,""/""),,3),INDEX(SPLIT(I985,""/""),,2),INDEX(SPLIT(I985,""/""),,1))"),44925.0)</f>
        <v>44925</v>
      </c>
      <c r="L985" s="1">
        <v>0.0</v>
      </c>
      <c r="M985" s="1" t="s">
        <v>852</v>
      </c>
      <c r="N985" s="1"/>
      <c r="O985" s="1" t="s">
        <v>30</v>
      </c>
      <c r="P985" s="1" t="s">
        <v>31</v>
      </c>
      <c r="Q985" s="1" t="s">
        <v>157</v>
      </c>
      <c r="R985" s="1" t="s">
        <v>157</v>
      </c>
      <c r="S985" s="1" t="s">
        <v>158</v>
      </c>
      <c r="T985" s="1" t="s">
        <v>442</v>
      </c>
      <c r="U985" s="1">
        <v>1.00648457E8</v>
      </c>
      <c r="X985" s="1" t="s">
        <v>490</v>
      </c>
      <c r="Y985" s="1" t="s">
        <v>852</v>
      </c>
      <c r="Z985" s="1" t="s">
        <v>37</v>
      </c>
    </row>
    <row r="986" hidden="1">
      <c r="A986" s="1" t="s">
        <v>3559</v>
      </c>
      <c r="B986" s="1" t="s">
        <v>3560</v>
      </c>
      <c r="C986" s="1" t="s">
        <v>3466</v>
      </c>
      <c r="D986" s="1" t="s">
        <v>27</v>
      </c>
      <c r="E986" s="1" t="s">
        <v>28</v>
      </c>
      <c r="F986" s="2">
        <v>1000000.0</v>
      </c>
      <c r="G986" s="1" t="s">
        <v>3467</v>
      </c>
      <c r="H986" s="4">
        <f>IFERROR(__xludf.DUMMYFUNCTION("DATE(INDEX(SPLIT(G986,""/""),,3),INDEX(SPLIT(G986,""/""),,2),INDEX(SPLIT(G986,""/""),,1))"),44615.0)</f>
        <v>44615</v>
      </c>
      <c r="I986" s="1" t="s">
        <v>203</v>
      </c>
      <c r="J986" s="4">
        <f>IFERROR(__xludf.DUMMYFUNCTION("DATE(INDEX(SPLIT(I986,""/""),,3),INDEX(SPLIT(I986,""/""),,2),INDEX(SPLIT(I986,""/""),,1))"),44925.0)</f>
        <v>44925</v>
      </c>
      <c r="L986" s="1">
        <v>0.0</v>
      </c>
      <c r="M986" s="1" t="s">
        <v>852</v>
      </c>
      <c r="N986" s="1"/>
      <c r="O986" s="1" t="s">
        <v>30</v>
      </c>
      <c r="P986" s="1" t="s">
        <v>31</v>
      </c>
      <c r="Q986" s="1" t="s">
        <v>157</v>
      </c>
      <c r="R986" s="1" t="s">
        <v>157</v>
      </c>
      <c r="S986" s="1" t="s">
        <v>158</v>
      </c>
      <c r="T986" s="1" t="s">
        <v>442</v>
      </c>
      <c r="U986" s="1">
        <v>1.00648457E8</v>
      </c>
      <c r="X986" s="1" t="s">
        <v>190</v>
      </c>
      <c r="Y986" s="1" t="s">
        <v>852</v>
      </c>
      <c r="Z986" s="1" t="s">
        <v>37</v>
      </c>
    </row>
    <row r="987" hidden="1">
      <c r="A987" s="1" t="s">
        <v>3561</v>
      </c>
      <c r="B987" s="1" t="s">
        <v>3562</v>
      </c>
      <c r="C987" s="1" t="s">
        <v>3466</v>
      </c>
      <c r="D987" s="1" t="s">
        <v>27</v>
      </c>
      <c r="E987" s="1" t="s">
        <v>28</v>
      </c>
      <c r="F987" s="2">
        <v>1000000.0</v>
      </c>
      <c r="G987" s="1" t="s">
        <v>3467</v>
      </c>
      <c r="H987" s="4">
        <f>IFERROR(__xludf.DUMMYFUNCTION("DATE(INDEX(SPLIT(G987,""/""),,3),INDEX(SPLIT(G987,""/""),,2),INDEX(SPLIT(G987,""/""),,1))"),44615.0)</f>
        <v>44615</v>
      </c>
      <c r="I987" s="1" t="s">
        <v>203</v>
      </c>
      <c r="J987" s="4">
        <f>IFERROR(__xludf.DUMMYFUNCTION("DATE(INDEX(SPLIT(I987,""/""),,3),INDEX(SPLIT(I987,""/""),,2),INDEX(SPLIT(I987,""/""),,1))"),44925.0)</f>
        <v>44925</v>
      </c>
      <c r="L987" s="1">
        <v>0.0</v>
      </c>
      <c r="M987" s="1" t="s">
        <v>852</v>
      </c>
      <c r="N987" s="1"/>
      <c r="O987" s="1" t="s">
        <v>30</v>
      </c>
      <c r="P987" s="1" t="s">
        <v>31</v>
      </c>
      <c r="Q987" s="1" t="s">
        <v>157</v>
      </c>
      <c r="R987" s="1" t="s">
        <v>157</v>
      </c>
      <c r="S987" s="1" t="s">
        <v>158</v>
      </c>
      <c r="T987" s="1" t="s">
        <v>442</v>
      </c>
      <c r="U987" s="1">
        <v>1.00648457E8</v>
      </c>
      <c r="X987" s="1" t="s">
        <v>125</v>
      </c>
      <c r="Y987" s="1" t="s">
        <v>852</v>
      </c>
      <c r="Z987" s="1" t="s">
        <v>37</v>
      </c>
    </row>
    <row r="988" hidden="1">
      <c r="A988" s="1" t="s">
        <v>3563</v>
      </c>
      <c r="B988" s="1" t="s">
        <v>784</v>
      </c>
      <c r="C988" s="1" t="s">
        <v>3564</v>
      </c>
      <c r="D988" s="1" t="s">
        <v>27</v>
      </c>
      <c r="E988" s="1" t="s">
        <v>28</v>
      </c>
      <c r="F988" s="2">
        <v>1000000.0</v>
      </c>
      <c r="G988" s="1" t="s">
        <v>185</v>
      </c>
      <c r="H988" s="4">
        <f>IFERROR(__xludf.DUMMYFUNCTION("DATE(INDEX(SPLIT(G988,""/""),,3),INDEX(SPLIT(G988,""/""),,2),INDEX(SPLIT(G988,""/""),,1))"),44741.0)</f>
        <v>44741</v>
      </c>
      <c r="I988" s="1" t="s">
        <v>360</v>
      </c>
      <c r="J988" s="4">
        <f>IFERROR(__xludf.DUMMYFUNCTION("DATE(INDEX(SPLIT(I988,""/""),,3),INDEX(SPLIT(I988,""/""),,2),INDEX(SPLIT(I988,""/""),,1))"),44895.0)</f>
        <v>44895</v>
      </c>
      <c r="L988" s="1">
        <v>0.0</v>
      </c>
      <c r="M988" s="1" t="s">
        <v>3565</v>
      </c>
      <c r="N988" s="1"/>
      <c r="O988" s="1" t="s">
        <v>30</v>
      </c>
      <c r="P988" s="1" t="s">
        <v>31</v>
      </c>
      <c r="Q988" s="1" t="s">
        <v>32</v>
      </c>
      <c r="R988" s="1" t="s">
        <v>32</v>
      </c>
      <c r="S988" s="1" t="s">
        <v>33</v>
      </c>
      <c r="U988" s="1">
        <v>1.01088701E8</v>
      </c>
      <c r="X988" s="1" t="s">
        <v>63</v>
      </c>
      <c r="Y988" s="1" t="s">
        <v>1857</v>
      </c>
      <c r="Z988" s="1" t="s">
        <v>37</v>
      </c>
    </row>
    <row r="989" hidden="1">
      <c r="A989" s="1" t="s">
        <v>3566</v>
      </c>
      <c r="B989" s="1" t="s">
        <v>3567</v>
      </c>
      <c r="C989" s="1" t="s">
        <v>3568</v>
      </c>
      <c r="D989" s="1" t="s">
        <v>122</v>
      </c>
      <c r="E989" s="1" t="s">
        <v>28</v>
      </c>
      <c r="F989" s="2">
        <v>1000000.0</v>
      </c>
      <c r="G989" s="1" t="s">
        <v>867</v>
      </c>
      <c r="H989" s="4">
        <f>IFERROR(__xludf.DUMMYFUNCTION("DATE(INDEX(SPLIT(G989,""/""),,3),INDEX(SPLIT(G989,""/""),,2),INDEX(SPLIT(G989,""/""),,1))"),44363.0)</f>
        <v>44363</v>
      </c>
      <c r="I989" s="1" t="s">
        <v>42</v>
      </c>
      <c r="J989" s="4">
        <f>IFERROR(__xludf.DUMMYFUNCTION("DATE(INDEX(SPLIT(I989,""/""),,3),INDEX(SPLIT(I989,""/""),,2),INDEX(SPLIT(I989,""/""),,1))"),44926.0)</f>
        <v>44926</v>
      </c>
      <c r="L989" s="1">
        <v>0.0</v>
      </c>
      <c r="M989" s="1" t="s">
        <v>2057</v>
      </c>
      <c r="N989" s="1"/>
      <c r="O989" s="1" t="s">
        <v>30</v>
      </c>
      <c r="P989" s="1" t="s">
        <v>31</v>
      </c>
      <c r="Q989" s="1" t="s">
        <v>71</v>
      </c>
      <c r="R989" s="1" t="s">
        <v>71</v>
      </c>
      <c r="S989" s="1" t="s">
        <v>72</v>
      </c>
      <c r="T989" s="1" t="s">
        <v>136</v>
      </c>
      <c r="U989" s="1">
        <v>1.01078216E8</v>
      </c>
      <c r="X989" s="1" t="s">
        <v>117</v>
      </c>
      <c r="Y989" s="1" t="s">
        <v>212</v>
      </c>
      <c r="Z989" s="1" t="s">
        <v>206</v>
      </c>
    </row>
    <row r="990" hidden="1">
      <c r="A990" s="1" t="s">
        <v>3569</v>
      </c>
      <c r="B990" s="1" t="s">
        <v>76</v>
      </c>
      <c r="C990" s="1" t="s">
        <v>3570</v>
      </c>
      <c r="D990" s="1" t="s">
        <v>27</v>
      </c>
      <c r="E990" s="1" t="s">
        <v>28</v>
      </c>
      <c r="F990" s="2">
        <v>1000000.0</v>
      </c>
      <c r="G990" s="1" t="s">
        <v>298</v>
      </c>
      <c r="H990" s="4">
        <f>IFERROR(__xludf.DUMMYFUNCTION("DATE(INDEX(SPLIT(G990,""/""),,3),INDEX(SPLIT(G990,""/""),,2),INDEX(SPLIT(G990,""/""),,1))"),44762.0)</f>
        <v>44762</v>
      </c>
      <c r="I990" s="1" t="s">
        <v>130</v>
      </c>
      <c r="J990" s="4">
        <f>IFERROR(__xludf.DUMMYFUNCTION("DATE(INDEX(SPLIT(I990,""/""),,3),INDEX(SPLIT(I990,""/""),,2),INDEX(SPLIT(I990,""/""),,1))"),44804.0)</f>
        <v>44804</v>
      </c>
      <c r="L990" s="1">
        <v>0.0</v>
      </c>
      <c r="M990" s="1" t="s">
        <v>79</v>
      </c>
      <c r="N990" s="1"/>
      <c r="O990" s="1" t="s">
        <v>30</v>
      </c>
      <c r="P990" s="1" t="s">
        <v>31</v>
      </c>
      <c r="Q990" s="1" t="s">
        <v>32</v>
      </c>
      <c r="R990" s="1" t="s">
        <v>32</v>
      </c>
      <c r="S990" s="1" t="s">
        <v>33</v>
      </c>
      <c r="U990" s="1">
        <v>1.00609569E8</v>
      </c>
      <c r="X990" s="1" t="s">
        <v>81</v>
      </c>
      <c r="Y990" s="1" t="s">
        <v>79</v>
      </c>
      <c r="Z990" s="1" t="s">
        <v>37</v>
      </c>
    </row>
    <row r="991" hidden="1">
      <c r="A991" s="1" t="s">
        <v>3571</v>
      </c>
      <c r="B991" s="1" t="s">
        <v>645</v>
      </c>
      <c r="C991" s="1" t="s">
        <v>3572</v>
      </c>
      <c r="D991" s="1" t="s">
        <v>78</v>
      </c>
      <c r="E991" s="1" t="s">
        <v>28</v>
      </c>
      <c r="F991" s="2">
        <v>1000000.0</v>
      </c>
      <c r="G991" s="4">
        <v>44082.0</v>
      </c>
      <c r="H991" s="4">
        <f>IFERROR(__xludf.DUMMYFUNCTION("DATE(INDEX(SPLIT(G991,""/""),,3),INDEX(SPLIT(G991,""/""),,2),INDEX(SPLIT(G991,""/""),,1))"),44052.0)</f>
        <v>44052</v>
      </c>
      <c r="I991" s="1" t="s">
        <v>130</v>
      </c>
      <c r="J991" s="4">
        <f>IFERROR(__xludf.DUMMYFUNCTION("DATE(INDEX(SPLIT(I991,""/""),,3),INDEX(SPLIT(I991,""/""),,2),INDEX(SPLIT(I991,""/""),,1))"),44804.0)</f>
        <v>44804</v>
      </c>
      <c r="L991" s="1">
        <v>0.0</v>
      </c>
      <c r="M991" s="1" t="s">
        <v>3573</v>
      </c>
      <c r="N991" s="1"/>
      <c r="O991" s="1" t="s">
        <v>30</v>
      </c>
      <c r="P991" s="1" t="s">
        <v>31</v>
      </c>
      <c r="Q991" s="1" t="s">
        <v>157</v>
      </c>
      <c r="R991" s="1" t="s">
        <v>157</v>
      </c>
      <c r="S991" s="1" t="s">
        <v>158</v>
      </c>
      <c r="T991" s="1" t="s">
        <v>647</v>
      </c>
      <c r="U991" s="1">
        <v>1.00651086E8</v>
      </c>
      <c r="V991" s="1" t="s">
        <v>3574</v>
      </c>
      <c r="W991" s="1" t="s">
        <v>199</v>
      </c>
      <c r="X991" s="1" t="s">
        <v>46</v>
      </c>
      <c r="Y991" s="1" t="s">
        <v>3575</v>
      </c>
      <c r="Z991" s="1" t="s">
        <v>37</v>
      </c>
    </row>
    <row r="992" hidden="1">
      <c r="A992" s="1" t="s">
        <v>3576</v>
      </c>
      <c r="B992" s="1" t="s">
        <v>532</v>
      </c>
      <c r="C992" s="1" t="s">
        <v>3577</v>
      </c>
      <c r="D992" s="1" t="s">
        <v>78</v>
      </c>
      <c r="E992" s="1" t="s">
        <v>28</v>
      </c>
      <c r="F992" s="2">
        <v>1000000.0</v>
      </c>
      <c r="G992" s="4">
        <v>44474.0</v>
      </c>
      <c r="H992" s="4">
        <f>IFERROR(__xludf.DUMMYFUNCTION("DATE(INDEX(SPLIT(G992,""/""),,3),INDEX(SPLIT(G992,""/""),,2),INDEX(SPLIT(G992,""/""),,1))"),44326.0)</f>
        <v>44326</v>
      </c>
      <c r="I992" s="4">
        <v>44570.0</v>
      </c>
      <c r="J992" s="4">
        <f>IFERROR(__xludf.DUMMYFUNCTION("DATE(INDEX(SPLIT(I992,""/""),,3),INDEX(SPLIT(I992,""/""),,2),INDEX(SPLIT(I992,""/""),,1))"),44805.0)</f>
        <v>44805</v>
      </c>
      <c r="L992" s="1">
        <v>0.0</v>
      </c>
      <c r="M992" s="1" t="s">
        <v>536</v>
      </c>
      <c r="N992" s="1"/>
      <c r="O992" s="1" t="s">
        <v>30</v>
      </c>
      <c r="P992" s="1" t="s">
        <v>31</v>
      </c>
      <c r="Q992" s="1" t="s">
        <v>188</v>
      </c>
      <c r="R992" s="1" t="s">
        <v>188</v>
      </c>
      <c r="S992" s="1" t="s">
        <v>189</v>
      </c>
      <c r="T992" s="1" t="s">
        <v>537</v>
      </c>
      <c r="U992" s="1">
        <v>1.00620711E8</v>
      </c>
      <c r="X992" s="1" t="s">
        <v>490</v>
      </c>
      <c r="Y992" s="1" t="s">
        <v>1675</v>
      </c>
      <c r="Z992" s="1" t="s">
        <v>37</v>
      </c>
    </row>
    <row r="993" hidden="1">
      <c r="A993" s="1" t="s">
        <v>3578</v>
      </c>
      <c r="B993" s="1" t="s">
        <v>392</v>
      </c>
      <c r="C993" s="1" t="s">
        <v>3579</v>
      </c>
      <c r="D993" s="1" t="s">
        <v>78</v>
      </c>
      <c r="E993" s="1" t="s">
        <v>28</v>
      </c>
      <c r="F993" s="2">
        <v>1000000.0</v>
      </c>
      <c r="G993" s="4">
        <v>44623.0</v>
      </c>
      <c r="H993" s="4">
        <f>IFERROR(__xludf.DUMMYFUNCTION("DATE(INDEX(SPLIT(G993,""/""),,3),INDEX(SPLIT(G993,""/""),,2),INDEX(SPLIT(G993,""/""),,1))"),44623.0)</f>
        <v>44623</v>
      </c>
      <c r="I993" s="1" t="s">
        <v>130</v>
      </c>
      <c r="J993" s="4">
        <f>IFERROR(__xludf.DUMMYFUNCTION("DATE(INDEX(SPLIT(I993,""/""),,3),INDEX(SPLIT(I993,""/""),,2),INDEX(SPLIT(I993,""/""),,1))"),44804.0)</f>
        <v>44804</v>
      </c>
      <c r="L993" s="1">
        <v>0.0</v>
      </c>
      <c r="M993" s="1" t="s">
        <v>3580</v>
      </c>
      <c r="N993" s="1"/>
      <c r="O993" s="1" t="s">
        <v>30</v>
      </c>
      <c r="P993" s="1" t="s">
        <v>31</v>
      </c>
      <c r="Q993" s="1" t="s">
        <v>157</v>
      </c>
      <c r="R993" s="1" t="s">
        <v>157</v>
      </c>
      <c r="S993" s="1" t="s">
        <v>158</v>
      </c>
      <c r="T993" s="1" t="s">
        <v>237</v>
      </c>
      <c r="U993" s="1">
        <v>1.00956516E8</v>
      </c>
      <c r="X993" s="1" t="s">
        <v>239</v>
      </c>
      <c r="Y993" s="1" t="s">
        <v>234</v>
      </c>
      <c r="Z993" s="1" t="s">
        <v>37</v>
      </c>
    </row>
    <row r="994" hidden="1">
      <c r="A994" s="1" t="s">
        <v>3581</v>
      </c>
      <c r="B994" s="1" t="s">
        <v>301</v>
      </c>
      <c r="C994" s="1" t="s">
        <v>3582</v>
      </c>
      <c r="D994" s="1" t="s">
        <v>27</v>
      </c>
      <c r="E994" s="1" t="s">
        <v>28</v>
      </c>
      <c r="F994" s="2">
        <v>1000000.0</v>
      </c>
      <c r="G994" s="1" t="s">
        <v>1259</v>
      </c>
      <c r="H994" s="4">
        <f>IFERROR(__xludf.DUMMYFUNCTION("DATE(INDEX(SPLIT(G994,""/""),,3),INDEX(SPLIT(G994,""/""),,2),INDEX(SPLIT(G994,""/""),,1))"),44763.0)</f>
        <v>44763</v>
      </c>
      <c r="I994" s="1" t="s">
        <v>425</v>
      </c>
      <c r="J994" s="4">
        <f>IFERROR(__xludf.DUMMYFUNCTION("DATE(INDEX(SPLIT(I994,""/""),,3),INDEX(SPLIT(I994,""/""),,2),INDEX(SPLIT(I994,""/""),,1))"),44911.0)</f>
        <v>44911</v>
      </c>
      <c r="L994" s="1">
        <v>0.0</v>
      </c>
      <c r="M994" s="1" t="s">
        <v>746</v>
      </c>
      <c r="N994" s="1"/>
      <c r="O994" s="1" t="s">
        <v>30</v>
      </c>
      <c r="P994" s="1" t="s">
        <v>31</v>
      </c>
      <c r="Q994" s="1" t="s">
        <v>235</v>
      </c>
      <c r="R994" s="1" t="s">
        <v>235</v>
      </c>
      <c r="S994" s="1" t="s">
        <v>236</v>
      </c>
      <c r="T994" s="1" t="s">
        <v>197</v>
      </c>
      <c r="U994" s="1">
        <v>1.00616656E8</v>
      </c>
      <c r="X994" s="1" t="s">
        <v>305</v>
      </c>
      <c r="Y994" s="1" t="s">
        <v>1663</v>
      </c>
      <c r="Z994" s="1" t="s">
        <v>206</v>
      </c>
    </row>
    <row r="995" hidden="1">
      <c r="A995" s="1" t="s">
        <v>3583</v>
      </c>
      <c r="B995" s="1" t="s">
        <v>2265</v>
      </c>
      <c r="C995" s="1" t="s">
        <v>3584</v>
      </c>
      <c r="D995" s="1" t="s">
        <v>122</v>
      </c>
      <c r="E995" s="1" t="s">
        <v>28</v>
      </c>
      <c r="F995" s="2">
        <v>1000000.0</v>
      </c>
      <c r="G995" s="4">
        <v>44686.0</v>
      </c>
      <c r="H995" s="4">
        <f>IFERROR(__xludf.DUMMYFUNCTION("DATE(INDEX(SPLIT(G995,""/""),,3),INDEX(SPLIT(G995,""/""),,2),INDEX(SPLIT(G995,""/""),,1))"),44686.0)</f>
        <v>44686</v>
      </c>
      <c r="I995" s="1" t="s">
        <v>1799</v>
      </c>
      <c r="J995" s="4">
        <f>IFERROR(__xludf.DUMMYFUNCTION("DATE(INDEX(SPLIT(I995,""/""),,3),INDEX(SPLIT(I995,""/""),,2),INDEX(SPLIT(I995,""/""),,1))"),44788.0)</f>
        <v>44788</v>
      </c>
      <c r="L995" s="1">
        <v>0.0</v>
      </c>
      <c r="M995" s="1" t="s">
        <v>3585</v>
      </c>
      <c r="N995" s="1"/>
      <c r="O995" s="1" t="s">
        <v>30</v>
      </c>
      <c r="P995" s="1" t="s">
        <v>31</v>
      </c>
      <c r="Q995" s="1" t="s">
        <v>157</v>
      </c>
      <c r="R995" s="1" t="s">
        <v>157</v>
      </c>
      <c r="S995" s="1" t="s">
        <v>158</v>
      </c>
      <c r="U995" s="1">
        <v>1.00649566E8</v>
      </c>
      <c r="X995" s="1" t="s">
        <v>239</v>
      </c>
      <c r="Y995" s="1" t="s">
        <v>3586</v>
      </c>
      <c r="Z995" s="1" t="s">
        <v>37</v>
      </c>
    </row>
    <row r="996" hidden="1">
      <c r="A996" s="1" t="s">
        <v>3587</v>
      </c>
      <c r="B996" s="1" t="s">
        <v>1931</v>
      </c>
      <c r="C996" s="1" t="s">
        <v>3588</v>
      </c>
      <c r="D996" s="1" t="s">
        <v>78</v>
      </c>
      <c r="E996" s="1" t="s">
        <v>28</v>
      </c>
      <c r="F996" s="2">
        <v>1000000.0</v>
      </c>
      <c r="G996" s="4">
        <v>43414.0</v>
      </c>
      <c r="H996" s="4">
        <f>IFERROR(__xludf.DUMMYFUNCTION("DATE(INDEX(SPLIT(G996,""/""),,3),INDEX(SPLIT(G996,""/""),,2),INDEX(SPLIT(G996,""/""),,1))"),43384.0)</f>
        <v>43384</v>
      </c>
      <c r="I996" s="1" t="s">
        <v>109</v>
      </c>
      <c r="J996" s="4">
        <f>IFERROR(__xludf.DUMMYFUNCTION("DATE(INDEX(SPLIT(I996,""/""),,3),INDEX(SPLIT(I996,""/""),,2),INDEX(SPLIT(I996,""/""),,1))"),44834.0)</f>
        <v>44834</v>
      </c>
      <c r="L996" s="1">
        <v>0.0</v>
      </c>
      <c r="M996" s="1" t="s">
        <v>211</v>
      </c>
      <c r="N996" s="1"/>
      <c r="O996" s="1" t="s">
        <v>30</v>
      </c>
      <c r="P996" s="1" t="s">
        <v>31</v>
      </c>
      <c r="Q996" s="1" t="s">
        <v>71</v>
      </c>
      <c r="R996" s="1" t="s">
        <v>71</v>
      </c>
      <c r="S996" s="1" t="s">
        <v>72</v>
      </c>
      <c r="T996" s="1" t="s">
        <v>136</v>
      </c>
      <c r="U996" s="1">
        <v>1.00590896E8</v>
      </c>
      <c r="X996" s="1" t="s">
        <v>74</v>
      </c>
      <c r="Y996" s="1" t="s">
        <v>3589</v>
      </c>
      <c r="Z996" s="1" t="s">
        <v>37</v>
      </c>
    </row>
    <row r="997" hidden="1">
      <c r="A997" s="1" t="s">
        <v>3590</v>
      </c>
      <c r="B997" s="1" t="s">
        <v>3591</v>
      </c>
      <c r="C997" s="1" t="s">
        <v>3592</v>
      </c>
      <c r="D997" s="1" t="s">
        <v>27</v>
      </c>
      <c r="E997" s="1" t="s">
        <v>28</v>
      </c>
      <c r="F997" s="2">
        <v>1000000.0</v>
      </c>
      <c r="G997" s="4">
        <v>44716.0</v>
      </c>
      <c r="H997" s="4">
        <f>IFERROR(__xludf.DUMMYFUNCTION("DATE(INDEX(SPLIT(G997,""/""),,3),INDEX(SPLIT(G997,""/""),,2),INDEX(SPLIT(G997,""/""),,1))"),44657.0)</f>
        <v>44657</v>
      </c>
      <c r="I997" s="4">
        <v>44569.0</v>
      </c>
      <c r="J997" s="4">
        <f>IFERROR(__xludf.DUMMYFUNCTION("DATE(INDEX(SPLIT(I997,""/""),,3),INDEX(SPLIT(I997,""/""),,2),INDEX(SPLIT(I997,""/""),,1))"),44774.0)</f>
        <v>44774</v>
      </c>
      <c r="L997" s="1">
        <v>0.0</v>
      </c>
      <c r="M997" s="1" t="s">
        <v>936</v>
      </c>
      <c r="N997" s="1"/>
      <c r="O997" s="1" t="s">
        <v>30</v>
      </c>
      <c r="P997" s="1" t="s">
        <v>31</v>
      </c>
      <c r="Q997" s="1" t="s">
        <v>71</v>
      </c>
      <c r="R997" s="1" t="s">
        <v>71</v>
      </c>
      <c r="S997" s="1" t="s">
        <v>72</v>
      </c>
      <c r="T997" s="1" t="s">
        <v>73</v>
      </c>
      <c r="U997" s="1">
        <v>1.00941744E8</v>
      </c>
      <c r="X997" s="1" t="s">
        <v>74</v>
      </c>
      <c r="Y997" s="1" t="s">
        <v>936</v>
      </c>
      <c r="Z997" s="1" t="s">
        <v>37</v>
      </c>
    </row>
    <row r="998" hidden="1">
      <c r="A998" s="1" t="s">
        <v>3593</v>
      </c>
      <c r="B998" s="1" t="s">
        <v>39</v>
      </c>
      <c r="C998" s="1" t="s">
        <v>3594</v>
      </c>
      <c r="D998" s="1" t="s">
        <v>27</v>
      </c>
      <c r="E998" s="1" t="s">
        <v>28</v>
      </c>
      <c r="F998" s="2">
        <v>1000000.0</v>
      </c>
      <c r="G998" s="1" t="s">
        <v>3595</v>
      </c>
      <c r="H998" s="4">
        <f>IFERROR(__xludf.DUMMYFUNCTION("DATE(INDEX(SPLIT(G998,""/""),,3),INDEX(SPLIT(G998,""/""),,2),INDEX(SPLIT(G998,""/""),,1))"),44460.0)</f>
        <v>44460</v>
      </c>
      <c r="I998" s="1" t="s">
        <v>42</v>
      </c>
      <c r="J998" s="4">
        <f>IFERROR(__xludf.DUMMYFUNCTION("DATE(INDEX(SPLIT(I998,""/""),,3),INDEX(SPLIT(I998,""/""),,2),INDEX(SPLIT(I998,""/""),,1))"),44926.0)</f>
        <v>44926</v>
      </c>
      <c r="L998" s="1">
        <v>0.0</v>
      </c>
      <c r="M998" s="1" t="s">
        <v>841</v>
      </c>
      <c r="N998" s="1"/>
      <c r="O998" s="1" t="s">
        <v>30</v>
      </c>
      <c r="P998" s="1" t="s">
        <v>31</v>
      </c>
      <c r="Q998" s="1" t="s">
        <v>95</v>
      </c>
      <c r="R998" s="1" t="s">
        <v>95</v>
      </c>
      <c r="S998" s="1" t="s">
        <v>96</v>
      </c>
      <c r="T998" s="1" t="s">
        <v>311</v>
      </c>
      <c r="U998" s="1">
        <v>1.00621664E8</v>
      </c>
      <c r="X998" s="1" t="s">
        <v>46</v>
      </c>
      <c r="Y998" s="1" t="s">
        <v>2908</v>
      </c>
      <c r="Z998" s="1" t="s">
        <v>37</v>
      </c>
    </row>
    <row r="999" hidden="1">
      <c r="A999" s="1" t="s">
        <v>3596</v>
      </c>
      <c r="B999" s="1" t="s">
        <v>1596</v>
      </c>
      <c r="C999" s="1" t="s">
        <v>3597</v>
      </c>
      <c r="D999" s="1" t="s">
        <v>122</v>
      </c>
      <c r="E999" s="1" t="s">
        <v>28</v>
      </c>
      <c r="F999" s="2">
        <v>1000000.0</v>
      </c>
      <c r="G999" s="1" t="s">
        <v>2244</v>
      </c>
      <c r="H999" s="4">
        <f>IFERROR(__xludf.DUMMYFUNCTION("DATE(INDEX(SPLIT(G999,""/""),,3),INDEX(SPLIT(G999,""/""),,2),INDEX(SPLIT(G999,""/""),,1))"),44634.0)</f>
        <v>44634</v>
      </c>
      <c r="I999" s="1" t="s">
        <v>317</v>
      </c>
      <c r="J999" s="4">
        <f>IFERROR(__xludf.DUMMYFUNCTION("DATE(INDEX(SPLIT(I999,""/""),,3),INDEX(SPLIT(I999,""/""),,2),INDEX(SPLIT(I999,""/""),,1))"),44862.0)</f>
        <v>44862</v>
      </c>
      <c r="K999" s="1" t="s">
        <v>3598</v>
      </c>
      <c r="L999" s="1">
        <v>0.0</v>
      </c>
      <c r="M999" s="1" t="s">
        <v>1155</v>
      </c>
      <c r="N999" s="1"/>
      <c r="O999" s="1" t="s">
        <v>30</v>
      </c>
      <c r="P999" s="1" t="s">
        <v>31</v>
      </c>
      <c r="Q999" s="1" t="s">
        <v>157</v>
      </c>
      <c r="R999" s="1" t="s">
        <v>157</v>
      </c>
      <c r="S999" s="1" t="s">
        <v>158</v>
      </c>
      <c r="T999" s="1" t="s">
        <v>442</v>
      </c>
      <c r="U999" s="1">
        <v>1.00657143E8</v>
      </c>
      <c r="X999" s="1" t="s">
        <v>125</v>
      </c>
      <c r="Y999" s="1" t="s">
        <v>1155</v>
      </c>
      <c r="Z999" s="1" t="s">
        <v>37</v>
      </c>
    </row>
    <row r="1000" hidden="1">
      <c r="A1000" s="1" t="s">
        <v>3599</v>
      </c>
      <c r="B1000" s="1" t="s">
        <v>2483</v>
      </c>
      <c r="C1000" s="1" t="s">
        <v>3600</v>
      </c>
      <c r="D1000" s="1" t="s">
        <v>78</v>
      </c>
      <c r="E1000" s="1" t="s">
        <v>28</v>
      </c>
      <c r="F1000" s="2">
        <v>1000000.0</v>
      </c>
      <c r="G1000" s="1" t="s">
        <v>436</v>
      </c>
      <c r="H1000" s="4">
        <f>IFERROR(__xludf.DUMMYFUNCTION("DATE(INDEX(SPLIT(G1000,""/""),,3),INDEX(SPLIT(G1000,""/""),,2),INDEX(SPLIT(G1000,""/""),,1))"),44434.0)</f>
        <v>44434</v>
      </c>
      <c r="I1000" s="1" t="s">
        <v>109</v>
      </c>
      <c r="J1000" s="4">
        <f>IFERROR(__xludf.DUMMYFUNCTION("DATE(INDEX(SPLIT(I1000,""/""),,3),INDEX(SPLIT(I1000,""/""),,2),INDEX(SPLIT(I1000,""/""),,1))"),44834.0)</f>
        <v>44834</v>
      </c>
      <c r="L1000" s="1">
        <v>0.0</v>
      </c>
      <c r="M1000" s="1" t="s">
        <v>3601</v>
      </c>
      <c r="N1000" s="1"/>
      <c r="O1000" s="1" t="s">
        <v>30</v>
      </c>
      <c r="P1000" s="1" t="s">
        <v>31</v>
      </c>
      <c r="Q1000" s="1" t="s">
        <v>71</v>
      </c>
      <c r="R1000" s="1" t="s">
        <v>71</v>
      </c>
      <c r="S1000" s="1" t="s">
        <v>72</v>
      </c>
      <c r="T1000" s="1" t="s">
        <v>136</v>
      </c>
      <c r="U1000" s="1">
        <v>1.00611547E8</v>
      </c>
      <c r="X1000" s="1" t="s">
        <v>74</v>
      </c>
      <c r="Y1000" s="1" t="s">
        <v>1334</v>
      </c>
      <c r="Z1000" s="1" t="s">
        <v>37</v>
      </c>
    </row>
    <row r="1001" hidden="1">
      <c r="A1001" s="1" t="s">
        <v>3602</v>
      </c>
      <c r="B1001" s="1" t="s">
        <v>456</v>
      </c>
      <c r="C1001" s="1" t="s">
        <v>3603</v>
      </c>
      <c r="D1001" s="1" t="s">
        <v>27</v>
      </c>
      <c r="E1001" s="1" t="s">
        <v>28</v>
      </c>
      <c r="F1001" s="2">
        <v>1000000.0</v>
      </c>
      <c r="G1001" s="1" t="s">
        <v>41</v>
      </c>
      <c r="H1001" s="4">
        <f>IFERROR(__xludf.DUMMYFUNCTION("DATE(INDEX(SPLIT(G1001,""/""),,3),INDEX(SPLIT(G1001,""/""),,2),INDEX(SPLIT(G1001,""/""),,1))"),44607.0)</f>
        <v>44607</v>
      </c>
      <c r="I1001" s="4">
        <v>44573.0</v>
      </c>
      <c r="J1001" s="4">
        <f>IFERROR(__xludf.DUMMYFUNCTION("DATE(INDEX(SPLIT(I1001,""/""),,3),INDEX(SPLIT(I1001,""/""),,2),INDEX(SPLIT(I1001,""/""),,1))"),44896.0)</f>
        <v>44896</v>
      </c>
      <c r="L1001" s="1">
        <v>0.0</v>
      </c>
      <c r="M1001" s="1" t="s">
        <v>1918</v>
      </c>
      <c r="N1001" s="1"/>
      <c r="O1001" s="1" t="s">
        <v>30</v>
      </c>
      <c r="P1001" s="1" t="s">
        <v>31</v>
      </c>
      <c r="Q1001" s="1" t="s">
        <v>53</v>
      </c>
      <c r="R1001" s="1" t="s">
        <v>53</v>
      </c>
      <c r="S1001" s="1" t="s">
        <v>54</v>
      </c>
      <c r="T1001" s="1" t="s">
        <v>1386</v>
      </c>
      <c r="U1001" s="1">
        <v>1.00638639E8</v>
      </c>
      <c r="X1001" s="1" t="s">
        <v>375</v>
      </c>
      <c r="Y1001" s="1" t="s">
        <v>1387</v>
      </c>
      <c r="Z1001" s="1" t="s">
        <v>206</v>
      </c>
    </row>
    <row r="1002" hidden="1">
      <c r="A1002" s="1" t="s">
        <v>3604</v>
      </c>
      <c r="B1002" s="1" t="s">
        <v>997</v>
      </c>
      <c r="C1002" s="1" t="s">
        <v>3605</v>
      </c>
      <c r="D1002" s="1" t="s">
        <v>27</v>
      </c>
      <c r="E1002" s="1" t="s">
        <v>28</v>
      </c>
      <c r="F1002" s="2">
        <v>1000000.0</v>
      </c>
      <c r="G1002" s="4">
        <v>44626.0</v>
      </c>
      <c r="H1002" s="4">
        <f>IFERROR(__xludf.DUMMYFUNCTION("DATE(INDEX(SPLIT(G1002,""/""),,3),INDEX(SPLIT(G1002,""/""),,2),INDEX(SPLIT(G1002,""/""),,1))"),44715.0)</f>
        <v>44715</v>
      </c>
      <c r="I1002" s="1" t="s">
        <v>42</v>
      </c>
      <c r="J1002" s="4">
        <f>IFERROR(__xludf.DUMMYFUNCTION("DATE(INDEX(SPLIT(I1002,""/""),,3),INDEX(SPLIT(I1002,""/""),,2),INDEX(SPLIT(I1002,""/""),,1))"),44926.0)</f>
        <v>44926</v>
      </c>
      <c r="L1002" s="1">
        <v>0.0</v>
      </c>
      <c r="M1002" s="1" t="s">
        <v>2043</v>
      </c>
      <c r="N1002" s="1"/>
      <c r="O1002" s="1" t="s">
        <v>30</v>
      </c>
      <c r="P1002" s="1" t="s">
        <v>31</v>
      </c>
      <c r="Q1002" s="1" t="s">
        <v>53</v>
      </c>
      <c r="R1002" s="1" t="s">
        <v>53</v>
      </c>
      <c r="S1002" s="1" t="s">
        <v>54</v>
      </c>
      <c r="U1002" s="1">
        <v>1.00624533E8</v>
      </c>
      <c r="X1002" s="1" t="s">
        <v>410</v>
      </c>
      <c r="Y1002" s="1" t="s">
        <v>2061</v>
      </c>
      <c r="Z1002" s="1" t="s">
        <v>206</v>
      </c>
    </row>
    <row r="1003" hidden="1">
      <c r="A1003" s="1" t="s">
        <v>3606</v>
      </c>
      <c r="B1003" s="1" t="s">
        <v>3607</v>
      </c>
      <c r="C1003" s="1" t="s">
        <v>3405</v>
      </c>
      <c r="D1003" s="1" t="s">
        <v>78</v>
      </c>
      <c r="E1003" s="1" t="s">
        <v>28</v>
      </c>
      <c r="F1003" s="2">
        <v>1000000.0</v>
      </c>
      <c r="G1003" s="4">
        <v>44019.0</v>
      </c>
      <c r="H1003" s="4">
        <f>IFERROR(__xludf.DUMMYFUNCTION("DATE(INDEX(SPLIT(G1003,""/""),,3),INDEX(SPLIT(G1003,""/""),,2),INDEX(SPLIT(G1003,""/""),,1))"),44019.0)</f>
        <v>44019</v>
      </c>
      <c r="I1003" s="1" t="s">
        <v>3608</v>
      </c>
      <c r="J1003" s="4">
        <f>IFERROR(__xludf.DUMMYFUNCTION("DATE(INDEX(SPLIT(I1003,""/""),,3),INDEX(SPLIT(I1003,""/""),,2),INDEX(SPLIT(I1003,""/""),,1))"),45065.0)</f>
        <v>45065</v>
      </c>
      <c r="L1003" s="1">
        <v>0.0</v>
      </c>
      <c r="M1003" s="1" t="s">
        <v>3408</v>
      </c>
      <c r="N1003" s="1"/>
      <c r="O1003" s="1" t="s">
        <v>30</v>
      </c>
      <c r="P1003" s="1" t="s">
        <v>31</v>
      </c>
      <c r="Q1003" s="1" t="s">
        <v>95</v>
      </c>
      <c r="R1003" s="1" t="s">
        <v>95</v>
      </c>
      <c r="S1003" s="1" t="s">
        <v>96</v>
      </c>
      <c r="T1003" s="1" t="s">
        <v>3409</v>
      </c>
      <c r="U1003" s="1">
        <v>1.00953783E8</v>
      </c>
      <c r="X1003" s="1" t="s">
        <v>312</v>
      </c>
      <c r="Y1003" s="1" t="s">
        <v>2689</v>
      </c>
      <c r="Z1003" s="1" t="s">
        <v>527</v>
      </c>
    </row>
    <row r="1004" hidden="1">
      <c r="A1004" s="1" t="s">
        <v>3609</v>
      </c>
      <c r="B1004" s="1" t="s">
        <v>997</v>
      </c>
      <c r="C1004" s="1" t="s">
        <v>3610</v>
      </c>
      <c r="D1004" s="1" t="s">
        <v>27</v>
      </c>
      <c r="E1004" s="1" t="s">
        <v>28</v>
      </c>
      <c r="F1004" s="2">
        <v>1000000.0</v>
      </c>
      <c r="G1004" s="4">
        <v>44626.0</v>
      </c>
      <c r="H1004" s="4">
        <f>IFERROR(__xludf.DUMMYFUNCTION("DATE(INDEX(SPLIT(G1004,""/""),,3),INDEX(SPLIT(G1004,""/""),,2),INDEX(SPLIT(G1004,""/""),,1))"),44715.0)</f>
        <v>44715</v>
      </c>
      <c r="I1004" s="1" t="s">
        <v>42</v>
      </c>
      <c r="J1004" s="4">
        <f>IFERROR(__xludf.DUMMYFUNCTION("DATE(INDEX(SPLIT(I1004,""/""),,3),INDEX(SPLIT(I1004,""/""),,2),INDEX(SPLIT(I1004,""/""),,1))"),44926.0)</f>
        <v>44926</v>
      </c>
      <c r="L1004" s="1">
        <v>0.0</v>
      </c>
      <c r="M1004" s="1" t="s">
        <v>2043</v>
      </c>
      <c r="N1004" s="1"/>
      <c r="O1004" s="1" t="s">
        <v>30</v>
      </c>
      <c r="P1004" s="1" t="s">
        <v>31</v>
      </c>
      <c r="Q1004" s="1" t="s">
        <v>53</v>
      </c>
      <c r="R1004" s="1" t="s">
        <v>53</v>
      </c>
      <c r="S1004" s="1" t="s">
        <v>54</v>
      </c>
      <c r="U1004" s="1">
        <v>1.00624533E8</v>
      </c>
      <c r="X1004" s="1" t="s">
        <v>410</v>
      </c>
      <c r="Y1004" s="1" t="s">
        <v>2061</v>
      </c>
      <c r="Z1004" s="1" t="s">
        <v>206</v>
      </c>
    </row>
    <row r="1005" hidden="1">
      <c r="A1005" s="1" t="s">
        <v>3611</v>
      </c>
      <c r="B1005" s="1" t="s">
        <v>2358</v>
      </c>
      <c r="C1005" s="1" t="s">
        <v>3612</v>
      </c>
      <c r="D1005" s="1" t="s">
        <v>27</v>
      </c>
      <c r="E1005" s="1" t="s">
        <v>28</v>
      </c>
      <c r="F1005" s="2">
        <v>1000000.0</v>
      </c>
      <c r="G1005" s="1" t="s">
        <v>1674</v>
      </c>
      <c r="H1005" s="4">
        <f>IFERROR(__xludf.DUMMYFUNCTION("DATE(INDEX(SPLIT(G1005,""/""),,3),INDEX(SPLIT(G1005,""/""),,2),INDEX(SPLIT(G1005,""/""),,1))"),44617.0)</f>
        <v>44617</v>
      </c>
      <c r="I1005" s="4">
        <v>44572.0</v>
      </c>
      <c r="J1005" s="4">
        <f>IFERROR(__xludf.DUMMYFUNCTION("DATE(INDEX(SPLIT(I1005,""/""),,3),INDEX(SPLIT(I1005,""/""),,2),INDEX(SPLIT(I1005,""/""),,1))"),44866.0)</f>
        <v>44866</v>
      </c>
      <c r="L1005" s="1">
        <v>0.0</v>
      </c>
      <c r="M1005" s="1" t="s">
        <v>3419</v>
      </c>
      <c r="N1005" s="1"/>
      <c r="O1005" s="1" t="s">
        <v>30</v>
      </c>
      <c r="P1005" s="1" t="s">
        <v>31</v>
      </c>
      <c r="Q1005" s="1" t="s">
        <v>32</v>
      </c>
      <c r="R1005" s="1" t="s">
        <v>32</v>
      </c>
      <c r="S1005" s="1" t="s">
        <v>33</v>
      </c>
      <c r="T1005" s="1" t="s">
        <v>1195</v>
      </c>
      <c r="U1005" s="1">
        <v>1.00651998E8</v>
      </c>
      <c r="X1005" s="1" t="s">
        <v>490</v>
      </c>
      <c r="Y1005" s="1" t="s">
        <v>3419</v>
      </c>
      <c r="Z1005" s="1" t="s">
        <v>37</v>
      </c>
    </row>
    <row r="1006" hidden="1">
      <c r="A1006" s="1" t="s">
        <v>3613</v>
      </c>
      <c r="B1006" s="1" t="s">
        <v>2265</v>
      </c>
      <c r="C1006" s="1" t="s">
        <v>3614</v>
      </c>
      <c r="D1006" s="1" t="s">
        <v>27</v>
      </c>
      <c r="E1006" s="1" t="s">
        <v>28</v>
      </c>
      <c r="F1006" s="2">
        <v>1000000.0</v>
      </c>
      <c r="G1006" s="1" t="s">
        <v>1893</v>
      </c>
      <c r="H1006" s="4">
        <f>IFERROR(__xludf.DUMMYFUNCTION("DATE(INDEX(SPLIT(G1006,""/""),,3),INDEX(SPLIT(G1006,""/""),,2),INDEX(SPLIT(G1006,""/""),,1))"),44308.0)</f>
        <v>44308</v>
      </c>
      <c r="I1006" s="1" t="s">
        <v>130</v>
      </c>
      <c r="J1006" s="4">
        <f>IFERROR(__xludf.DUMMYFUNCTION("DATE(INDEX(SPLIT(I1006,""/""),,3),INDEX(SPLIT(I1006,""/""),,2),INDEX(SPLIT(I1006,""/""),,1))"),44804.0)</f>
        <v>44804</v>
      </c>
      <c r="L1006" s="1">
        <v>0.0</v>
      </c>
      <c r="M1006" s="1" t="s">
        <v>941</v>
      </c>
      <c r="N1006" s="1"/>
      <c r="O1006" s="1" t="s">
        <v>30</v>
      </c>
      <c r="P1006" s="1" t="s">
        <v>31</v>
      </c>
      <c r="Q1006" s="1" t="s">
        <v>235</v>
      </c>
      <c r="R1006" s="1" t="s">
        <v>235</v>
      </c>
      <c r="S1006" s="1" t="s">
        <v>236</v>
      </c>
      <c r="T1006" s="1" t="s">
        <v>438</v>
      </c>
      <c r="U1006" s="1">
        <v>1.00652846E8</v>
      </c>
      <c r="X1006" s="1" t="s">
        <v>239</v>
      </c>
      <c r="Y1006" s="1" t="s">
        <v>941</v>
      </c>
      <c r="Z1006" s="1" t="s">
        <v>37</v>
      </c>
    </row>
    <row r="1007" hidden="1">
      <c r="A1007" s="1" t="s">
        <v>3615</v>
      </c>
      <c r="B1007" s="1" t="s">
        <v>1002</v>
      </c>
      <c r="C1007" s="1" t="s">
        <v>3616</v>
      </c>
      <c r="D1007" s="1" t="s">
        <v>27</v>
      </c>
      <c r="E1007" s="1" t="s">
        <v>28</v>
      </c>
      <c r="F1007" s="2">
        <v>1000000.0</v>
      </c>
      <c r="G1007" s="1" t="s">
        <v>359</v>
      </c>
      <c r="H1007" s="4">
        <f>IFERROR(__xludf.DUMMYFUNCTION("DATE(INDEX(SPLIT(G1007,""/""),,3),INDEX(SPLIT(G1007,""/""),,2),INDEX(SPLIT(G1007,""/""),,1))"),44740.0)</f>
        <v>44740</v>
      </c>
      <c r="I1007" s="1" t="s">
        <v>1799</v>
      </c>
      <c r="J1007" s="4">
        <f>IFERROR(__xludf.DUMMYFUNCTION("DATE(INDEX(SPLIT(I1007,""/""),,3),INDEX(SPLIT(I1007,""/""),,2),INDEX(SPLIT(I1007,""/""),,1))"),44788.0)</f>
        <v>44788</v>
      </c>
      <c r="L1007" s="1">
        <v>0.0</v>
      </c>
      <c r="M1007" s="1" t="s">
        <v>3617</v>
      </c>
      <c r="N1007" s="1"/>
      <c r="O1007" s="1" t="s">
        <v>30</v>
      </c>
      <c r="P1007" s="1" t="s">
        <v>31</v>
      </c>
      <c r="Q1007" s="1" t="s">
        <v>53</v>
      </c>
      <c r="R1007" s="1" t="s">
        <v>53</v>
      </c>
      <c r="S1007" s="1" t="s">
        <v>54</v>
      </c>
      <c r="U1007" s="1">
        <v>1.00568413E8</v>
      </c>
      <c r="X1007" s="1" t="s">
        <v>74</v>
      </c>
      <c r="Y1007" s="1" t="s">
        <v>3617</v>
      </c>
      <c r="Z1007" s="1" t="s">
        <v>37</v>
      </c>
    </row>
    <row r="1008" hidden="1">
      <c r="A1008" s="1" t="s">
        <v>3618</v>
      </c>
      <c r="B1008" s="1" t="s">
        <v>1379</v>
      </c>
      <c r="C1008" s="1" t="s">
        <v>3619</v>
      </c>
      <c r="D1008" s="1" t="s">
        <v>27</v>
      </c>
      <c r="E1008" s="1" t="s">
        <v>28</v>
      </c>
      <c r="F1008" s="2">
        <v>1000000.0</v>
      </c>
      <c r="G1008" s="4">
        <v>44625.0</v>
      </c>
      <c r="H1008" s="4">
        <f>IFERROR(__xludf.DUMMYFUNCTION("DATE(INDEX(SPLIT(G1008,""/""),,3),INDEX(SPLIT(G1008,""/""),,2),INDEX(SPLIT(G1008,""/""),,1))"),44684.0)</f>
        <v>44684</v>
      </c>
      <c r="I1008" s="1" t="s">
        <v>42</v>
      </c>
      <c r="J1008" s="4">
        <f>IFERROR(__xludf.DUMMYFUNCTION("DATE(INDEX(SPLIT(I1008,""/""),,3),INDEX(SPLIT(I1008,""/""),,2),INDEX(SPLIT(I1008,""/""),,1))"),44926.0)</f>
        <v>44926</v>
      </c>
      <c r="L1008" s="1">
        <v>0.0</v>
      </c>
      <c r="M1008" s="1" t="s">
        <v>1382</v>
      </c>
      <c r="N1008" s="1"/>
      <c r="O1008" s="1" t="s">
        <v>30</v>
      </c>
      <c r="P1008" s="1" t="s">
        <v>31</v>
      </c>
      <c r="Q1008" s="1" t="s">
        <v>157</v>
      </c>
      <c r="R1008" s="1" t="s">
        <v>157</v>
      </c>
      <c r="S1008" s="1" t="s">
        <v>158</v>
      </c>
      <c r="U1008" s="1">
        <v>1.00584043E8</v>
      </c>
      <c r="X1008" s="1" t="s">
        <v>63</v>
      </c>
      <c r="Y1008" s="1" t="s">
        <v>1382</v>
      </c>
      <c r="Z1008" s="1" t="s">
        <v>37</v>
      </c>
    </row>
    <row r="1009" hidden="1">
      <c r="A1009" s="1" t="s">
        <v>3620</v>
      </c>
      <c r="B1009" s="1" t="s">
        <v>3621</v>
      </c>
      <c r="C1009" s="1" t="s">
        <v>3622</v>
      </c>
      <c r="D1009" s="1" t="s">
        <v>27</v>
      </c>
      <c r="E1009" s="1" t="s">
        <v>28</v>
      </c>
      <c r="F1009" s="2">
        <v>1000000.0</v>
      </c>
      <c r="G1009" s="4">
        <v>44902.0</v>
      </c>
      <c r="H1009" s="4">
        <f>IFERROR(__xludf.DUMMYFUNCTION("DATE(INDEX(SPLIT(G1009,""/""),,3),INDEX(SPLIT(G1009,""/""),,2),INDEX(SPLIT(G1009,""/""),,1))"),44754.0)</f>
        <v>44754</v>
      </c>
      <c r="I1009" s="1" t="s">
        <v>109</v>
      </c>
      <c r="J1009" s="4">
        <f>IFERROR(__xludf.DUMMYFUNCTION("DATE(INDEX(SPLIT(I1009,""/""),,3),INDEX(SPLIT(I1009,""/""),,2),INDEX(SPLIT(I1009,""/""),,1))"),44834.0)</f>
        <v>44834</v>
      </c>
      <c r="L1009" s="1">
        <v>0.0</v>
      </c>
      <c r="M1009" s="1" t="s">
        <v>303</v>
      </c>
      <c r="N1009" s="1"/>
      <c r="O1009" s="1" t="s">
        <v>30</v>
      </c>
      <c r="P1009" s="1" t="s">
        <v>31</v>
      </c>
      <c r="Q1009" s="1" t="s">
        <v>95</v>
      </c>
      <c r="R1009" s="1" t="s">
        <v>95</v>
      </c>
      <c r="S1009" s="1" t="s">
        <v>96</v>
      </c>
      <c r="T1009" s="1" t="s">
        <v>311</v>
      </c>
      <c r="U1009" s="1">
        <v>1.00623914E8</v>
      </c>
      <c r="X1009" s="1" t="s">
        <v>190</v>
      </c>
      <c r="Y1009" s="1" t="s">
        <v>303</v>
      </c>
      <c r="Z1009" s="1" t="s">
        <v>37</v>
      </c>
    </row>
    <row r="1010">
      <c r="A1010" s="1" t="s">
        <v>3623</v>
      </c>
      <c r="B1010" s="1" t="s">
        <v>2735</v>
      </c>
      <c r="C1010" s="1" t="s">
        <v>3624</v>
      </c>
      <c r="D1010" s="1" t="s">
        <v>78</v>
      </c>
      <c r="E1010" s="1" t="s">
        <v>28</v>
      </c>
      <c r="F1010" s="2">
        <v>1000000.0</v>
      </c>
      <c r="G1010" s="1" t="s">
        <v>2300</v>
      </c>
      <c r="H1010" s="4">
        <f>IFERROR(__xludf.DUMMYFUNCTION("DATE(INDEX(SPLIT(G1010,""/""),,3),INDEX(SPLIT(G1010,""/""),,2),INDEX(SPLIT(G1010,""/""),,1))"),44712.0)</f>
        <v>44712</v>
      </c>
      <c r="I1010" s="1" t="s">
        <v>226</v>
      </c>
      <c r="J1010" s="4">
        <f>IFERROR(__xludf.DUMMYFUNCTION("DATE(INDEX(SPLIT(I1010,""/""),,3),INDEX(SPLIT(I1010,""/""),,2),INDEX(SPLIT(I1010,""/""),,1))"),44771.0)</f>
        <v>44771</v>
      </c>
      <c r="L1010" s="1">
        <v>0.0</v>
      </c>
      <c r="M1010" s="1" t="s">
        <v>3625</v>
      </c>
      <c r="N1010" s="1"/>
      <c r="O1010" s="1" t="s">
        <v>30</v>
      </c>
      <c r="P1010" s="1" t="s">
        <v>31</v>
      </c>
      <c r="Q1010" s="1" t="s">
        <v>32</v>
      </c>
      <c r="R1010" s="1" t="s">
        <v>32</v>
      </c>
      <c r="S1010" s="1" t="s">
        <v>33</v>
      </c>
      <c r="U1010" s="1">
        <v>1.00642379E8</v>
      </c>
      <c r="X1010" s="1" t="s">
        <v>490</v>
      </c>
      <c r="Y1010" s="1" t="s">
        <v>3626</v>
      </c>
      <c r="Z1010" s="1" t="s">
        <v>37</v>
      </c>
    </row>
    <row r="1011" hidden="1">
      <c r="A1011" s="1" t="s">
        <v>3627</v>
      </c>
      <c r="B1011" s="1" t="s">
        <v>532</v>
      </c>
      <c r="C1011" s="1" t="s">
        <v>3628</v>
      </c>
      <c r="D1011" s="1" t="s">
        <v>27</v>
      </c>
      <c r="E1011" s="1" t="s">
        <v>28</v>
      </c>
      <c r="F1011" s="2">
        <v>1000000.0</v>
      </c>
      <c r="G1011" s="1" t="s">
        <v>1674</v>
      </c>
      <c r="H1011" s="4">
        <f>IFERROR(__xludf.DUMMYFUNCTION("DATE(INDEX(SPLIT(G1011,""/""),,3),INDEX(SPLIT(G1011,""/""),,2),INDEX(SPLIT(G1011,""/""),,1))"),44617.0)</f>
        <v>44617</v>
      </c>
      <c r="I1011" s="4">
        <v>44569.0</v>
      </c>
      <c r="J1011" s="4">
        <f>IFERROR(__xludf.DUMMYFUNCTION("DATE(INDEX(SPLIT(I1011,""/""),,3),INDEX(SPLIT(I1011,""/""),,2),INDEX(SPLIT(I1011,""/""),,1))"),44774.0)</f>
        <v>44774</v>
      </c>
      <c r="L1011" s="1">
        <v>0.0</v>
      </c>
      <c r="M1011" s="1" t="s">
        <v>1376</v>
      </c>
      <c r="N1011" s="1"/>
      <c r="O1011" s="1" t="s">
        <v>30</v>
      </c>
      <c r="P1011" s="1" t="s">
        <v>31</v>
      </c>
      <c r="Q1011" s="1" t="s">
        <v>32</v>
      </c>
      <c r="R1011" s="1" t="s">
        <v>32</v>
      </c>
      <c r="S1011" s="1" t="s">
        <v>33</v>
      </c>
      <c r="T1011" s="1" t="s">
        <v>1195</v>
      </c>
      <c r="U1011" s="1">
        <v>1.006096E8</v>
      </c>
      <c r="X1011" s="1" t="s">
        <v>490</v>
      </c>
      <c r="Y1011" s="1" t="s">
        <v>1675</v>
      </c>
      <c r="Z1011" s="1" t="s">
        <v>37</v>
      </c>
    </row>
    <row r="1012" hidden="1">
      <c r="A1012" s="1" t="s">
        <v>3629</v>
      </c>
      <c r="B1012" s="1" t="s">
        <v>39</v>
      </c>
      <c r="C1012" s="1" t="s">
        <v>3630</v>
      </c>
      <c r="D1012" s="1" t="s">
        <v>122</v>
      </c>
      <c r="E1012" s="1" t="s">
        <v>28</v>
      </c>
      <c r="F1012" s="2">
        <v>1000000.0</v>
      </c>
      <c r="G1012" s="1" t="s">
        <v>310</v>
      </c>
      <c r="H1012" s="4">
        <f>IFERROR(__xludf.DUMMYFUNCTION("DATE(INDEX(SPLIT(G1012,""/""),,3),INDEX(SPLIT(G1012,""/""),,2),INDEX(SPLIT(G1012,""/""),,1))"),43791.0)</f>
        <v>43791</v>
      </c>
      <c r="I1012" s="1" t="s">
        <v>425</v>
      </c>
      <c r="J1012" s="4">
        <f>IFERROR(__xludf.DUMMYFUNCTION("DATE(INDEX(SPLIT(I1012,""/""),,3),INDEX(SPLIT(I1012,""/""),,2),INDEX(SPLIT(I1012,""/""),,1))"),44911.0)</f>
        <v>44911</v>
      </c>
      <c r="L1012" s="1">
        <v>0.0</v>
      </c>
      <c r="M1012" s="1" t="s">
        <v>841</v>
      </c>
      <c r="N1012" s="1"/>
      <c r="O1012" s="1" t="s">
        <v>30</v>
      </c>
      <c r="P1012" s="1" t="s">
        <v>31</v>
      </c>
      <c r="Q1012" s="1" t="s">
        <v>95</v>
      </c>
      <c r="R1012" s="1" t="s">
        <v>95</v>
      </c>
      <c r="S1012" s="1" t="s">
        <v>96</v>
      </c>
      <c r="T1012" s="1" t="s">
        <v>55</v>
      </c>
      <c r="U1012" s="1">
        <v>1.00621664E8</v>
      </c>
      <c r="X1012" s="1" t="s">
        <v>46</v>
      </c>
      <c r="Y1012" s="1" t="s">
        <v>3631</v>
      </c>
      <c r="Z1012" s="1" t="s">
        <v>37</v>
      </c>
    </row>
    <row r="1013" hidden="1">
      <c r="A1013" s="1" t="s">
        <v>3632</v>
      </c>
      <c r="B1013" s="1" t="s">
        <v>3078</v>
      </c>
      <c r="C1013" s="1" t="s">
        <v>3633</v>
      </c>
      <c r="D1013" s="1" t="s">
        <v>78</v>
      </c>
      <c r="E1013" s="1" t="s">
        <v>28</v>
      </c>
      <c r="F1013" s="2">
        <v>1000000.0</v>
      </c>
      <c r="G1013" s="4">
        <v>44717.0</v>
      </c>
      <c r="H1013" s="4">
        <f>IFERROR(__xludf.DUMMYFUNCTION("DATE(INDEX(SPLIT(G1013,""/""),,3),INDEX(SPLIT(G1013,""/""),,2),INDEX(SPLIT(G1013,""/""),,1))"),44687.0)</f>
        <v>44687</v>
      </c>
      <c r="I1013" s="1" t="s">
        <v>360</v>
      </c>
      <c r="J1013" s="4">
        <f>IFERROR(__xludf.DUMMYFUNCTION("DATE(INDEX(SPLIT(I1013,""/""),,3),INDEX(SPLIT(I1013,""/""),,2),INDEX(SPLIT(I1013,""/""),,1))"),44895.0)</f>
        <v>44895</v>
      </c>
      <c r="L1013" s="1">
        <v>0.0</v>
      </c>
      <c r="M1013" s="1" t="s">
        <v>2938</v>
      </c>
      <c r="N1013" s="1"/>
      <c r="O1013" s="1" t="s">
        <v>30</v>
      </c>
      <c r="P1013" s="1" t="s">
        <v>31</v>
      </c>
      <c r="Q1013" s="1" t="s">
        <v>95</v>
      </c>
      <c r="R1013" s="1" t="s">
        <v>95</v>
      </c>
      <c r="S1013" s="1" t="s">
        <v>96</v>
      </c>
      <c r="T1013" s="1" t="s">
        <v>97</v>
      </c>
      <c r="U1013" s="1">
        <v>1.00627224E8</v>
      </c>
      <c r="X1013" s="1" t="s">
        <v>125</v>
      </c>
      <c r="Y1013" s="1" t="s">
        <v>2938</v>
      </c>
      <c r="Z1013" s="1" t="s">
        <v>37</v>
      </c>
    </row>
    <row r="1014" hidden="1">
      <c r="A1014" s="1" t="s">
        <v>3634</v>
      </c>
      <c r="B1014" s="1" t="s">
        <v>2895</v>
      </c>
      <c r="C1014" s="1" t="s">
        <v>3635</v>
      </c>
      <c r="D1014" s="1" t="s">
        <v>27</v>
      </c>
      <c r="E1014" s="1" t="s">
        <v>28</v>
      </c>
      <c r="F1014" s="2">
        <v>1000000.0</v>
      </c>
      <c r="G1014" s="1" t="s">
        <v>164</v>
      </c>
      <c r="H1014" s="4">
        <f>IFERROR(__xludf.DUMMYFUNCTION("DATE(INDEX(SPLIT(G1014,""/""),,3),INDEX(SPLIT(G1014,""/""),,2),INDEX(SPLIT(G1014,""/""),,1))"),44706.0)</f>
        <v>44706</v>
      </c>
      <c r="I1014" s="4">
        <v>44904.0</v>
      </c>
      <c r="J1014" s="4">
        <f>IFERROR(__xludf.DUMMYFUNCTION("DATE(INDEX(SPLIT(I1014,""/""),,3),INDEX(SPLIT(I1014,""/""),,2),INDEX(SPLIT(I1014,""/""),,1))"),44816.0)</f>
        <v>44816</v>
      </c>
      <c r="L1014" s="1">
        <v>0.0</v>
      </c>
      <c r="M1014" s="1" t="s">
        <v>936</v>
      </c>
      <c r="N1014" s="1"/>
      <c r="O1014" s="1" t="s">
        <v>30</v>
      </c>
      <c r="P1014" s="1" t="s">
        <v>31</v>
      </c>
      <c r="Q1014" s="1" t="s">
        <v>71</v>
      </c>
      <c r="R1014" s="1" t="s">
        <v>71</v>
      </c>
      <c r="S1014" s="1" t="s">
        <v>72</v>
      </c>
      <c r="T1014" s="1" t="s">
        <v>73</v>
      </c>
      <c r="U1014" s="1">
        <v>1.00941744E8</v>
      </c>
      <c r="X1014" s="1" t="s">
        <v>74</v>
      </c>
      <c r="Y1014" s="1" t="s">
        <v>936</v>
      </c>
      <c r="Z1014" s="1" t="s">
        <v>37</v>
      </c>
    </row>
    <row r="1015">
      <c r="A1015" s="1" t="s">
        <v>3636</v>
      </c>
      <c r="B1015" s="1" t="s">
        <v>434</v>
      </c>
      <c r="C1015" s="1" t="s">
        <v>3637</v>
      </c>
      <c r="D1015" s="1" t="s">
        <v>27</v>
      </c>
      <c r="E1015" s="1" t="s">
        <v>28</v>
      </c>
      <c r="F1015" s="2">
        <v>1000000.0</v>
      </c>
      <c r="G1015" s="4">
        <v>44622.0</v>
      </c>
      <c r="H1015" s="4">
        <f>IFERROR(__xludf.DUMMYFUNCTION("DATE(INDEX(SPLIT(G1015,""/""),,3),INDEX(SPLIT(G1015,""/""),,2),INDEX(SPLIT(G1015,""/""),,1))"),44595.0)</f>
        <v>44595</v>
      </c>
      <c r="I1015" s="4">
        <v>44567.0</v>
      </c>
      <c r="J1015" s="4">
        <f>IFERROR(__xludf.DUMMYFUNCTION("DATE(INDEX(SPLIT(I1015,""/""),,3),INDEX(SPLIT(I1015,""/""),,2),INDEX(SPLIT(I1015,""/""),,1))"),44713.0)</f>
        <v>44713</v>
      </c>
      <c r="L1015" s="1">
        <v>0.0</v>
      </c>
      <c r="M1015" s="1" t="s">
        <v>1759</v>
      </c>
      <c r="N1015" s="1"/>
      <c r="O1015" s="1" t="s">
        <v>30</v>
      </c>
      <c r="P1015" s="1" t="s">
        <v>31</v>
      </c>
      <c r="Q1015" s="1" t="s">
        <v>95</v>
      </c>
      <c r="R1015" s="1" t="s">
        <v>95</v>
      </c>
      <c r="S1015" s="1" t="s">
        <v>96</v>
      </c>
      <c r="T1015" s="1" t="s">
        <v>602</v>
      </c>
      <c r="U1015" s="1">
        <v>1.00596555E8</v>
      </c>
      <c r="X1015" s="1" t="s">
        <v>88</v>
      </c>
      <c r="Y1015" s="1" t="s">
        <v>1759</v>
      </c>
      <c r="Z1015" s="1" t="s">
        <v>206</v>
      </c>
    </row>
    <row r="1016" hidden="1">
      <c r="A1016" s="1" t="s">
        <v>3638</v>
      </c>
      <c r="B1016" s="1" t="s">
        <v>3639</v>
      </c>
      <c r="C1016" s="1" t="s">
        <v>3640</v>
      </c>
      <c r="D1016" s="1" t="s">
        <v>78</v>
      </c>
      <c r="E1016" s="1" t="s">
        <v>28</v>
      </c>
      <c r="F1016" s="2">
        <v>1000000.0</v>
      </c>
      <c r="G1016" s="1" t="s">
        <v>3467</v>
      </c>
      <c r="H1016" s="4">
        <f>IFERROR(__xludf.DUMMYFUNCTION("DATE(INDEX(SPLIT(G1016,""/""),,3),INDEX(SPLIT(G1016,""/""),,2),INDEX(SPLIT(G1016,""/""),,1))"),44615.0)</f>
        <v>44615</v>
      </c>
      <c r="I1016" s="1" t="s">
        <v>203</v>
      </c>
      <c r="J1016" s="4">
        <f>IFERROR(__xludf.DUMMYFUNCTION("DATE(INDEX(SPLIT(I1016,""/""),,3),INDEX(SPLIT(I1016,""/""),,2),INDEX(SPLIT(I1016,""/""),,1))"),44925.0)</f>
        <v>44925</v>
      </c>
      <c r="L1016" s="1">
        <v>0.0</v>
      </c>
      <c r="M1016" s="1" t="s">
        <v>852</v>
      </c>
      <c r="N1016" s="1"/>
      <c r="O1016" s="1" t="s">
        <v>30</v>
      </c>
      <c r="P1016" s="1" t="s">
        <v>31</v>
      </c>
      <c r="Q1016" s="1" t="s">
        <v>157</v>
      </c>
      <c r="R1016" s="1" t="s">
        <v>157</v>
      </c>
      <c r="S1016" s="1" t="s">
        <v>158</v>
      </c>
      <c r="T1016" s="1" t="s">
        <v>442</v>
      </c>
      <c r="U1016" s="1">
        <v>1.00648457E8</v>
      </c>
      <c r="X1016" s="1" t="s">
        <v>781</v>
      </c>
      <c r="Y1016" s="1" t="s">
        <v>852</v>
      </c>
      <c r="Z1016" s="1" t="s">
        <v>37</v>
      </c>
    </row>
    <row r="1017" hidden="1">
      <c r="A1017" s="1" t="s">
        <v>3641</v>
      </c>
      <c r="B1017" s="1" t="s">
        <v>1634</v>
      </c>
      <c r="C1017" s="1" t="s">
        <v>3642</v>
      </c>
      <c r="D1017" s="1" t="s">
        <v>27</v>
      </c>
      <c r="E1017" s="1" t="s">
        <v>28</v>
      </c>
      <c r="F1017" s="2">
        <v>1000000.0</v>
      </c>
      <c r="G1017" s="1" t="s">
        <v>101</v>
      </c>
      <c r="H1017" s="4">
        <f>IFERROR(__xludf.DUMMYFUNCTION("DATE(INDEX(SPLIT(G1017,""/""),,3),INDEX(SPLIT(G1017,""/""),,2),INDEX(SPLIT(G1017,""/""),,1))"),44314.0)</f>
        <v>44314</v>
      </c>
      <c r="I1017" s="1" t="s">
        <v>317</v>
      </c>
      <c r="J1017" s="4">
        <f>IFERROR(__xludf.DUMMYFUNCTION("DATE(INDEX(SPLIT(I1017,""/""),,3),INDEX(SPLIT(I1017,""/""),,2),INDEX(SPLIT(I1017,""/""),,1))"),44862.0)</f>
        <v>44862</v>
      </c>
      <c r="L1017" s="1">
        <v>0.0</v>
      </c>
      <c r="M1017" s="1" t="s">
        <v>1115</v>
      </c>
      <c r="N1017" s="1"/>
      <c r="O1017" s="1" t="s">
        <v>30</v>
      </c>
      <c r="P1017" s="1" t="s">
        <v>31</v>
      </c>
      <c r="Q1017" s="1" t="s">
        <v>157</v>
      </c>
      <c r="R1017" s="1" t="s">
        <v>157</v>
      </c>
      <c r="S1017" s="1" t="s">
        <v>158</v>
      </c>
      <c r="T1017" s="1" t="s">
        <v>159</v>
      </c>
      <c r="U1017" s="1">
        <v>1.00609827E8</v>
      </c>
      <c r="X1017" s="1" t="s">
        <v>490</v>
      </c>
      <c r="Y1017" s="1" t="s">
        <v>3643</v>
      </c>
      <c r="Z1017" s="1" t="s">
        <v>37</v>
      </c>
    </row>
    <row r="1018">
      <c r="A1018" s="1" t="s">
        <v>3644</v>
      </c>
      <c r="B1018" s="1" t="s">
        <v>223</v>
      </c>
      <c r="C1018" s="1" t="s">
        <v>3645</v>
      </c>
      <c r="D1018" s="1" t="s">
        <v>27</v>
      </c>
      <c r="E1018" s="1" t="s">
        <v>28</v>
      </c>
      <c r="F1018" s="2">
        <v>1000000.0</v>
      </c>
      <c r="G1018" s="4">
        <v>44597.0</v>
      </c>
      <c r="H1018" s="4">
        <f>IFERROR(__xludf.DUMMYFUNCTION("DATE(INDEX(SPLIT(G1018,""/""),,3),INDEX(SPLIT(G1018,""/""),,2),INDEX(SPLIT(G1018,""/""),,1))"),44683.0)</f>
        <v>44683</v>
      </c>
      <c r="I1018" s="4">
        <v>44568.0</v>
      </c>
      <c r="J1018" s="4">
        <f>IFERROR(__xludf.DUMMYFUNCTION("DATE(INDEX(SPLIT(I1018,""/""),,3),INDEX(SPLIT(I1018,""/""),,2),INDEX(SPLIT(I1018,""/""),,1))"),44743.0)</f>
        <v>44743</v>
      </c>
      <c r="L1018" s="1">
        <v>0.0</v>
      </c>
      <c r="M1018" s="1" t="s">
        <v>1685</v>
      </c>
      <c r="N1018" s="1"/>
      <c r="O1018" s="1" t="s">
        <v>30</v>
      </c>
      <c r="P1018" s="1" t="s">
        <v>31</v>
      </c>
      <c r="Q1018" s="1" t="s">
        <v>228</v>
      </c>
      <c r="R1018" s="1" t="s">
        <v>228</v>
      </c>
      <c r="S1018" s="1" t="s">
        <v>229</v>
      </c>
      <c r="T1018" s="1" t="s">
        <v>505</v>
      </c>
      <c r="U1018" s="1">
        <v>1.00612055E8</v>
      </c>
      <c r="X1018" s="1" t="s">
        <v>81</v>
      </c>
      <c r="Y1018" s="1" t="s">
        <v>621</v>
      </c>
      <c r="Z1018" s="1" t="s">
        <v>37</v>
      </c>
    </row>
    <row r="1019" hidden="1">
      <c r="A1019" s="1" t="s">
        <v>3646</v>
      </c>
      <c r="B1019" s="1" t="s">
        <v>844</v>
      </c>
      <c r="C1019" s="1" t="s">
        <v>3647</v>
      </c>
      <c r="D1019" s="1" t="s">
        <v>78</v>
      </c>
      <c r="E1019" s="1" t="s">
        <v>28</v>
      </c>
      <c r="F1019" s="2">
        <v>1000000.0</v>
      </c>
      <c r="G1019" s="1" t="s">
        <v>41</v>
      </c>
      <c r="H1019" s="4">
        <f>IFERROR(__xludf.DUMMYFUNCTION("DATE(INDEX(SPLIT(G1019,""/""),,3),INDEX(SPLIT(G1019,""/""),,2),INDEX(SPLIT(G1019,""/""),,1))"),44607.0)</f>
        <v>44607</v>
      </c>
      <c r="I1019" s="1" t="s">
        <v>109</v>
      </c>
      <c r="J1019" s="4">
        <f>IFERROR(__xludf.DUMMYFUNCTION("DATE(INDEX(SPLIT(I1019,""/""),,3),INDEX(SPLIT(I1019,""/""),,2),INDEX(SPLIT(I1019,""/""),,1))"),44834.0)</f>
        <v>44834</v>
      </c>
      <c r="L1019" s="1">
        <v>0.0</v>
      </c>
      <c r="M1019" s="1" t="s">
        <v>846</v>
      </c>
      <c r="N1019" s="1"/>
      <c r="O1019" s="1" t="s">
        <v>30</v>
      </c>
      <c r="P1019" s="1" t="s">
        <v>31</v>
      </c>
      <c r="Q1019" s="1" t="s">
        <v>157</v>
      </c>
      <c r="R1019" s="1" t="s">
        <v>157</v>
      </c>
      <c r="S1019" s="1" t="s">
        <v>158</v>
      </c>
      <c r="U1019" s="1">
        <v>1.00584422E8</v>
      </c>
      <c r="X1019" s="1" t="s">
        <v>125</v>
      </c>
      <c r="Y1019" s="1" t="s">
        <v>847</v>
      </c>
      <c r="Z1019" s="1" t="s">
        <v>37</v>
      </c>
    </row>
    <row r="1020" hidden="1">
      <c r="A1020" s="1" t="s">
        <v>3648</v>
      </c>
      <c r="B1020" s="1" t="s">
        <v>1168</v>
      </c>
      <c r="C1020" s="1" t="s">
        <v>3649</v>
      </c>
      <c r="D1020" s="1" t="s">
        <v>27</v>
      </c>
      <c r="E1020" s="1" t="s">
        <v>28</v>
      </c>
      <c r="F1020" s="2">
        <v>1000000.0</v>
      </c>
      <c r="G1020" s="4">
        <v>43778.0</v>
      </c>
      <c r="H1020" s="4">
        <f>IFERROR(__xludf.DUMMYFUNCTION("DATE(INDEX(SPLIT(G1020,""/""),,3),INDEX(SPLIT(G1020,""/""),,2),INDEX(SPLIT(G1020,""/""),,1))"),43719.0)</f>
        <v>43719</v>
      </c>
      <c r="I1020" s="1" t="s">
        <v>317</v>
      </c>
      <c r="J1020" s="4">
        <f>IFERROR(__xludf.DUMMYFUNCTION("DATE(INDEX(SPLIT(I1020,""/""),,3),INDEX(SPLIT(I1020,""/""),,2),INDEX(SPLIT(I1020,""/""),,1))"),44862.0)</f>
        <v>44862</v>
      </c>
      <c r="L1020" s="1">
        <v>0.0</v>
      </c>
      <c r="M1020" s="1" t="s">
        <v>2592</v>
      </c>
      <c r="N1020" s="1"/>
      <c r="O1020" s="1" t="s">
        <v>30</v>
      </c>
      <c r="P1020" s="1" t="s">
        <v>31</v>
      </c>
      <c r="Q1020" s="1" t="s">
        <v>71</v>
      </c>
      <c r="R1020" s="1" t="s">
        <v>71</v>
      </c>
      <c r="S1020" s="1" t="s">
        <v>72</v>
      </c>
      <c r="T1020" s="1" t="s">
        <v>136</v>
      </c>
      <c r="U1020" s="1">
        <v>1.00586452E8</v>
      </c>
      <c r="X1020" s="1" t="s">
        <v>74</v>
      </c>
      <c r="Y1020" s="1" t="s">
        <v>3650</v>
      </c>
      <c r="Z1020" s="1" t="s">
        <v>37</v>
      </c>
    </row>
    <row r="1021" hidden="1">
      <c r="A1021" s="1" t="s">
        <v>3651</v>
      </c>
      <c r="B1021" s="1" t="s">
        <v>2598</v>
      </c>
      <c r="C1021" s="1" t="s">
        <v>3652</v>
      </c>
      <c r="D1021" s="1" t="s">
        <v>27</v>
      </c>
      <c r="E1021" s="1" t="s">
        <v>28</v>
      </c>
      <c r="F1021" s="2">
        <v>1000000.0</v>
      </c>
      <c r="G1021" s="1" t="s">
        <v>298</v>
      </c>
      <c r="H1021" s="4">
        <f>IFERROR(__xludf.DUMMYFUNCTION("DATE(INDEX(SPLIT(G1021,""/""),,3),INDEX(SPLIT(G1021,""/""),,2),INDEX(SPLIT(G1021,""/""),,1))"),44762.0)</f>
        <v>44762</v>
      </c>
      <c r="I1021" s="1" t="s">
        <v>130</v>
      </c>
      <c r="J1021" s="4">
        <f>IFERROR(__xludf.DUMMYFUNCTION("DATE(INDEX(SPLIT(I1021,""/""),,3),INDEX(SPLIT(I1021,""/""),,2),INDEX(SPLIT(I1021,""/""),,1))"),44804.0)</f>
        <v>44804</v>
      </c>
      <c r="L1021" s="1">
        <v>0.0</v>
      </c>
      <c r="M1021" s="1" t="s">
        <v>2600</v>
      </c>
      <c r="N1021" s="1"/>
      <c r="O1021" s="1" t="s">
        <v>30</v>
      </c>
      <c r="P1021" s="1" t="s">
        <v>31</v>
      </c>
      <c r="Q1021" s="1" t="s">
        <v>32</v>
      </c>
      <c r="R1021" s="1" t="s">
        <v>32</v>
      </c>
      <c r="S1021" s="1" t="s">
        <v>33</v>
      </c>
      <c r="T1021" s="1" t="s">
        <v>2372</v>
      </c>
      <c r="U1021" s="1">
        <v>1.00642238E8</v>
      </c>
      <c r="X1021" s="1" t="s">
        <v>239</v>
      </c>
      <c r="Y1021" s="1" t="s">
        <v>3653</v>
      </c>
      <c r="Z1021" s="1" t="s">
        <v>37</v>
      </c>
    </row>
    <row r="1022" hidden="1">
      <c r="A1022" s="1" t="s">
        <v>3654</v>
      </c>
      <c r="B1022" s="1" t="s">
        <v>3655</v>
      </c>
      <c r="C1022" s="1" t="s">
        <v>3656</v>
      </c>
      <c r="D1022" s="1" t="s">
        <v>27</v>
      </c>
      <c r="E1022" s="1" t="s">
        <v>28</v>
      </c>
      <c r="F1022" s="2">
        <v>1000000.0</v>
      </c>
      <c r="G1022" s="4">
        <v>44565.0</v>
      </c>
      <c r="H1022" s="4">
        <f>IFERROR(__xludf.DUMMYFUNCTION("DATE(INDEX(SPLIT(G1022,""/""),,3),INDEX(SPLIT(G1022,""/""),,2),INDEX(SPLIT(G1022,""/""),,1))"),44652.0)</f>
        <v>44652</v>
      </c>
      <c r="I1022" s="1" t="s">
        <v>165</v>
      </c>
      <c r="J1022" s="4">
        <f>IFERROR(__xludf.DUMMYFUNCTION("DATE(INDEX(SPLIT(I1022,""/""),,3),INDEX(SPLIT(I1022,""/""),,2),INDEX(SPLIT(I1022,""/""),,1))"),44803.0)</f>
        <v>44803</v>
      </c>
      <c r="L1022" s="1">
        <v>0.0</v>
      </c>
      <c r="M1022" s="1" t="s">
        <v>1303</v>
      </c>
      <c r="N1022" s="1"/>
      <c r="O1022" s="1" t="s">
        <v>30</v>
      </c>
      <c r="P1022" s="1" t="s">
        <v>31</v>
      </c>
      <c r="Q1022" s="1" t="s">
        <v>235</v>
      </c>
      <c r="R1022" s="1" t="s">
        <v>235</v>
      </c>
      <c r="S1022" s="1" t="s">
        <v>236</v>
      </c>
      <c r="T1022" s="1" t="s">
        <v>438</v>
      </c>
      <c r="U1022" s="1">
        <v>1.00609073E8</v>
      </c>
      <c r="X1022" s="1" t="s">
        <v>88</v>
      </c>
      <c r="Y1022" s="1" t="s">
        <v>3657</v>
      </c>
      <c r="Z1022" s="1" t="s">
        <v>37</v>
      </c>
    </row>
    <row r="1023" hidden="1">
      <c r="A1023" s="1" t="s">
        <v>3658</v>
      </c>
      <c r="B1023" s="1" t="s">
        <v>301</v>
      </c>
      <c r="C1023" s="1" t="s">
        <v>3659</v>
      </c>
      <c r="D1023" s="1" t="s">
        <v>27</v>
      </c>
      <c r="E1023" s="1" t="s">
        <v>28</v>
      </c>
      <c r="F1023" s="2">
        <v>1000000.0</v>
      </c>
      <c r="G1023" s="4">
        <v>44686.0</v>
      </c>
      <c r="H1023" s="4">
        <f>IFERROR(__xludf.DUMMYFUNCTION("DATE(INDEX(SPLIT(G1023,""/""),,3),INDEX(SPLIT(G1023,""/""),,2),INDEX(SPLIT(G1023,""/""),,1))"),44686.0)</f>
        <v>44686</v>
      </c>
      <c r="I1023" s="1" t="s">
        <v>1678</v>
      </c>
      <c r="J1023" s="4">
        <f>IFERROR(__xludf.DUMMYFUNCTION("DATE(INDEX(SPLIT(I1023,""/""),,3),INDEX(SPLIT(I1023,""/""),,2),INDEX(SPLIT(I1023,""/""),,1))"),44819.0)</f>
        <v>44819</v>
      </c>
      <c r="L1023" s="1">
        <v>0.0</v>
      </c>
      <c r="M1023" s="1" t="s">
        <v>873</v>
      </c>
      <c r="N1023" s="1"/>
      <c r="O1023" s="1" t="s">
        <v>30</v>
      </c>
      <c r="P1023" s="1" t="s">
        <v>31</v>
      </c>
      <c r="Q1023" s="1" t="s">
        <v>157</v>
      </c>
      <c r="R1023" s="1" t="s">
        <v>157</v>
      </c>
      <c r="S1023" s="1" t="s">
        <v>158</v>
      </c>
      <c r="U1023" s="1">
        <v>1.00586701E8</v>
      </c>
      <c r="X1023" s="1" t="s">
        <v>305</v>
      </c>
      <c r="Y1023" s="1" t="s">
        <v>874</v>
      </c>
      <c r="Z1023" s="1" t="s">
        <v>37</v>
      </c>
    </row>
    <row r="1024" hidden="1">
      <c r="A1024" s="1" t="s">
        <v>3660</v>
      </c>
      <c r="B1024" s="1" t="s">
        <v>3661</v>
      </c>
      <c r="C1024" s="1" t="s">
        <v>3662</v>
      </c>
      <c r="D1024" s="1" t="s">
        <v>27</v>
      </c>
      <c r="E1024" s="1" t="s">
        <v>28</v>
      </c>
      <c r="F1024" s="2">
        <v>1000000.0</v>
      </c>
      <c r="G1024" s="4">
        <v>44840.0</v>
      </c>
      <c r="H1024" s="4">
        <f>IFERROR(__xludf.DUMMYFUNCTION("DATE(INDEX(SPLIT(G1024,""/""),,3),INDEX(SPLIT(G1024,""/""),,2),INDEX(SPLIT(G1024,""/""),,1))"),44722.0)</f>
        <v>44722</v>
      </c>
      <c r="I1024" s="4">
        <v>44813.0</v>
      </c>
      <c r="J1024" s="4">
        <f>IFERROR(__xludf.DUMMYFUNCTION("DATE(INDEX(SPLIT(I1024,""/""),,3),INDEX(SPLIT(I1024,""/""),,2),INDEX(SPLIT(I1024,""/""),,1))"),44813.0)</f>
        <v>44813</v>
      </c>
      <c r="L1024" s="1">
        <v>0.0</v>
      </c>
      <c r="M1024" s="1" t="s">
        <v>3663</v>
      </c>
      <c r="N1024" s="1"/>
      <c r="O1024" s="1" t="s">
        <v>30</v>
      </c>
      <c r="P1024" s="1" t="s">
        <v>31</v>
      </c>
      <c r="Q1024" s="1" t="s">
        <v>95</v>
      </c>
      <c r="R1024" s="1" t="s">
        <v>95</v>
      </c>
      <c r="S1024" s="1" t="s">
        <v>96</v>
      </c>
      <c r="T1024" s="1" t="s">
        <v>489</v>
      </c>
      <c r="U1024" s="1">
        <v>1.00620159E8</v>
      </c>
      <c r="X1024" s="1" t="s">
        <v>74</v>
      </c>
      <c r="Y1024" s="1" t="s">
        <v>3664</v>
      </c>
      <c r="Z1024" s="1" t="s">
        <v>37</v>
      </c>
    </row>
    <row r="1025" hidden="1">
      <c r="A1025" s="1" t="s">
        <v>3665</v>
      </c>
      <c r="B1025" s="1" t="s">
        <v>3666</v>
      </c>
      <c r="C1025" s="1" t="s">
        <v>3667</v>
      </c>
      <c r="D1025" s="1" t="s">
        <v>27</v>
      </c>
      <c r="E1025" s="1" t="s">
        <v>28</v>
      </c>
      <c r="F1025" s="2">
        <v>1000000.0</v>
      </c>
      <c r="G1025" s="4">
        <v>43778.0</v>
      </c>
      <c r="H1025" s="4">
        <f>IFERROR(__xludf.DUMMYFUNCTION("DATE(INDEX(SPLIT(G1025,""/""),,3),INDEX(SPLIT(G1025,""/""),,2),INDEX(SPLIT(G1025,""/""),,1))"),43719.0)</f>
        <v>43719</v>
      </c>
      <c r="I1025" s="1" t="s">
        <v>317</v>
      </c>
      <c r="J1025" s="4">
        <f>IFERROR(__xludf.DUMMYFUNCTION("DATE(INDEX(SPLIT(I1025,""/""),,3),INDEX(SPLIT(I1025,""/""),,2),INDEX(SPLIT(I1025,""/""),,1))"),44862.0)</f>
        <v>44862</v>
      </c>
      <c r="L1025" s="1">
        <v>0.0</v>
      </c>
      <c r="M1025" s="1" t="s">
        <v>2592</v>
      </c>
      <c r="N1025" s="1"/>
      <c r="O1025" s="1" t="s">
        <v>30</v>
      </c>
      <c r="P1025" s="1" t="s">
        <v>31</v>
      </c>
      <c r="Q1025" s="1" t="s">
        <v>71</v>
      </c>
      <c r="R1025" s="1" t="s">
        <v>71</v>
      </c>
      <c r="S1025" s="1" t="s">
        <v>72</v>
      </c>
      <c r="T1025" s="1" t="s">
        <v>136</v>
      </c>
      <c r="U1025" s="1">
        <v>1.00586452E8</v>
      </c>
      <c r="X1025" s="1" t="s">
        <v>74</v>
      </c>
      <c r="Y1025" s="1" t="s">
        <v>3650</v>
      </c>
      <c r="Z1025" s="1" t="s">
        <v>37</v>
      </c>
    </row>
    <row r="1026" hidden="1">
      <c r="A1026" s="1" t="s">
        <v>3668</v>
      </c>
      <c r="B1026" s="1" t="s">
        <v>1748</v>
      </c>
      <c r="C1026" s="1" t="s">
        <v>3669</v>
      </c>
      <c r="D1026" s="1" t="s">
        <v>122</v>
      </c>
      <c r="E1026" s="1" t="s">
        <v>28</v>
      </c>
      <c r="F1026" s="2">
        <v>1000000.0</v>
      </c>
      <c r="G1026" s="4">
        <v>44902.0</v>
      </c>
      <c r="H1026" s="4">
        <f>IFERROR(__xludf.DUMMYFUNCTION("DATE(INDEX(SPLIT(G1026,""/""),,3),INDEX(SPLIT(G1026,""/""),,2),INDEX(SPLIT(G1026,""/""),,1))"),44754.0)</f>
        <v>44754</v>
      </c>
      <c r="I1026" s="1" t="s">
        <v>130</v>
      </c>
      <c r="J1026" s="4">
        <f>IFERROR(__xludf.DUMMYFUNCTION("DATE(INDEX(SPLIT(I1026,""/""),,3),INDEX(SPLIT(I1026,""/""),,2),INDEX(SPLIT(I1026,""/""),,1))"),44804.0)</f>
        <v>44804</v>
      </c>
      <c r="L1026" s="1">
        <v>0.0</v>
      </c>
      <c r="M1026" s="1" t="s">
        <v>3670</v>
      </c>
      <c r="N1026" s="1"/>
      <c r="O1026" s="1" t="s">
        <v>30</v>
      </c>
      <c r="P1026" s="1" t="s">
        <v>31</v>
      </c>
      <c r="Q1026" s="1" t="s">
        <v>228</v>
      </c>
      <c r="R1026" s="1" t="s">
        <v>228</v>
      </c>
      <c r="S1026" s="1" t="s">
        <v>229</v>
      </c>
      <c r="U1026" s="1">
        <v>1.01093737E8</v>
      </c>
      <c r="X1026" s="1" t="s">
        <v>88</v>
      </c>
      <c r="Y1026" s="1" t="s">
        <v>3671</v>
      </c>
      <c r="Z1026" s="1" t="s">
        <v>206</v>
      </c>
    </row>
    <row r="1027" hidden="1">
      <c r="A1027" s="1" t="s">
        <v>3672</v>
      </c>
      <c r="B1027" s="1" t="s">
        <v>3673</v>
      </c>
      <c r="C1027" s="1" t="s">
        <v>3674</v>
      </c>
      <c r="D1027" s="1" t="s">
        <v>27</v>
      </c>
      <c r="E1027" s="1" t="s">
        <v>28</v>
      </c>
      <c r="F1027" s="2">
        <v>1000000.0</v>
      </c>
      <c r="G1027" s="1" t="s">
        <v>3675</v>
      </c>
      <c r="H1027" s="4">
        <f>IFERROR(__xludf.DUMMYFUNCTION("DATE(INDEX(SPLIT(G1027,""/""),,3),INDEX(SPLIT(G1027,""/""),,2),INDEX(SPLIT(G1027,""/""),,1))"),43328.0)</f>
        <v>43328</v>
      </c>
      <c r="I1027" s="1" t="s">
        <v>668</v>
      </c>
      <c r="J1027" s="4">
        <f>IFERROR(__xludf.DUMMYFUNCTION("DATE(INDEX(SPLIT(I1027,""/""),,3),INDEX(SPLIT(I1027,""/""),,2),INDEX(SPLIT(I1027,""/""),,1))"),45199.0)</f>
        <v>45199</v>
      </c>
      <c r="L1027" s="1">
        <v>0.0</v>
      </c>
      <c r="M1027" s="1" t="s">
        <v>1129</v>
      </c>
      <c r="N1027" s="1"/>
      <c r="O1027" s="1" t="s">
        <v>30</v>
      </c>
      <c r="P1027" s="1" t="s">
        <v>31</v>
      </c>
      <c r="Q1027" s="1" t="s">
        <v>157</v>
      </c>
      <c r="R1027" s="1" t="s">
        <v>157</v>
      </c>
      <c r="S1027" s="1" t="s">
        <v>158</v>
      </c>
      <c r="T1027" s="1" t="s">
        <v>442</v>
      </c>
      <c r="U1027" s="1">
        <v>1.00650786E8</v>
      </c>
      <c r="X1027" s="1" t="s">
        <v>125</v>
      </c>
      <c r="Y1027" s="1" t="s">
        <v>3676</v>
      </c>
      <c r="Z1027" s="1" t="s">
        <v>37</v>
      </c>
    </row>
    <row r="1028">
      <c r="A1028" s="1" t="s">
        <v>3677</v>
      </c>
      <c r="B1028" s="1" t="s">
        <v>2257</v>
      </c>
      <c r="C1028" s="1" t="s">
        <v>3678</v>
      </c>
      <c r="D1028" s="1" t="s">
        <v>27</v>
      </c>
      <c r="E1028" s="1" t="s">
        <v>28</v>
      </c>
      <c r="F1028" s="2">
        <v>1000000.0</v>
      </c>
      <c r="G1028" s="1" t="s">
        <v>1288</v>
      </c>
      <c r="H1028" s="4">
        <f>IFERROR(__xludf.DUMMYFUNCTION("DATE(INDEX(SPLIT(G1028,""/""),,3),INDEX(SPLIT(G1028,""/""),,2),INDEX(SPLIT(G1028,""/""),,1))"),44707.0)</f>
        <v>44707</v>
      </c>
      <c r="I1028" s="1" t="s">
        <v>69</v>
      </c>
      <c r="J1028" s="4">
        <f>IFERROR(__xludf.DUMMYFUNCTION("DATE(INDEX(SPLIT(I1028,""/""),,3),INDEX(SPLIT(I1028,""/""),,2),INDEX(SPLIT(I1028,""/""),,1))"),44773.0)</f>
        <v>44773</v>
      </c>
      <c r="L1028" s="1">
        <v>0.0</v>
      </c>
      <c r="M1028" s="1" t="s">
        <v>355</v>
      </c>
      <c r="N1028" s="1"/>
      <c r="O1028" s="1" t="s">
        <v>30</v>
      </c>
      <c r="P1028" s="1" t="s">
        <v>31</v>
      </c>
      <c r="Q1028" s="1" t="s">
        <v>53</v>
      </c>
      <c r="R1028" s="1" t="s">
        <v>53</v>
      </c>
      <c r="S1028" s="1" t="s">
        <v>54</v>
      </c>
      <c r="U1028" s="1">
        <v>1.01170594E8</v>
      </c>
      <c r="X1028" s="1" t="s">
        <v>88</v>
      </c>
      <c r="Y1028" s="1" t="s">
        <v>3679</v>
      </c>
      <c r="Z1028" s="1" t="s">
        <v>37</v>
      </c>
    </row>
    <row r="1029">
      <c r="A1029" s="1" t="s">
        <v>3680</v>
      </c>
      <c r="B1029" s="1" t="s">
        <v>3681</v>
      </c>
      <c r="C1029" s="1" t="s">
        <v>3682</v>
      </c>
      <c r="D1029" s="1" t="s">
        <v>27</v>
      </c>
      <c r="E1029" s="1" t="s">
        <v>28</v>
      </c>
      <c r="F1029" s="2">
        <v>1000000.0</v>
      </c>
      <c r="G1029" s="1" t="s">
        <v>3467</v>
      </c>
      <c r="H1029" s="4">
        <f>IFERROR(__xludf.DUMMYFUNCTION("DATE(INDEX(SPLIT(G1029,""/""),,3),INDEX(SPLIT(G1029,""/""),,2),INDEX(SPLIT(G1029,""/""),,1))"),44615.0)</f>
        <v>44615</v>
      </c>
      <c r="I1029" s="1" t="s">
        <v>226</v>
      </c>
      <c r="J1029" s="4">
        <f>IFERROR(__xludf.DUMMYFUNCTION("DATE(INDEX(SPLIT(I1029,""/""),,3),INDEX(SPLIT(I1029,""/""),,2),INDEX(SPLIT(I1029,""/""),,1))"),44771.0)</f>
        <v>44771</v>
      </c>
      <c r="L1029" s="1">
        <v>0.0</v>
      </c>
      <c r="M1029" s="1" t="s">
        <v>1565</v>
      </c>
      <c r="N1029" s="1"/>
      <c r="O1029" s="1" t="s">
        <v>30</v>
      </c>
      <c r="P1029" s="1" t="s">
        <v>31</v>
      </c>
      <c r="Q1029" s="1" t="s">
        <v>157</v>
      </c>
      <c r="R1029" s="1" t="s">
        <v>157</v>
      </c>
      <c r="S1029" s="1" t="s">
        <v>158</v>
      </c>
      <c r="T1029" s="1" t="s">
        <v>442</v>
      </c>
      <c r="U1029" s="1">
        <v>1.00646908E8</v>
      </c>
      <c r="X1029" s="1" t="s">
        <v>781</v>
      </c>
      <c r="Y1029" s="1" t="s">
        <v>3223</v>
      </c>
      <c r="Z1029" s="1" t="s">
        <v>37</v>
      </c>
    </row>
    <row r="1030" hidden="1">
      <c r="A1030" s="1" t="s">
        <v>3683</v>
      </c>
      <c r="B1030" s="1" t="s">
        <v>3684</v>
      </c>
      <c r="C1030" s="1" t="s">
        <v>3685</v>
      </c>
      <c r="D1030" s="1" t="s">
        <v>78</v>
      </c>
      <c r="E1030" s="1" t="s">
        <v>28</v>
      </c>
      <c r="F1030" s="2">
        <v>1000000.0</v>
      </c>
      <c r="G1030" s="1" t="s">
        <v>1674</v>
      </c>
      <c r="H1030" s="4">
        <f>IFERROR(__xludf.DUMMYFUNCTION("DATE(INDEX(SPLIT(G1030,""/""),,3),INDEX(SPLIT(G1030,""/""),,2),INDEX(SPLIT(G1030,""/""),,1))"),44617.0)</f>
        <v>44617</v>
      </c>
      <c r="I1030" s="1" t="s">
        <v>109</v>
      </c>
      <c r="J1030" s="4">
        <f>IFERROR(__xludf.DUMMYFUNCTION("DATE(INDEX(SPLIT(I1030,""/""),,3),INDEX(SPLIT(I1030,""/""),,2),INDEX(SPLIT(I1030,""/""),,1))"),44834.0)</f>
        <v>44834</v>
      </c>
      <c r="L1030" s="1">
        <v>0.0</v>
      </c>
      <c r="M1030" s="1" t="s">
        <v>3686</v>
      </c>
      <c r="N1030" s="1"/>
      <c r="O1030" s="1" t="s">
        <v>30</v>
      </c>
      <c r="P1030" s="1" t="s">
        <v>31</v>
      </c>
      <c r="Q1030" s="1" t="s">
        <v>157</v>
      </c>
      <c r="R1030" s="1" t="s">
        <v>157</v>
      </c>
      <c r="S1030" s="1" t="s">
        <v>158</v>
      </c>
      <c r="T1030" s="1" t="s">
        <v>159</v>
      </c>
      <c r="U1030" s="1">
        <v>1.01170527E8</v>
      </c>
      <c r="X1030" s="1" t="s">
        <v>490</v>
      </c>
      <c r="Y1030" s="1" t="s">
        <v>3686</v>
      </c>
      <c r="Z1030" s="1" t="s">
        <v>37</v>
      </c>
    </row>
    <row r="1031" hidden="1">
      <c r="A1031" s="1" t="s">
        <v>3687</v>
      </c>
      <c r="B1031" s="1" t="s">
        <v>1144</v>
      </c>
      <c r="C1031" s="1" t="s">
        <v>3688</v>
      </c>
      <c r="D1031" s="1" t="s">
        <v>78</v>
      </c>
      <c r="E1031" s="1" t="s">
        <v>28</v>
      </c>
      <c r="F1031" s="2">
        <v>1000000.0</v>
      </c>
      <c r="G1031" s="4">
        <v>44565.0</v>
      </c>
      <c r="H1031" s="4">
        <f>IFERROR(__xludf.DUMMYFUNCTION("DATE(INDEX(SPLIT(G1031,""/""),,3),INDEX(SPLIT(G1031,""/""),,2),INDEX(SPLIT(G1031,""/""),,1))"),44652.0)</f>
        <v>44652</v>
      </c>
      <c r="I1031" s="1" t="s">
        <v>42</v>
      </c>
      <c r="J1031" s="4">
        <f>IFERROR(__xludf.DUMMYFUNCTION("DATE(INDEX(SPLIT(I1031,""/""),,3),INDEX(SPLIT(I1031,""/""),,2),INDEX(SPLIT(I1031,""/""),,1))"),44926.0)</f>
        <v>44926</v>
      </c>
      <c r="L1031" s="1">
        <v>0.0</v>
      </c>
      <c r="M1031" s="1" t="s">
        <v>1573</v>
      </c>
      <c r="N1031" s="1"/>
      <c r="O1031" s="1" t="s">
        <v>30</v>
      </c>
      <c r="P1031" s="1" t="s">
        <v>31</v>
      </c>
      <c r="Q1031" s="1" t="s">
        <v>95</v>
      </c>
      <c r="R1031" s="1" t="s">
        <v>95</v>
      </c>
      <c r="S1031" s="1" t="s">
        <v>96</v>
      </c>
      <c r="T1031" s="1" t="s">
        <v>1386</v>
      </c>
      <c r="U1031" s="1">
        <v>1.00595231E8</v>
      </c>
      <c r="X1031" s="1" t="s">
        <v>63</v>
      </c>
      <c r="Y1031" s="1" t="s">
        <v>3689</v>
      </c>
      <c r="Z1031" s="1" t="s">
        <v>37</v>
      </c>
    </row>
    <row r="1032">
      <c r="A1032" s="1" t="s">
        <v>3690</v>
      </c>
      <c r="B1032" s="1" t="s">
        <v>434</v>
      </c>
      <c r="C1032" s="1" t="s">
        <v>3691</v>
      </c>
      <c r="D1032" s="1" t="s">
        <v>27</v>
      </c>
      <c r="E1032" s="1" t="s">
        <v>28</v>
      </c>
      <c r="F1032" s="2">
        <v>1000000.0</v>
      </c>
      <c r="G1032" s="4">
        <v>44775.0</v>
      </c>
      <c r="H1032" s="4">
        <f>IFERROR(__xludf.DUMMYFUNCTION("DATE(INDEX(SPLIT(G1032,""/""),,3),INDEX(SPLIT(G1032,""/""),,2),INDEX(SPLIT(G1032,""/""),,1))"),44600.0)</f>
        <v>44600</v>
      </c>
      <c r="I1032" s="4">
        <v>44568.0</v>
      </c>
      <c r="J1032" s="4">
        <f>IFERROR(__xludf.DUMMYFUNCTION("DATE(INDEX(SPLIT(I1032,""/""),,3),INDEX(SPLIT(I1032,""/""),,2),INDEX(SPLIT(I1032,""/""),,1))"),44743.0)</f>
        <v>44743</v>
      </c>
      <c r="L1032" s="1">
        <v>0.0</v>
      </c>
      <c r="M1032" s="1" t="s">
        <v>1759</v>
      </c>
      <c r="N1032" s="1"/>
      <c r="O1032" s="1" t="s">
        <v>30</v>
      </c>
      <c r="P1032" s="1" t="s">
        <v>31</v>
      </c>
      <c r="Q1032" s="1" t="s">
        <v>95</v>
      </c>
      <c r="R1032" s="1" t="s">
        <v>95</v>
      </c>
      <c r="S1032" s="1" t="s">
        <v>96</v>
      </c>
      <c r="T1032" s="1" t="s">
        <v>602</v>
      </c>
      <c r="U1032" s="1">
        <v>1.00596555E8</v>
      </c>
      <c r="X1032" s="1" t="s">
        <v>88</v>
      </c>
      <c r="Y1032" s="1" t="s">
        <v>1760</v>
      </c>
      <c r="Z1032" s="1" t="s">
        <v>206</v>
      </c>
    </row>
    <row r="1033" hidden="1">
      <c r="A1033" s="1" t="s">
        <v>3692</v>
      </c>
      <c r="B1033" s="1" t="s">
        <v>2257</v>
      </c>
      <c r="C1033" s="1" t="s">
        <v>3693</v>
      </c>
      <c r="D1033" s="1" t="s">
        <v>27</v>
      </c>
      <c r="E1033" s="1" t="s">
        <v>28</v>
      </c>
      <c r="F1033" s="2">
        <v>1000000.0</v>
      </c>
      <c r="G1033" s="1" t="s">
        <v>164</v>
      </c>
      <c r="H1033" s="4">
        <f>IFERROR(__xludf.DUMMYFUNCTION("DATE(INDEX(SPLIT(G1033,""/""),,3),INDEX(SPLIT(G1033,""/""),,2),INDEX(SPLIT(G1033,""/""),,1))"),44706.0)</f>
        <v>44706</v>
      </c>
      <c r="I1033" s="1" t="s">
        <v>130</v>
      </c>
      <c r="J1033" s="4">
        <f>IFERROR(__xludf.DUMMYFUNCTION("DATE(INDEX(SPLIT(I1033,""/""),,3),INDEX(SPLIT(I1033,""/""),,2),INDEX(SPLIT(I1033,""/""),,1))"),44804.0)</f>
        <v>44804</v>
      </c>
      <c r="L1033" s="1">
        <v>0.0</v>
      </c>
      <c r="M1033" s="1" t="s">
        <v>355</v>
      </c>
      <c r="N1033" s="1"/>
      <c r="O1033" s="1" t="s">
        <v>30</v>
      </c>
      <c r="P1033" s="1" t="s">
        <v>31</v>
      </c>
      <c r="Q1033" s="1" t="s">
        <v>53</v>
      </c>
      <c r="R1033" s="1" t="s">
        <v>53</v>
      </c>
      <c r="S1033" s="1" t="s">
        <v>54</v>
      </c>
      <c r="U1033" s="1">
        <v>1.01170594E8</v>
      </c>
      <c r="X1033" s="1" t="s">
        <v>88</v>
      </c>
      <c r="Y1033" s="1" t="s">
        <v>3679</v>
      </c>
      <c r="Z1033" s="1" t="s">
        <v>37</v>
      </c>
    </row>
    <row r="1034" hidden="1">
      <c r="A1034" s="1" t="s">
        <v>3694</v>
      </c>
      <c r="B1034" s="1" t="s">
        <v>427</v>
      </c>
      <c r="C1034" s="1" t="s">
        <v>3695</v>
      </c>
      <c r="D1034" s="1" t="s">
        <v>27</v>
      </c>
      <c r="E1034" s="1" t="s">
        <v>28</v>
      </c>
      <c r="F1034" s="2">
        <v>1000000.0</v>
      </c>
      <c r="G1034" s="1" t="s">
        <v>862</v>
      </c>
      <c r="H1034" s="4">
        <f>IFERROR(__xludf.DUMMYFUNCTION("DATE(INDEX(SPLIT(G1034,""/""),,3),INDEX(SPLIT(G1034,""/""),,2),INDEX(SPLIT(G1034,""/""),,1))"),44699.0)</f>
        <v>44699</v>
      </c>
      <c r="I1034" s="1" t="s">
        <v>109</v>
      </c>
      <c r="J1034" s="4">
        <f>IFERROR(__xludf.DUMMYFUNCTION("DATE(INDEX(SPLIT(I1034,""/""),,3),INDEX(SPLIT(I1034,""/""),,2),INDEX(SPLIT(I1034,""/""),,1))"),44834.0)</f>
        <v>44834</v>
      </c>
      <c r="L1034" s="1">
        <v>0.0</v>
      </c>
      <c r="M1034" s="1" t="s">
        <v>863</v>
      </c>
      <c r="N1034" s="1"/>
      <c r="O1034" s="1" t="s">
        <v>30</v>
      </c>
      <c r="P1034" s="1" t="s">
        <v>31</v>
      </c>
      <c r="Q1034" s="1" t="s">
        <v>32</v>
      </c>
      <c r="R1034" s="1" t="s">
        <v>32</v>
      </c>
      <c r="S1034" s="1" t="s">
        <v>33</v>
      </c>
      <c r="T1034" s="1" t="s">
        <v>402</v>
      </c>
      <c r="U1034" s="1">
        <v>1.00650568E8</v>
      </c>
      <c r="X1034" s="1" t="s">
        <v>125</v>
      </c>
      <c r="Y1034" s="1" t="s">
        <v>863</v>
      </c>
      <c r="Z1034" s="1" t="s">
        <v>37</v>
      </c>
    </row>
    <row r="1035">
      <c r="A1035" s="1" t="s">
        <v>3696</v>
      </c>
      <c r="B1035" s="1" t="s">
        <v>2680</v>
      </c>
      <c r="C1035" s="1" t="s">
        <v>3697</v>
      </c>
      <c r="D1035" s="1" t="s">
        <v>27</v>
      </c>
      <c r="E1035" s="1" t="s">
        <v>28</v>
      </c>
      <c r="F1035" s="2">
        <v>1000000.0</v>
      </c>
      <c r="G1035" s="4">
        <v>44083.0</v>
      </c>
      <c r="H1035" s="4">
        <f>IFERROR(__xludf.DUMMYFUNCTION("DATE(INDEX(SPLIT(G1035,""/""),,3),INDEX(SPLIT(G1035,""/""),,2),INDEX(SPLIT(G1035,""/""),,1))"),44083.0)</f>
        <v>44083</v>
      </c>
      <c r="I1035" s="1" t="s">
        <v>69</v>
      </c>
      <c r="J1035" s="4">
        <f>IFERROR(__xludf.DUMMYFUNCTION("DATE(INDEX(SPLIT(I1035,""/""),,3),INDEX(SPLIT(I1035,""/""),,2),INDEX(SPLIT(I1035,""/""),,1))"),44773.0)</f>
        <v>44773</v>
      </c>
      <c r="L1035" s="1">
        <v>0.0</v>
      </c>
      <c r="M1035" s="1" t="s">
        <v>873</v>
      </c>
      <c r="N1035" s="1"/>
      <c r="O1035" s="1" t="s">
        <v>30</v>
      </c>
      <c r="P1035" s="1" t="s">
        <v>31</v>
      </c>
      <c r="Q1035" s="1" t="s">
        <v>157</v>
      </c>
      <c r="R1035" s="1" t="s">
        <v>157</v>
      </c>
      <c r="S1035" s="1" t="s">
        <v>158</v>
      </c>
      <c r="T1035" s="1" t="s">
        <v>3698</v>
      </c>
      <c r="U1035" s="1">
        <v>1.00586701E8</v>
      </c>
      <c r="X1035" s="1" t="s">
        <v>63</v>
      </c>
      <c r="Y1035" s="1" t="s">
        <v>3699</v>
      </c>
      <c r="Z1035" s="1" t="s">
        <v>37</v>
      </c>
    </row>
    <row r="1036" hidden="1">
      <c r="A1036" s="1" t="s">
        <v>3700</v>
      </c>
      <c r="B1036" s="1" t="s">
        <v>997</v>
      </c>
      <c r="C1036" s="1" t="s">
        <v>3701</v>
      </c>
      <c r="D1036" s="1" t="s">
        <v>27</v>
      </c>
      <c r="E1036" s="1" t="s">
        <v>28</v>
      </c>
      <c r="F1036" s="2">
        <v>1000000.0</v>
      </c>
      <c r="G1036" s="4">
        <v>44626.0</v>
      </c>
      <c r="H1036" s="4">
        <f>IFERROR(__xludf.DUMMYFUNCTION("DATE(INDEX(SPLIT(G1036,""/""),,3),INDEX(SPLIT(G1036,""/""),,2),INDEX(SPLIT(G1036,""/""),,1))"),44715.0)</f>
        <v>44715</v>
      </c>
      <c r="I1036" s="1" t="s">
        <v>281</v>
      </c>
      <c r="J1036" s="4">
        <f>IFERROR(__xludf.DUMMYFUNCTION("DATE(INDEX(SPLIT(I1036,""/""),,3),INDEX(SPLIT(I1036,""/""),,2),INDEX(SPLIT(I1036,""/""),,1))"),44865.0)</f>
        <v>44865</v>
      </c>
      <c r="L1036" s="1">
        <v>0.0</v>
      </c>
      <c r="M1036" s="1" t="s">
        <v>2043</v>
      </c>
      <c r="N1036" s="1"/>
      <c r="O1036" s="1" t="s">
        <v>30</v>
      </c>
      <c r="P1036" s="1" t="s">
        <v>31</v>
      </c>
      <c r="Q1036" s="1" t="s">
        <v>53</v>
      </c>
      <c r="R1036" s="1" t="s">
        <v>53</v>
      </c>
      <c r="S1036" s="1" t="s">
        <v>54</v>
      </c>
      <c r="U1036" s="1">
        <v>1.00624533E8</v>
      </c>
      <c r="X1036" s="1" t="s">
        <v>410</v>
      </c>
      <c r="Y1036" s="1" t="s">
        <v>2061</v>
      </c>
      <c r="Z1036" s="1" t="s">
        <v>206</v>
      </c>
    </row>
    <row r="1037" hidden="1">
      <c r="A1037" s="1" t="s">
        <v>3702</v>
      </c>
      <c r="B1037" s="1" t="s">
        <v>177</v>
      </c>
      <c r="C1037" s="1" t="s">
        <v>1659</v>
      </c>
      <c r="D1037" s="1" t="s">
        <v>122</v>
      </c>
      <c r="E1037" s="1" t="s">
        <v>28</v>
      </c>
      <c r="F1037" s="2">
        <v>1000000.0</v>
      </c>
      <c r="G1037" s="4">
        <v>44477.0</v>
      </c>
      <c r="H1037" s="4">
        <f>IFERROR(__xludf.DUMMYFUNCTION("DATE(INDEX(SPLIT(G1037,""/""),,3),INDEX(SPLIT(G1037,""/""),,2),INDEX(SPLIT(G1037,""/""),,1))"),44418.0)</f>
        <v>44418</v>
      </c>
      <c r="I1037" s="4">
        <v>44958.0</v>
      </c>
      <c r="J1037" s="4">
        <f>IFERROR(__xludf.DUMMYFUNCTION("DATE(INDEX(SPLIT(I1037,""/""),,3),INDEX(SPLIT(I1037,""/""),,2),INDEX(SPLIT(I1037,""/""),,1))"),44928.0)</f>
        <v>44928</v>
      </c>
      <c r="L1037" s="1">
        <v>0.0</v>
      </c>
      <c r="M1037" s="1" t="s">
        <v>898</v>
      </c>
      <c r="N1037" s="1"/>
      <c r="O1037" s="1" t="s">
        <v>30</v>
      </c>
      <c r="P1037" s="1" t="s">
        <v>31</v>
      </c>
      <c r="Q1037" s="1" t="s">
        <v>71</v>
      </c>
      <c r="R1037" s="1" t="s">
        <v>71</v>
      </c>
      <c r="S1037" s="1" t="s">
        <v>72</v>
      </c>
      <c r="T1037" s="1" t="s">
        <v>615</v>
      </c>
      <c r="U1037" s="1">
        <v>1.00589481E8</v>
      </c>
      <c r="W1037" s="1" t="s">
        <v>56</v>
      </c>
      <c r="X1037" s="1" t="s">
        <v>74</v>
      </c>
      <c r="Y1037" s="1" t="s">
        <v>1660</v>
      </c>
      <c r="Z1037" s="1" t="s">
        <v>37</v>
      </c>
    </row>
    <row r="1038" hidden="1">
      <c r="A1038" s="1" t="s">
        <v>3703</v>
      </c>
      <c r="B1038" s="1" t="s">
        <v>637</v>
      </c>
      <c r="C1038" s="1" t="s">
        <v>3704</v>
      </c>
      <c r="D1038" s="1" t="s">
        <v>78</v>
      </c>
      <c r="E1038" s="1" t="s">
        <v>28</v>
      </c>
      <c r="F1038" s="2">
        <v>1000000.0</v>
      </c>
      <c r="G1038" s="4">
        <v>44594.0</v>
      </c>
      <c r="H1038" s="4">
        <f>IFERROR(__xludf.DUMMYFUNCTION("DATE(INDEX(SPLIT(G1038,""/""),,3),INDEX(SPLIT(G1038,""/""),,2),INDEX(SPLIT(G1038,""/""),,1))"),44594.0)</f>
        <v>44594</v>
      </c>
      <c r="I1038" s="1" t="s">
        <v>109</v>
      </c>
      <c r="J1038" s="4">
        <f>IFERROR(__xludf.DUMMYFUNCTION("DATE(INDEX(SPLIT(I1038,""/""),,3),INDEX(SPLIT(I1038,""/""),,2),INDEX(SPLIT(I1038,""/""),,1))"),44834.0)</f>
        <v>44834</v>
      </c>
      <c r="L1038" s="1">
        <v>0.0</v>
      </c>
      <c r="M1038" s="1" t="s">
        <v>3705</v>
      </c>
      <c r="N1038" s="1"/>
      <c r="O1038" s="1" t="s">
        <v>30</v>
      </c>
      <c r="P1038" s="1" t="s">
        <v>31</v>
      </c>
      <c r="Q1038" s="1" t="s">
        <v>32</v>
      </c>
      <c r="R1038" s="1" t="s">
        <v>32</v>
      </c>
      <c r="S1038" s="1" t="s">
        <v>33</v>
      </c>
      <c r="T1038" s="1" t="s">
        <v>34</v>
      </c>
      <c r="U1038" s="1">
        <v>1.00651896E8</v>
      </c>
      <c r="X1038" s="1" t="s">
        <v>35</v>
      </c>
      <c r="Y1038" s="1" t="s">
        <v>3706</v>
      </c>
      <c r="Z1038" s="1" t="s">
        <v>37</v>
      </c>
    </row>
    <row r="1039" hidden="1">
      <c r="A1039" s="1" t="s">
        <v>3707</v>
      </c>
      <c r="B1039" s="1" t="s">
        <v>301</v>
      </c>
      <c r="C1039" s="1" t="s">
        <v>3708</v>
      </c>
      <c r="D1039" s="1" t="s">
        <v>27</v>
      </c>
      <c r="E1039" s="1" t="s">
        <v>28</v>
      </c>
      <c r="F1039" s="2">
        <v>1000000.0</v>
      </c>
      <c r="G1039" s="4">
        <v>44686.0</v>
      </c>
      <c r="H1039" s="4">
        <f>IFERROR(__xludf.DUMMYFUNCTION("DATE(INDEX(SPLIT(G1039,""/""),,3),INDEX(SPLIT(G1039,""/""),,2),INDEX(SPLIT(G1039,""/""),,1))"),44686.0)</f>
        <v>44686</v>
      </c>
      <c r="I1039" s="1" t="s">
        <v>476</v>
      </c>
      <c r="J1039" s="4">
        <f>IFERROR(__xludf.DUMMYFUNCTION("DATE(INDEX(SPLIT(I1039,""/""),,3),INDEX(SPLIT(I1039,""/""),,2),INDEX(SPLIT(I1039,""/""),,1))"),44833.0)</f>
        <v>44833</v>
      </c>
      <c r="L1039" s="1">
        <v>0.0</v>
      </c>
      <c r="M1039" s="1" t="s">
        <v>873</v>
      </c>
      <c r="N1039" s="1"/>
      <c r="O1039" s="1" t="s">
        <v>30</v>
      </c>
      <c r="P1039" s="1" t="s">
        <v>31</v>
      </c>
      <c r="Q1039" s="1" t="s">
        <v>157</v>
      </c>
      <c r="R1039" s="1" t="s">
        <v>157</v>
      </c>
      <c r="S1039" s="1" t="s">
        <v>158</v>
      </c>
      <c r="U1039" s="1">
        <v>1.00586701E8</v>
      </c>
      <c r="X1039" s="1" t="s">
        <v>305</v>
      </c>
      <c r="Y1039" s="1" t="s">
        <v>874</v>
      </c>
      <c r="Z1039" s="1" t="s">
        <v>37</v>
      </c>
    </row>
    <row r="1040" hidden="1">
      <c r="A1040" s="1" t="s">
        <v>3709</v>
      </c>
      <c r="B1040" s="1" t="s">
        <v>889</v>
      </c>
      <c r="C1040" s="1" t="s">
        <v>3710</v>
      </c>
      <c r="D1040" s="1" t="s">
        <v>27</v>
      </c>
      <c r="E1040" s="1" t="s">
        <v>28</v>
      </c>
      <c r="F1040" s="2">
        <v>1000000.0</v>
      </c>
      <c r="G1040" s="4">
        <v>44594.0</v>
      </c>
      <c r="H1040" s="4">
        <f>IFERROR(__xludf.DUMMYFUNCTION("DATE(INDEX(SPLIT(G1040,""/""),,3),INDEX(SPLIT(G1040,""/""),,2),INDEX(SPLIT(G1040,""/""),,1))"),44594.0)</f>
        <v>44594</v>
      </c>
      <c r="I1040" s="1" t="s">
        <v>1361</v>
      </c>
      <c r="J1040" s="4">
        <f>IFERROR(__xludf.DUMMYFUNCTION("DATE(INDEX(SPLIT(I1040,""/""),,3),INDEX(SPLIT(I1040,""/""),,2),INDEX(SPLIT(I1040,""/""),,1))"),44827.0)</f>
        <v>44827</v>
      </c>
      <c r="L1040" s="1">
        <v>0.0</v>
      </c>
      <c r="M1040" s="1" t="s">
        <v>2020</v>
      </c>
      <c r="N1040" s="1"/>
      <c r="O1040" s="1" t="s">
        <v>30</v>
      </c>
      <c r="P1040" s="1" t="s">
        <v>31</v>
      </c>
      <c r="Q1040" s="1" t="s">
        <v>157</v>
      </c>
      <c r="R1040" s="1" t="s">
        <v>157</v>
      </c>
      <c r="S1040" s="1" t="s">
        <v>158</v>
      </c>
      <c r="T1040" s="1" t="s">
        <v>442</v>
      </c>
      <c r="U1040" s="1">
        <v>1.00650678E8</v>
      </c>
      <c r="X1040" s="1" t="s">
        <v>125</v>
      </c>
      <c r="Y1040" s="1" t="s">
        <v>847</v>
      </c>
      <c r="Z1040" s="1" t="s">
        <v>37</v>
      </c>
    </row>
    <row r="1041" hidden="1">
      <c r="A1041" s="1" t="s">
        <v>3711</v>
      </c>
      <c r="B1041" s="1" t="s">
        <v>889</v>
      </c>
      <c r="C1041" s="1" t="s">
        <v>3712</v>
      </c>
      <c r="D1041" s="1" t="s">
        <v>27</v>
      </c>
      <c r="E1041" s="1" t="s">
        <v>28</v>
      </c>
      <c r="F1041" s="2">
        <v>1000000.0</v>
      </c>
      <c r="G1041" s="4">
        <v>44594.0</v>
      </c>
      <c r="H1041" s="4">
        <f>IFERROR(__xludf.DUMMYFUNCTION("DATE(INDEX(SPLIT(G1041,""/""),,3),INDEX(SPLIT(G1041,""/""),,2),INDEX(SPLIT(G1041,""/""),,1))"),44594.0)</f>
        <v>44594</v>
      </c>
      <c r="I1041" s="1" t="s">
        <v>42</v>
      </c>
      <c r="J1041" s="4">
        <f>IFERROR(__xludf.DUMMYFUNCTION("DATE(INDEX(SPLIT(I1041,""/""),,3),INDEX(SPLIT(I1041,""/""),,2),INDEX(SPLIT(I1041,""/""),,1))"),44926.0)</f>
        <v>44926</v>
      </c>
      <c r="L1041" s="1">
        <v>0.0</v>
      </c>
      <c r="M1041" s="1" t="s">
        <v>2020</v>
      </c>
      <c r="N1041" s="1"/>
      <c r="O1041" s="1" t="s">
        <v>30</v>
      </c>
      <c r="P1041" s="1" t="s">
        <v>31</v>
      </c>
      <c r="Q1041" s="1" t="s">
        <v>157</v>
      </c>
      <c r="R1041" s="1" t="s">
        <v>157</v>
      </c>
      <c r="S1041" s="1" t="s">
        <v>158</v>
      </c>
      <c r="T1041" s="1" t="s">
        <v>442</v>
      </c>
      <c r="U1041" s="1">
        <v>1.00650678E8</v>
      </c>
      <c r="X1041" s="1" t="s">
        <v>125</v>
      </c>
      <c r="Y1041" s="1" t="s">
        <v>847</v>
      </c>
      <c r="Z1041" s="1" t="s">
        <v>37</v>
      </c>
    </row>
    <row r="1042" hidden="1">
      <c r="A1042" s="1" t="s">
        <v>3713</v>
      </c>
      <c r="B1042" s="1" t="s">
        <v>889</v>
      </c>
      <c r="C1042" s="1" t="s">
        <v>3714</v>
      </c>
      <c r="D1042" s="1" t="s">
        <v>27</v>
      </c>
      <c r="E1042" s="1" t="s">
        <v>28</v>
      </c>
      <c r="F1042" s="2">
        <v>1000000.0</v>
      </c>
      <c r="G1042" s="4">
        <v>44594.0</v>
      </c>
      <c r="H1042" s="4">
        <f>IFERROR(__xludf.DUMMYFUNCTION("DATE(INDEX(SPLIT(G1042,""/""),,3),INDEX(SPLIT(G1042,""/""),,2),INDEX(SPLIT(G1042,""/""),,1))"),44594.0)</f>
        <v>44594</v>
      </c>
      <c r="I1042" s="1" t="s">
        <v>360</v>
      </c>
      <c r="J1042" s="4">
        <f>IFERROR(__xludf.DUMMYFUNCTION("DATE(INDEX(SPLIT(I1042,""/""),,3),INDEX(SPLIT(I1042,""/""),,2),INDEX(SPLIT(I1042,""/""),,1))"),44895.0)</f>
        <v>44895</v>
      </c>
      <c r="L1042" s="1">
        <v>0.0</v>
      </c>
      <c r="M1042" s="1" t="s">
        <v>587</v>
      </c>
      <c r="N1042" s="1"/>
      <c r="O1042" s="1" t="s">
        <v>30</v>
      </c>
      <c r="P1042" s="1" t="s">
        <v>31</v>
      </c>
      <c r="Q1042" s="1" t="s">
        <v>157</v>
      </c>
      <c r="R1042" s="1" t="s">
        <v>157</v>
      </c>
      <c r="S1042" s="1" t="s">
        <v>158</v>
      </c>
      <c r="T1042" s="1" t="s">
        <v>442</v>
      </c>
      <c r="U1042" s="1">
        <v>1.00700761E8</v>
      </c>
      <c r="X1042" s="1" t="s">
        <v>125</v>
      </c>
      <c r="Y1042" s="1" t="s">
        <v>847</v>
      </c>
      <c r="Z1042" s="1" t="s">
        <v>37</v>
      </c>
    </row>
    <row r="1043" hidden="1">
      <c r="A1043" s="1" t="s">
        <v>3715</v>
      </c>
      <c r="B1043" s="1" t="s">
        <v>501</v>
      </c>
      <c r="C1043" s="1" t="s">
        <v>3716</v>
      </c>
      <c r="D1043" s="1" t="s">
        <v>78</v>
      </c>
      <c r="E1043" s="1" t="s">
        <v>28</v>
      </c>
      <c r="F1043" s="2">
        <v>1000000.0</v>
      </c>
      <c r="G1043" s="4">
        <v>44508.0</v>
      </c>
      <c r="H1043" s="4">
        <f>IFERROR(__xludf.DUMMYFUNCTION("DATE(INDEX(SPLIT(G1043,""/""),,3),INDEX(SPLIT(G1043,""/""),,2),INDEX(SPLIT(G1043,""/""),,1))"),44419.0)</f>
        <v>44419</v>
      </c>
      <c r="I1043" s="1" t="s">
        <v>109</v>
      </c>
      <c r="J1043" s="4">
        <f>IFERROR(__xludf.DUMMYFUNCTION("DATE(INDEX(SPLIT(I1043,""/""),,3),INDEX(SPLIT(I1043,""/""),,2),INDEX(SPLIT(I1043,""/""),,1))"),44834.0)</f>
        <v>44834</v>
      </c>
      <c r="L1043" s="1">
        <v>0.0</v>
      </c>
      <c r="M1043" s="1" t="s">
        <v>3717</v>
      </c>
      <c r="N1043" s="1"/>
      <c r="O1043" s="1" t="s">
        <v>30</v>
      </c>
      <c r="P1043" s="1" t="s">
        <v>31</v>
      </c>
      <c r="Q1043" s="1" t="s">
        <v>32</v>
      </c>
      <c r="R1043" s="1" t="s">
        <v>32</v>
      </c>
      <c r="S1043" s="1" t="s">
        <v>33</v>
      </c>
      <c r="T1043" s="1" t="s">
        <v>103</v>
      </c>
      <c r="U1043" s="1">
        <v>1.00651946E8</v>
      </c>
      <c r="X1043" s="1" t="s">
        <v>410</v>
      </c>
      <c r="Y1043" s="1" t="s">
        <v>3717</v>
      </c>
      <c r="Z1043" s="1" t="s">
        <v>37</v>
      </c>
    </row>
    <row r="1044" hidden="1">
      <c r="A1044" s="1" t="s">
        <v>3718</v>
      </c>
      <c r="B1044" s="1" t="s">
        <v>1971</v>
      </c>
      <c r="C1044" s="1" t="s">
        <v>3719</v>
      </c>
      <c r="D1044" s="1" t="s">
        <v>78</v>
      </c>
      <c r="E1044" s="1" t="s">
        <v>28</v>
      </c>
      <c r="F1044" s="2">
        <v>1000000.0</v>
      </c>
      <c r="G1044" s="4">
        <v>44687.0</v>
      </c>
      <c r="H1044" s="4">
        <f>IFERROR(__xludf.DUMMYFUNCTION("DATE(INDEX(SPLIT(G1044,""/""),,3),INDEX(SPLIT(G1044,""/""),,2),INDEX(SPLIT(G1044,""/""),,1))"),44717.0)</f>
        <v>44717</v>
      </c>
      <c r="I1044" s="4">
        <v>44813.0</v>
      </c>
      <c r="J1044" s="4">
        <f>IFERROR(__xludf.DUMMYFUNCTION("DATE(INDEX(SPLIT(I1044,""/""),,3),INDEX(SPLIT(I1044,""/""),,2),INDEX(SPLIT(I1044,""/""),,1))"),44813.0)</f>
        <v>44813</v>
      </c>
      <c r="L1044" s="1">
        <v>0.0</v>
      </c>
      <c r="M1044" s="1" t="s">
        <v>79</v>
      </c>
      <c r="N1044" s="1"/>
      <c r="O1044" s="1" t="s">
        <v>30</v>
      </c>
      <c r="P1044" s="1" t="s">
        <v>31</v>
      </c>
      <c r="Q1044" s="1" t="s">
        <v>32</v>
      </c>
      <c r="R1044" s="1" t="s">
        <v>32</v>
      </c>
      <c r="S1044" s="1" t="s">
        <v>33</v>
      </c>
      <c r="U1044" s="1">
        <v>1.00609569E8</v>
      </c>
      <c r="X1044" s="1" t="s">
        <v>35</v>
      </c>
      <c r="Y1044" s="1" t="s">
        <v>79</v>
      </c>
      <c r="Z1044" s="1" t="s">
        <v>37</v>
      </c>
    </row>
    <row r="1045" hidden="1">
      <c r="A1045" s="1" t="s">
        <v>3720</v>
      </c>
      <c r="B1045" s="1" t="s">
        <v>3721</v>
      </c>
      <c r="C1045" s="1" t="s">
        <v>3722</v>
      </c>
      <c r="D1045" s="1" t="s">
        <v>78</v>
      </c>
      <c r="E1045" s="1" t="s">
        <v>28</v>
      </c>
      <c r="F1045" s="2">
        <v>1000000.0</v>
      </c>
      <c r="G1045" s="1" t="s">
        <v>2244</v>
      </c>
      <c r="H1045" s="4">
        <f>IFERROR(__xludf.DUMMYFUNCTION("DATE(INDEX(SPLIT(G1045,""/""),,3),INDEX(SPLIT(G1045,""/""),,2),INDEX(SPLIT(G1045,""/""),,1))"),44634.0)</f>
        <v>44634</v>
      </c>
      <c r="I1045" s="1" t="s">
        <v>203</v>
      </c>
      <c r="J1045" s="4">
        <f>IFERROR(__xludf.DUMMYFUNCTION("DATE(INDEX(SPLIT(I1045,""/""),,3),INDEX(SPLIT(I1045,""/""),,2),INDEX(SPLIT(I1045,""/""),,1))"),44925.0)</f>
        <v>44925</v>
      </c>
      <c r="L1045" s="1">
        <v>0.0</v>
      </c>
      <c r="M1045" s="1" t="s">
        <v>852</v>
      </c>
      <c r="N1045" s="1"/>
      <c r="O1045" s="1" t="s">
        <v>30</v>
      </c>
      <c r="P1045" s="1" t="s">
        <v>31</v>
      </c>
      <c r="Q1045" s="1" t="s">
        <v>157</v>
      </c>
      <c r="R1045" s="1" t="s">
        <v>157</v>
      </c>
      <c r="S1045" s="1" t="s">
        <v>158</v>
      </c>
      <c r="T1045" s="1" t="s">
        <v>442</v>
      </c>
      <c r="U1045" s="1">
        <v>1.00648457E8</v>
      </c>
      <c r="X1045" s="1" t="s">
        <v>125</v>
      </c>
      <c r="Y1045" s="1" t="s">
        <v>852</v>
      </c>
      <c r="Z1045" s="1" t="s">
        <v>37</v>
      </c>
    </row>
    <row r="1046">
      <c r="A1046" s="1" t="s">
        <v>3723</v>
      </c>
      <c r="B1046" s="1" t="s">
        <v>992</v>
      </c>
      <c r="C1046" s="1" t="s">
        <v>3724</v>
      </c>
      <c r="D1046" s="1" t="s">
        <v>122</v>
      </c>
      <c r="E1046" s="1" t="s">
        <v>28</v>
      </c>
      <c r="F1046" s="2">
        <v>1000000.0</v>
      </c>
      <c r="G1046" s="1" t="s">
        <v>862</v>
      </c>
      <c r="H1046" s="4">
        <f>IFERROR(__xludf.DUMMYFUNCTION("DATE(INDEX(SPLIT(G1046,""/""),,3),INDEX(SPLIT(G1046,""/""),,2),INDEX(SPLIT(G1046,""/""),,1))"),44699.0)</f>
        <v>44699</v>
      </c>
      <c r="I1046" s="1" t="s">
        <v>226</v>
      </c>
      <c r="J1046" s="4">
        <f>IFERROR(__xludf.DUMMYFUNCTION("DATE(INDEX(SPLIT(I1046,""/""),,3),INDEX(SPLIT(I1046,""/""),,2),INDEX(SPLIT(I1046,""/""),,1))"),44771.0)</f>
        <v>44771</v>
      </c>
      <c r="L1046" s="1">
        <v>0.0</v>
      </c>
      <c r="M1046" s="1" t="s">
        <v>3216</v>
      </c>
      <c r="N1046" s="1"/>
      <c r="O1046" s="1" t="s">
        <v>30</v>
      </c>
      <c r="P1046" s="1" t="s">
        <v>31</v>
      </c>
      <c r="Q1046" s="1" t="s">
        <v>32</v>
      </c>
      <c r="R1046" s="1" t="s">
        <v>32</v>
      </c>
      <c r="S1046" s="1" t="s">
        <v>33</v>
      </c>
      <c r="T1046" s="1" t="s">
        <v>34</v>
      </c>
      <c r="U1046" s="1">
        <v>1.00622716E8</v>
      </c>
      <c r="X1046" s="1" t="s">
        <v>35</v>
      </c>
      <c r="Y1046" s="1" t="s">
        <v>3725</v>
      </c>
      <c r="Z1046" s="1" t="s">
        <v>37</v>
      </c>
    </row>
    <row r="1047" hidden="1">
      <c r="A1047" s="1" t="s">
        <v>3726</v>
      </c>
      <c r="B1047" s="1" t="s">
        <v>370</v>
      </c>
      <c r="C1047" s="1" t="s">
        <v>3727</v>
      </c>
      <c r="D1047" s="1" t="s">
        <v>78</v>
      </c>
      <c r="E1047" s="1" t="s">
        <v>28</v>
      </c>
      <c r="F1047" s="2">
        <v>1000000.0</v>
      </c>
      <c r="G1047" s="1" t="s">
        <v>940</v>
      </c>
      <c r="H1047" s="4">
        <f>IFERROR(__xludf.DUMMYFUNCTION("DATE(INDEX(SPLIT(G1047,""/""),,3),INDEX(SPLIT(G1047,""/""),,2),INDEX(SPLIT(G1047,""/""),,1))"),44574.0)</f>
        <v>44574</v>
      </c>
      <c r="I1047" s="1" t="s">
        <v>109</v>
      </c>
      <c r="J1047" s="4">
        <f>IFERROR(__xludf.DUMMYFUNCTION("DATE(INDEX(SPLIT(I1047,""/""),,3),INDEX(SPLIT(I1047,""/""),,2),INDEX(SPLIT(I1047,""/""),,1))"),44834.0)</f>
        <v>44834</v>
      </c>
      <c r="L1047" s="1">
        <v>0.0</v>
      </c>
      <c r="M1047" s="1" t="s">
        <v>2472</v>
      </c>
      <c r="N1047" s="1"/>
      <c r="O1047" s="1" t="s">
        <v>30</v>
      </c>
      <c r="P1047" s="1" t="s">
        <v>31</v>
      </c>
      <c r="Q1047" s="1" t="s">
        <v>228</v>
      </c>
      <c r="R1047" s="1" t="s">
        <v>228</v>
      </c>
      <c r="S1047" s="1" t="s">
        <v>229</v>
      </c>
      <c r="T1047" s="1" t="s">
        <v>640</v>
      </c>
      <c r="U1047" s="1">
        <v>1.00645232E8</v>
      </c>
      <c r="X1047" s="1" t="s">
        <v>239</v>
      </c>
      <c r="Y1047" s="1" t="s">
        <v>3728</v>
      </c>
      <c r="Z1047" s="1" t="s">
        <v>37</v>
      </c>
    </row>
    <row r="1048" hidden="1">
      <c r="A1048" s="1" t="s">
        <v>3729</v>
      </c>
      <c r="B1048" s="1" t="s">
        <v>3730</v>
      </c>
      <c r="C1048" s="1" t="s">
        <v>3731</v>
      </c>
      <c r="D1048" s="1" t="s">
        <v>27</v>
      </c>
      <c r="E1048" s="1" t="s">
        <v>28</v>
      </c>
      <c r="F1048" s="2">
        <v>1000000.0</v>
      </c>
      <c r="G1048" s="4">
        <v>44810.0</v>
      </c>
      <c r="H1048" s="4">
        <f>IFERROR(__xludf.DUMMYFUNCTION("DATE(INDEX(SPLIT(G1048,""/""),,3),INDEX(SPLIT(G1048,""/""),,2),INDEX(SPLIT(G1048,""/""),,1))"),44721.0)</f>
        <v>44721</v>
      </c>
      <c r="I1048" s="1" t="s">
        <v>1097</v>
      </c>
      <c r="J1048" s="4">
        <f>IFERROR(__xludf.DUMMYFUNCTION("DATE(INDEX(SPLIT(I1048,""/""),,3),INDEX(SPLIT(I1048,""/""),,2),INDEX(SPLIT(I1048,""/""),,1))"),45107.0)</f>
        <v>45107</v>
      </c>
      <c r="L1048" s="1">
        <v>0.0</v>
      </c>
      <c r="M1048" s="1" t="s">
        <v>941</v>
      </c>
      <c r="N1048" s="1"/>
      <c r="O1048" s="1" t="s">
        <v>30</v>
      </c>
      <c r="P1048" s="1" t="s">
        <v>31</v>
      </c>
      <c r="Q1048" s="1" t="s">
        <v>235</v>
      </c>
      <c r="R1048" s="1" t="s">
        <v>235</v>
      </c>
      <c r="S1048" s="1" t="s">
        <v>236</v>
      </c>
      <c r="T1048" s="1" t="s">
        <v>438</v>
      </c>
      <c r="U1048" s="1">
        <v>1.00652846E8</v>
      </c>
      <c r="X1048" s="1" t="s">
        <v>88</v>
      </c>
      <c r="Y1048" s="1" t="s">
        <v>3732</v>
      </c>
      <c r="Z1048" s="1" t="s">
        <v>37</v>
      </c>
    </row>
    <row r="1049" hidden="1">
      <c r="A1049" s="1" t="s">
        <v>3733</v>
      </c>
      <c r="B1049" s="1" t="s">
        <v>3734</v>
      </c>
      <c r="C1049" s="1" t="s">
        <v>3735</v>
      </c>
      <c r="D1049" s="1" t="s">
        <v>122</v>
      </c>
      <c r="E1049" s="1" t="s">
        <v>28</v>
      </c>
      <c r="F1049" s="2">
        <v>1000000.0</v>
      </c>
      <c r="G1049" s="1" t="s">
        <v>1467</v>
      </c>
      <c r="H1049" s="4">
        <f>IFERROR(__xludf.DUMMYFUNCTION("DATE(INDEX(SPLIT(G1049,""/""),,3),INDEX(SPLIT(G1049,""/""),,2),INDEX(SPLIT(G1049,""/""),,1))"),44396.0)</f>
        <v>44396</v>
      </c>
      <c r="I1049" s="4">
        <v>44569.0</v>
      </c>
      <c r="J1049" s="4">
        <f>IFERROR(__xludf.DUMMYFUNCTION("DATE(INDEX(SPLIT(I1049,""/""),,3),INDEX(SPLIT(I1049,""/""),,2),INDEX(SPLIT(I1049,""/""),,1))"),44774.0)</f>
        <v>44774</v>
      </c>
      <c r="L1049" s="1">
        <v>0.0</v>
      </c>
      <c r="M1049" s="1" t="s">
        <v>1741</v>
      </c>
      <c r="N1049" s="1"/>
      <c r="O1049" s="1" t="s">
        <v>30</v>
      </c>
      <c r="P1049" s="1" t="s">
        <v>31</v>
      </c>
      <c r="Q1049" s="1" t="s">
        <v>32</v>
      </c>
      <c r="R1049" s="1" t="s">
        <v>32</v>
      </c>
      <c r="S1049" s="1" t="s">
        <v>33</v>
      </c>
      <c r="T1049" s="1" t="s">
        <v>34</v>
      </c>
      <c r="U1049" s="1">
        <v>1.00645852E8</v>
      </c>
      <c r="X1049" s="1" t="s">
        <v>35</v>
      </c>
      <c r="Y1049" s="1" t="s">
        <v>327</v>
      </c>
      <c r="Z1049" s="1" t="s">
        <v>37</v>
      </c>
    </row>
    <row r="1050" hidden="1">
      <c r="A1050" s="1" t="s">
        <v>3736</v>
      </c>
      <c r="B1050" s="1" t="s">
        <v>3734</v>
      </c>
      <c r="C1050" s="1" t="s">
        <v>3737</v>
      </c>
      <c r="D1050" s="1" t="s">
        <v>27</v>
      </c>
      <c r="E1050" s="1" t="s">
        <v>28</v>
      </c>
      <c r="F1050" s="2">
        <v>1000000.0</v>
      </c>
      <c r="G1050" s="1" t="s">
        <v>1467</v>
      </c>
      <c r="H1050" s="4">
        <f>IFERROR(__xludf.DUMMYFUNCTION("DATE(INDEX(SPLIT(G1050,""/""),,3),INDEX(SPLIT(G1050,""/""),,2),INDEX(SPLIT(G1050,""/""),,1))"),44396.0)</f>
        <v>44396</v>
      </c>
      <c r="I1050" s="1" t="s">
        <v>109</v>
      </c>
      <c r="J1050" s="4">
        <f>IFERROR(__xludf.DUMMYFUNCTION("DATE(INDEX(SPLIT(I1050,""/""),,3),INDEX(SPLIT(I1050,""/""),,2),INDEX(SPLIT(I1050,""/""),,1))"),44834.0)</f>
        <v>44834</v>
      </c>
      <c r="L1050" s="1">
        <v>0.0</v>
      </c>
      <c r="M1050" s="1" t="s">
        <v>156</v>
      </c>
      <c r="N1050" s="1"/>
      <c r="O1050" s="1" t="s">
        <v>30</v>
      </c>
      <c r="P1050" s="1" t="s">
        <v>31</v>
      </c>
      <c r="Q1050" s="1" t="s">
        <v>157</v>
      </c>
      <c r="R1050" s="1" t="s">
        <v>157</v>
      </c>
      <c r="S1050" s="1" t="s">
        <v>158</v>
      </c>
      <c r="T1050" s="1" t="s">
        <v>159</v>
      </c>
      <c r="U1050" s="1">
        <v>1.00619165E8</v>
      </c>
      <c r="X1050" s="1" t="s">
        <v>35</v>
      </c>
      <c r="Y1050" s="1" t="s">
        <v>327</v>
      </c>
      <c r="Z1050" s="1" t="s">
        <v>37</v>
      </c>
    </row>
    <row r="1051" hidden="1">
      <c r="A1051" s="1" t="s">
        <v>3738</v>
      </c>
      <c r="B1051" s="1" t="s">
        <v>2735</v>
      </c>
      <c r="C1051" s="1" t="s">
        <v>3739</v>
      </c>
      <c r="D1051" s="1" t="s">
        <v>27</v>
      </c>
      <c r="E1051" s="1" t="s">
        <v>28</v>
      </c>
      <c r="F1051" s="2">
        <v>1000000.0</v>
      </c>
      <c r="G1051" s="1" t="s">
        <v>359</v>
      </c>
      <c r="H1051" s="4">
        <f>IFERROR(__xludf.DUMMYFUNCTION("DATE(INDEX(SPLIT(G1051,""/""),,3),INDEX(SPLIT(G1051,""/""),,2),INDEX(SPLIT(G1051,""/""),,1))"),44740.0)</f>
        <v>44740</v>
      </c>
      <c r="I1051" s="1" t="s">
        <v>109</v>
      </c>
      <c r="J1051" s="4">
        <f>IFERROR(__xludf.DUMMYFUNCTION("DATE(INDEX(SPLIT(I1051,""/""),,3),INDEX(SPLIT(I1051,""/""),,2),INDEX(SPLIT(I1051,""/""),,1))"),44834.0)</f>
        <v>44834</v>
      </c>
      <c r="L1051" s="1">
        <v>0.0</v>
      </c>
      <c r="M1051" s="1" t="s">
        <v>3170</v>
      </c>
      <c r="N1051" s="1"/>
      <c r="O1051" s="1" t="s">
        <v>30</v>
      </c>
      <c r="P1051" s="1" t="s">
        <v>31</v>
      </c>
      <c r="Q1051" s="1" t="s">
        <v>157</v>
      </c>
      <c r="R1051" s="1" t="s">
        <v>157</v>
      </c>
      <c r="S1051" s="1" t="s">
        <v>158</v>
      </c>
      <c r="T1051" s="1" t="s">
        <v>442</v>
      </c>
      <c r="U1051" s="1">
        <v>1.00626436E8</v>
      </c>
      <c r="W1051" s="1" t="s">
        <v>389</v>
      </c>
      <c r="X1051" s="1" t="s">
        <v>490</v>
      </c>
      <c r="Y1051" s="1" t="s">
        <v>3171</v>
      </c>
      <c r="Z1051" s="1" t="s">
        <v>37</v>
      </c>
    </row>
    <row r="1052" hidden="1">
      <c r="A1052" s="1" t="s">
        <v>3740</v>
      </c>
      <c r="B1052" s="1" t="s">
        <v>2135</v>
      </c>
      <c r="C1052" s="1" t="s">
        <v>3741</v>
      </c>
      <c r="D1052" s="1" t="s">
        <v>27</v>
      </c>
      <c r="E1052" s="1" t="s">
        <v>28</v>
      </c>
      <c r="F1052" s="2">
        <v>1000000.0</v>
      </c>
      <c r="G1052" s="4">
        <v>44598.0</v>
      </c>
      <c r="H1052" s="4">
        <f>IFERROR(__xludf.DUMMYFUNCTION("DATE(INDEX(SPLIT(G1052,""/""),,3),INDEX(SPLIT(G1052,""/""),,2),INDEX(SPLIT(G1052,""/""),,1))"),44714.0)</f>
        <v>44714</v>
      </c>
      <c r="I1052" s="1" t="s">
        <v>42</v>
      </c>
      <c r="J1052" s="4">
        <f>IFERROR(__xludf.DUMMYFUNCTION("DATE(INDEX(SPLIT(I1052,""/""),,3),INDEX(SPLIT(I1052,""/""),,2),INDEX(SPLIT(I1052,""/""),,1))"),44926.0)</f>
        <v>44926</v>
      </c>
      <c r="L1052" s="1">
        <v>0.0</v>
      </c>
      <c r="M1052" s="1" t="s">
        <v>3742</v>
      </c>
      <c r="N1052" s="1"/>
      <c r="O1052" s="1" t="s">
        <v>30</v>
      </c>
      <c r="P1052" s="1" t="s">
        <v>31</v>
      </c>
      <c r="Q1052" s="1" t="s">
        <v>95</v>
      </c>
      <c r="R1052" s="1" t="s">
        <v>95</v>
      </c>
      <c r="S1052" s="1" t="s">
        <v>96</v>
      </c>
      <c r="T1052" s="1" t="s">
        <v>311</v>
      </c>
      <c r="U1052" s="1">
        <v>1.00592784E8</v>
      </c>
      <c r="X1052" s="1" t="s">
        <v>361</v>
      </c>
      <c r="Y1052" s="1" t="s">
        <v>2138</v>
      </c>
      <c r="Z1052" s="1" t="s">
        <v>37</v>
      </c>
    </row>
    <row r="1053" hidden="1">
      <c r="A1053" s="1" t="s">
        <v>3743</v>
      </c>
      <c r="B1053" s="1" t="s">
        <v>1692</v>
      </c>
      <c r="C1053" s="1" t="s">
        <v>3744</v>
      </c>
      <c r="D1053" s="1" t="s">
        <v>27</v>
      </c>
      <c r="E1053" s="1" t="s">
        <v>28</v>
      </c>
      <c r="F1053" s="2">
        <v>1000000.0</v>
      </c>
      <c r="G1053" s="1" t="s">
        <v>3745</v>
      </c>
      <c r="H1053" s="4">
        <f>IFERROR(__xludf.DUMMYFUNCTION("DATE(INDEX(SPLIT(G1053,""/""),,3),INDEX(SPLIT(G1053,""/""),,2),INDEX(SPLIT(G1053,""/""),,1))"),44343.0)</f>
        <v>44343</v>
      </c>
      <c r="I1053" s="1" t="s">
        <v>165</v>
      </c>
      <c r="J1053" s="4">
        <f>IFERROR(__xludf.DUMMYFUNCTION("DATE(INDEX(SPLIT(I1053,""/""),,3),INDEX(SPLIT(I1053,""/""),,2),INDEX(SPLIT(I1053,""/""),,1))"),44803.0)</f>
        <v>44803</v>
      </c>
      <c r="L1053" s="1">
        <v>0.0</v>
      </c>
      <c r="M1053" s="1" t="s">
        <v>941</v>
      </c>
      <c r="N1053" s="1"/>
      <c r="O1053" s="1" t="s">
        <v>30</v>
      </c>
      <c r="P1053" s="1" t="s">
        <v>31</v>
      </c>
      <c r="Q1053" s="1" t="s">
        <v>235</v>
      </c>
      <c r="R1053" s="1" t="s">
        <v>235</v>
      </c>
      <c r="S1053" s="1" t="s">
        <v>236</v>
      </c>
      <c r="T1053" s="1" t="s">
        <v>438</v>
      </c>
      <c r="U1053" s="1">
        <v>1.00652846E8</v>
      </c>
      <c r="X1053" s="1" t="s">
        <v>88</v>
      </c>
      <c r="Y1053" s="1" t="s">
        <v>941</v>
      </c>
      <c r="Z1053" s="1" t="s">
        <v>37</v>
      </c>
    </row>
    <row r="1054" hidden="1">
      <c r="A1054" s="1" t="s">
        <v>3746</v>
      </c>
      <c r="B1054" s="1" t="s">
        <v>1820</v>
      </c>
      <c r="C1054" s="1" t="s">
        <v>3747</v>
      </c>
      <c r="D1054" s="1" t="s">
        <v>122</v>
      </c>
      <c r="E1054" s="1" t="s">
        <v>28</v>
      </c>
      <c r="F1054" s="2">
        <v>1000000.0</v>
      </c>
      <c r="G1054" s="4">
        <v>44869.0</v>
      </c>
      <c r="H1054" s="4">
        <f>IFERROR(__xludf.DUMMYFUNCTION("DATE(INDEX(SPLIT(G1054,""/""),,3),INDEX(SPLIT(G1054,""/""),,2),INDEX(SPLIT(G1054,""/""),,1))"),44662.0)</f>
        <v>44662</v>
      </c>
      <c r="I1054" s="4">
        <v>44630.0</v>
      </c>
      <c r="J1054" s="4">
        <f>IFERROR(__xludf.DUMMYFUNCTION("DATE(INDEX(SPLIT(I1054,""/""),,3),INDEX(SPLIT(I1054,""/""),,2),INDEX(SPLIT(I1054,""/""),,1))"),44837.0)</f>
        <v>44837</v>
      </c>
      <c r="L1054" s="1">
        <v>0.0</v>
      </c>
      <c r="M1054" s="1" t="s">
        <v>929</v>
      </c>
      <c r="N1054" s="1"/>
      <c r="O1054" s="1" t="s">
        <v>30</v>
      </c>
      <c r="P1054" s="1" t="s">
        <v>31</v>
      </c>
      <c r="Q1054" s="1" t="s">
        <v>71</v>
      </c>
      <c r="R1054" s="1" t="s">
        <v>71</v>
      </c>
      <c r="S1054" s="1" t="s">
        <v>72</v>
      </c>
      <c r="T1054" s="1" t="s">
        <v>136</v>
      </c>
      <c r="U1054" s="1">
        <v>1.00649698E8</v>
      </c>
      <c r="X1054" s="1" t="s">
        <v>74</v>
      </c>
      <c r="Y1054" s="1" t="s">
        <v>824</v>
      </c>
      <c r="Z1054" s="1" t="s">
        <v>37</v>
      </c>
    </row>
    <row r="1055" hidden="1">
      <c r="A1055" s="1" t="s">
        <v>3748</v>
      </c>
      <c r="B1055" s="1" t="s">
        <v>39</v>
      </c>
      <c r="C1055" s="1" t="s">
        <v>3749</v>
      </c>
      <c r="D1055" s="1" t="s">
        <v>27</v>
      </c>
      <c r="E1055" s="1" t="s">
        <v>28</v>
      </c>
      <c r="F1055" s="2">
        <v>1000000.0</v>
      </c>
      <c r="G1055" s="1" t="s">
        <v>3595</v>
      </c>
      <c r="H1055" s="4">
        <f>IFERROR(__xludf.DUMMYFUNCTION("DATE(INDEX(SPLIT(G1055,""/""),,3),INDEX(SPLIT(G1055,""/""),,2),INDEX(SPLIT(G1055,""/""),,1))"),44460.0)</f>
        <v>44460</v>
      </c>
      <c r="I1055" s="4">
        <v>44629.0</v>
      </c>
      <c r="J1055" s="4">
        <f>IFERROR(__xludf.DUMMYFUNCTION("DATE(INDEX(SPLIT(I1055,""/""),,3),INDEX(SPLIT(I1055,""/""),,2),INDEX(SPLIT(I1055,""/""),,1))"),44807.0)</f>
        <v>44807</v>
      </c>
      <c r="L1055" s="1">
        <v>0.0</v>
      </c>
      <c r="M1055" s="1" t="s">
        <v>43</v>
      </c>
      <c r="N1055" s="1"/>
      <c r="O1055" s="1" t="s">
        <v>30</v>
      </c>
      <c r="P1055" s="1" t="s">
        <v>31</v>
      </c>
      <c r="Q1055" s="1" t="s">
        <v>32</v>
      </c>
      <c r="R1055" s="1" t="s">
        <v>32</v>
      </c>
      <c r="S1055" s="1" t="s">
        <v>33</v>
      </c>
      <c r="T1055" s="1" t="s">
        <v>1386</v>
      </c>
      <c r="U1055" s="1">
        <v>1.00587944E8</v>
      </c>
      <c r="X1055" s="1" t="s">
        <v>46</v>
      </c>
      <c r="Y1055" s="1" t="s">
        <v>842</v>
      </c>
      <c r="Z1055" s="1" t="s">
        <v>37</v>
      </c>
    </row>
    <row r="1056" hidden="1">
      <c r="A1056" s="1" t="s">
        <v>3750</v>
      </c>
      <c r="B1056" s="1" t="s">
        <v>3751</v>
      </c>
      <c r="C1056" s="1" t="s">
        <v>3752</v>
      </c>
      <c r="D1056" s="1" t="s">
        <v>27</v>
      </c>
      <c r="E1056" s="1" t="s">
        <v>28</v>
      </c>
      <c r="F1056" s="2">
        <v>1000000.0</v>
      </c>
      <c r="G1056" s="4">
        <v>44900.0</v>
      </c>
      <c r="H1056" s="4">
        <f>IFERROR(__xludf.DUMMYFUNCTION("DATE(INDEX(SPLIT(G1056,""/""),,3),INDEX(SPLIT(G1056,""/""),,2),INDEX(SPLIT(G1056,""/""),,1))"),44693.0)</f>
        <v>44693</v>
      </c>
      <c r="I1056" s="4">
        <v>44931.0</v>
      </c>
      <c r="J1056" s="4">
        <f>IFERROR(__xludf.DUMMYFUNCTION("DATE(INDEX(SPLIT(I1056,""/""),,3),INDEX(SPLIT(I1056,""/""),,2),INDEX(SPLIT(I1056,""/""),,1))"),45047.0)</f>
        <v>45047</v>
      </c>
      <c r="L1056" s="1">
        <v>0.0</v>
      </c>
      <c r="M1056" s="1" t="s">
        <v>914</v>
      </c>
      <c r="N1056" s="1"/>
      <c r="O1056" s="1" t="s">
        <v>30</v>
      </c>
      <c r="P1056" s="1" t="s">
        <v>31</v>
      </c>
      <c r="Q1056" s="1" t="s">
        <v>71</v>
      </c>
      <c r="R1056" s="1" t="s">
        <v>71</v>
      </c>
      <c r="S1056" s="1" t="s">
        <v>72</v>
      </c>
      <c r="T1056" s="1" t="s">
        <v>136</v>
      </c>
      <c r="U1056" s="1">
        <v>1.01033479E8</v>
      </c>
      <c r="X1056" s="1" t="s">
        <v>74</v>
      </c>
      <c r="Y1056" s="1" t="s">
        <v>913</v>
      </c>
      <c r="Z1056" s="1" t="s">
        <v>37</v>
      </c>
    </row>
    <row r="1057" hidden="1">
      <c r="A1057" s="1" t="s">
        <v>3753</v>
      </c>
      <c r="B1057" s="1" t="s">
        <v>1797</v>
      </c>
      <c r="C1057" s="1" t="s">
        <v>3754</v>
      </c>
      <c r="D1057" s="1" t="s">
        <v>27</v>
      </c>
      <c r="E1057" s="1" t="s">
        <v>28</v>
      </c>
      <c r="F1057" s="2">
        <v>1000000.0</v>
      </c>
      <c r="G1057" s="1" t="s">
        <v>418</v>
      </c>
      <c r="H1057" s="4">
        <f>IFERROR(__xludf.DUMMYFUNCTION("DATE(INDEX(SPLIT(G1057,""/""),,3),INDEX(SPLIT(G1057,""/""),,2),INDEX(SPLIT(G1057,""/""),,1))"),44755.0)</f>
        <v>44755</v>
      </c>
      <c r="I1057" s="1" t="s">
        <v>109</v>
      </c>
      <c r="J1057" s="4">
        <f>IFERROR(__xludf.DUMMYFUNCTION("DATE(INDEX(SPLIT(I1057,""/""),,3),INDEX(SPLIT(I1057,""/""),,2),INDEX(SPLIT(I1057,""/""),,1))"),44834.0)</f>
        <v>44834</v>
      </c>
      <c r="L1057" s="1">
        <v>0.0</v>
      </c>
      <c r="M1057" s="1" t="s">
        <v>3755</v>
      </c>
      <c r="N1057" s="1"/>
      <c r="O1057" s="1" t="s">
        <v>30</v>
      </c>
      <c r="P1057" s="1" t="s">
        <v>31</v>
      </c>
      <c r="Q1057" s="1" t="s">
        <v>95</v>
      </c>
      <c r="R1057" s="1" t="s">
        <v>95</v>
      </c>
      <c r="S1057" s="1" t="s">
        <v>96</v>
      </c>
      <c r="U1057" s="1">
        <v>1.00627283E8</v>
      </c>
      <c r="X1057" s="1" t="s">
        <v>490</v>
      </c>
      <c r="Y1057" s="1" t="s">
        <v>3755</v>
      </c>
      <c r="Z1057" s="1" t="s">
        <v>206</v>
      </c>
    </row>
    <row r="1058">
      <c r="A1058" s="1" t="s">
        <v>3756</v>
      </c>
      <c r="B1058" s="1" t="s">
        <v>3757</v>
      </c>
      <c r="C1058" s="1" t="s">
        <v>3758</v>
      </c>
      <c r="D1058" s="1" t="s">
        <v>78</v>
      </c>
      <c r="E1058" s="1" t="s">
        <v>28</v>
      </c>
      <c r="F1058" s="2">
        <v>1000000.0</v>
      </c>
      <c r="G1058" s="1" t="s">
        <v>586</v>
      </c>
      <c r="H1058" s="4">
        <f>IFERROR(__xludf.DUMMYFUNCTION("DATE(INDEX(SPLIT(G1058,""/""),,3),INDEX(SPLIT(G1058,""/""),,2),INDEX(SPLIT(G1058,""/""),,1))"),44726.0)</f>
        <v>44726</v>
      </c>
      <c r="I1058" s="1" t="s">
        <v>226</v>
      </c>
      <c r="J1058" s="4">
        <f>IFERROR(__xludf.DUMMYFUNCTION("DATE(INDEX(SPLIT(I1058,""/""),,3),INDEX(SPLIT(I1058,""/""),,2),INDEX(SPLIT(I1058,""/""),,1))"),44771.0)</f>
        <v>44771</v>
      </c>
      <c r="L1058" s="1">
        <v>0.0</v>
      </c>
      <c r="M1058" s="1" t="s">
        <v>406</v>
      </c>
      <c r="N1058" s="1"/>
      <c r="O1058" s="1" t="s">
        <v>30</v>
      </c>
      <c r="P1058" s="1" t="s">
        <v>31</v>
      </c>
      <c r="Q1058" s="1" t="s">
        <v>32</v>
      </c>
      <c r="R1058" s="1" t="s">
        <v>32</v>
      </c>
      <c r="S1058" s="1" t="s">
        <v>33</v>
      </c>
      <c r="T1058" s="1" t="s">
        <v>3759</v>
      </c>
      <c r="U1058" s="1">
        <v>1.00642129E8</v>
      </c>
      <c r="X1058" s="1" t="s">
        <v>289</v>
      </c>
      <c r="Y1058" s="1" t="s">
        <v>3760</v>
      </c>
      <c r="Z1058" s="1" t="s">
        <v>37</v>
      </c>
    </row>
    <row r="1059" hidden="1">
      <c r="A1059" s="1" t="s">
        <v>3761</v>
      </c>
      <c r="B1059" s="1" t="s">
        <v>1492</v>
      </c>
      <c r="C1059" s="1" t="s">
        <v>3762</v>
      </c>
      <c r="D1059" s="1" t="s">
        <v>78</v>
      </c>
      <c r="E1059" s="1" t="s">
        <v>28</v>
      </c>
      <c r="F1059" s="2">
        <v>1000000.0</v>
      </c>
      <c r="G1059" s="1" t="s">
        <v>2796</v>
      </c>
      <c r="H1059" s="4">
        <f>IFERROR(__xludf.DUMMYFUNCTION("DATE(INDEX(SPLIT(G1059,""/""),,3),INDEX(SPLIT(G1059,""/""),,2),INDEX(SPLIT(G1059,""/""),,1))"),44464.0)</f>
        <v>44464</v>
      </c>
      <c r="I1059" s="1" t="s">
        <v>203</v>
      </c>
      <c r="J1059" s="4">
        <f>IFERROR(__xludf.DUMMYFUNCTION("DATE(INDEX(SPLIT(I1059,""/""),,3),INDEX(SPLIT(I1059,""/""),,2),INDEX(SPLIT(I1059,""/""),,1))"),44925.0)</f>
        <v>44925</v>
      </c>
      <c r="L1059" s="1">
        <v>0.0</v>
      </c>
      <c r="M1059" s="1" t="s">
        <v>1741</v>
      </c>
      <c r="N1059" s="1"/>
      <c r="O1059" s="1" t="s">
        <v>30</v>
      </c>
      <c r="P1059" s="1" t="s">
        <v>31</v>
      </c>
      <c r="Q1059" s="1" t="s">
        <v>32</v>
      </c>
      <c r="R1059" s="1" t="s">
        <v>32</v>
      </c>
      <c r="S1059" s="1" t="s">
        <v>33</v>
      </c>
      <c r="T1059" s="1" t="s">
        <v>103</v>
      </c>
      <c r="U1059" s="1">
        <v>1.00645852E8</v>
      </c>
      <c r="X1059" s="1" t="s">
        <v>81</v>
      </c>
      <c r="Y1059" s="1" t="s">
        <v>104</v>
      </c>
      <c r="Z1059" s="1" t="s">
        <v>37</v>
      </c>
    </row>
    <row r="1060">
      <c r="A1060" s="1" t="s">
        <v>3763</v>
      </c>
      <c r="B1060" s="1" t="s">
        <v>3673</v>
      </c>
      <c r="C1060" s="1" t="s">
        <v>3764</v>
      </c>
      <c r="D1060" s="1" t="s">
        <v>27</v>
      </c>
      <c r="E1060" s="1" t="s">
        <v>28</v>
      </c>
      <c r="F1060" s="2">
        <v>1000000.0</v>
      </c>
      <c r="G1060" s="4">
        <v>44594.0</v>
      </c>
      <c r="H1060" s="4">
        <f>IFERROR(__xludf.DUMMYFUNCTION("DATE(INDEX(SPLIT(G1060,""/""),,3),INDEX(SPLIT(G1060,""/""),,2),INDEX(SPLIT(G1060,""/""),,1))"),44594.0)</f>
        <v>44594</v>
      </c>
      <c r="I1060" s="1" t="s">
        <v>1244</v>
      </c>
      <c r="J1060" s="4">
        <f>IFERROR(__xludf.DUMMYFUNCTION("DATE(INDEX(SPLIT(I1060,""/""),,3),INDEX(SPLIT(I1060,""/""),,2),INDEX(SPLIT(I1060,""/""),,1))"),44742.0)</f>
        <v>44742</v>
      </c>
      <c r="L1060" s="1">
        <v>0.0</v>
      </c>
      <c r="M1060" s="1" t="s">
        <v>891</v>
      </c>
      <c r="N1060" s="1"/>
      <c r="O1060" s="1" t="s">
        <v>30</v>
      </c>
      <c r="P1060" s="1" t="s">
        <v>31</v>
      </c>
      <c r="Q1060" s="1" t="s">
        <v>32</v>
      </c>
      <c r="R1060" s="1" t="s">
        <v>32</v>
      </c>
      <c r="S1060" s="1" t="s">
        <v>33</v>
      </c>
      <c r="T1060" s="1" t="s">
        <v>442</v>
      </c>
      <c r="U1060" s="1">
        <v>1.00866856E8</v>
      </c>
      <c r="X1060" s="1" t="s">
        <v>117</v>
      </c>
      <c r="Y1060" s="1" t="s">
        <v>891</v>
      </c>
      <c r="Z1060" s="1" t="s">
        <v>37</v>
      </c>
    </row>
    <row r="1061" hidden="1">
      <c r="A1061" s="1" t="s">
        <v>3765</v>
      </c>
      <c r="B1061" s="1" t="s">
        <v>2345</v>
      </c>
      <c r="C1061" s="1" t="s">
        <v>3766</v>
      </c>
      <c r="D1061" s="1" t="s">
        <v>27</v>
      </c>
      <c r="E1061" s="1" t="s">
        <v>28</v>
      </c>
      <c r="F1061" s="2">
        <v>1000000.0</v>
      </c>
      <c r="G1061" s="1" t="s">
        <v>248</v>
      </c>
      <c r="H1061" s="4">
        <f>IFERROR(__xludf.DUMMYFUNCTION("DATE(INDEX(SPLIT(G1061,""/""),,3),INDEX(SPLIT(G1061,""/""),,2),INDEX(SPLIT(G1061,""/""),,1))"),44483.0)</f>
        <v>44483</v>
      </c>
      <c r="I1061" s="1" t="s">
        <v>3767</v>
      </c>
      <c r="J1061" s="4">
        <f>IFERROR(__xludf.DUMMYFUNCTION("DATE(INDEX(SPLIT(I1061,""/""),,3),INDEX(SPLIT(I1061,""/""),,2),INDEX(SPLIT(I1061,""/""),,1))"),44847.0)</f>
        <v>44847</v>
      </c>
      <c r="L1061" s="1">
        <v>0.0</v>
      </c>
      <c r="M1061" s="1" t="s">
        <v>3768</v>
      </c>
      <c r="N1061" s="1"/>
      <c r="O1061" s="1" t="s">
        <v>30</v>
      </c>
      <c r="P1061" s="1" t="s">
        <v>31</v>
      </c>
      <c r="Q1061" s="1" t="s">
        <v>157</v>
      </c>
      <c r="R1061" s="1" t="s">
        <v>157</v>
      </c>
      <c r="S1061" s="1" t="s">
        <v>158</v>
      </c>
      <c r="U1061" s="1">
        <v>1.00633763E8</v>
      </c>
      <c r="X1061" s="1" t="s">
        <v>63</v>
      </c>
      <c r="Y1061" s="1" t="s">
        <v>3769</v>
      </c>
      <c r="Z1061" s="1" t="s">
        <v>37</v>
      </c>
    </row>
    <row r="1062" hidden="1">
      <c r="A1062" s="1" t="s">
        <v>3770</v>
      </c>
      <c r="B1062" s="1" t="s">
        <v>3771</v>
      </c>
      <c r="C1062" s="1" t="s">
        <v>3772</v>
      </c>
      <c r="D1062" s="1" t="s">
        <v>27</v>
      </c>
      <c r="E1062" s="1" t="s">
        <v>28</v>
      </c>
      <c r="F1062" s="2">
        <v>1000000.0</v>
      </c>
      <c r="G1062" s="4">
        <v>44902.0</v>
      </c>
      <c r="H1062" s="4">
        <f>IFERROR(__xludf.DUMMYFUNCTION("DATE(INDEX(SPLIT(G1062,""/""),,3),INDEX(SPLIT(G1062,""/""),,2),INDEX(SPLIT(G1062,""/""),,1))"),44754.0)</f>
        <v>44754</v>
      </c>
      <c r="I1062" s="1" t="s">
        <v>281</v>
      </c>
      <c r="J1062" s="4">
        <f>IFERROR(__xludf.DUMMYFUNCTION("DATE(INDEX(SPLIT(I1062,""/""),,3),INDEX(SPLIT(I1062,""/""),,2),INDEX(SPLIT(I1062,""/""),,1))"),44865.0)</f>
        <v>44865</v>
      </c>
      <c r="L1062" s="1">
        <v>0.0</v>
      </c>
      <c r="M1062" s="1" t="s">
        <v>1817</v>
      </c>
      <c r="N1062" s="1"/>
      <c r="O1062" s="1" t="s">
        <v>30</v>
      </c>
      <c r="P1062" s="1" t="s">
        <v>31</v>
      </c>
      <c r="Q1062" s="1" t="s">
        <v>95</v>
      </c>
      <c r="R1062" s="1" t="s">
        <v>95</v>
      </c>
      <c r="S1062" s="1" t="s">
        <v>96</v>
      </c>
      <c r="U1062" s="1">
        <v>1.00610489E8</v>
      </c>
      <c r="X1062" s="1" t="s">
        <v>46</v>
      </c>
      <c r="Y1062" s="1" t="s">
        <v>1817</v>
      </c>
      <c r="Z1062" s="1" t="s">
        <v>37</v>
      </c>
    </row>
    <row r="1063" hidden="1">
      <c r="A1063" s="1" t="s">
        <v>3773</v>
      </c>
      <c r="B1063" s="1" t="s">
        <v>3771</v>
      </c>
      <c r="C1063" s="1" t="s">
        <v>3774</v>
      </c>
      <c r="D1063" s="1" t="s">
        <v>27</v>
      </c>
      <c r="E1063" s="1" t="s">
        <v>28</v>
      </c>
      <c r="F1063" s="2">
        <v>1000000.0</v>
      </c>
      <c r="G1063" s="4">
        <v>44902.0</v>
      </c>
      <c r="H1063" s="4">
        <f>IFERROR(__xludf.DUMMYFUNCTION("DATE(INDEX(SPLIT(G1063,""/""),,3),INDEX(SPLIT(G1063,""/""),,2),INDEX(SPLIT(G1063,""/""),,1))"),44754.0)</f>
        <v>44754</v>
      </c>
      <c r="I1063" s="1" t="s">
        <v>109</v>
      </c>
      <c r="J1063" s="4">
        <f>IFERROR(__xludf.DUMMYFUNCTION("DATE(INDEX(SPLIT(I1063,""/""),,3),INDEX(SPLIT(I1063,""/""),,2),INDEX(SPLIT(I1063,""/""),,1))"),44834.0)</f>
        <v>44834</v>
      </c>
      <c r="L1063" s="1">
        <v>0.0</v>
      </c>
      <c r="M1063" s="1" t="s">
        <v>1817</v>
      </c>
      <c r="N1063" s="1"/>
      <c r="O1063" s="1" t="s">
        <v>30</v>
      </c>
      <c r="P1063" s="1" t="s">
        <v>31</v>
      </c>
      <c r="Q1063" s="1" t="s">
        <v>95</v>
      </c>
      <c r="R1063" s="1" t="s">
        <v>95</v>
      </c>
      <c r="S1063" s="1" t="s">
        <v>96</v>
      </c>
      <c r="T1063" s="1" t="s">
        <v>311</v>
      </c>
      <c r="U1063" s="1">
        <v>1.00610489E8</v>
      </c>
      <c r="X1063" s="1" t="s">
        <v>46</v>
      </c>
      <c r="Y1063" s="1" t="s">
        <v>1817</v>
      </c>
      <c r="Z1063" s="1" t="s">
        <v>37</v>
      </c>
    </row>
    <row r="1064" hidden="1">
      <c r="A1064" s="1" t="s">
        <v>3775</v>
      </c>
      <c r="B1064" s="1" t="s">
        <v>301</v>
      </c>
      <c r="C1064" s="1" t="s">
        <v>3776</v>
      </c>
      <c r="D1064" s="1" t="s">
        <v>78</v>
      </c>
      <c r="E1064" s="1" t="s">
        <v>28</v>
      </c>
      <c r="F1064" s="2">
        <v>1000000.0</v>
      </c>
      <c r="G1064" s="1" t="s">
        <v>343</v>
      </c>
      <c r="H1064" s="4">
        <f>IFERROR(__xludf.DUMMYFUNCTION("DATE(INDEX(SPLIT(G1064,""/""),,3),INDEX(SPLIT(G1064,""/""),,2),INDEX(SPLIT(G1064,""/""),,1))"),44761.0)</f>
        <v>44761</v>
      </c>
      <c r="I1064" s="1" t="s">
        <v>109</v>
      </c>
      <c r="J1064" s="4">
        <f>IFERROR(__xludf.DUMMYFUNCTION("DATE(INDEX(SPLIT(I1064,""/""),,3),INDEX(SPLIT(I1064,""/""),,2),INDEX(SPLIT(I1064,""/""),,1))"),44834.0)</f>
        <v>44834</v>
      </c>
      <c r="L1064" s="1">
        <v>0.0</v>
      </c>
      <c r="M1064" s="1" t="s">
        <v>746</v>
      </c>
      <c r="N1064" s="1"/>
      <c r="O1064" s="1" t="s">
        <v>30</v>
      </c>
      <c r="P1064" s="1" t="s">
        <v>31</v>
      </c>
      <c r="Q1064" s="1" t="s">
        <v>235</v>
      </c>
      <c r="R1064" s="1" t="s">
        <v>235</v>
      </c>
      <c r="S1064" s="1" t="s">
        <v>236</v>
      </c>
      <c r="T1064" s="1" t="s">
        <v>438</v>
      </c>
      <c r="U1064" s="1">
        <v>1.00616656E8</v>
      </c>
      <c r="X1064" s="1" t="s">
        <v>305</v>
      </c>
      <c r="Y1064" s="1" t="s">
        <v>746</v>
      </c>
      <c r="Z1064" s="1" t="s">
        <v>206</v>
      </c>
    </row>
    <row r="1065" hidden="1">
      <c r="A1065" s="1" t="s">
        <v>3777</v>
      </c>
      <c r="B1065" s="1" t="s">
        <v>3778</v>
      </c>
      <c r="C1065" s="1" t="s">
        <v>3779</v>
      </c>
      <c r="D1065" s="1" t="s">
        <v>27</v>
      </c>
      <c r="E1065" s="1" t="s">
        <v>28</v>
      </c>
      <c r="F1065" s="2">
        <v>1000000.0</v>
      </c>
      <c r="G1065" s="4">
        <v>44598.0</v>
      </c>
      <c r="H1065" s="4">
        <f>IFERROR(__xludf.DUMMYFUNCTION("DATE(INDEX(SPLIT(G1065,""/""),,3),INDEX(SPLIT(G1065,""/""),,2),INDEX(SPLIT(G1065,""/""),,1))"),44714.0)</f>
        <v>44714</v>
      </c>
      <c r="I1065" s="1" t="s">
        <v>360</v>
      </c>
      <c r="J1065" s="4">
        <f>IFERROR(__xludf.DUMMYFUNCTION("DATE(INDEX(SPLIT(I1065,""/""),,3),INDEX(SPLIT(I1065,""/""),,2),INDEX(SPLIT(I1065,""/""),,1))"),44895.0)</f>
        <v>44895</v>
      </c>
      <c r="L1065" s="1">
        <v>0.0</v>
      </c>
      <c r="M1065" s="1" t="s">
        <v>1723</v>
      </c>
      <c r="N1065" s="1"/>
      <c r="O1065" s="1" t="s">
        <v>30</v>
      </c>
      <c r="P1065" s="1" t="s">
        <v>31</v>
      </c>
      <c r="Q1065" s="1" t="s">
        <v>157</v>
      </c>
      <c r="R1065" s="1" t="s">
        <v>157</v>
      </c>
      <c r="S1065" s="1" t="s">
        <v>158</v>
      </c>
      <c r="T1065" s="1" t="s">
        <v>159</v>
      </c>
      <c r="U1065" s="1">
        <v>1.00654085E8</v>
      </c>
      <c r="X1065" s="1" t="s">
        <v>74</v>
      </c>
      <c r="Y1065" s="1" t="s">
        <v>1723</v>
      </c>
      <c r="Z1065" s="1" t="s">
        <v>37</v>
      </c>
    </row>
    <row r="1066" hidden="1">
      <c r="A1066" s="1" t="s">
        <v>3780</v>
      </c>
      <c r="B1066" s="1" t="s">
        <v>301</v>
      </c>
      <c r="C1066" s="1" t="s">
        <v>3781</v>
      </c>
      <c r="D1066" s="1" t="s">
        <v>27</v>
      </c>
      <c r="E1066" s="1" t="s">
        <v>28</v>
      </c>
      <c r="F1066" s="2">
        <v>1000000.0</v>
      </c>
      <c r="G1066" s="1" t="s">
        <v>343</v>
      </c>
      <c r="H1066" s="4">
        <f>IFERROR(__xludf.DUMMYFUNCTION("DATE(INDEX(SPLIT(G1066,""/""),,3),INDEX(SPLIT(G1066,""/""),,2),INDEX(SPLIT(G1066,""/""),,1))"),44761.0)</f>
        <v>44761</v>
      </c>
      <c r="I1066" s="1" t="s">
        <v>109</v>
      </c>
      <c r="J1066" s="4">
        <f>IFERROR(__xludf.DUMMYFUNCTION("DATE(INDEX(SPLIT(I1066,""/""),,3),INDEX(SPLIT(I1066,""/""),,2),INDEX(SPLIT(I1066,""/""),,1))"),44834.0)</f>
        <v>44834</v>
      </c>
      <c r="L1066" s="1">
        <v>0.0</v>
      </c>
      <c r="M1066" s="1" t="s">
        <v>746</v>
      </c>
      <c r="N1066" s="1"/>
      <c r="O1066" s="1" t="s">
        <v>30</v>
      </c>
      <c r="P1066" s="1" t="s">
        <v>31</v>
      </c>
      <c r="Q1066" s="1" t="s">
        <v>95</v>
      </c>
      <c r="R1066" s="1" t="s">
        <v>95</v>
      </c>
      <c r="S1066" s="1" t="s">
        <v>96</v>
      </c>
      <c r="T1066" s="1" t="s">
        <v>438</v>
      </c>
      <c r="U1066" s="1">
        <v>1.00618138E8</v>
      </c>
      <c r="X1066" s="1" t="s">
        <v>305</v>
      </c>
      <c r="Y1066" s="1" t="s">
        <v>746</v>
      </c>
      <c r="Z1066" s="1" t="s">
        <v>1783</v>
      </c>
    </row>
    <row r="1067">
      <c r="A1067" s="1" t="s">
        <v>3782</v>
      </c>
      <c r="B1067" s="1" t="s">
        <v>1916</v>
      </c>
      <c r="C1067" s="1" t="s">
        <v>3783</v>
      </c>
      <c r="D1067" s="1" t="s">
        <v>78</v>
      </c>
      <c r="E1067" s="1" t="s">
        <v>28</v>
      </c>
      <c r="F1067" s="2">
        <v>1000000.0</v>
      </c>
      <c r="G1067" s="4">
        <v>44598.0</v>
      </c>
      <c r="H1067" s="4">
        <f>IFERROR(__xludf.DUMMYFUNCTION("DATE(INDEX(SPLIT(G1067,""/""),,3),INDEX(SPLIT(G1067,""/""),,2),INDEX(SPLIT(G1067,""/""),,1))"),44714.0)</f>
        <v>44714</v>
      </c>
      <c r="I1067" s="1" t="s">
        <v>233</v>
      </c>
      <c r="J1067" s="4">
        <f>IFERROR(__xludf.DUMMYFUNCTION("DATE(INDEX(SPLIT(I1067,""/""),,3),INDEX(SPLIT(I1067,""/""),,2),INDEX(SPLIT(I1067,""/""),,1))"),44729.0)</f>
        <v>44729</v>
      </c>
      <c r="L1067" s="1">
        <v>0.0</v>
      </c>
      <c r="M1067" s="1" t="s">
        <v>1110</v>
      </c>
      <c r="N1067" s="1"/>
      <c r="O1067" s="1" t="s">
        <v>30</v>
      </c>
      <c r="P1067" s="1" t="s">
        <v>31</v>
      </c>
      <c r="Q1067" s="1" t="s">
        <v>53</v>
      </c>
      <c r="R1067" s="1" t="s">
        <v>53</v>
      </c>
      <c r="S1067" s="1" t="s">
        <v>54</v>
      </c>
      <c r="U1067" s="1">
        <v>1.00653785E8</v>
      </c>
      <c r="X1067" s="1" t="s">
        <v>63</v>
      </c>
      <c r="Y1067" s="1" t="s">
        <v>3784</v>
      </c>
      <c r="Z1067" s="1" t="s">
        <v>37</v>
      </c>
    </row>
    <row r="1068" hidden="1">
      <c r="A1068" s="1" t="s">
        <v>3785</v>
      </c>
      <c r="B1068" s="1" t="s">
        <v>3786</v>
      </c>
      <c r="C1068" s="1" t="s">
        <v>3787</v>
      </c>
      <c r="D1068" s="1" t="s">
        <v>27</v>
      </c>
      <c r="E1068" s="1" t="s">
        <v>28</v>
      </c>
      <c r="F1068" s="2">
        <v>1000000.0</v>
      </c>
      <c r="G1068" s="1" t="s">
        <v>2419</v>
      </c>
      <c r="H1068" s="4">
        <f>IFERROR(__xludf.DUMMYFUNCTION("DATE(INDEX(SPLIT(G1068,""/""),,3),INDEX(SPLIT(G1068,""/""),,2),INDEX(SPLIT(G1068,""/""),,1))"),44482.0)</f>
        <v>44482</v>
      </c>
      <c r="I1068" s="1" t="s">
        <v>109</v>
      </c>
      <c r="J1068" s="4">
        <f>IFERROR(__xludf.DUMMYFUNCTION("DATE(INDEX(SPLIT(I1068,""/""),,3),INDEX(SPLIT(I1068,""/""),,2),INDEX(SPLIT(I1068,""/""),,1))"),44834.0)</f>
        <v>44834</v>
      </c>
      <c r="L1068" s="1">
        <v>0.0</v>
      </c>
      <c r="M1068" s="1" t="s">
        <v>819</v>
      </c>
      <c r="N1068" s="1"/>
      <c r="O1068" s="1" t="s">
        <v>30</v>
      </c>
      <c r="P1068" s="1" t="s">
        <v>31</v>
      </c>
      <c r="Q1068" s="1" t="s">
        <v>53</v>
      </c>
      <c r="R1068" s="1" t="s">
        <v>53</v>
      </c>
      <c r="S1068" s="1" t="s">
        <v>54</v>
      </c>
      <c r="T1068" s="1" t="s">
        <v>634</v>
      </c>
      <c r="U1068" s="1">
        <v>1.00661738E8</v>
      </c>
      <c r="X1068" s="1" t="s">
        <v>490</v>
      </c>
      <c r="Y1068" s="1" t="s">
        <v>3788</v>
      </c>
      <c r="Z1068" s="1" t="s">
        <v>37</v>
      </c>
    </row>
    <row r="1069">
      <c r="A1069" s="1" t="s">
        <v>3789</v>
      </c>
      <c r="B1069" s="1" t="s">
        <v>301</v>
      </c>
      <c r="C1069" s="1" t="s">
        <v>3790</v>
      </c>
      <c r="D1069" s="1" t="s">
        <v>122</v>
      </c>
      <c r="E1069" s="1" t="s">
        <v>28</v>
      </c>
      <c r="F1069" s="2">
        <v>1000000.0</v>
      </c>
      <c r="G1069" s="4">
        <v>44598.0</v>
      </c>
      <c r="H1069" s="4">
        <f>IFERROR(__xludf.DUMMYFUNCTION("DATE(INDEX(SPLIT(G1069,""/""),,3),INDEX(SPLIT(G1069,""/""),,2),INDEX(SPLIT(G1069,""/""),,1))"),44714.0)</f>
        <v>44714</v>
      </c>
      <c r="I1069" s="1" t="s">
        <v>226</v>
      </c>
      <c r="J1069" s="4">
        <f>IFERROR(__xludf.DUMMYFUNCTION("DATE(INDEX(SPLIT(I1069,""/""),,3),INDEX(SPLIT(I1069,""/""),,2),INDEX(SPLIT(I1069,""/""),,1))"),44771.0)</f>
        <v>44771</v>
      </c>
      <c r="L1069" s="1">
        <v>0.0</v>
      </c>
      <c r="M1069" s="1" t="s">
        <v>873</v>
      </c>
      <c r="N1069" s="1"/>
      <c r="O1069" s="1" t="s">
        <v>30</v>
      </c>
      <c r="P1069" s="1" t="s">
        <v>31</v>
      </c>
      <c r="Q1069" s="1" t="s">
        <v>157</v>
      </c>
      <c r="R1069" s="1" t="s">
        <v>157</v>
      </c>
      <c r="S1069" s="1" t="s">
        <v>158</v>
      </c>
      <c r="U1069" s="1">
        <v>1.00586701E8</v>
      </c>
      <c r="X1069" s="1" t="s">
        <v>305</v>
      </c>
      <c r="Y1069" s="1" t="s">
        <v>3791</v>
      </c>
      <c r="Z1069" s="1" t="s">
        <v>37</v>
      </c>
    </row>
    <row r="1070" hidden="1">
      <c r="A1070" s="1" t="s">
        <v>3792</v>
      </c>
      <c r="B1070" s="1" t="s">
        <v>114</v>
      </c>
      <c r="C1070" s="1" t="s">
        <v>3793</v>
      </c>
      <c r="D1070" s="1" t="s">
        <v>27</v>
      </c>
      <c r="E1070" s="1" t="s">
        <v>28</v>
      </c>
      <c r="F1070" s="2">
        <v>1000000.0</v>
      </c>
      <c r="G1070" s="1" t="s">
        <v>429</v>
      </c>
      <c r="H1070" s="4">
        <f>IFERROR(__xludf.DUMMYFUNCTION("DATE(INDEX(SPLIT(G1070,""/""),,3),INDEX(SPLIT(G1070,""/""),,2),INDEX(SPLIT(G1070,""/""),,1))"),44739.0)</f>
        <v>44739</v>
      </c>
      <c r="I1070" s="1" t="s">
        <v>130</v>
      </c>
      <c r="J1070" s="4">
        <f>IFERROR(__xludf.DUMMYFUNCTION("DATE(INDEX(SPLIT(I1070,""/""),,3),INDEX(SPLIT(I1070,""/""),,2),INDEX(SPLIT(I1070,""/""),,1))"),44804.0)</f>
        <v>44804</v>
      </c>
      <c r="L1070" s="1">
        <v>0.0</v>
      </c>
      <c r="M1070" s="1" t="s">
        <v>406</v>
      </c>
      <c r="N1070" s="1"/>
      <c r="O1070" s="1" t="s">
        <v>30</v>
      </c>
      <c r="P1070" s="1" t="s">
        <v>31</v>
      </c>
      <c r="Q1070" s="1" t="s">
        <v>32</v>
      </c>
      <c r="R1070" s="1" t="s">
        <v>32</v>
      </c>
      <c r="S1070" s="1" t="s">
        <v>33</v>
      </c>
      <c r="U1070" s="1">
        <v>1.00642129E8</v>
      </c>
      <c r="X1070" s="1" t="s">
        <v>117</v>
      </c>
      <c r="Y1070" s="1" t="s">
        <v>3794</v>
      </c>
      <c r="Z1070" s="1" t="s">
        <v>37</v>
      </c>
    </row>
    <row r="1071" hidden="1">
      <c r="A1071" s="1" t="s">
        <v>3795</v>
      </c>
      <c r="B1071" s="1" t="s">
        <v>1371</v>
      </c>
      <c r="C1071" s="1" t="s">
        <v>3796</v>
      </c>
      <c r="D1071" s="1" t="s">
        <v>78</v>
      </c>
      <c r="E1071" s="1" t="s">
        <v>28</v>
      </c>
      <c r="F1071" s="2">
        <v>1000000.0</v>
      </c>
      <c r="G1071" s="4">
        <v>44807.0</v>
      </c>
      <c r="H1071" s="4">
        <f>IFERROR(__xludf.DUMMYFUNCTION("DATE(INDEX(SPLIT(G1071,""/""),,3),INDEX(SPLIT(G1071,""/""),,2),INDEX(SPLIT(G1071,""/""),,1))"),44629.0)</f>
        <v>44629</v>
      </c>
      <c r="I1071" s="1" t="s">
        <v>3797</v>
      </c>
      <c r="J1071" s="4">
        <f>IFERROR(__xludf.DUMMYFUNCTION("DATE(INDEX(SPLIT(I1071,""/""),,3),INDEX(SPLIT(I1071,""/""),,2),INDEX(SPLIT(I1071,""/""),,1))"),44858.0)</f>
        <v>44858</v>
      </c>
      <c r="L1071" s="1">
        <v>0.0</v>
      </c>
      <c r="M1071" s="1" t="s">
        <v>936</v>
      </c>
      <c r="N1071" s="1"/>
      <c r="O1071" s="1" t="s">
        <v>30</v>
      </c>
      <c r="P1071" s="1" t="s">
        <v>31</v>
      </c>
      <c r="Q1071" s="1" t="s">
        <v>71</v>
      </c>
      <c r="R1071" s="1" t="s">
        <v>71</v>
      </c>
      <c r="S1071" s="1" t="s">
        <v>72</v>
      </c>
      <c r="T1071" s="1" t="s">
        <v>73</v>
      </c>
      <c r="U1071" s="1">
        <v>1.00941744E8</v>
      </c>
      <c r="X1071" s="1" t="s">
        <v>63</v>
      </c>
      <c r="Y1071" s="1" t="s">
        <v>936</v>
      </c>
      <c r="Z1071" s="1" t="s">
        <v>37</v>
      </c>
    </row>
    <row r="1072" hidden="1">
      <c r="A1072" s="1" t="s">
        <v>3798</v>
      </c>
      <c r="B1072" s="1" t="s">
        <v>3799</v>
      </c>
      <c r="C1072" s="1" t="s">
        <v>3800</v>
      </c>
      <c r="D1072" s="1" t="s">
        <v>27</v>
      </c>
      <c r="E1072" s="1" t="s">
        <v>28</v>
      </c>
      <c r="F1072" s="2">
        <v>1000000.0</v>
      </c>
      <c r="G1072" s="1" t="s">
        <v>343</v>
      </c>
      <c r="H1072" s="4">
        <f>IFERROR(__xludf.DUMMYFUNCTION("DATE(INDEX(SPLIT(G1072,""/""),,3),INDEX(SPLIT(G1072,""/""),,2),INDEX(SPLIT(G1072,""/""),,1))"),44761.0)</f>
        <v>44761</v>
      </c>
      <c r="I1072" s="1" t="s">
        <v>317</v>
      </c>
      <c r="J1072" s="4">
        <f>IFERROR(__xludf.DUMMYFUNCTION("DATE(INDEX(SPLIT(I1072,""/""),,3),INDEX(SPLIT(I1072,""/""),,2),INDEX(SPLIT(I1072,""/""),,1))"),44862.0)</f>
        <v>44862</v>
      </c>
      <c r="L1072" s="1">
        <v>0.0</v>
      </c>
      <c r="M1072" s="1" t="s">
        <v>746</v>
      </c>
      <c r="N1072" s="1"/>
      <c r="O1072" s="1" t="s">
        <v>30</v>
      </c>
      <c r="P1072" s="1" t="s">
        <v>31</v>
      </c>
      <c r="Q1072" s="1" t="s">
        <v>235</v>
      </c>
      <c r="R1072" s="1" t="s">
        <v>235</v>
      </c>
      <c r="S1072" s="1" t="s">
        <v>236</v>
      </c>
      <c r="T1072" s="1" t="s">
        <v>438</v>
      </c>
      <c r="U1072" s="1">
        <v>1.00616656E8</v>
      </c>
      <c r="X1072" s="1" t="s">
        <v>88</v>
      </c>
      <c r="Y1072" s="1" t="s">
        <v>746</v>
      </c>
      <c r="Z1072" s="1" t="s">
        <v>206</v>
      </c>
    </row>
    <row r="1073" hidden="1">
      <c r="A1073" s="1" t="s">
        <v>3801</v>
      </c>
      <c r="B1073" s="1" t="s">
        <v>3802</v>
      </c>
      <c r="C1073" s="1" t="s">
        <v>3803</v>
      </c>
      <c r="D1073" s="1" t="s">
        <v>27</v>
      </c>
      <c r="E1073" s="1" t="s">
        <v>28</v>
      </c>
      <c r="F1073" s="2">
        <v>1000000.0</v>
      </c>
      <c r="G1073" s="4">
        <v>44235.0</v>
      </c>
      <c r="H1073" s="4">
        <f>IFERROR(__xludf.DUMMYFUNCTION("DATE(INDEX(SPLIT(G1073,""/""),,3),INDEX(SPLIT(G1073,""/""),,2),INDEX(SPLIT(G1073,""/""),,1))"),44410.0)</f>
        <v>44410</v>
      </c>
      <c r="I1073" s="4">
        <v>44572.0</v>
      </c>
      <c r="J1073" s="4">
        <f>IFERROR(__xludf.DUMMYFUNCTION("DATE(INDEX(SPLIT(I1073,""/""),,3),INDEX(SPLIT(I1073,""/""),,2),INDEX(SPLIT(I1073,""/""),,1))"),44866.0)</f>
        <v>44866</v>
      </c>
      <c r="L1073" s="1">
        <v>0.0</v>
      </c>
      <c r="M1073" s="1" t="s">
        <v>1814</v>
      </c>
      <c r="N1073" s="1"/>
      <c r="O1073" s="1" t="s">
        <v>30</v>
      </c>
      <c r="P1073" s="1" t="s">
        <v>31</v>
      </c>
      <c r="Q1073" s="1" t="s">
        <v>95</v>
      </c>
      <c r="R1073" s="1" t="s">
        <v>95</v>
      </c>
      <c r="S1073" s="1" t="s">
        <v>96</v>
      </c>
      <c r="T1073" s="1" t="s">
        <v>260</v>
      </c>
      <c r="U1073" s="1">
        <v>1.00597983E8</v>
      </c>
      <c r="X1073" s="1" t="s">
        <v>239</v>
      </c>
      <c r="Y1073" s="1" t="s">
        <v>2133</v>
      </c>
      <c r="Z1073" s="1" t="s">
        <v>206</v>
      </c>
    </row>
    <row r="1074">
      <c r="A1074" s="1" t="s">
        <v>3804</v>
      </c>
      <c r="B1074" s="1" t="s">
        <v>3532</v>
      </c>
      <c r="C1074" s="1" t="s">
        <v>3805</v>
      </c>
      <c r="D1074" s="1" t="s">
        <v>78</v>
      </c>
      <c r="E1074" s="1" t="s">
        <v>28</v>
      </c>
      <c r="F1074" s="2">
        <v>1000000.0</v>
      </c>
      <c r="G1074" s="4">
        <v>44686.0</v>
      </c>
      <c r="H1074" s="4">
        <f>IFERROR(__xludf.DUMMYFUNCTION("DATE(INDEX(SPLIT(G1074,""/""),,3),INDEX(SPLIT(G1074,""/""),,2),INDEX(SPLIT(G1074,""/""),,1))"),44686.0)</f>
        <v>44686</v>
      </c>
      <c r="I1074" s="1" t="s">
        <v>226</v>
      </c>
      <c r="J1074" s="4">
        <f>IFERROR(__xludf.DUMMYFUNCTION("DATE(INDEX(SPLIT(I1074,""/""),,3),INDEX(SPLIT(I1074,""/""),,2),INDEX(SPLIT(I1074,""/""),,1))"),44771.0)</f>
        <v>44771</v>
      </c>
      <c r="L1074" s="1">
        <v>0.0</v>
      </c>
      <c r="M1074" s="1" t="s">
        <v>2171</v>
      </c>
      <c r="N1074" s="1"/>
      <c r="O1074" s="1" t="s">
        <v>30</v>
      </c>
      <c r="P1074" s="1" t="s">
        <v>31</v>
      </c>
      <c r="Q1074" s="1" t="s">
        <v>53</v>
      </c>
      <c r="R1074" s="1" t="s">
        <v>53</v>
      </c>
      <c r="S1074" s="1" t="s">
        <v>54</v>
      </c>
      <c r="T1074" s="1" t="s">
        <v>1386</v>
      </c>
      <c r="U1074" s="1">
        <v>1.00638494E8</v>
      </c>
      <c r="X1074" s="1" t="s">
        <v>63</v>
      </c>
      <c r="Y1074" s="1" t="s">
        <v>2172</v>
      </c>
      <c r="Z1074" s="1" t="s">
        <v>527</v>
      </c>
    </row>
    <row r="1075" hidden="1">
      <c r="A1075" s="1" t="s">
        <v>3806</v>
      </c>
      <c r="B1075" s="1" t="s">
        <v>1070</v>
      </c>
      <c r="C1075" s="1" t="s">
        <v>3807</v>
      </c>
      <c r="D1075" s="1" t="s">
        <v>78</v>
      </c>
      <c r="E1075" s="1" t="s">
        <v>28</v>
      </c>
      <c r="F1075" s="2">
        <v>1000000.0</v>
      </c>
      <c r="G1075" s="1" t="s">
        <v>3186</v>
      </c>
      <c r="H1075" s="4">
        <f>IFERROR(__xludf.DUMMYFUNCTION("DATE(INDEX(SPLIT(G1075,""/""),,3),INDEX(SPLIT(G1075,""/""),,2),INDEX(SPLIT(G1075,""/""),,1))"),44529.0)</f>
        <v>44529</v>
      </c>
      <c r="I1075" s="1" t="s">
        <v>109</v>
      </c>
      <c r="J1075" s="4">
        <f>IFERROR(__xludf.DUMMYFUNCTION("DATE(INDEX(SPLIT(I1075,""/""),,3),INDEX(SPLIT(I1075,""/""),,2),INDEX(SPLIT(I1075,""/""),,1))"),44834.0)</f>
        <v>44834</v>
      </c>
      <c r="L1075" s="1">
        <v>0.0</v>
      </c>
      <c r="M1075" s="1" t="s">
        <v>1072</v>
      </c>
      <c r="N1075" s="1"/>
      <c r="O1075" s="1" t="s">
        <v>30</v>
      </c>
      <c r="P1075" s="1" t="s">
        <v>31</v>
      </c>
      <c r="Q1075" s="1" t="s">
        <v>157</v>
      </c>
      <c r="R1075" s="1" t="s">
        <v>157</v>
      </c>
      <c r="S1075" s="1" t="s">
        <v>158</v>
      </c>
      <c r="T1075" s="1" t="s">
        <v>571</v>
      </c>
      <c r="U1075" s="1">
        <v>1.00594872E8</v>
      </c>
      <c r="X1075" s="1" t="s">
        <v>305</v>
      </c>
      <c r="Y1075" s="1" t="s">
        <v>1072</v>
      </c>
      <c r="Z1075" s="1" t="s">
        <v>37</v>
      </c>
    </row>
    <row r="1076">
      <c r="A1076" s="1" t="s">
        <v>3808</v>
      </c>
      <c r="B1076" s="1" t="s">
        <v>66</v>
      </c>
      <c r="C1076" s="1" t="s">
        <v>3809</v>
      </c>
      <c r="D1076" s="1" t="s">
        <v>122</v>
      </c>
      <c r="E1076" s="1" t="s">
        <v>28</v>
      </c>
      <c r="F1076" s="2">
        <v>1000000.0</v>
      </c>
      <c r="G1076" s="1" t="s">
        <v>2244</v>
      </c>
      <c r="H1076" s="4">
        <f>IFERROR(__xludf.DUMMYFUNCTION("DATE(INDEX(SPLIT(G1076,""/""),,3),INDEX(SPLIT(G1076,""/""),,2),INDEX(SPLIT(G1076,""/""),,1))"),44634.0)</f>
        <v>44634</v>
      </c>
      <c r="I1076" s="1" t="s">
        <v>226</v>
      </c>
      <c r="J1076" s="4">
        <f>IFERROR(__xludf.DUMMYFUNCTION("DATE(INDEX(SPLIT(I1076,""/""),,3),INDEX(SPLIT(I1076,""/""),,2),INDEX(SPLIT(I1076,""/""),,1))"),44771.0)</f>
        <v>44771</v>
      </c>
      <c r="L1076" s="1">
        <v>0.0</v>
      </c>
      <c r="M1076" s="1" t="s">
        <v>3810</v>
      </c>
      <c r="N1076" s="1"/>
      <c r="O1076" s="1" t="s">
        <v>30</v>
      </c>
      <c r="P1076" s="1" t="s">
        <v>31</v>
      </c>
      <c r="Q1076" s="1" t="s">
        <v>188</v>
      </c>
      <c r="R1076" s="1" t="s">
        <v>188</v>
      </c>
      <c r="S1076" s="1" t="s">
        <v>189</v>
      </c>
      <c r="T1076" s="1" t="s">
        <v>2893</v>
      </c>
      <c r="U1076" s="1">
        <v>1.00635485E8</v>
      </c>
      <c r="X1076" s="1" t="s">
        <v>74</v>
      </c>
      <c r="Y1076" s="1" t="s">
        <v>3810</v>
      </c>
      <c r="Z1076" s="1" t="s">
        <v>37</v>
      </c>
    </row>
    <row r="1077" hidden="1">
      <c r="A1077" s="1" t="s">
        <v>3811</v>
      </c>
      <c r="B1077" s="1" t="s">
        <v>1445</v>
      </c>
      <c r="C1077" s="1" t="s">
        <v>3812</v>
      </c>
      <c r="D1077" s="1" t="s">
        <v>27</v>
      </c>
      <c r="E1077" s="1" t="s">
        <v>28</v>
      </c>
      <c r="F1077" s="2">
        <v>1000000.0</v>
      </c>
      <c r="G1077" s="1" t="s">
        <v>108</v>
      </c>
      <c r="H1077" s="4">
        <f>IFERROR(__xludf.DUMMYFUNCTION("DATE(INDEX(SPLIT(G1077,""/""),,3),INDEX(SPLIT(G1077,""/""),,2),INDEX(SPLIT(G1077,""/""),,1))"),44725.0)</f>
        <v>44725</v>
      </c>
      <c r="I1077" s="1" t="s">
        <v>281</v>
      </c>
      <c r="J1077" s="4">
        <f>IFERROR(__xludf.DUMMYFUNCTION("DATE(INDEX(SPLIT(I1077,""/""),,3),INDEX(SPLIT(I1077,""/""),,2),INDEX(SPLIT(I1077,""/""),,1))"),44865.0)</f>
        <v>44865</v>
      </c>
      <c r="L1077" s="1">
        <v>0.0</v>
      </c>
      <c r="M1077" s="1" t="s">
        <v>3810</v>
      </c>
      <c r="N1077" s="1"/>
      <c r="O1077" s="1" t="s">
        <v>30</v>
      </c>
      <c r="P1077" s="1" t="s">
        <v>31</v>
      </c>
      <c r="Q1077" s="1" t="s">
        <v>188</v>
      </c>
      <c r="R1077" s="1" t="s">
        <v>188</v>
      </c>
      <c r="S1077" s="1" t="s">
        <v>189</v>
      </c>
      <c r="U1077" s="1">
        <v>1.00635485E8</v>
      </c>
      <c r="X1077" s="1" t="s">
        <v>74</v>
      </c>
      <c r="Y1077" s="1" t="s">
        <v>3813</v>
      </c>
      <c r="Z1077" s="1" t="s">
        <v>37</v>
      </c>
    </row>
    <row r="1078">
      <c r="A1078" s="1" t="s">
        <v>3814</v>
      </c>
      <c r="B1078" s="1" t="s">
        <v>1417</v>
      </c>
      <c r="C1078" s="1" t="s">
        <v>3815</v>
      </c>
      <c r="D1078" s="1" t="s">
        <v>122</v>
      </c>
      <c r="E1078" s="1" t="s">
        <v>28</v>
      </c>
      <c r="F1078" s="2">
        <v>1000000.0</v>
      </c>
      <c r="G1078" s="1" t="s">
        <v>2441</v>
      </c>
      <c r="H1078" s="4">
        <f>IFERROR(__xludf.DUMMYFUNCTION("DATE(INDEX(SPLIT(G1078,""/""),,3),INDEX(SPLIT(G1078,""/""),,2),INDEX(SPLIT(G1078,""/""),,1))"),44550.0)</f>
        <v>44550</v>
      </c>
      <c r="I1078" s="1" t="s">
        <v>233</v>
      </c>
      <c r="J1078" s="4">
        <f>IFERROR(__xludf.DUMMYFUNCTION("DATE(INDEX(SPLIT(I1078,""/""),,3),INDEX(SPLIT(I1078,""/""),,2),INDEX(SPLIT(I1078,""/""),,1))"),44729.0)</f>
        <v>44729</v>
      </c>
      <c r="L1078" s="1">
        <v>0.0</v>
      </c>
      <c r="M1078" s="1" t="s">
        <v>3286</v>
      </c>
      <c r="N1078" s="1"/>
      <c r="O1078" s="1" t="s">
        <v>30</v>
      </c>
      <c r="P1078" s="1" t="s">
        <v>31</v>
      </c>
      <c r="Q1078" s="1" t="s">
        <v>53</v>
      </c>
      <c r="R1078" s="1" t="s">
        <v>53</v>
      </c>
      <c r="S1078" s="1" t="s">
        <v>54</v>
      </c>
      <c r="T1078" s="1" t="s">
        <v>181</v>
      </c>
      <c r="U1078" s="1">
        <v>1.00648136E8</v>
      </c>
      <c r="X1078" s="1" t="s">
        <v>74</v>
      </c>
      <c r="Y1078" s="1" t="s">
        <v>3589</v>
      </c>
      <c r="Z1078" s="1" t="s">
        <v>37</v>
      </c>
    </row>
    <row r="1079" hidden="1">
      <c r="A1079" s="1" t="s">
        <v>3816</v>
      </c>
      <c r="B1079" s="1" t="s">
        <v>532</v>
      </c>
      <c r="C1079" s="1" t="s">
        <v>3817</v>
      </c>
      <c r="D1079" s="1" t="s">
        <v>27</v>
      </c>
      <c r="E1079" s="1" t="s">
        <v>28</v>
      </c>
      <c r="F1079" s="2">
        <v>1000000.0</v>
      </c>
      <c r="G1079" s="1" t="s">
        <v>593</v>
      </c>
      <c r="H1079" s="4">
        <f>IFERROR(__xludf.DUMMYFUNCTION("DATE(INDEX(SPLIT(G1079,""/""),,3),INDEX(SPLIT(G1079,""/""),,2),INDEX(SPLIT(G1079,""/""),,1))"),44330.0)</f>
        <v>44330</v>
      </c>
      <c r="I1079" s="1" t="s">
        <v>109</v>
      </c>
      <c r="J1079" s="4">
        <f>IFERROR(__xludf.DUMMYFUNCTION("DATE(INDEX(SPLIT(I1079,""/""),,3),INDEX(SPLIT(I1079,""/""),,2),INDEX(SPLIT(I1079,""/""),,1))"),44834.0)</f>
        <v>44834</v>
      </c>
      <c r="L1079" s="1">
        <v>0.0</v>
      </c>
      <c r="M1079" s="1" t="s">
        <v>3503</v>
      </c>
      <c r="N1079" s="1"/>
      <c r="O1079" s="1" t="s">
        <v>30</v>
      </c>
      <c r="P1079" s="1" t="s">
        <v>31</v>
      </c>
      <c r="Q1079" s="1" t="s">
        <v>95</v>
      </c>
      <c r="R1079" s="1" t="s">
        <v>95</v>
      </c>
      <c r="S1079" s="1" t="s">
        <v>96</v>
      </c>
      <c r="T1079" s="1" t="s">
        <v>489</v>
      </c>
      <c r="U1079" s="1">
        <v>1.00625578E8</v>
      </c>
      <c r="X1079" s="1" t="s">
        <v>490</v>
      </c>
      <c r="Y1079" s="1" t="s">
        <v>3818</v>
      </c>
      <c r="Z1079" s="1" t="s">
        <v>37</v>
      </c>
    </row>
    <row r="1080" hidden="1">
      <c r="A1080" s="1" t="s">
        <v>3819</v>
      </c>
      <c r="B1080" s="1" t="s">
        <v>3820</v>
      </c>
      <c r="C1080" s="1" t="s">
        <v>3821</v>
      </c>
      <c r="D1080" s="1" t="s">
        <v>27</v>
      </c>
      <c r="E1080" s="1" t="s">
        <v>28</v>
      </c>
      <c r="F1080" s="2">
        <v>1000000.0</v>
      </c>
      <c r="G1080" s="4">
        <v>44447.0</v>
      </c>
      <c r="H1080" s="4">
        <f>IFERROR(__xludf.DUMMYFUNCTION("DATE(INDEX(SPLIT(G1080,""/""),,3),INDEX(SPLIT(G1080,""/""),,2),INDEX(SPLIT(G1080,""/""),,1))"),44417.0)</f>
        <v>44417</v>
      </c>
      <c r="I1080" s="1" t="s">
        <v>109</v>
      </c>
      <c r="J1080" s="4">
        <f>IFERROR(__xludf.DUMMYFUNCTION("DATE(INDEX(SPLIT(I1080,""/""),,3),INDEX(SPLIT(I1080,""/""),,2),INDEX(SPLIT(I1080,""/""),,1))"),44834.0)</f>
        <v>44834</v>
      </c>
      <c r="L1080" s="1">
        <v>0.0</v>
      </c>
      <c r="M1080" s="1" t="s">
        <v>124</v>
      </c>
      <c r="N1080" s="1"/>
      <c r="O1080" s="1" t="s">
        <v>30</v>
      </c>
      <c r="P1080" s="1" t="s">
        <v>31</v>
      </c>
      <c r="Q1080" s="1" t="s">
        <v>53</v>
      </c>
      <c r="R1080" s="1" t="s">
        <v>53</v>
      </c>
      <c r="S1080" s="1" t="s">
        <v>54</v>
      </c>
      <c r="T1080" s="1" t="s">
        <v>345</v>
      </c>
      <c r="U1080" s="1">
        <v>1.00651441E8</v>
      </c>
      <c r="X1080" s="1" t="s">
        <v>88</v>
      </c>
      <c r="Y1080" s="1" t="s">
        <v>124</v>
      </c>
      <c r="Z1080" s="1" t="s">
        <v>37</v>
      </c>
    </row>
    <row r="1081" hidden="1">
      <c r="A1081" s="1" t="s">
        <v>3822</v>
      </c>
      <c r="B1081" s="1" t="s">
        <v>59</v>
      </c>
      <c r="C1081" s="1" t="s">
        <v>3823</v>
      </c>
      <c r="D1081" s="1" t="s">
        <v>122</v>
      </c>
      <c r="E1081" s="1" t="s">
        <v>28</v>
      </c>
      <c r="F1081" s="2">
        <v>1000000.0</v>
      </c>
      <c r="G1081" s="1" t="s">
        <v>586</v>
      </c>
      <c r="H1081" s="4">
        <f>IFERROR(__xludf.DUMMYFUNCTION("DATE(INDEX(SPLIT(G1081,""/""),,3),INDEX(SPLIT(G1081,""/""),,2),INDEX(SPLIT(G1081,""/""),,1))"),44726.0)</f>
        <v>44726</v>
      </c>
      <c r="I1081" s="4">
        <v>44813.0</v>
      </c>
      <c r="J1081" s="4">
        <f>IFERROR(__xludf.DUMMYFUNCTION("DATE(INDEX(SPLIT(I1081,""/""),,3),INDEX(SPLIT(I1081,""/""),,2),INDEX(SPLIT(I1081,""/""),,1))"),44813.0)</f>
        <v>44813</v>
      </c>
      <c r="L1081" s="1">
        <v>0.0</v>
      </c>
      <c r="M1081" s="1" t="s">
        <v>3824</v>
      </c>
      <c r="N1081" s="1"/>
      <c r="O1081" s="1" t="s">
        <v>30</v>
      </c>
      <c r="P1081" s="1" t="s">
        <v>31</v>
      </c>
      <c r="Q1081" s="1" t="s">
        <v>188</v>
      </c>
      <c r="R1081" s="1" t="s">
        <v>188</v>
      </c>
      <c r="S1081" s="1" t="s">
        <v>189</v>
      </c>
      <c r="U1081" s="1">
        <v>1.00609005E8</v>
      </c>
      <c r="X1081" s="1" t="s">
        <v>63</v>
      </c>
      <c r="Y1081" s="1" t="s">
        <v>3825</v>
      </c>
      <c r="Z1081" s="1" t="s">
        <v>37</v>
      </c>
    </row>
    <row r="1082" hidden="1">
      <c r="A1082" s="1" t="s">
        <v>3826</v>
      </c>
      <c r="B1082" s="1" t="s">
        <v>896</v>
      </c>
      <c r="C1082" s="1" t="s">
        <v>3827</v>
      </c>
      <c r="D1082" s="1" t="s">
        <v>27</v>
      </c>
      <c r="E1082" s="1" t="s">
        <v>28</v>
      </c>
      <c r="F1082" s="2">
        <v>1000000.0</v>
      </c>
      <c r="G1082" s="1" t="s">
        <v>3828</v>
      </c>
      <c r="H1082" s="4">
        <f>IFERROR(__xludf.DUMMYFUNCTION("DATE(INDEX(SPLIT(G1082,""/""),,3),INDEX(SPLIT(G1082,""/""),,2),INDEX(SPLIT(G1082,""/""),,1))"),43915.0)</f>
        <v>43915</v>
      </c>
      <c r="I1082" s="4">
        <v>44929.0</v>
      </c>
      <c r="J1082" s="4">
        <f>IFERROR(__xludf.DUMMYFUNCTION("DATE(INDEX(SPLIT(I1082,""/""),,3),INDEX(SPLIT(I1082,""/""),,2),INDEX(SPLIT(I1082,""/""),,1))"),44986.0)</f>
        <v>44986</v>
      </c>
      <c r="L1082" s="1">
        <v>0.0</v>
      </c>
      <c r="M1082" s="1" t="s">
        <v>3248</v>
      </c>
      <c r="N1082" s="1"/>
      <c r="O1082" s="1" t="s">
        <v>30</v>
      </c>
      <c r="P1082" s="1" t="s">
        <v>31</v>
      </c>
      <c r="Q1082" s="1" t="s">
        <v>32</v>
      </c>
      <c r="R1082" s="1" t="s">
        <v>32</v>
      </c>
      <c r="S1082" s="1" t="s">
        <v>33</v>
      </c>
      <c r="T1082" s="1" t="s">
        <v>1195</v>
      </c>
      <c r="U1082" s="1">
        <v>1.00586233E8</v>
      </c>
      <c r="X1082" s="1" t="s">
        <v>490</v>
      </c>
      <c r="Y1082" s="1" t="s">
        <v>3829</v>
      </c>
      <c r="Z1082" s="1" t="s">
        <v>37</v>
      </c>
    </row>
    <row r="1083" hidden="1">
      <c r="A1083" s="1" t="s">
        <v>3830</v>
      </c>
      <c r="B1083" s="1" t="s">
        <v>954</v>
      </c>
      <c r="C1083" s="1" t="s">
        <v>3831</v>
      </c>
      <c r="D1083" s="1" t="s">
        <v>78</v>
      </c>
      <c r="E1083" s="1" t="s">
        <v>28</v>
      </c>
      <c r="F1083" s="2">
        <v>1000000.0</v>
      </c>
      <c r="G1083" s="1" t="s">
        <v>286</v>
      </c>
      <c r="H1083" s="4">
        <f>IFERROR(__xludf.DUMMYFUNCTION("DATE(INDEX(SPLIT(G1083,""/""),,3),INDEX(SPLIT(G1083,""/""),,2),INDEX(SPLIT(G1083,""/""),,1))"),44609.0)</f>
        <v>44609</v>
      </c>
      <c r="I1083" s="1" t="s">
        <v>109</v>
      </c>
      <c r="J1083" s="4">
        <f>IFERROR(__xludf.DUMMYFUNCTION("DATE(INDEX(SPLIT(I1083,""/""),,3),INDEX(SPLIT(I1083,""/""),,2),INDEX(SPLIT(I1083,""/""),,1))"),44834.0)</f>
        <v>44834</v>
      </c>
      <c r="L1083" s="1">
        <v>0.0</v>
      </c>
      <c r="M1083" s="1" t="s">
        <v>1333</v>
      </c>
      <c r="N1083" s="1"/>
      <c r="O1083" s="1" t="s">
        <v>30</v>
      </c>
      <c r="P1083" s="1" t="s">
        <v>31</v>
      </c>
      <c r="Q1083" s="1" t="s">
        <v>71</v>
      </c>
      <c r="R1083" s="1" t="s">
        <v>71</v>
      </c>
      <c r="S1083" s="1" t="s">
        <v>72</v>
      </c>
      <c r="T1083" s="1" t="s">
        <v>136</v>
      </c>
      <c r="U1083" s="1">
        <v>1.006299E8</v>
      </c>
      <c r="X1083" s="1" t="s">
        <v>74</v>
      </c>
      <c r="Y1083" s="1" t="s">
        <v>1333</v>
      </c>
      <c r="Z1083" s="1" t="s">
        <v>37</v>
      </c>
    </row>
    <row r="1084" hidden="1">
      <c r="A1084" s="1" t="s">
        <v>3832</v>
      </c>
      <c r="B1084" s="1" t="s">
        <v>2009</v>
      </c>
      <c r="C1084" s="1" t="s">
        <v>3833</v>
      </c>
      <c r="D1084" s="1" t="s">
        <v>122</v>
      </c>
      <c r="E1084" s="1" t="s">
        <v>28</v>
      </c>
      <c r="F1084" s="2">
        <v>1000000.0</v>
      </c>
      <c r="G1084" s="1" t="s">
        <v>3834</v>
      </c>
      <c r="H1084" s="4">
        <f>IFERROR(__xludf.DUMMYFUNCTION("DATE(INDEX(SPLIT(G1084,""/""),,3),INDEX(SPLIT(G1084,""/""),,2),INDEX(SPLIT(G1084,""/""),,1))"),44246.0)</f>
        <v>44246</v>
      </c>
      <c r="I1084" s="1" t="s">
        <v>1495</v>
      </c>
      <c r="J1084" s="4">
        <f>IFERROR(__xludf.DUMMYFUNCTION("DATE(INDEX(SPLIT(I1084,""/""),,3),INDEX(SPLIT(I1084,""/""),,2),INDEX(SPLIT(I1084,""/""),,1))"),44864.0)</f>
        <v>44864</v>
      </c>
      <c r="L1084" s="1">
        <v>0.0</v>
      </c>
      <c r="M1084" s="1" t="s">
        <v>762</v>
      </c>
      <c r="N1084" s="1"/>
      <c r="O1084" s="1" t="s">
        <v>30</v>
      </c>
      <c r="P1084" s="1" t="s">
        <v>31</v>
      </c>
      <c r="Q1084" s="1" t="s">
        <v>235</v>
      </c>
      <c r="R1084" s="1" t="s">
        <v>235</v>
      </c>
      <c r="S1084" s="1" t="s">
        <v>236</v>
      </c>
      <c r="T1084" s="1" t="s">
        <v>237</v>
      </c>
      <c r="U1084" s="1">
        <v>1.00647674E8</v>
      </c>
      <c r="X1084" s="1" t="s">
        <v>239</v>
      </c>
      <c r="Y1084" s="1" t="s">
        <v>762</v>
      </c>
      <c r="Z1084" s="1" t="s">
        <v>37</v>
      </c>
    </row>
    <row r="1085" hidden="1">
      <c r="A1085" s="1" t="s">
        <v>3835</v>
      </c>
      <c r="B1085" s="1" t="s">
        <v>546</v>
      </c>
      <c r="C1085" s="1" t="s">
        <v>3836</v>
      </c>
      <c r="D1085" s="1" t="s">
        <v>78</v>
      </c>
      <c r="E1085" s="1" t="s">
        <v>28</v>
      </c>
      <c r="F1085" s="2">
        <v>1000000.0</v>
      </c>
      <c r="G1085" s="4">
        <v>44053.0</v>
      </c>
      <c r="H1085" s="4">
        <f>IFERROR(__xludf.DUMMYFUNCTION("DATE(INDEX(SPLIT(G1085,""/""),,3),INDEX(SPLIT(G1085,""/""),,2),INDEX(SPLIT(G1085,""/""),,1))"),44112.0)</f>
        <v>44112</v>
      </c>
      <c r="I1085" s="1" t="s">
        <v>109</v>
      </c>
      <c r="J1085" s="4">
        <f>IFERROR(__xludf.DUMMYFUNCTION("DATE(INDEX(SPLIT(I1085,""/""),,3),INDEX(SPLIT(I1085,""/""),,2),INDEX(SPLIT(I1085,""/""),,1))"),44834.0)</f>
        <v>44834</v>
      </c>
      <c r="L1085" s="1">
        <v>0.0</v>
      </c>
      <c r="M1085" s="1" t="s">
        <v>318</v>
      </c>
      <c r="N1085" s="1"/>
      <c r="O1085" s="1" t="s">
        <v>30</v>
      </c>
      <c r="P1085" s="1" t="s">
        <v>31</v>
      </c>
      <c r="Q1085" s="1" t="s">
        <v>71</v>
      </c>
      <c r="R1085" s="1" t="s">
        <v>71</v>
      </c>
      <c r="S1085" s="1" t="s">
        <v>72</v>
      </c>
      <c r="T1085" s="1" t="s">
        <v>73</v>
      </c>
      <c r="U1085" s="1">
        <v>1.00654705E8</v>
      </c>
      <c r="X1085" s="1" t="s">
        <v>74</v>
      </c>
      <c r="Y1085" s="1" t="s">
        <v>318</v>
      </c>
      <c r="Z1085" s="1" t="s">
        <v>37</v>
      </c>
    </row>
    <row r="1086" hidden="1">
      <c r="A1086" s="1" t="s">
        <v>3837</v>
      </c>
      <c r="B1086" s="1" t="s">
        <v>784</v>
      </c>
      <c r="C1086" s="1" t="s">
        <v>3838</v>
      </c>
      <c r="D1086" s="1" t="s">
        <v>27</v>
      </c>
      <c r="E1086" s="1" t="s">
        <v>28</v>
      </c>
      <c r="F1086" s="2">
        <v>1000000.0</v>
      </c>
      <c r="G1086" s="1" t="s">
        <v>586</v>
      </c>
      <c r="H1086" s="4">
        <f>IFERROR(__xludf.DUMMYFUNCTION("DATE(INDEX(SPLIT(G1086,""/""),,3),INDEX(SPLIT(G1086,""/""),,2),INDEX(SPLIT(G1086,""/""),,1))"),44726.0)</f>
        <v>44726</v>
      </c>
      <c r="I1086" s="1" t="s">
        <v>203</v>
      </c>
      <c r="J1086" s="4">
        <f>IFERROR(__xludf.DUMMYFUNCTION("DATE(INDEX(SPLIT(I1086,""/""),,3),INDEX(SPLIT(I1086,""/""),,2),INDEX(SPLIT(I1086,""/""),,1))"),44925.0)</f>
        <v>44925</v>
      </c>
      <c r="L1086" s="1">
        <v>0.0</v>
      </c>
      <c r="M1086" s="1" t="s">
        <v>787</v>
      </c>
      <c r="N1086" s="1"/>
      <c r="O1086" s="1" t="s">
        <v>30</v>
      </c>
      <c r="P1086" s="1" t="s">
        <v>31</v>
      </c>
      <c r="Q1086" s="1" t="s">
        <v>53</v>
      </c>
      <c r="R1086" s="1" t="s">
        <v>53</v>
      </c>
      <c r="S1086" s="1" t="s">
        <v>54</v>
      </c>
      <c r="T1086" s="1" t="s">
        <v>197</v>
      </c>
      <c r="U1086" s="1">
        <v>1.00610205E8</v>
      </c>
      <c r="X1086" s="1" t="s">
        <v>63</v>
      </c>
      <c r="Y1086" s="1" t="s">
        <v>3839</v>
      </c>
      <c r="Z1086" s="1" t="s">
        <v>37</v>
      </c>
    </row>
    <row r="1087">
      <c r="A1087" s="1" t="s">
        <v>3840</v>
      </c>
      <c r="B1087" s="1" t="s">
        <v>704</v>
      </c>
      <c r="C1087" s="1" t="s">
        <v>3841</v>
      </c>
      <c r="D1087" s="1" t="s">
        <v>27</v>
      </c>
      <c r="E1087" s="1" t="s">
        <v>28</v>
      </c>
      <c r="F1087" s="2">
        <v>1000000.0</v>
      </c>
      <c r="G1087" s="4">
        <v>43838.0</v>
      </c>
      <c r="H1087" s="4">
        <f>IFERROR(__xludf.DUMMYFUNCTION("DATE(INDEX(SPLIT(G1087,""/""),,3),INDEX(SPLIT(G1087,""/""),,2),INDEX(SPLIT(G1087,""/""),,1))"),44044.0)</f>
        <v>44044</v>
      </c>
      <c r="I1087" s="1" t="s">
        <v>414</v>
      </c>
      <c r="J1087" s="4">
        <f>IFERROR(__xludf.DUMMYFUNCTION("DATE(INDEX(SPLIT(I1087,""/""),,3),INDEX(SPLIT(I1087,""/""),,2),INDEX(SPLIT(I1087,""/""),,1))"),44772.0)</f>
        <v>44772</v>
      </c>
      <c r="L1087" s="1">
        <v>0.0</v>
      </c>
      <c r="M1087" s="1" t="s">
        <v>3842</v>
      </c>
      <c r="N1087" s="1"/>
      <c r="O1087" s="1" t="s">
        <v>30</v>
      </c>
      <c r="P1087" s="1" t="s">
        <v>31</v>
      </c>
      <c r="Q1087" s="1" t="s">
        <v>32</v>
      </c>
      <c r="R1087" s="1" t="s">
        <v>32</v>
      </c>
      <c r="S1087" s="1" t="s">
        <v>33</v>
      </c>
      <c r="U1087" s="1">
        <v>1.00628085E8</v>
      </c>
      <c r="X1087" s="1" t="s">
        <v>35</v>
      </c>
      <c r="Y1087" s="1" t="s">
        <v>3842</v>
      </c>
      <c r="Z1087" s="1" t="s">
        <v>527</v>
      </c>
    </row>
    <row r="1088" hidden="1">
      <c r="A1088" s="1" t="s">
        <v>3843</v>
      </c>
      <c r="B1088" s="1" t="s">
        <v>948</v>
      </c>
      <c r="C1088" s="1" t="s">
        <v>3844</v>
      </c>
      <c r="D1088" s="1" t="s">
        <v>78</v>
      </c>
      <c r="E1088" s="1" t="s">
        <v>28</v>
      </c>
      <c r="F1088" s="2">
        <v>1000000.0</v>
      </c>
      <c r="G1088" s="4">
        <v>44173.0</v>
      </c>
      <c r="H1088" s="4">
        <f>IFERROR(__xludf.DUMMYFUNCTION("DATE(INDEX(SPLIT(G1088,""/""),,3),INDEX(SPLIT(G1088,""/""),,2),INDEX(SPLIT(G1088,""/""),,1))"),44055.0)</f>
        <v>44055</v>
      </c>
      <c r="I1088" s="1" t="s">
        <v>109</v>
      </c>
      <c r="J1088" s="4">
        <f>IFERROR(__xludf.DUMMYFUNCTION("DATE(INDEX(SPLIT(I1088,""/""),,3),INDEX(SPLIT(I1088,""/""),,2),INDEX(SPLIT(I1088,""/""),,1))"),44834.0)</f>
        <v>44834</v>
      </c>
      <c r="L1088" s="1">
        <v>0.0</v>
      </c>
      <c r="M1088" s="1" t="s">
        <v>1150</v>
      </c>
      <c r="N1088" s="1"/>
      <c r="O1088" s="1" t="s">
        <v>30</v>
      </c>
      <c r="P1088" s="1" t="s">
        <v>31</v>
      </c>
      <c r="Q1088" s="1" t="s">
        <v>53</v>
      </c>
      <c r="R1088" s="1" t="s">
        <v>53</v>
      </c>
      <c r="S1088" s="1" t="s">
        <v>54</v>
      </c>
      <c r="T1088" s="1" t="s">
        <v>181</v>
      </c>
      <c r="U1088" s="1">
        <v>1.00651298E8</v>
      </c>
      <c r="X1088" s="1" t="s">
        <v>74</v>
      </c>
      <c r="Y1088" s="1" t="s">
        <v>1150</v>
      </c>
      <c r="Z1088" s="1" t="s">
        <v>37</v>
      </c>
    </row>
    <row r="1089" hidden="1">
      <c r="A1089" s="1" t="s">
        <v>3845</v>
      </c>
      <c r="B1089" s="1" t="s">
        <v>997</v>
      </c>
      <c r="C1089" s="1" t="s">
        <v>3846</v>
      </c>
      <c r="D1089" s="1" t="s">
        <v>78</v>
      </c>
      <c r="E1089" s="1" t="s">
        <v>28</v>
      </c>
      <c r="F1089" s="2">
        <v>1000000.0</v>
      </c>
      <c r="G1089" s="1" t="s">
        <v>2244</v>
      </c>
      <c r="H1089" s="4">
        <f>IFERROR(__xludf.DUMMYFUNCTION("DATE(INDEX(SPLIT(G1089,""/""),,3),INDEX(SPLIT(G1089,""/""),,2),INDEX(SPLIT(G1089,""/""),,1))"),44634.0)</f>
        <v>44634</v>
      </c>
      <c r="I1089" s="1" t="s">
        <v>130</v>
      </c>
      <c r="J1089" s="4">
        <f>IFERROR(__xludf.DUMMYFUNCTION("DATE(INDEX(SPLIT(I1089,""/""),,3),INDEX(SPLIT(I1089,""/""),,2),INDEX(SPLIT(I1089,""/""),,1))"),44804.0)</f>
        <v>44804</v>
      </c>
      <c r="L1089" s="1">
        <v>0.0</v>
      </c>
      <c r="M1089" s="1" t="s">
        <v>2043</v>
      </c>
      <c r="N1089" s="1"/>
      <c r="O1089" s="1" t="s">
        <v>30</v>
      </c>
      <c r="P1089" s="1" t="s">
        <v>31</v>
      </c>
      <c r="Q1089" s="1" t="s">
        <v>53</v>
      </c>
      <c r="R1089" s="1" t="s">
        <v>53</v>
      </c>
      <c r="S1089" s="1" t="s">
        <v>54</v>
      </c>
      <c r="U1089" s="1">
        <v>1.00624533E8</v>
      </c>
      <c r="X1089" s="1" t="s">
        <v>410</v>
      </c>
      <c r="Y1089" s="1" t="s">
        <v>2061</v>
      </c>
      <c r="Z1089" s="1" t="s">
        <v>206</v>
      </c>
    </row>
    <row r="1090">
      <c r="A1090" s="1" t="s">
        <v>3847</v>
      </c>
      <c r="B1090" s="1" t="s">
        <v>1371</v>
      </c>
      <c r="C1090" s="1" t="s">
        <v>3848</v>
      </c>
      <c r="D1090" s="1" t="s">
        <v>27</v>
      </c>
      <c r="E1090" s="1" t="s">
        <v>28</v>
      </c>
      <c r="F1090" s="2">
        <v>1000000.0</v>
      </c>
      <c r="G1090" s="1" t="s">
        <v>3849</v>
      </c>
      <c r="H1090" s="4">
        <f>IFERROR(__xludf.DUMMYFUNCTION("DATE(INDEX(SPLIT(G1090,""/""),,3),INDEX(SPLIT(G1090,""/""),,2),INDEX(SPLIT(G1090,""/""),,1))"),44551.0)</f>
        <v>44551</v>
      </c>
      <c r="I1090" s="1" t="s">
        <v>1244</v>
      </c>
      <c r="J1090" s="4">
        <f>IFERROR(__xludf.DUMMYFUNCTION("DATE(INDEX(SPLIT(I1090,""/""),,3),INDEX(SPLIT(I1090,""/""),,2),INDEX(SPLIT(I1090,""/""),,1))"),44742.0)</f>
        <v>44742</v>
      </c>
      <c r="L1090" s="1">
        <v>0.0</v>
      </c>
      <c r="M1090" s="1" t="s">
        <v>1373</v>
      </c>
      <c r="N1090" s="1"/>
      <c r="O1090" s="1" t="s">
        <v>30</v>
      </c>
      <c r="P1090" s="1" t="s">
        <v>31</v>
      </c>
      <c r="Q1090" s="1" t="s">
        <v>95</v>
      </c>
      <c r="R1090" s="1" t="s">
        <v>95</v>
      </c>
      <c r="S1090" s="1" t="s">
        <v>96</v>
      </c>
      <c r="U1090" s="1">
        <v>1.00626753E8</v>
      </c>
      <c r="X1090" s="1" t="s">
        <v>63</v>
      </c>
      <c r="Y1090" s="1" t="s">
        <v>1373</v>
      </c>
      <c r="Z1090" s="1" t="s">
        <v>37</v>
      </c>
    </row>
    <row r="1091" hidden="1">
      <c r="A1091" s="1" t="s">
        <v>3850</v>
      </c>
      <c r="B1091" s="1" t="s">
        <v>3851</v>
      </c>
      <c r="C1091" s="1" t="s">
        <v>3852</v>
      </c>
      <c r="D1091" s="1" t="s">
        <v>27</v>
      </c>
      <c r="E1091" s="1" t="s">
        <v>28</v>
      </c>
      <c r="F1091" s="2">
        <v>1000000.0</v>
      </c>
      <c r="G1091" s="1" t="s">
        <v>3853</v>
      </c>
      <c r="H1091" s="4">
        <f>IFERROR(__xludf.DUMMYFUNCTION("DATE(INDEX(SPLIT(G1091,""/""),,3),INDEX(SPLIT(G1091,""/""),,2),INDEX(SPLIT(G1091,""/""),,1))"),44679.0)</f>
        <v>44679</v>
      </c>
      <c r="I1091" s="4">
        <v>44689.0</v>
      </c>
      <c r="J1091" s="4">
        <f>IFERROR(__xludf.DUMMYFUNCTION("DATE(INDEX(SPLIT(I1091,""/""),,3),INDEX(SPLIT(I1091,""/""),,2),INDEX(SPLIT(I1091,""/""),,1))"),44778.0)</f>
        <v>44778</v>
      </c>
      <c r="L1091" s="1">
        <v>0.0</v>
      </c>
      <c r="M1091" s="1" t="s">
        <v>3854</v>
      </c>
      <c r="N1091" s="1"/>
      <c r="O1091" s="1" t="s">
        <v>30</v>
      </c>
      <c r="P1091" s="1" t="s">
        <v>31</v>
      </c>
      <c r="Q1091" s="1" t="s">
        <v>71</v>
      </c>
      <c r="R1091" s="1" t="s">
        <v>71</v>
      </c>
      <c r="S1091" s="1" t="s">
        <v>72</v>
      </c>
      <c r="T1091" s="1" t="s">
        <v>136</v>
      </c>
      <c r="U1091" s="1">
        <v>1.00603613E8</v>
      </c>
      <c r="X1091" s="1" t="s">
        <v>74</v>
      </c>
      <c r="Y1091" s="1" t="s">
        <v>3855</v>
      </c>
      <c r="Z1091" s="1" t="s">
        <v>37</v>
      </c>
    </row>
    <row r="1092" hidden="1">
      <c r="A1092" s="1" t="s">
        <v>3856</v>
      </c>
      <c r="B1092" s="1" t="s">
        <v>927</v>
      </c>
      <c r="C1092" s="1" t="s">
        <v>3857</v>
      </c>
      <c r="D1092" s="1" t="s">
        <v>27</v>
      </c>
      <c r="E1092" s="1" t="s">
        <v>28</v>
      </c>
      <c r="F1092" s="2">
        <v>1000000.0</v>
      </c>
      <c r="G1092" s="4">
        <v>44355.0</v>
      </c>
      <c r="H1092" s="4">
        <f>IFERROR(__xludf.DUMMYFUNCTION("DATE(INDEX(SPLIT(G1092,""/""),,3),INDEX(SPLIT(G1092,""/""),,2),INDEX(SPLIT(G1092,""/""),,1))"),44414.0)</f>
        <v>44414</v>
      </c>
      <c r="I1092" s="1" t="s">
        <v>42</v>
      </c>
      <c r="J1092" s="4">
        <f>IFERROR(__xludf.DUMMYFUNCTION("DATE(INDEX(SPLIT(I1092,""/""),,3),INDEX(SPLIT(I1092,""/""),,2),INDEX(SPLIT(I1092,""/""),,1))"),44926.0)</f>
        <v>44926</v>
      </c>
      <c r="L1092" s="1">
        <v>0.0</v>
      </c>
      <c r="M1092" s="1" t="s">
        <v>2057</v>
      </c>
      <c r="N1092" s="1"/>
      <c r="O1092" s="1" t="s">
        <v>30</v>
      </c>
      <c r="P1092" s="1" t="s">
        <v>31</v>
      </c>
      <c r="Q1092" s="1" t="s">
        <v>71</v>
      </c>
      <c r="R1092" s="1" t="s">
        <v>71</v>
      </c>
      <c r="S1092" s="1" t="s">
        <v>72</v>
      </c>
      <c r="T1092" s="1" t="s">
        <v>136</v>
      </c>
      <c r="U1092" s="1">
        <v>1.01078216E8</v>
      </c>
      <c r="X1092" s="1" t="s">
        <v>117</v>
      </c>
      <c r="Y1092" s="1" t="s">
        <v>2057</v>
      </c>
      <c r="Z1092" s="1" t="s">
        <v>206</v>
      </c>
    </row>
    <row r="1093" hidden="1">
      <c r="A1093" s="1" t="s">
        <v>3858</v>
      </c>
      <c r="B1093" s="1" t="s">
        <v>938</v>
      </c>
      <c r="C1093" s="1" t="s">
        <v>3859</v>
      </c>
      <c r="D1093" s="1" t="s">
        <v>78</v>
      </c>
      <c r="E1093" s="1" t="s">
        <v>28</v>
      </c>
      <c r="F1093" s="2">
        <v>1000000.0</v>
      </c>
      <c r="G1093" s="4">
        <v>44626.0</v>
      </c>
      <c r="H1093" s="4">
        <f>IFERROR(__xludf.DUMMYFUNCTION("DATE(INDEX(SPLIT(G1093,""/""),,3),INDEX(SPLIT(G1093,""/""),,2),INDEX(SPLIT(G1093,""/""),,1))"),44715.0)</f>
        <v>44715</v>
      </c>
      <c r="I1093" s="1" t="s">
        <v>1361</v>
      </c>
      <c r="J1093" s="4">
        <f>IFERROR(__xludf.DUMMYFUNCTION("DATE(INDEX(SPLIT(I1093,""/""),,3),INDEX(SPLIT(I1093,""/""),,2),INDEX(SPLIT(I1093,""/""),,1))"),44827.0)</f>
        <v>44827</v>
      </c>
      <c r="L1093" s="1">
        <v>0.0</v>
      </c>
      <c r="M1093" s="1" t="s">
        <v>3860</v>
      </c>
      <c r="N1093" s="1"/>
      <c r="O1093" s="1" t="s">
        <v>30</v>
      </c>
      <c r="P1093" s="1" t="s">
        <v>31</v>
      </c>
      <c r="Q1093" s="1" t="s">
        <v>235</v>
      </c>
      <c r="R1093" s="1" t="s">
        <v>235</v>
      </c>
      <c r="S1093" s="1" t="s">
        <v>236</v>
      </c>
      <c r="T1093" s="1" t="s">
        <v>753</v>
      </c>
      <c r="U1093" s="1">
        <v>1.00636461E8</v>
      </c>
      <c r="X1093" s="1" t="s">
        <v>88</v>
      </c>
      <c r="Y1093" s="1" t="s">
        <v>3861</v>
      </c>
      <c r="Z1093" s="1" t="s">
        <v>37</v>
      </c>
    </row>
    <row r="1094">
      <c r="A1094" s="1" t="s">
        <v>3862</v>
      </c>
      <c r="B1094" s="1" t="s">
        <v>2265</v>
      </c>
      <c r="C1094" s="1" t="s">
        <v>3863</v>
      </c>
      <c r="D1094" s="1" t="s">
        <v>27</v>
      </c>
      <c r="E1094" s="1" t="s">
        <v>28</v>
      </c>
      <c r="F1094" s="2">
        <v>1000000.0</v>
      </c>
      <c r="G1094" s="4">
        <v>44653.0</v>
      </c>
      <c r="H1094" s="4">
        <f>IFERROR(__xludf.DUMMYFUNCTION("DATE(INDEX(SPLIT(G1094,""/""),,3),INDEX(SPLIT(G1094,""/""),,2),INDEX(SPLIT(G1094,""/""),,1))"),44596.0)</f>
        <v>44596</v>
      </c>
      <c r="I1094" s="1" t="s">
        <v>226</v>
      </c>
      <c r="J1094" s="4">
        <f>IFERROR(__xludf.DUMMYFUNCTION("DATE(INDEX(SPLIT(I1094,""/""),,3),INDEX(SPLIT(I1094,""/""),,2),INDEX(SPLIT(I1094,""/""),,1))"),44771.0)</f>
        <v>44771</v>
      </c>
      <c r="L1094" s="1">
        <v>0.0</v>
      </c>
      <c r="M1094" s="1" t="s">
        <v>2325</v>
      </c>
      <c r="N1094" s="1"/>
      <c r="O1094" s="1" t="s">
        <v>30</v>
      </c>
      <c r="P1094" s="1" t="s">
        <v>31</v>
      </c>
      <c r="Q1094" s="1" t="s">
        <v>235</v>
      </c>
      <c r="R1094" s="1" t="s">
        <v>235</v>
      </c>
      <c r="S1094" s="1" t="s">
        <v>236</v>
      </c>
      <c r="T1094" s="1" t="s">
        <v>237</v>
      </c>
      <c r="U1094" s="1">
        <v>1.00649726E8</v>
      </c>
      <c r="X1094" s="1" t="s">
        <v>239</v>
      </c>
      <c r="Y1094" s="1" t="s">
        <v>2325</v>
      </c>
      <c r="Z1094" s="1" t="s">
        <v>37</v>
      </c>
    </row>
    <row r="1095" hidden="1">
      <c r="A1095" s="1" t="s">
        <v>3864</v>
      </c>
      <c r="B1095" s="1" t="s">
        <v>1355</v>
      </c>
      <c r="C1095" s="1" t="s">
        <v>3865</v>
      </c>
      <c r="D1095" s="1" t="s">
        <v>78</v>
      </c>
      <c r="E1095" s="1" t="s">
        <v>28</v>
      </c>
      <c r="F1095" s="2">
        <v>1000000.0</v>
      </c>
      <c r="G1095" s="1" t="s">
        <v>1774</v>
      </c>
      <c r="H1095" s="4">
        <f>IFERROR(__xludf.DUMMYFUNCTION("DATE(INDEX(SPLIT(G1095,""/""),,3),INDEX(SPLIT(G1095,""/""),,2),INDEX(SPLIT(G1095,""/""),,1))"),44043.0)</f>
        <v>44043</v>
      </c>
      <c r="I1095" s="1" t="s">
        <v>293</v>
      </c>
      <c r="J1095" s="4">
        <f>IFERROR(__xludf.DUMMYFUNCTION("DATE(INDEX(SPLIT(I1095,""/""),,3),INDEX(SPLIT(I1095,""/""),,2),INDEX(SPLIT(I1095,""/""),,1))"),44918.0)</f>
        <v>44918</v>
      </c>
      <c r="L1095" s="1">
        <v>0.0</v>
      </c>
      <c r="M1095" s="1" t="s">
        <v>1358</v>
      </c>
      <c r="N1095" s="1"/>
      <c r="O1095" s="1" t="s">
        <v>30</v>
      </c>
      <c r="P1095" s="1" t="s">
        <v>31</v>
      </c>
      <c r="Q1095" s="1" t="s">
        <v>32</v>
      </c>
      <c r="R1095" s="1" t="s">
        <v>32</v>
      </c>
      <c r="S1095" s="1" t="s">
        <v>33</v>
      </c>
      <c r="T1095" s="1" t="s">
        <v>34</v>
      </c>
      <c r="U1095" s="1">
        <v>1.00613915E8</v>
      </c>
      <c r="X1095" s="1" t="s">
        <v>35</v>
      </c>
      <c r="Y1095" s="1" t="s">
        <v>1358</v>
      </c>
      <c r="Z1095" s="1" t="s">
        <v>37</v>
      </c>
    </row>
    <row r="1096" hidden="1">
      <c r="A1096" s="1" t="s">
        <v>3866</v>
      </c>
      <c r="B1096" s="1" t="s">
        <v>3867</v>
      </c>
      <c r="C1096" s="1" t="s">
        <v>3868</v>
      </c>
      <c r="D1096" s="1" t="s">
        <v>27</v>
      </c>
      <c r="E1096" s="1" t="s">
        <v>28</v>
      </c>
      <c r="F1096" s="2">
        <v>1000000.0</v>
      </c>
      <c r="G1096" s="1" t="s">
        <v>940</v>
      </c>
      <c r="H1096" s="4">
        <f>IFERROR(__xludf.DUMMYFUNCTION("DATE(INDEX(SPLIT(G1096,""/""),,3),INDEX(SPLIT(G1096,""/""),,2),INDEX(SPLIT(G1096,""/""),,1))"),44574.0)</f>
        <v>44574</v>
      </c>
      <c r="I1096" s="1" t="s">
        <v>165</v>
      </c>
      <c r="J1096" s="4">
        <f>IFERROR(__xludf.DUMMYFUNCTION("DATE(INDEX(SPLIT(I1096,""/""),,3),INDEX(SPLIT(I1096,""/""),,2),INDEX(SPLIT(I1096,""/""),,1))"),44803.0)</f>
        <v>44803</v>
      </c>
      <c r="L1096" s="1">
        <v>0.0</v>
      </c>
      <c r="M1096" s="1" t="s">
        <v>1303</v>
      </c>
      <c r="N1096" s="1"/>
      <c r="O1096" s="1" t="s">
        <v>30</v>
      </c>
      <c r="P1096" s="1" t="s">
        <v>31</v>
      </c>
      <c r="Q1096" s="1" t="s">
        <v>235</v>
      </c>
      <c r="R1096" s="1" t="s">
        <v>235</v>
      </c>
      <c r="S1096" s="1" t="s">
        <v>236</v>
      </c>
      <c r="T1096" s="1" t="s">
        <v>438</v>
      </c>
      <c r="U1096" s="1">
        <v>1.00609073E8</v>
      </c>
      <c r="X1096" s="1" t="s">
        <v>88</v>
      </c>
      <c r="Y1096" s="1" t="s">
        <v>942</v>
      </c>
      <c r="Z1096" s="1" t="s">
        <v>37</v>
      </c>
    </row>
    <row r="1097" hidden="1">
      <c r="A1097" s="1" t="s">
        <v>3869</v>
      </c>
      <c r="B1097" s="1" t="s">
        <v>1619</v>
      </c>
      <c r="C1097" s="1" t="s">
        <v>3870</v>
      </c>
      <c r="D1097" s="1" t="s">
        <v>27</v>
      </c>
      <c r="E1097" s="1" t="s">
        <v>28</v>
      </c>
      <c r="F1097" s="2">
        <v>1000000.0</v>
      </c>
      <c r="G1097" s="1" t="s">
        <v>2988</v>
      </c>
      <c r="H1097" s="4">
        <f>IFERROR(__xludf.DUMMYFUNCTION("DATE(INDEX(SPLIT(G1097,""/""),,3),INDEX(SPLIT(G1097,""/""),,2),INDEX(SPLIT(G1097,""/""),,1))"),44523.0)</f>
        <v>44523</v>
      </c>
      <c r="I1097" s="1" t="s">
        <v>130</v>
      </c>
      <c r="J1097" s="4">
        <f>IFERROR(__xludf.DUMMYFUNCTION("DATE(INDEX(SPLIT(I1097,""/""),,3),INDEX(SPLIT(I1097,""/""),,2),INDEX(SPLIT(I1097,""/""),,1))"),44804.0)</f>
        <v>44804</v>
      </c>
      <c r="L1097" s="1">
        <v>0.0</v>
      </c>
      <c r="M1097" s="1" t="s">
        <v>1833</v>
      </c>
      <c r="N1097" s="1"/>
      <c r="O1097" s="1" t="s">
        <v>30</v>
      </c>
      <c r="P1097" s="1" t="s">
        <v>31</v>
      </c>
      <c r="Q1097" s="1" t="s">
        <v>53</v>
      </c>
      <c r="R1097" s="1" t="s">
        <v>53</v>
      </c>
      <c r="S1097" s="1" t="s">
        <v>54</v>
      </c>
      <c r="T1097" s="1" t="s">
        <v>634</v>
      </c>
      <c r="U1097" s="1">
        <v>1.0105484E8</v>
      </c>
      <c r="X1097" s="1" t="s">
        <v>117</v>
      </c>
      <c r="Y1097" s="1" t="s">
        <v>1833</v>
      </c>
      <c r="Z1097" s="1" t="s">
        <v>37</v>
      </c>
    </row>
    <row r="1098" hidden="1">
      <c r="A1098" s="1" t="s">
        <v>3871</v>
      </c>
      <c r="B1098" s="1" t="s">
        <v>139</v>
      </c>
      <c r="C1098" s="1" t="s">
        <v>3872</v>
      </c>
      <c r="D1098" s="1" t="s">
        <v>27</v>
      </c>
      <c r="E1098" s="1" t="s">
        <v>28</v>
      </c>
      <c r="F1098" s="2">
        <v>1000000.0</v>
      </c>
      <c r="G1098" s="1" t="s">
        <v>2110</v>
      </c>
      <c r="H1098" s="4">
        <f>IFERROR(__xludf.DUMMYFUNCTION("DATE(INDEX(SPLIT(G1098,""/""),,3),INDEX(SPLIT(G1098,""/""),,2),INDEX(SPLIT(G1098,""/""),,1))"),44650.0)</f>
        <v>44650</v>
      </c>
      <c r="I1098" s="4">
        <v>44569.0</v>
      </c>
      <c r="J1098" s="4">
        <f>IFERROR(__xludf.DUMMYFUNCTION("DATE(INDEX(SPLIT(I1098,""/""),,3),INDEX(SPLIT(I1098,""/""),,2),INDEX(SPLIT(I1098,""/""),,1))"),44774.0)</f>
        <v>44774</v>
      </c>
      <c r="L1098" s="1">
        <v>0.0</v>
      </c>
      <c r="M1098" s="1" t="s">
        <v>3873</v>
      </c>
      <c r="N1098" s="1"/>
      <c r="O1098" s="1" t="s">
        <v>30</v>
      </c>
      <c r="P1098" s="1" t="s">
        <v>31</v>
      </c>
      <c r="Q1098" s="1" t="s">
        <v>53</v>
      </c>
      <c r="R1098" s="1" t="s">
        <v>53</v>
      </c>
      <c r="S1098" s="1" t="s">
        <v>54</v>
      </c>
      <c r="T1098" s="1" t="s">
        <v>1386</v>
      </c>
      <c r="U1098" s="1">
        <v>1.01213659E8</v>
      </c>
      <c r="X1098" s="1" t="s">
        <v>81</v>
      </c>
      <c r="Y1098" s="1" t="s">
        <v>3874</v>
      </c>
      <c r="Z1098" s="1" t="s">
        <v>206</v>
      </c>
    </row>
    <row r="1099">
      <c r="A1099" s="1" t="s">
        <v>3875</v>
      </c>
      <c r="B1099" s="1" t="s">
        <v>106</v>
      </c>
      <c r="C1099" s="1" t="s">
        <v>3876</v>
      </c>
      <c r="D1099" s="1" t="s">
        <v>122</v>
      </c>
      <c r="E1099" s="1" t="s">
        <v>28</v>
      </c>
      <c r="F1099" s="2">
        <v>1000000.0</v>
      </c>
      <c r="G1099" s="4">
        <v>44867.0</v>
      </c>
      <c r="H1099" s="4">
        <f>IFERROR(__xludf.DUMMYFUNCTION("DATE(INDEX(SPLIT(G1099,""/""),,3),INDEX(SPLIT(G1099,""/""),,2),INDEX(SPLIT(G1099,""/""),,1))"),44603.0)</f>
        <v>44603</v>
      </c>
      <c r="I1099" s="1" t="s">
        <v>1442</v>
      </c>
      <c r="J1099" s="4">
        <f>IFERROR(__xludf.DUMMYFUNCTION("DATE(INDEX(SPLIT(I1099,""/""),,3),INDEX(SPLIT(I1099,""/""),,2),INDEX(SPLIT(I1099,""/""),,1))"),44727.0)</f>
        <v>44727</v>
      </c>
      <c r="L1099" s="1">
        <v>0.0</v>
      </c>
      <c r="M1099" s="1" t="s">
        <v>1755</v>
      </c>
      <c r="N1099" s="1"/>
      <c r="O1099" s="1" t="s">
        <v>30</v>
      </c>
      <c r="P1099" s="1" t="s">
        <v>31</v>
      </c>
      <c r="Q1099" s="1" t="s">
        <v>188</v>
      </c>
      <c r="R1099" s="1" t="s">
        <v>188</v>
      </c>
      <c r="S1099" s="1" t="s">
        <v>189</v>
      </c>
      <c r="T1099" s="1" t="s">
        <v>1344</v>
      </c>
      <c r="U1099" s="1">
        <v>1.00904603E8</v>
      </c>
      <c r="X1099" s="1" t="s">
        <v>63</v>
      </c>
      <c r="Y1099" s="1" t="s">
        <v>3877</v>
      </c>
      <c r="Z1099" s="1" t="s">
        <v>37</v>
      </c>
    </row>
    <row r="1100">
      <c r="A1100" s="1" t="s">
        <v>3878</v>
      </c>
      <c r="B1100" s="1" t="s">
        <v>3429</v>
      </c>
      <c r="C1100" s="1" t="s">
        <v>3879</v>
      </c>
      <c r="D1100" s="1" t="s">
        <v>27</v>
      </c>
      <c r="E1100" s="1" t="s">
        <v>28</v>
      </c>
      <c r="F1100" s="2">
        <v>1000000.0</v>
      </c>
      <c r="G1100" s="4">
        <v>44567.0</v>
      </c>
      <c r="H1100" s="4">
        <f>IFERROR(__xludf.DUMMYFUNCTION("DATE(INDEX(SPLIT(G1100,""/""),,3),INDEX(SPLIT(G1100,""/""),,2),INDEX(SPLIT(G1100,""/""),,1))"),44713.0)</f>
        <v>44713</v>
      </c>
      <c r="I1100" s="4">
        <v>44840.0</v>
      </c>
      <c r="J1100" s="4">
        <f>IFERROR(__xludf.DUMMYFUNCTION("DATE(INDEX(SPLIT(I1100,""/""),,3),INDEX(SPLIT(I1100,""/""),,2),INDEX(SPLIT(I1100,""/""),,1))"),44722.0)</f>
        <v>44722</v>
      </c>
      <c r="L1100" s="1">
        <v>0.0</v>
      </c>
      <c r="M1100" s="1" t="s">
        <v>653</v>
      </c>
      <c r="N1100" s="1"/>
      <c r="O1100" s="1" t="s">
        <v>30</v>
      </c>
      <c r="P1100" s="1" t="s">
        <v>31</v>
      </c>
      <c r="Q1100" s="1" t="s">
        <v>157</v>
      </c>
      <c r="R1100" s="1" t="s">
        <v>157</v>
      </c>
      <c r="S1100" s="1" t="s">
        <v>158</v>
      </c>
      <c r="U1100" s="1">
        <v>1.00591141E8</v>
      </c>
      <c r="X1100" s="1" t="s">
        <v>63</v>
      </c>
      <c r="Y1100" s="1" t="s">
        <v>3880</v>
      </c>
      <c r="Z1100" s="1" t="s">
        <v>37</v>
      </c>
    </row>
    <row r="1101" hidden="1">
      <c r="A1101" s="1" t="s">
        <v>3881</v>
      </c>
      <c r="B1101" s="1" t="s">
        <v>91</v>
      </c>
      <c r="C1101" s="1" t="s">
        <v>3882</v>
      </c>
      <c r="D1101" s="1" t="s">
        <v>78</v>
      </c>
      <c r="E1101" s="1" t="s">
        <v>28</v>
      </c>
      <c r="F1101" s="2">
        <v>1000000.0</v>
      </c>
      <c r="G1101" s="1" t="s">
        <v>3883</v>
      </c>
      <c r="H1101" s="4">
        <f>IFERROR(__xludf.DUMMYFUNCTION("DATE(INDEX(SPLIT(G1101,""/""),,3),INDEX(SPLIT(G1101,""/""),,2),INDEX(SPLIT(G1101,""/""),,1))"),44666.0)</f>
        <v>44666</v>
      </c>
      <c r="I1101" s="1" t="s">
        <v>203</v>
      </c>
      <c r="J1101" s="4">
        <f>IFERROR(__xludf.DUMMYFUNCTION("DATE(INDEX(SPLIT(I1101,""/""),,3),INDEX(SPLIT(I1101,""/""),,2),INDEX(SPLIT(I1101,""/""),,1))"),44925.0)</f>
        <v>44925</v>
      </c>
      <c r="L1101" s="1">
        <v>0.0</v>
      </c>
      <c r="M1101" s="1" t="s">
        <v>3625</v>
      </c>
      <c r="N1101" s="1"/>
      <c r="O1101" s="1" t="s">
        <v>30</v>
      </c>
      <c r="P1101" s="1" t="s">
        <v>31</v>
      </c>
      <c r="Q1101" s="1" t="s">
        <v>32</v>
      </c>
      <c r="R1101" s="1" t="s">
        <v>32</v>
      </c>
      <c r="S1101" s="1" t="s">
        <v>33</v>
      </c>
      <c r="T1101" s="1" t="s">
        <v>402</v>
      </c>
      <c r="U1101" s="1">
        <v>1.00642379E8</v>
      </c>
      <c r="V1101" s="1" t="s">
        <v>3884</v>
      </c>
      <c r="W1101" s="1" t="s">
        <v>45</v>
      </c>
      <c r="X1101" s="1" t="s">
        <v>98</v>
      </c>
      <c r="Y1101" s="1" t="s">
        <v>3885</v>
      </c>
      <c r="Z1101" s="1" t="s">
        <v>37</v>
      </c>
    </row>
    <row r="1102" hidden="1">
      <c r="A1102" s="1" t="s">
        <v>3886</v>
      </c>
      <c r="B1102" s="1" t="s">
        <v>1511</v>
      </c>
      <c r="C1102" s="1" t="s">
        <v>3887</v>
      </c>
      <c r="D1102" s="1" t="s">
        <v>27</v>
      </c>
      <c r="E1102" s="1" t="s">
        <v>28</v>
      </c>
      <c r="F1102" s="2">
        <v>1000000.0</v>
      </c>
      <c r="G1102" s="1" t="s">
        <v>3888</v>
      </c>
      <c r="H1102" s="4">
        <f>IFERROR(__xludf.DUMMYFUNCTION("DATE(INDEX(SPLIT(G1102,""/""),,3),INDEX(SPLIT(G1102,""/""),,2),INDEX(SPLIT(G1102,""/""),,1))"),44092.0)</f>
        <v>44092</v>
      </c>
      <c r="I1102" s="4">
        <v>44987.0</v>
      </c>
      <c r="J1102" s="4">
        <f>IFERROR(__xludf.DUMMYFUNCTION("DATE(INDEX(SPLIT(I1102,""/""),,3),INDEX(SPLIT(I1102,""/""),,2),INDEX(SPLIT(I1102,""/""),,1))"),44960.0)</f>
        <v>44960</v>
      </c>
      <c r="L1102" s="1">
        <v>0.0</v>
      </c>
      <c r="M1102" s="1" t="s">
        <v>1840</v>
      </c>
      <c r="N1102" s="1"/>
      <c r="O1102" s="1" t="s">
        <v>30</v>
      </c>
      <c r="P1102" s="1" t="s">
        <v>31</v>
      </c>
      <c r="Q1102" s="1" t="s">
        <v>71</v>
      </c>
      <c r="R1102" s="1" t="s">
        <v>71</v>
      </c>
      <c r="S1102" s="1" t="s">
        <v>72</v>
      </c>
      <c r="T1102" s="1" t="s">
        <v>615</v>
      </c>
      <c r="U1102" s="1">
        <v>1.00617113E8</v>
      </c>
      <c r="X1102" s="1" t="s">
        <v>490</v>
      </c>
      <c r="Y1102" s="1" t="s">
        <v>3889</v>
      </c>
      <c r="Z1102" s="1" t="s">
        <v>37</v>
      </c>
    </row>
    <row r="1103" hidden="1">
      <c r="A1103" s="1" t="s">
        <v>3890</v>
      </c>
      <c r="B1103" s="1" t="s">
        <v>2803</v>
      </c>
      <c r="C1103" s="1" t="s">
        <v>3891</v>
      </c>
      <c r="D1103" s="1" t="s">
        <v>27</v>
      </c>
      <c r="E1103" s="1" t="s">
        <v>28</v>
      </c>
      <c r="F1103" s="2">
        <v>1000000.0</v>
      </c>
      <c r="G1103" s="1" t="s">
        <v>940</v>
      </c>
      <c r="H1103" s="4">
        <f>IFERROR(__xludf.DUMMYFUNCTION("DATE(INDEX(SPLIT(G1103,""/""),,3),INDEX(SPLIT(G1103,""/""),,2),INDEX(SPLIT(G1103,""/""),,1))"),44574.0)</f>
        <v>44574</v>
      </c>
      <c r="I1103" s="1" t="s">
        <v>165</v>
      </c>
      <c r="J1103" s="4">
        <f>IFERROR(__xludf.DUMMYFUNCTION("DATE(INDEX(SPLIT(I1103,""/""),,3),INDEX(SPLIT(I1103,""/""),,2),INDEX(SPLIT(I1103,""/""),,1))"),44803.0)</f>
        <v>44803</v>
      </c>
      <c r="L1103" s="1">
        <v>0.0</v>
      </c>
      <c r="M1103" s="1" t="s">
        <v>1303</v>
      </c>
      <c r="N1103" s="1"/>
      <c r="O1103" s="1" t="s">
        <v>30</v>
      </c>
      <c r="P1103" s="1" t="s">
        <v>31</v>
      </c>
      <c r="Q1103" s="1" t="s">
        <v>235</v>
      </c>
      <c r="R1103" s="1" t="s">
        <v>235</v>
      </c>
      <c r="S1103" s="1" t="s">
        <v>236</v>
      </c>
      <c r="T1103" s="1" t="s">
        <v>438</v>
      </c>
      <c r="U1103" s="1">
        <v>1.00609073E8</v>
      </c>
      <c r="X1103" s="1" t="s">
        <v>88</v>
      </c>
      <c r="Y1103" s="1" t="s">
        <v>942</v>
      </c>
      <c r="Z1103" s="1" t="s">
        <v>37</v>
      </c>
    </row>
    <row r="1104" hidden="1">
      <c r="A1104" s="1" t="s">
        <v>3892</v>
      </c>
      <c r="B1104" s="1" t="s">
        <v>177</v>
      </c>
      <c r="C1104" s="1" t="s">
        <v>3893</v>
      </c>
      <c r="D1104" s="1" t="s">
        <v>27</v>
      </c>
      <c r="E1104" s="1" t="s">
        <v>28</v>
      </c>
      <c r="F1104" s="2">
        <v>1000000.0</v>
      </c>
      <c r="G1104" s="4">
        <v>44655.0</v>
      </c>
      <c r="H1104" s="4">
        <f>IFERROR(__xludf.DUMMYFUNCTION("DATE(INDEX(SPLIT(G1104,""/""),,3),INDEX(SPLIT(G1104,""/""),,2),INDEX(SPLIT(G1104,""/""),,1))"),44655.0)</f>
        <v>44655</v>
      </c>
      <c r="I1104" s="1" t="s">
        <v>281</v>
      </c>
      <c r="J1104" s="4">
        <f>IFERROR(__xludf.DUMMYFUNCTION("DATE(INDEX(SPLIT(I1104,""/""),,3),INDEX(SPLIT(I1104,""/""),,2),INDEX(SPLIT(I1104,""/""),,1))"),44865.0)</f>
        <v>44865</v>
      </c>
      <c r="L1104" s="1">
        <v>0.0</v>
      </c>
      <c r="M1104" s="1" t="s">
        <v>1409</v>
      </c>
      <c r="N1104" s="1"/>
      <c r="O1104" s="1" t="s">
        <v>30</v>
      </c>
      <c r="P1104" s="1" t="s">
        <v>31</v>
      </c>
      <c r="Q1104" s="1" t="s">
        <v>71</v>
      </c>
      <c r="R1104" s="1" t="s">
        <v>71</v>
      </c>
      <c r="S1104" s="1" t="s">
        <v>72</v>
      </c>
      <c r="T1104" s="1" t="s">
        <v>73</v>
      </c>
      <c r="U1104" s="1">
        <v>1.00613761E8</v>
      </c>
      <c r="X1104" s="1" t="s">
        <v>74</v>
      </c>
      <c r="Y1104" s="1" t="s">
        <v>1409</v>
      </c>
      <c r="Z1104" s="1" t="s">
        <v>37</v>
      </c>
    </row>
    <row r="1105">
      <c r="A1105" s="1" t="s">
        <v>3894</v>
      </c>
      <c r="B1105" s="1" t="s">
        <v>1275</v>
      </c>
      <c r="C1105" s="1" t="s">
        <v>3895</v>
      </c>
      <c r="D1105" s="1" t="s">
        <v>27</v>
      </c>
      <c r="E1105" s="1" t="s">
        <v>28</v>
      </c>
      <c r="F1105" s="2">
        <v>1000000.0</v>
      </c>
      <c r="G1105" s="1" t="s">
        <v>3896</v>
      </c>
      <c r="H1105" s="4">
        <f>IFERROR(__xludf.DUMMYFUNCTION("DATE(INDEX(SPLIT(G1105,""/""),,3),INDEX(SPLIT(G1105,""/""),,2),INDEX(SPLIT(G1105,""/""),,1))"),44697.0)</f>
        <v>44697</v>
      </c>
      <c r="I1105" s="1" t="s">
        <v>226</v>
      </c>
      <c r="J1105" s="4">
        <f>IFERROR(__xludf.DUMMYFUNCTION("DATE(INDEX(SPLIT(I1105,""/""),,3),INDEX(SPLIT(I1105,""/""),,2),INDEX(SPLIT(I1105,""/""),,1))"),44771.0)</f>
        <v>44771</v>
      </c>
      <c r="L1105" s="1">
        <v>0.0</v>
      </c>
      <c r="M1105" s="1" t="s">
        <v>1239</v>
      </c>
      <c r="N1105" s="1"/>
      <c r="O1105" s="1" t="s">
        <v>30</v>
      </c>
      <c r="P1105" s="1" t="s">
        <v>31</v>
      </c>
      <c r="Q1105" s="1" t="s">
        <v>71</v>
      </c>
      <c r="R1105" s="1" t="s">
        <v>71</v>
      </c>
      <c r="S1105" s="1" t="s">
        <v>72</v>
      </c>
      <c r="T1105" s="1" t="s">
        <v>136</v>
      </c>
      <c r="U1105" s="1">
        <v>1.00943277E8</v>
      </c>
      <c r="X1105" s="1" t="s">
        <v>74</v>
      </c>
      <c r="Y1105" s="1" t="s">
        <v>1746</v>
      </c>
      <c r="Z1105" s="1" t="s">
        <v>37</v>
      </c>
    </row>
    <row r="1106" hidden="1">
      <c r="A1106" s="1" t="s">
        <v>3897</v>
      </c>
      <c r="B1106" s="1" t="s">
        <v>1291</v>
      </c>
      <c r="C1106" s="1" t="s">
        <v>3898</v>
      </c>
      <c r="D1106" s="1" t="s">
        <v>78</v>
      </c>
      <c r="E1106" s="1" t="s">
        <v>28</v>
      </c>
      <c r="F1106" s="2">
        <v>1000000.0</v>
      </c>
      <c r="G1106" s="1" t="s">
        <v>523</v>
      </c>
      <c r="H1106" s="4">
        <f>IFERROR(__xludf.DUMMYFUNCTION("DATE(INDEX(SPLIT(G1106,""/""),,3),INDEX(SPLIT(G1106,""/""),,2),INDEX(SPLIT(G1106,""/""),,1))"),44517.0)</f>
        <v>44517</v>
      </c>
      <c r="I1106" s="1" t="s">
        <v>281</v>
      </c>
      <c r="J1106" s="4">
        <f>IFERROR(__xludf.DUMMYFUNCTION("DATE(INDEX(SPLIT(I1106,""/""),,3),INDEX(SPLIT(I1106,""/""),,2),INDEX(SPLIT(I1106,""/""),,1))"),44865.0)</f>
        <v>44865</v>
      </c>
      <c r="L1106" s="1">
        <v>0.0</v>
      </c>
      <c r="M1106" s="1" t="s">
        <v>494</v>
      </c>
      <c r="N1106" s="1"/>
      <c r="O1106" s="1" t="s">
        <v>30</v>
      </c>
      <c r="P1106" s="1" t="s">
        <v>31</v>
      </c>
      <c r="Q1106" s="1" t="s">
        <v>95</v>
      </c>
      <c r="R1106" s="1" t="s">
        <v>95</v>
      </c>
      <c r="S1106" s="1" t="s">
        <v>96</v>
      </c>
      <c r="T1106" s="1" t="s">
        <v>311</v>
      </c>
      <c r="U1106" s="1">
        <v>1.0062347E8</v>
      </c>
      <c r="X1106" s="1" t="s">
        <v>312</v>
      </c>
      <c r="Y1106" s="1" t="s">
        <v>494</v>
      </c>
      <c r="Z1106" s="1" t="s">
        <v>37</v>
      </c>
    </row>
    <row r="1107">
      <c r="A1107" s="1" t="s">
        <v>3899</v>
      </c>
      <c r="B1107" s="1" t="s">
        <v>1734</v>
      </c>
      <c r="C1107" s="1" t="s">
        <v>3900</v>
      </c>
      <c r="D1107" s="1" t="s">
        <v>78</v>
      </c>
      <c r="E1107" s="1" t="s">
        <v>28</v>
      </c>
      <c r="F1107" s="2">
        <v>1000000.0</v>
      </c>
      <c r="G1107" s="1" t="s">
        <v>233</v>
      </c>
      <c r="H1107" s="4">
        <f>IFERROR(__xludf.DUMMYFUNCTION("DATE(INDEX(SPLIT(G1107,""/""),,3),INDEX(SPLIT(G1107,""/""),,2),INDEX(SPLIT(G1107,""/""),,1))"),44729.0)</f>
        <v>44729</v>
      </c>
      <c r="I1107" s="1" t="s">
        <v>518</v>
      </c>
      <c r="J1107" s="4">
        <f>IFERROR(__xludf.DUMMYFUNCTION("DATE(INDEX(SPLIT(I1107,""/""),,3),INDEX(SPLIT(I1107,""/""),,2),INDEX(SPLIT(I1107,""/""),,1))"),44757.0)</f>
        <v>44757</v>
      </c>
      <c r="L1107" s="1">
        <v>0.0</v>
      </c>
      <c r="M1107" s="1" t="s">
        <v>823</v>
      </c>
      <c r="N1107" s="1"/>
      <c r="O1107" s="1" t="s">
        <v>30</v>
      </c>
      <c r="P1107" s="1" t="s">
        <v>31</v>
      </c>
      <c r="Q1107" s="1" t="s">
        <v>95</v>
      </c>
      <c r="R1107" s="1" t="s">
        <v>95</v>
      </c>
      <c r="S1107" s="1" t="s">
        <v>96</v>
      </c>
      <c r="T1107" s="1" t="s">
        <v>97</v>
      </c>
      <c r="U1107" s="1">
        <v>1.00629729E8</v>
      </c>
      <c r="X1107" s="1" t="s">
        <v>125</v>
      </c>
      <c r="Y1107" s="1" t="s">
        <v>2674</v>
      </c>
      <c r="Z1107" s="1" t="s">
        <v>37</v>
      </c>
    </row>
    <row r="1108" hidden="1">
      <c r="A1108" s="1" t="s">
        <v>3901</v>
      </c>
      <c r="B1108" s="1" t="s">
        <v>3902</v>
      </c>
      <c r="C1108" s="1" t="s">
        <v>3903</v>
      </c>
      <c r="D1108" s="1" t="s">
        <v>27</v>
      </c>
      <c r="E1108" s="1" t="s">
        <v>28</v>
      </c>
      <c r="F1108" s="2">
        <v>1000000.0</v>
      </c>
      <c r="G1108" s="1" t="s">
        <v>2988</v>
      </c>
      <c r="H1108" s="4">
        <f>IFERROR(__xludf.DUMMYFUNCTION("DATE(INDEX(SPLIT(G1108,""/""),,3),INDEX(SPLIT(G1108,""/""),,2),INDEX(SPLIT(G1108,""/""),,1))"),44523.0)</f>
        <v>44523</v>
      </c>
      <c r="I1108" s="4">
        <v>45083.0</v>
      </c>
      <c r="J1108" s="4">
        <f>IFERROR(__xludf.DUMMYFUNCTION("DATE(INDEX(SPLIT(I1108,""/""),,3),INDEX(SPLIT(I1108,""/""),,2),INDEX(SPLIT(I1108,""/""),,1))"),45083.0)</f>
        <v>45083</v>
      </c>
      <c r="L1108" s="1">
        <v>0.0</v>
      </c>
      <c r="M1108" s="1" t="s">
        <v>2764</v>
      </c>
      <c r="N1108" s="1"/>
      <c r="O1108" s="1" t="s">
        <v>30</v>
      </c>
      <c r="P1108" s="1" t="s">
        <v>31</v>
      </c>
      <c r="Q1108" s="1" t="s">
        <v>157</v>
      </c>
      <c r="R1108" s="1" t="s">
        <v>157</v>
      </c>
      <c r="S1108" s="1" t="s">
        <v>158</v>
      </c>
      <c r="T1108" s="1" t="s">
        <v>442</v>
      </c>
      <c r="U1108" s="1">
        <v>1.00639477E8</v>
      </c>
      <c r="X1108" s="1" t="s">
        <v>98</v>
      </c>
      <c r="Y1108" s="1" t="s">
        <v>3904</v>
      </c>
      <c r="Z1108" s="1" t="s">
        <v>37</v>
      </c>
    </row>
    <row r="1109" hidden="1">
      <c r="A1109" s="1" t="s">
        <v>3905</v>
      </c>
      <c r="B1109" s="1" t="s">
        <v>3902</v>
      </c>
      <c r="C1109" s="1" t="s">
        <v>3906</v>
      </c>
      <c r="D1109" s="1" t="s">
        <v>27</v>
      </c>
      <c r="E1109" s="1" t="s">
        <v>28</v>
      </c>
      <c r="F1109" s="2">
        <v>1000000.0</v>
      </c>
      <c r="G1109" s="1" t="s">
        <v>2988</v>
      </c>
      <c r="H1109" s="4">
        <f>IFERROR(__xludf.DUMMYFUNCTION("DATE(INDEX(SPLIT(G1109,""/""),,3),INDEX(SPLIT(G1109,""/""),,2),INDEX(SPLIT(G1109,""/""),,1))"),44523.0)</f>
        <v>44523</v>
      </c>
      <c r="I1109" s="4">
        <v>44997.0</v>
      </c>
      <c r="J1109" s="4">
        <f>IFERROR(__xludf.DUMMYFUNCTION("DATE(INDEX(SPLIT(I1109,""/""),,3),INDEX(SPLIT(I1109,""/""),,2),INDEX(SPLIT(I1109,""/""),,1))"),45263.0)</f>
        <v>45263</v>
      </c>
      <c r="L1109" s="1">
        <v>0.0</v>
      </c>
      <c r="M1109" s="1" t="s">
        <v>2764</v>
      </c>
      <c r="N1109" s="1"/>
      <c r="O1109" s="1" t="s">
        <v>30</v>
      </c>
      <c r="P1109" s="1" t="s">
        <v>31</v>
      </c>
      <c r="Q1109" s="1" t="s">
        <v>157</v>
      </c>
      <c r="R1109" s="1" t="s">
        <v>157</v>
      </c>
      <c r="S1109" s="1" t="s">
        <v>158</v>
      </c>
      <c r="T1109" s="1" t="s">
        <v>442</v>
      </c>
      <c r="U1109" s="1">
        <v>1.00639477E8</v>
      </c>
      <c r="X1109" s="1" t="s">
        <v>98</v>
      </c>
      <c r="Y1109" s="1" t="s">
        <v>3904</v>
      </c>
      <c r="Z1109" s="1" t="s">
        <v>37</v>
      </c>
    </row>
    <row r="1110" hidden="1">
      <c r="A1110" s="1" t="s">
        <v>3907</v>
      </c>
      <c r="B1110" s="1" t="s">
        <v>1804</v>
      </c>
      <c r="C1110" s="1" t="s">
        <v>3908</v>
      </c>
      <c r="D1110" s="1" t="s">
        <v>78</v>
      </c>
      <c r="E1110" s="1" t="s">
        <v>28</v>
      </c>
      <c r="F1110" s="2">
        <v>1000000.0</v>
      </c>
      <c r="G1110" s="1" t="s">
        <v>1806</v>
      </c>
      <c r="H1110" s="4">
        <f>IFERROR(__xludf.DUMMYFUNCTION("DATE(INDEX(SPLIT(G1110,""/""),,3),INDEX(SPLIT(G1110,""/""),,2),INDEX(SPLIT(G1110,""/""),,1))"),44694.0)</f>
        <v>44694</v>
      </c>
      <c r="I1110" s="1" t="s">
        <v>569</v>
      </c>
      <c r="J1110" s="4">
        <f>IFERROR(__xludf.DUMMYFUNCTION("DATE(INDEX(SPLIT(I1110,""/""),,3),INDEX(SPLIT(I1110,""/""),,2),INDEX(SPLIT(I1110,""/""),,1))"),45016.0)</f>
        <v>45016</v>
      </c>
      <c r="L1110" s="1">
        <v>0.0</v>
      </c>
      <c r="M1110" s="1" t="s">
        <v>1194</v>
      </c>
      <c r="N1110" s="1"/>
      <c r="O1110" s="1" t="s">
        <v>30</v>
      </c>
      <c r="P1110" s="1" t="s">
        <v>31</v>
      </c>
      <c r="Q1110" s="1" t="s">
        <v>32</v>
      </c>
      <c r="R1110" s="1" t="s">
        <v>32</v>
      </c>
      <c r="S1110" s="1" t="s">
        <v>33</v>
      </c>
      <c r="T1110" s="1" t="s">
        <v>1195</v>
      </c>
      <c r="U1110" s="1">
        <v>1.00586863E8</v>
      </c>
      <c r="X1110" s="1" t="s">
        <v>490</v>
      </c>
      <c r="Y1110" s="1" t="s">
        <v>1807</v>
      </c>
      <c r="Z1110" s="1" t="s">
        <v>37</v>
      </c>
    </row>
    <row r="1111" hidden="1">
      <c r="A1111" s="1" t="s">
        <v>3909</v>
      </c>
      <c r="B1111" s="1" t="s">
        <v>3902</v>
      </c>
      <c r="C1111" s="1" t="s">
        <v>3910</v>
      </c>
      <c r="D1111" s="1" t="s">
        <v>27</v>
      </c>
      <c r="E1111" s="1" t="s">
        <v>28</v>
      </c>
      <c r="F1111" s="2">
        <v>1000000.0</v>
      </c>
      <c r="G1111" s="1" t="s">
        <v>2988</v>
      </c>
      <c r="H1111" s="4">
        <f>IFERROR(__xludf.DUMMYFUNCTION("DATE(INDEX(SPLIT(G1111,""/""),,3),INDEX(SPLIT(G1111,""/""),,2),INDEX(SPLIT(G1111,""/""),,1))"),44523.0)</f>
        <v>44523</v>
      </c>
      <c r="I1111" s="4">
        <v>44630.0</v>
      </c>
      <c r="J1111" s="4">
        <f>IFERROR(__xludf.DUMMYFUNCTION("DATE(INDEX(SPLIT(I1111,""/""),,3),INDEX(SPLIT(I1111,""/""),,2),INDEX(SPLIT(I1111,""/""),,1))"),44837.0)</f>
        <v>44837</v>
      </c>
      <c r="L1111" s="1">
        <v>0.0</v>
      </c>
      <c r="M1111" s="1" t="s">
        <v>2764</v>
      </c>
      <c r="N1111" s="1"/>
      <c r="O1111" s="1" t="s">
        <v>30</v>
      </c>
      <c r="P1111" s="1" t="s">
        <v>31</v>
      </c>
      <c r="Q1111" s="1" t="s">
        <v>157</v>
      </c>
      <c r="R1111" s="1" t="s">
        <v>157</v>
      </c>
      <c r="S1111" s="1" t="s">
        <v>158</v>
      </c>
      <c r="T1111" s="1" t="s">
        <v>442</v>
      </c>
      <c r="U1111" s="1">
        <v>1.00639477E8</v>
      </c>
      <c r="X1111" s="1" t="s">
        <v>98</v>
      </c>
      <c r="Y1111" s="1" t="s">
        <v>3904</v>
      </c>
      <c r="Z1111" s="1" t="s">
        <v>37</v>
      </c>
    </row>
    <row r="1112">
      <c r="A1112" s="1" t="s">
        <v>3911</v>
      </c>
      <c r="B1112" s="1" t="s">
        <v>896</v>
      </c>
      <c r="C1112" s="1" t="s">
        <v>3912</v>
      </c>
      <c r="D1112" s="1" t="s">
        <v>27</v>
      </c>
      <c r="E1112" s="1" t="s">
        <v>28</v>
      </c>
      <c r="F1112" s="2">
        <v>1000000.0</v>
      </c>
      <c r="G1112" s="1" t="s">
        <v>271</v>
      </c>
      <c r="H1112" s="4">
        <f>IFERROR(__xludf.DUMMYFUNCTION("DATE(INDEX(SPLIT(G1112,""/""),,3),INDEX(SPLIT(G1112,""/""),,2),INDEX(SPLIT(G1112,""/""),,1))"),44680.0)</f>
        <v>44680</v>
      </c>
      <c r="I1112" s="1" t="s">
        <v>226</v>
      </c>
      <c r="J1112" s="4">
        <f>IFERROR(__xludf.DUMMYFUNCTION("DATE(INDEX(SPLIT(I1112,""/""),,3),INDEX(SPLIT(I1112,""/""),,2),INDEX(SPLIT(I1112,""/""),,1))"),44771.0)</f>
        <v>44771</v>
      </c>
      <c r="L1112" s="1">
        <v>0.0</v>
      </c>
      <c r="M1112" s="1" t="s">
        <v>1552</v>
      </c>
      <c r="N1112" s="1"/>
      <c r="O1112" s="1" t="s">
        <v>30</v>
      </c>
      <c r="P1112" s="1" t="s">
        <v>31</v>
      </c>
      <c r="Q1112" s="1" t="s">
        <v>32</v>
      </c>
      <c r="R1112" s="1" t="s">
        <v>32</v>
      </c>
      <c r="S1112" s="1" t="s">
        <v>33</v>
      </c>
      <c r="T1112" s="1" t="s">
        <v>1195</v>
      </c>
      <c r="U1112" s="1">
        <v>1.00637597E8</v>
      </c>
      <c r="V1112" s="1" t="s">
        <v>3913</v>
      </c>
      <c r="W1112" s="1" t="s">
        <v>199</v>
      </c>
      <c r="X1112" s="1" t="s">
        <v>490</v>
      </c>
      <c r="Y1112" s="1" t="s">
        <v>1552</v>
      </c>
      <c r="Z1112" s="1" t="s">
        <v>37</v>
      </c>
    </row>
    <row r="1113">
      <c r="A1113" s="1" t="s">
        <v>3914</v>
      </c>
      <c r="B1113" s="1" t="s">
        <v>59</v>
      </c>
      <c r="C1113" s="1" t="s">
        <v>198</v>
      </c>
      <c r="D1113" s="1" t="s">
        <v>122</v>
      </c>
      <c r="E1113" s="1" t="s">
        <v>28</v>
      </c>
      <c r="F1113" s="2">
        <v>1000000.0</v>
      </c>
      <c r="G1113" s="4">
        <v>44810.0</v>
      </c>
      <c r="H1113" s="4">
        <f>IFERROR(__xludf.DUMMYFUNCTION("DATE(INDEX(SPLIT(G1113,""/""),,3),INDEX(SPLIT(G1113,""/""),,2),INDEX(SPLIT(G1113,""/""),,1))"),44721.0)</f>
        <v>44721</v>
      </c>
      <c r="I1113" s="4">
        <v>44780.0</v>
      </c>
      <c r="J1113" s="4">
        <f>IFERROR(__xludf.DUMMYFUNCTION("DATE(INDEX(SPLIT(I1113,""/""),,3),INDEX(SPLIT(I1113,""/""),,2),INDEX(SPLIT(I1113,""/""),,1))"),44750.0)</f>
        <v>44750</v>
      </c>
      <c r="L1113" s="1">
        <v>0.0</v>
      </c>
      <c r="M1113" s="1" t="s">
        <v>196</v>
      </c>
      <c r="N1113" s="1"/>
      <c r="O1113" s="1" t="s">
        <v>30</v>
      </c>
      <c r="P1113" s="1" t="s">
        <v>31</v>
      </c>
      <c r="Q1113" s="1" t="s">
        <v>53</v>
      </c>
      <c r="R1113" s="1" t="s">
        <v>53</v>
      </c>
      <c r="S1113" s="1" t="s">
        <v>54</v>
      </c>
      <c r="T1113" s="1" t="s">
        <v>197</v>
      </c>
      <c r="U1113" s="1">
        <v>1.00589741E8</v>
      </c>
      <c r="W1113" s="1" t="s">
        <v>56</v>
      </c>
      <c r="X1113" s="1" t="s">
        <v>63</v>
      </c>
      <c r="Y1113" s="1" t="s">
        <v>3915</v>
      </c>
      <c r="Z1113" s="1" t="s">
        <v>37</v>
      </c>
    </row>
    <row r="1114">
      <c r="A1114" s="1" t="s">
        <v>3916</v>
      </c>
      <c r="B1114" s="1" t="s">
        <v>1492</v>
      </c>
      <c r="C1114" s="1" t="s">
        <v>3917</v>
      </c>
      <c r="D1114" s="1" t="s">
        <v>78</v>
      </c>
      <c r="E1114" s="1" t="s">
        <v>28</v>
      </c>
      <c r="F1114" s="2">
        <v>1000000.0</v>
      </c>
      <c r="G1114" s="4">
        <v>44868.0</v>
      </c>
      <c r="H1114" s="4">
        <f>IFERROR(__xludf.DUMMYFUNCTION("DATE(INDEX(SPLIT(G1114,""/""),,3),INDEX(SPLIT(G1114,""/""),,2),INDEX(SPLIT(G1114,""/""),,1))"),44631.0)</f>
        <v>44631</v>
      </c>
      <c r="I1114" s="1" t="s">
        <v>518</v>
      </c>
      <c r="J1114" s="4">
        <f>IFERROR(__xludf.DUMMYFUNCTION("DATE(INDEX(SPLIT(I1114,""/""),,3),INDEX(SPLIT(I1114,""/""),,2),INDEX(SPLIT(I1114,""/""),,1))"),44757.0)</f>
        <v>44757</v>
      </c>
      <c r="L1114" s="1">
        <v>0.0</v>
      </c>
      <c r="M1114" s="1" t="s">
        <v>1496</v>
      </c>
      <c r="N1114" s="1"/>
      <c r="O1114" s="1" t="s">
        <v>30</v>
      </c>
      <c r="P1114" s="1" t="s">
        <v>31</v>
      </c>
      <c r="Q1114" s="1" t="s">
        <v>53</v>
      </c>
      <c r="R1114" s="1" t="s">
        <v>53</v>
      </c>
      <c r="S1114" s="1" t="s">
        <v>54</v>
      </c>
      <c r="U1114" s="1">
        <v>1.00610014E8</v>
      </c>
      <c r="X1114" s="1" t="s">
        <v>81</v>
      </c>
      <c r="Y1114" s="1" t="s">
        <v>104</v>
      </c>
      <c r="Z1114" s="1" t="s">
        <v>37</v>
      </c>
    </row>
    <row r="1115" hidden="1">
      <c r="A1115" s="1" t="s">
        <v>3918</v>
      </c>
      <c r="B1115" s="1" t="s">
        <v>3919</v>
      </c>
      <c r="C1115" s="1" t="s">
        <v>3920</v>
      </c>
      <c r="D1115" s="1" t="s">
        <v>27</v>
      </c>
      <c r="E1115" s="1" t="s">
        <v>28</v>
      </c>
      <c r="F1115" s="2">
        <v>1000000.0</v>
      </c>
      <c r="G1115" s="1" t="s">
        <v>3921</v>
      </c>
      <c r="H1115" s="4">
        <f>IFERROR(__xludf.DUMMYFUNCTION("DATE(INDEX(SPLIT(G1115,""/""),,3),INDEX(SPLIT(G1115,""/""),,2),INDEX(SPLIT(G1115,""/""),,1))"),44006.0)</f>
        <v>44006</v>
      </c>
      <c r="I1115" s="1" t="s">
        <v>130</v>
      </c>
      <c r="J1115" s="4">
        <f>IFERROR(__xludf.DUMMYFUNCTION("DATE(INDEX(SPLIT(I1115,""/""),,3),INDEX(SPLIT(I1115,""/""),,2),INDEX(SPLIT(I1115,""/""),,1))"),44804.0)</f>
        <v>44804</v>
      </c>
      <c r="L1115" s="1">
        <v>0.0</v>
      </c>
      <c r="M1115" s="1" t="s">
        <v>437</v>
      </c>
      <c r="N1115" s="1"/>
      <c r="O1115" s="1" t="s">
        <v>30</v>
      </c>
      <c r="P1115" s="1" t="s">
        <v>31</v>
      </c>
      <c r="Q1115" s="1" t="s">
        <v>235</v>
      </c>
      <c r="R1115" s="1" t="s">
        <v>235</v>
      </c>
      <c r="S1115" s="1" t="s">
        <v>236</v>
      </c>
      <c r="T1115" s="1" t="s">
        <v>1349</v>
      </c>
      <c r="U1115" s="1">
        <v>1.00650375E8</v>
      </c>
      <c r="X1115" s="1" t="s">
        <v>375</v>
      </c>
      <c r="Y1115" s="1" t="s">
        <v>437</v>
      </c>
      <c r="Z1115" s="1" t="s">
        <v>37</v>
      </c>
    </row>
    <row r="1116" hidden="1">
      <c r="A1116" s="1" t="s">
        <v>3922</v>
      </c>
      <c r="B1116" s="1" t="s">
        <v>2570</v>
      </c>
      <c r="C1116" s="1" t="s">
        <v>3923</v>
      </c>
      <c r="D1116" s="1" t="s">
        <v>122</v>
      </c>
      <c r="E1116" s="1" t="s">
        <v>28</v>
      </c>
      <c r="F1116" s="2">
        <v>1000000.0</v>
      </c>
      <c r="G1116" s="4">
        <v>44317.0</v>
      </c>
      <c r="H1116" s="4">
        <f>IFERROR(__xludf.DUMMYFUNCTION("DATE(INDEX(SPLIT(G1116,""/""),,3),INDEX(SPLIT(G1116,""/""),,2),INDEX(SPLIT(G1116,""/""),,1))"),44201.0)</f>
        <v>44201</v>
      </c>
      <c r="I1116" s="1" t="s">
        <v>109</v>
      </c>
      <c r="J1116" s="4">
        <f>IFERROR(__xludf.DUMMYFUNCTION("DATE(INDEX(SPLIT(I1116,""/""),,3),INDEX(SPLIT(I1116,""/""),,2),INDEX(SPLIT(I1116,""/""),,1))"),44834.0)</f>
        <v>44834</v>
      </c>
      <c r="L1116" s="1">
        <v>0.0</v>
      </c>
      <c r="M1116" s="1" t="s">
        <v>2989</v>
      </c>
      <c r="N1116" s="1"/>
      <c r="O1116" s="1" t="s">
        <v>30</v>
      </c>
      <c r="P1116" s="1" t="s">
        <v>31</v>
      </c>
      <c r="Q1116" s="1" t="s">
        <v>235</v>
      </c>
      <c r="R1116" s="1" t="s">
        <v>235</v>
      </c>
      <c r="S1116" s="1" t="s">
        <v>236</v>
      </c>
      <c r="T1116" s="1" t="s">
        <v>640</v>
      </c>
      <c r="U1116" s="1">
        <v>1.00647463E8</v>
      </c>
      <c r="X1116" s="1" t="s">
        <v>88</v>
      </c>
      <c r="Y1116" s="1" t="s">
        <v>1533</v>
      </c>
      <c r="Z1116" s="1" t="s">
        <v>37</v>
      </c>
    </row>
    <row r="1117">
      <c r="A1117" s="1" t="s">
        <v>3924</v>
      </c>
      <c r="B1117" s="1" t="s">
        <v>3925</v>
      </c>
      <c r="C1117" s="1" t="s">
        <v>3926</v>
      </c>
      <c r="D1117" s="1" t="s">
        <v>122</v>
      </c>
      <c r="E1117" s="1" t="s">
        <v>28</v>
      </c>
      <c r="F1117" s="2">
        <v>1000000.0</v>
      </c>
      <c r="G1117" s="1" t="s">
        <v>862</v>
      </c>
      <c r="H1117" s="4">
        <f>IFERROR(__xludf.DUMMYFUNCTION("DATE(INDEX(SPLIT(G1117,""/""),,3),INDEX(SPLIT(G1117,""/""),,2),INDEX(SPLIT(G1117,""/""),,1))"),44699.0)</f>
        <v>44699</v>
      </c>
      <c r="I1117" s="1" t="s">
        <v>1244</v>
      </c>
      <c r="J1117" s="4">
        <f>IFERROR(__xludf.DUMMYFUNCTION("DATE(INDEX(SPLIT(I1117,""/""),,3),INDEX(SPLIT(I1117,""/""),,2),INDEX(SPLIT(I1117,""/""),,1))"),44742.0)</f>
        <v>44742</v>
      </c>
      <c r="L1117" s="1">
        <v>0.0</v>
      </c>
      <c r="M1117" s="1" t="s">
        <v>3927</v>
      </c>
      <c r="N1117" s="1"/>
      <c r="O1117" s="1" t="s">
        <v>30</v>
      </c>
      <c r="P1117" s="1" t="s">
        <v>31</v>
      </c>
      <c r="Q1117" s="1" t="s">
        <v>53</v>
      </c>
      <c r="R1117" s="1" t="s">
        <v>53</v>
      </c>
      <c r="S1117" s="1" t="s">
        <v>54</v>
      </c>
      <c r="U1117" s="1">
        <v>1.00653021E8</v>
      </c>
      <c r="X1117" s="1" t="s">
        <v>2028</v>
      </c>
      <c r="Y1117" s="1" t="s">
        <v>3928</v>
      </c>
      <c r="Z1117" s="1" t="s">
        <v>37</v>
      </c>
    </row>
    <row r="1118">
      <c r="A1118" s="1" t="s">
        <v>3929</v>
      </c>
      <c r="B1118" s="1" t="s">
        <v>3930</v>
      </c>
      <c r="C1118" s="1" t="s">
        <v>3931</v>
      </c>
      <c r="D1118" s="1" t="s">
        <v>27</v>
      </c>
      <c r="E1118" s="1" t="s">
        <v>28</v>
      </c>
      <c r="F1118" s="2">
        <v>1000000.0</v>
      </c>
      <c r="G1118" s="4">
        <v>44685.0</v>
      </c>
      <c r="H1118" s="4">
        <f>IFERROR(__xludf.DUMMYFUNCTION("DATE(INDEX(SPLIT(G1118,""/""),,3),INDEX(SPLIT(G1118,""/""),,2),INDEX(SPLIT(G1118,""/""),,1))"),44656.0)</f>
        <v>44656</v>
      </c>
      <c r="I1118" s="1" t="s">
        <v>503</v>
      </c>
      <c r="J1118" s="4">
        <f>IFERROR(__xludf.DUMMYFUNCTION("DATE(INDEX(SPLIT(I1118,""/""),,3),INDEX(SPLIT(I1118,""/""),,2),INDEX(SPLIT(I1118,""/""),,1))"),44736.0)</f>
        <v>44736</v>
      </c>
      <c r="L1118" s="1">
        <v>0.0</v>
      </c>
      <c r="M1118" s="1" t="s">
        <v>2247</v>
      </c>
      <c r="N1118" s="1"/>
      <c r="O1118" s="1" t="s">
        <v>30</v>
      </c>
      <c r="P1118" s="1" t="s">
        <v>31</v>
      </c>
      <c r="Q1118" s="1" t="s">
        <v>32</v>
      </c>
      <c r="R1118" s="1" t="s">
        <v>32</v>
      </c>
      <c r="S1118" s="1" t="s">
        <v>33</v>
      </c>
      <c r="T1118" s="1" t="s">
        <v>402</v>
      </c>
      <c r="U1118" s="1">
        <v>1.01076271E8</v>
      </c>
      <c r="Y1118" s="1" t="s">
        <v>2247</v>
      </c>
      <c r="Z1118" s="1" t="s">
        <v>206</v>
      </c>
    </row>
    <row r="1119" hidden="1">
      <c r="A1119" s="1" t="s">
        <v>3932</v>
      </c>
      <c r="B1119" s="1" t="s">
        <v>1511</v>
      </c>
      <c r="C1119" s="1" t="s">
        <v>3933</v>
      </c>
      <c r="D1119" s="1" t="s">
        <v>27</v>
      </c>
      <c r="E1119" s="1" t="s">
        <v>28</v>
      </c>
      <c r="F1119" s="2">
        <v>1000000.0</v>
      </c>
      <c r="G1119" s="1" t="s">
        <v>3934</v>
      </c>
      <c r="H1119" s="4">
        <f>IFERROR(__xludf.DUMMYFUNCTION("DATE(INDEX(SPLIT(G1119,""/""),,3),INDEX(SPLIT(G1119,""/""),,2),INDEX(SPLIT(G1119,""/""),,1))"),44428.0)</f>
        <v>44428</v>
      </c>
      <c r="I1119" s="4">
        <v>44930.0</v>
      </c>
      <c r="J1119" s="4">
        <f>IFERROR(__xludf.DUMMYFUNCTION("DATE(INDEX(SPLIT(I1119,""/""),,3),INDEX(SPLIT(I1119,""/""),,2),INDEX(SPLIT(I1119,""/""),,1))"),45017.0)</f>
        <v>45017</v>
      </c>
      <c r="L1119" s="1">
        <v>0.0</v>
      </c>
      <c r="M1119" s="1" t="s">
        <v>1840</v>
      </c>
      <c r="N1119" s="1"/>
      <c r="O1119" s="1" t="s">
        <v>30</v>
      </c>
      <c r="P1119" s="1" t="s">
        <v>31</v>
      </c>
      <c r="Q1119" s="1" t="s">
        <v>71</v>
      </c>
      <c r="R1119" s="1" t="s">
        <v>71</v>
      </c>
      <c r="S1119" s="1" t="s">
        <v>72</v>
      </c>
      <c r="T1119" s="1" t="s">
        <v>615</v>
      </c>
      <c r="U1119" s="1">
        <v>1.00617113E8</v>
      </c>
      <c r="X1119" s="1" t="s">
        <v>490</v>
      </c>
      <c r="Y1119" s="1" t="s">
        <v>899</v>
      </c>
      <c r="Z1119" s="1" t="s">
        <v>37</v>
      </c>
    </row>
    <row r="1120" hidden="1">
      <c r="A1120" s="1" t="s">
        <v>3935</v>
      </c>
      <c r="B1120" s="1" t="s">
        <v>948</v>
      </c>
      <c r="C1120" s="1" t="s">
        <v>3936</v>
      </c>
      <c r="D1120" s="1" t="s">
        <v>27</v>
      </c>
      <c r="E1120" s="1" t="s">
        <v>28</v>
      </c>
      <c r="F1120" s="2">
        <v>1000000.0</v>
      </c>
      <c r="G1120" s="1" t="s">
        <v>3158</v>
      </c>
      <c r="H1120" s="4">
        <f>IFERROR(__xludf.DUMMYFUNCTION("DATE(INDEX(SPLIT(G1120,""/""),,3),INDEX(SPLIT(G1120,""/""),,2),INDEX(SPLIT(G1120,""/""),,1))"),44468.0)</f>
        <v>44468</v>
      </c>
      <c r="I1120" s="1" t="s">
        <v>109</v>
      </c>
      <c r="J1120" s="4">
        <f>IFERROR(__xludf.DUMMYFUNCTION("DATE(INDEX(SPLIT(I1120,""/""),,3),INDEX(SPLIT(I1120,""/""),,2),INDEX(SPLIT(I1120,""/""),,1))"),44834.0)</f>
        <v>44834</v>
      </c>
      <c r="L1120" s="1">
        <v>0.0</v>
      </c>
      <c r="M1120" s="1" t="s">
        <v>1937</v>
      </c>
      <c r="N1120" s="1"/>
      <c r="O1120" s="1" t="s">
        <v>30</v>
      </c>
      <c r="P1120" s="1" t="s">
        <v>31</v>
      </c>
      <c r="Q1120" s="1" t="s">
        <v>157</v>
      </c>
      <c r="R1120" s="1" t="s">
        <v>157</v>
      </c>
      <c r="S1120" s="1" t="s">
        <v>158</v>
      </c>
      <c r="T1120" s="1" t="s">
        <v>159</v>
      </c>
      <c r="U1120" s="1">
        <v>1.00649264E8</v>
      </c>
      <c r="X1120" s="1" t="s">
        <v>74</v>
      </c>
      <c r="Y1120" s="1" t="s">
        <v>1938</v>
      </c>
      <c r="Z1120" s="1" t="s">
        <v>37</v>
      </c>
    </row>
    <row r="1121">
      <c r="A1121" s="1" t="s">
        <v>3937</v>
      </c>
      <c r="B1121" s="1" t="s">
        <v>1144</v>
      </c>
      <c r="C1121" s="1" t="s">
        <v>3938</v>
      </c>
      <c r="D1121" s="1" t="s">
        <v>78</v>
      </c>
      <c r="E1121" s="1" t="s">
        <v>28</v>
      </c>
      <c r="F1121" s="2">
        <v>1000000.0</v>
      </c>
      <c r="G1121" s="1" t="s">
        <v>233</v>
      </c>
      <c r="H1121" s="4">
        <f>IFERROR(__xludf.DUMMYFUNCTION("DATE(INDEX(SPLIT(G1121,""/""),,3),INDEX(SPLIT(G1121,""/""),,2),INDEX(SPLIT(G1121,""/""),,1))"),44729.0)</f>
        <v>44729</v>
      </c>
      <c r="I1121" s="1" t="s">
        <v>1244</v>
      </c>
      <c r="J1121" s="4">
        <f>IFERROR(__xludf.DUMMYFUNCTION("DATE(INDEX(SPLIT(I1121,""/""),,3),INDEX(SPLIT(I1121,""/""),,2),INDEX(SPLIT(I1121,""/""),,1))"),44742.0)</f>
        <v>44742</v>
      </c>
      <c r="L1121" s="1">
        <v>0.0</v>
      </c>
      <c r="M1121" s="1" t="s">
        <v>1146</v>
      </c>
      <c r="N1121" s="1"/>
      <c r="O1121" s="1" t="s">
        <v>30</v>
      </c>
      <c r="P1121" s="1" t="s">
        <v>31</v>
      </c>
      <c r="Q1121" s="1" t="s">
        <v>228</v>
      </c>
      <c r="R1121" s="1" t="s">
        <v>228</v>
      </c>
      <c r="S1121" s="1" t="s">
        <v>229</v>
      </c>
      <c r="U1121" s="1">
        <v>1.0061139E8</v>
      </c>
      <c r="X1121" s="1" t="s">
        <v>63</v>
      </c>
      <c r="Y1121" s="1" t="s">
        <v>1540</v>
      </c>
      <c r="Z1121" s="1" t="s">
        <v>37</v>
      </c>
    </row>
    <row r="1122" hidden="1">
      <c r="A1122" s="1" t="s">
        <v>3939</v>
      </c>
      <c r="B1122" s="1" t="s">
        <v>546</v>
      </c>
      <c r="C1122" s="1" t="s">
        <v>3940</v>
      </c>
      <c r="D1122" s="1" t="s">
        <v>27</v>
      </c>
      <c r="E1122" s="1" t="s">
        <v>28</v>
      </c>
      <c r="F1122" s="2">
        <v>1000000.0</v>
      </c>
      <c r="G1122" s="1" t="s">
        <v>2329</v>
      </c>
      <c r="H1122" s="4">
        <f>IFERROR(__xludf.DUMMYFUNCTION("DATE(INDEX(SPLIT(G1122,""/""),,3),INDEX(SPLIT(G1122,""/""),,2),INDEX(SPLIT(G1122,""/""),,1))"),44732.0)</f>
        <v>44732</v>
      </c>
      <c r="I1122" s="1" t="s">
        <v>3941</v>
      </c>
      <c r="J1122" s="4">
        <f>IFERROR(__xludf.DUMMYFUNCTION("DATE(INDEX(SPLIT(I1122,""/""),,3),INDEX(SPLIT(I1122,""/""),,2),INDEX(SPLIT(I1122,""/""),,1))"),44823.0)</f>
        <v>44823</v>
      </c>
      <c r="L1122" s="1">
        <v>0.0</v>
      </c>
      <c r="M1122" s="1" t="s">
        <v>318</v>
      </c>
      <c r="N1122" s="1"/>
      <c r="O1122" s="1" t="s">
        <v>30</v>
      </c>
      <c r="P1122" s="1" t="s">
        <v>31</v>
      </c>
      <c r="Q1122" s="1" t="s">
        <v>71</v>
      </c>
      <c r="R1122" s="1" t="s">
        <v>71</v>
      </c>
      <c r="S1122" s="1" t="s">
        <v>72</v>
      </c>
      <c r="T1122" s="1" t="s">
        <v>73</v>
      </c>
      <c r="U1122" s="1">
        <v>1.00654705E8</v>
      </c>
      <c r="X1122" s="1" t="s">
        <v>74</v>
      </c>
      <c r="Y1122" s="1" t="s">
        <v>318</v>
      </c>
      <c r="Z1122" s="1" t="s">
        <v>37</v>
      </c>
    </row>
    <row r="1123">
      <c r="A1123" s="1" t="s">
        <v>3942</v>
      </c>
      <c r="B1123" s="1" t="s">
        <v>1371</v>
      </c>
      <c r="C1123" s="1" t="s">
        <v>3943</v>
      </c>
      <c r="D1123" s="1" t="s">
        <v>122</v>
      </c>
      <c r="E1123" s="1" t="s">
        <v>28</v>
      </c>
      <c r="F1123" s="2">
        <v>1000000.0</v>
      </c>
      <c r="G1123" s="1" t="s">
        <v>600</v>
      </c>
      <c r="H1123" s="4">
        <f>IFERROR(__xludf.DUMMYFUNCTION("DATE(INDEX(SPLIT(G1123,""/""),,3),INDEX(SPLIT(G1123,""/""),,2),INDEX(SPLIT(G1123,""/""),,1))"),44665.0)</f>
        <v>44665</v>
      </c>
      <c r="I1123" s="1" t="s">
        <v>1244</v>
      </c>
      <c r="J1123" s="4">
        <f>IFERROR(__xludf.DUMMYFUNCTION("DATE(INDEX(SPLIT(I1123,""/""),,3),INDEX(SPLIT(I1123,""/""),,2),INDEX(SPLIT(I1123,""/""),,1))"),44742.0)</f>
        <v>44742</v>
      </c>
      <c r="L1123" s="1">
        <v>0.0</v>
      </c>
      <c r="M1123" s="1" t="s">
        <v>3944</v>
      </c>
      <c r="N1123" s="1"/>
      <c r="O1123" s="1" t="s">
        <v>30</v>
      </c>
      <c r="P1123" s="1" t="s">
        <v>31</v>
      </c>
      <c r="Q1123" s="1" t="s">
        <v>228</v>
      </c>
      <c r="R1123" s="1" t="s">
        <v>228</v>
      </c>
      <c r="S1123" s="1" t="s">
        <v>229</v>
      </c>
      <c r="T1123" s="1" t="s">
        <v>640</v>
      </c>
      <c r="U1123" s="1">
        <v>1.00655073E8</v>
      </c>
      <c r="X1123" s="1" t="s">
        <v>63</v>
      </c>
      <c r="Y1123" s="1" t="s">
        <v>3945</v>
      </c>
      <c r="Z1123" s="1" t="s">
        <v>37</v>
      </c>
    </row>
    <row r="1124">
      <c r="A1124" s="1" t="s">
        <v>3946</v>
      </c>
      <c r="B1124" s="1" t="s">
        <v>1797</v>
      </c>
      <c r="C1124" s="1" t="s">
        <v>3947</v>
      </c>
      <c r="D1124" s="1" t="s">
        <v>78</v>
      </c>
      <c r="E1124" s="1" t="s">
        <v>28</v>
      </c>
      <c r="F1124" s="2">
        <v>1000000.0</v>
      </c>
      <c r="G1124" s="1" t="s">
        <v>1438</v>
      </c>
      <c r="H1124" s="4">
        <f>IFERROR(__xludf.DUMMYFUNCTION("DATE(INDEX(SPLIT(G1124,""/""),,3),INDEX(SPLIT(G1124,""/""),,2),INDEX(SPLIT(G1124,""/""),,1))"),44708.0)</f>
        <v>44708</v>
      </c>
      <c r="I1124" s="4">
        <v>44871.0</v>
      </c>
      <c r="J1124" s="4">
        <f>IFERROR(__xludf.DUMMYFUNCTION("DATE(INDEX(SPLIT(I1124,""/""),,3),INDEX(SPLIT(I1124,""/""),,2),INDEX(SPLIT(I1124,""/""),,1))"),44723.0)</f>
        <v>44723</v>
      </c>
      <c r="L1124" s="1">
        <v>0.0</v>
      </c>
      <c r="M1124" s="1" t="s">
        <v>3948</v>
      </c>
      <c r="N1124" s="1"/>
      <c r="O1124" s="1" t="s">
        <v>30</v>
      </c>
      <c r="P1124" s="1" t="s">
        <v>31</v>
      </c>
      <c r="Q1124" s="1" t="s">
        <v>228</v>
      </c>
      <c r="R1124" s="1" t="s">
        <v>228</v>
      </c>
      <c r="S1124" s="1" t="s">
        <v>229</v>
      </c>
      <c r="T1124" s="1" t="s">
        <v>513</v>
      </c>
      <c r="U1124" s="1">
        <v>1.0066189E8</v>
      </c>
      <c r="X1124" s="1" t="s">
        <v>490</v>
      </c>
      <c r="Y1124" s="1" t="s">
        <v>3949</v>
      </c>
      <c r="Z1124" s="1" t="s">
        <v>37</v>
      </c>
    </row>
    <row r="1125" hidden="1">
      <c r="A1125" s="1" t="s">
        <v>3950</v>
      </c>
      <c r="B1125" s="1" t="s">
        <v>434</v>
      </c>
      <c r="C1125" s="1" t="s">
        <v>3951</v>
      </c>
      <c r="D1125" s="1" t="s">
        <v>122</v>
      </c>
      <c r="E1125" s="1" t="s">
        <v>28</v>
      </c>
      <c r="F1125" s="2">
        <v>1000000.0</v>
      </c>
      <c r="G1125" s="4">
        <v>43990.0</v>
      </c>
      <c r="H1125" s="4">
        <f>IFERROR(__xludf.DUMMYFUNCTION("DATE(INDEX(SPLIT(G1125,""/""),,3),INDEX(SPLIT(G1125,""/""),,2),INDEX(SPLIT(G1125,""/""),,1))"),44049.0)</f>
        <v>44049</v>
      </c>
      <c r="I1125" s="1" t="s">
        <v>203</v>
      </c>
      <c r="J1125" s="4">
        <f>IFERROR(__xludf.DUMMYFUNCTION("DATE(INDEX(SPLIT(I1125,""/""),,3),INDEX(SPLIT(I1125,""/""),,2),INDEX(SPLIT(I1125,""/""),,1))"),44925.0)</f>
        <v>44925</v>
      </c>
      <c r="L1125" s="1">
        <v>0.0</v>
      </c>
      <c r="M1125" s="1" t="s">
        <v>124</v>
      </c>
      <c r="N1125" s="1"/>
      <c r="O1125" s="1" t="s">
        <v>30</v>
      </c>
      <c r="P1125" s="1" t="s">
        <v>31</v>
      </c>
      <c r="Q1125" s="1" t="s">
        <v>53</v>
      </c>
      <c r="R1125" s="1" t="s">
        <v>53</v>
      </c>
      <c r="S1125" s="1" t="s">
        <v>54</v>
      </c>
      <c r="T1125" s="1" t="s">
        <v>87</v>
      </c>
      <c r="U1125" s="1">
        <v>1.00651441E8</v>
      </c>
      <c r="X1125" s="1" t="s">
        <v>88</v>
      </c>
      <c r="Y1125" s="1" t="s">
        <v>124</v>
      </c>
      <c r="Z1125" s="1" t="s">
        <v>37</v>
      </c>
    </row>
    <row r="1126" hidden="1">
      <c r="A1126" s="1" t="s">
        <v>3952</v>
      </c>
      <c r="B1126" s="1" t="s">
        <v>1511</v>
      </c>
      <c r="C1126" s="1" t="s">
        <v>3953</v>
      </c>
      <c r="D1126" s="1" t="s">
        <v>27</v>
      </c>
      <c r="E1126" s="1" t="s">
        <v>28</v>
      </c>
      <c r="F1126" s="2">
        <v>1000000.0</v>
      </c>
      <c r="G1126" s="1" t="s">
        <v>3934</v>
      </c>
      <c r="H1126" s="4">
        <f>IFERROR(__xludf.DUMMYFUNCTION("DATE(INDEX(SPLIT(G1126,""/""),,3),INDEX(SPLIT(G1126,""/""),,2),INDEX(SPLIT(G1126,""/""),,1))"),44428.0)</f>
        <v>44428</v>
      </c>
      <c r="I1126" s="4">
        <v>45295.0</v>
      </c>
      <c r="J1126" s="4">
        <f>IFERROR(__xludf.DUMMYFUNCTION("DATE(INDEX(SPLIT(I1126,""/""),,3),INDEX(SPLIT(I1126,""/""),,2),INDEX(SPLIT(I1126,""/""),,1))"),45383.0)</f>
        <v>45383</v>
      </c>
      <c r="L1126" s="1">
        <v>0.0</v>
      </c>
      <c r="M1126" s="1" t="s">
        <v>1840</v>
      </c>
      <c r="N1126" s="1"/>
      <c r="O1126" s="1" t="s">
        <v>30</v>
      </c>
      <c r="P1126" s="1" t="s">
        <v>31</v>
      </c>
      <c r="Q1126" s="1" t="s">
        <v>71</v>
      </c>
      <c r="R1126" s="1" t="s">
        <v>71</v>
      </c>
      <c r="S1126" s="1" t="s">
        <v>72</v>
      </c>
      <c r="T1126" s="1" t="s">
        <v>615</v>
      </c>
      <c r="U1126" s="1">
        <v>1.00617113E8</v>
      </c>
      <c r="X1126" s="1" t="s">
        <v>490</v>
      </c>
      <c r="Y1126" s="1" t="s">
        <v>899</v>
      </c>
      <c r="Z1126" s="1" t="s">
        <v>37</v>
      </c>
    </row>
    <row r="1127" hidden="1">
      <c r="A1127" s="1" t="s">
        <v>3954</v>
      </c>
      <c r="B1127" s="1" t="s">
        <v>1371</v>
      </c>
      <c r="C1127" s="1" t="s">
        <v>3955</v>
      </c>
      <c r="D1127" s="1" t="s">
        <v>78</v>
      </c>
      <c r="E1127" s="1" t="s">
        <v>28</v>
      </c>
      <c r="F1127" s="2">
        <v>1000000.0</v>
      </c>
      <c r="G1127" s="1" t="s">
        <v>2297</v>
      </c>
      <c r="H1127" s="4">
        <f>IFERROR(__xludf.DUMMYFUNCTION("DATE(INDEX(SPLIT(G1127,""/""),,3),INDEX(SPLIT(G1127,""/""),,2),INDEX(SPLIT(G1127,""/""),,1))"),44730.0)</f>
        <v>44730</v>
      </c>
      <c r="I1127" s="1" t="s">
        <v>130</v>
      </c>
      <c r="J1127" s="4">
        <f>IFERROR(__xludf.DUMMYFUNCTION("DATE(INDEX(SPLIT(I1127,""/""),,3),INDEX(SPLIT(I1127,""/""),,2),INDEX(SPLIT(I1127,""/""),,1))"),44804.0)</f>
        <v>44804</v>
      </c>
      <c r="L1127" s="1">
        <v>0.0</v>
      </c>
      <c r="M1127" s="1" t="s">
        <v>1817</v>
      </c>
      <c r="N1127" s="1"/>
      <c r="O1127" s="1" t="s">
        <v>30</v>
      </c>
      <c r="P1127" s="1" t="s">
        <v>31</v>
      </c>
      <c r="Q1127" s="1" t="s">
        <v>95</v>
      </c>
      <c r="R1127" s="1" t="s">
        <v>95</v>
      </c>
      <c r="S1127" s="1" t="s">
        <v>96</v>
      </c>
      <c r="U1127" s="1">
        <v>1.00610489E8</v>
      </c>
      <c r="X1127" s="1" t="s">
        <v>63</v>
      </c>
      <c r="Y1127" s="1" t="s">
        <v>1817</v>
      </c>
      <c r="Z1127" s="1" t="s">
        <v>37</v>
      </c>
    </row>
    <row r="1128" hidden="1">
      <c r="A1128" s="1" t="s">
        <v>3956</v>
      </c>
      <c r="B1128" s="1" t="s">
        <v>3957</v>
      </c>
      <c r="C1128" s="1" t="s">
        <v>3958</v>
      </c>
      <c r="D1128" s="1" t="s">
        <v>27</v>
      </c>
      <c r="E1128" s="1" t="s">
        <v>28</v>
      </c>
      <c r="F1128" s="2">
        <v>1000000.0</v>
      </c>
      <c r="G1128" s="4">
        <v>44267.0</v>
      </c>
      <c r="H1128" s="4">
        <f>IFERROR(__xludf.DUMMYFUNCTION("DATE(INDEX(SPLIT(G1128,""/""),,3),INDEX(SPLIT(G1128,""/""),,2),INDEX(SPLIT(G1128,""/""),,1))"),44533.0)</f>
        <v>44533</v>
      </c>
      <c r="I1128" s="1" t="s">
        <v>130</v>
      </c>
      <c r="J1128" s="4">
        <f>IFERROR(__xludf.DUMMYFUNCTION("DATE(INDEX(SPLIT(I1128,""/""),,3),INDEX(SPLIT(I1128,""/""),,2),INDEX(SPLIT(I1128,""/""),,1))"),44804.0)</f>
        <v>44804</v>
      </c>
      <c r="L1128" s="1">
        <v>0.0</v>
      </c>
      <c r="M1128" s="1" t="s">
        <v>3112</v>
      </c>
      <c r="N1128" s="1"/>
      <c r="O1128" s="1" t="s">
        <v>30</v>
      </c>
      <c r="P1128" s="1" t="s">
        <v>31</v>
      </c>
      <c r="Q1128" s="1" t="s">
        <v>157</v>
      </c>
      <c r="R1128" s="1" t="s">
        <v>157</v>
      </c>
      <c r="S1128" s="1" t="s">
        <v>158</v>
      </c>
      <c r="T1128" s="1" t="s">
        <v>442</v>
      </c>
      <c r="U1128" s="1">
        <v>1.01141463E8</v>
      </c>
      <c r="X1128" s="1" t="s">
        <v>117</v>
      </c>
      <c r="Y1128" s="1" t="s">
        <v>3459</v>
      </c>
      <c r="Z1128" s="1" t="s">
        <v>37</v>
      </c>
    </row>
    <row r="1129">
      <c r="A1129" s="1" t="s">
        <v>3959</v>
      </c>
      <c r="B1129" s="1" t="s">
        <v>3960</v>
      </c>
      <c r="C1129" s="1" t="s">
        <v>3961</v>
      </c>
      <c r="D1129" s="1" t="s">
        <v>122</v>
      </c>
      <c r="E1129" s="1" t="s">
        <v>28</v>
      </c>
      <c r="F1129" s="2">
        <v>1000000.0</v>
      </c>
      <c r="G1129" s="1" t="s">
        <v>600</v>
      </c>
      <c r="H1129" s="4">
        <f>IFERROR(__xludf.DUMMYFUNCTION("DATE(INDEX(SPLIT(G1129,""/""),,3),INDEX(SPLIT(G1129,""/""),,2),INDEX(SPLIT(G1129,""/""),,1))"),44665.0)</f>
        <v>44665</v>
      </c>
      <c r="I1129" s="1" t="s">
        <v>1244</v>
      </c>
      <c r="J1129" s="4">
        <f>IFERROR(__xludf.DUMMYFUNCTION("DATE(INDEX(SPLIT(I1129,""/""),,3),INDEX(SPLIT(I1129,""/""),,2),INDEX(SPLIT(I1129,""/""),,1))"),44742.0)</f>
        <v>44742</v>
      </c>
      <c r="L1129" s="1">
        <v>0.0</v>
      </c>
      <c r="M1129" s="1" t="s">
        <v>3962</v>
      </c>
      <c r="N1129" s="1"/>
      <c r="O1129" s="1" t="s">
        <v>30</v>
      </c>
      <c r="P1129" s="1" t="s">
        <v>31</v>
      </c>
      <c r="Q1129" s="1" t="s">
        <v>95</v>
      </c>
      <c r="R1129" s="1" t="s">
        <v>95</v>
      </c>
      <c r="S1129" s="1" t="s">
        <v>96</v>
      </c>
      <c r="U1129" s="1">
        <v>1.01143771E8</v>
      </c>
      <c r="X1129" s="1" t="s">
        <v>88</v>
      </c>
      <c r="Y1129" s="1" t="s">
        <v>3962</v>
      </c>
      <c r="Z1129" s="1" t="s">
        <v>206</v>
      </c>
    </row>
    <row r="1130" hidden="1">
      <c r="A1130" s="1" t="s">
        <v>3963</v>
      </c>
      <c r="B1130" s="1" t="s">
        <v>1393</v>
      </c>
      <c r="C1130" s="1" t="s">
        <v>3964</v>
      </c>
      <c r="D1130" s="1" t="s">
        <v>122</v>
      </c>
      <c r="E1130" s="1" t="s">
        <v>28</v>
      </c>
      <c r="F1130" s="2">
        <v>1000000.0</v>
      </c>
      <c r="G1130" s="4">
        <v>43444.0</v>
      </c>
      <c r="H1130" s="4">
        <f>IFERROR(__xludf.DUMMYFUNCTION("DATE(INDEX(SPLIT(G1130,""/""),,3),INDEX(SPLIT(G1130,""/""),,2),INDEX(SPLIT(G1130,""/""),,1))"),43385.0)</f>
        <v>43385</v>
      </c>
      <c r="I1130" s="1" t="s">
        <v>872</v>
      </c>
      <c r="J1130" s="4">
        <f>IFERROR(__xludf.DUMMYFUNCTION("DATE(INDEX(SPLIT(I1130,""/""),,3),INDEX(SPLIT(I1130,""/""),,2),INDEX(SPLIT(I1130,""/""),,1))"),44820.0)</f>
        <v>44820</v>
      </c>
      <c r="L1130" s="1">
        <v>0.0</v>
      </c>
      <c r="M1130" s="1" t="s">
        <v>979</v>
      </c>
      <c r="N1130" s="1"/>
      <c r="O1130" s="1" t="s">
        <v>30</v>
      </c>
      <c r="P1130" s="1" t="s">
        <v>31</v>
      </c>
      <c r="Q1130" s="1" t="s">
        <v>235</v>
      </c>
      <c r="R1130" s="1" t="s">
        <v>235</v>
      </c>
      <c r="S1130" s="1" t="s">
        <v>236</v>
      </c>
      <c r="T1130" s="1" t="s">
        <v>438</v>
      </c>
      <c r="U1130" s="1">
        <v>1.00647262E8</v>
      </c>
      <c r="X1130" s="1" t="s">
        <v>88</v>
      </c>
      <c r="Y1130" s="1" t="s">
        <v>979</v>
      </c>
      <c r="Z1130" s="1" t="s">
        <v>37</v>
      </c>
    </row>
    <row r="1131">
      <c r="A1131" s="1" t="s">
        <v>3965</v>
      </c>
      <c r="B1131" s="1" t="s">
        <v>162</v>
      </c>
      <c r="C1131" s="1" t="s">
        <v>3966</v>
      </c>
      <c r="D1131" s="1" t="s">
        <v>27</v>
      </c>
      <c r="E1131" s="1" t="s">
        <v>28</v>
      </c>
      <c r="F1131" s="2">
        <v>1000000.0</v>
      </c>
      <c r="G1131" s="1" t="s">
        <v>1381</v>
      </c>
      <c r="H1131" s="4">
        <f>IFERROR(__xludf.DUMMYFUNCTION("DATE(INDEX(SPLIT(G1131,""/""),,3),INDEX(SPLIT(G1131,""/""),,2),INDEX(SPLIT(G1131,""/""),,1))"),44643.0)</f>
        <v>44643</v>
      </c>
      <c r="I1131" s="1" t="s">
        <v>226</v>
      </c>
      <c r="J1131" s="4">
        <f>IFERROR(__xludf.DUMMYFUNCTION("DATE(INDEX(SPLIT(I1131,""/""),,3),INDEX(SPLIT(I1131,""/""),,2),INDEX(SPLIT(I1131,""/""),,1))"),44771.0)</f>
        <v>44771</v>
      </c>
      <c r="L1131" s="1">
        <v>0.0</v>
      </c>
      <c r="M1131" s="1" t="s">
        <v>1643</v>
      </c>
      <c r="N1131" s="1"/>
      <c r="O1131" s="1" t="s">
        <v>30</v>
      </c>
      <c r="P1131" s="1" t="s">
        <v>31</v>
      </c>
      <c r="Q1131" s="1" t="s">
        <v>53</v>
      </c>
      <c r="R1131" s="1" t="s">
        <v>53</v>
      </c>
      <c r="S1131" s="1" t="s">
        <v>54</v>
      </c>
      <c r="U1131" s="1">
        <v>1.00653977E8</v>
      </c>
      <c r="X1131" s="1" t="s">
        <v>117</v>
      </c>
      <c r="Y1131" s="1" t="s">
        <v>578</v>
      </c>
      <c r="Z1131" s="1" t="s">
        <v>37</v>
      </c>
    </row>
    <row r="1132" hidden="1">
      <c r="A1132" s="1" t="s">
        <v>3967</v>
      </c>
      <c r="B1132" s="1" t="s">
        <v>561</v>
      </c>
      <c r="C1132" s="1" t="s">
        <v>3968</v>
      </c>
      <c r="D1132" s="1" t="s">
        <v>122</v>
      </c>
      <c r="E1132" s="1" t="s">
        <v>28</v>
      </c>
      <c r="F1132" s="2">
        <v>1000000.0</v>
      </c>
      <c r="G1132" s="1" t="s">
        <v>3853</v>
      </c>
      <c r="H1132" s="4">
        <f>IFERROR(__xludf.DUMMYFUNCTION("DATE(INDEX(SPLIT(G1132,""/""),,3),INDEX(SPLIT(G1132,""/""),,2),INDEX(SPLIT(G1132,""/""),,1))"),44679.0)</f>
        <v>44679</v>
      </c>
      <c r="I1132" s="4">
        <v>44601.0</v>
      </c>
      <c r="J1132" s="4">
        <f>IFERROR(__xludf.DUMMYFUNCTION("DATE(INDEX(SPLIT(I1132,""/""),,3),INDEX(SPLIT(I1132,""/""),,2),INDEX(SPLIT(I1132,""/""),,1))"),44806.0)</f>
        <v>44806</v>
      </c>
      <c r="L1132" s="1">
        <v>0.0</v>
      </c>
      <c r="M1132" s="1" t="s">
        <v>467</v>
      </c>
      <c r="N1132" s="1"/>
      <c r="O1132" s="1" t="s">
        <v>30</v>
      </c>
      <c r="P1132" s="1" t="s">
        <v>31</v>
      </c>
      <c r="Q1132" s="1" t="s">
        <v>32</v>
      </c>
      <c r="R1132" s="1" t="s">
        <v>32</v>
      </c>
      <c r="S1132" s="1" t="s">
        <v>33</v>
      </c>
      <c r="T1132" s="1" t="s">
        <v>402</v>
      </c>
      <c r="U1132" s="1">
        <v>1.00619817E8</v>
      </c>
      <c r="X1132" s="1" t="s">
        <v>361</v>
      </c>
      <c r="Y1132" s="1" t="s">
        <v>3969</v>
      </c>
      <c r="Z1132" s="1" t="s">
        <v>37</v>
      </c>
    </row>
    <row r="1133">
      <c r="A1133" s="1" t="s">
        <v>3970</v>
      </c>
      <c r="B1133" s="1" t="s">
        <v>2483</v>
      </c>
      <c r="C1133" s="1" t="s">
        <v>3971</v>
      </c>
      <c r="D1133" s="1" t="s">
        <v>122</v>
      </c>
      <c r="E1133" s="1" t="s">
        <v>28</v>
      </c>
      <c r="F1133" s="2">
        <v>1000000.0</v>
      </c>
      <c r="G1133" s="1" t="s">
        <v>3972</v>
      </c>
      <c r="H1133" s="4">
        <f>IFERROR(__xludf.DUMMYFUNCTION("DATE(INDEX(SPLIT(G1133,""/""),,3),INDEX(SPLIT(G1133,""/""),,2),INDEX(SPLIT(G1133,""/""),,1))"),44637.0)</f>
        <v>44637</v>
      </c>
      <c r="I1133" s="1" t="s">
        <v>226</v>
      </c>
      <c r="J1133" s="4">
        <f>IFERROR(__xludf.DUMMYFUNCTION("DATE(INDEX(SPLIT(I1133,""/""),,3),INDEX(SPLIT(I1133,""/""),,2),INDEX(SPLIT(I1133,""/""),,1))"),44771.0)</f>
        <v>44771</v>
      </c>
      <c r="L1133" s="1">
        <v>0.0</v>
      </c>
      <c r="M1133" s="1" t="s">
        <v>211</v>
      </c>
      <c r="N1133" s="1"/>
      <c r="O1133" s="1" t="s">
        <v>30</v>
      </c>
      <c r="P1133" s="1" t="s">
        <v>31</v>
      </c>
      <c r="Q1133" s="1" t="s">
        <v>71</v>
      </c>
      <c r="R1133" s="1" t="s">
        <v>71</v>
      </c>
      <c r="S1133" s="1" t="s">
        <v>72</v>
      </c>
      <c r="T1133" s="1" t="s">
        <v>136</v>
      </c>
      <c r="U1133" s="1">
        <v>1.00590896E8</v>
      </c>
      <c r="X1133" s="1" t="s">
        <v>74</v>
      </c>
      <c r="Y1133" s="1" t="s">
        <v>211</v>
      </c>
      <c r="Z1133" s="1" t="s">
        <v>37</v>
      </c>
    </row>
    <row r="1134">
      <c r="A1134" s="1" t="s">
        <v>3973</v>
      </c>
      <c r="B1134" s="1" t="s">
        <v>106</v>
      </c>
      <c r="C1134" s="1" t="s">
        <v>3974</v>
      </c>
      <c r="D1134" s="1" t="s">
        <v>78</v>
      </c>
      <c r="E1134" s="1" t="s">
        <v>28</v>
      </c>
      <c r="F1134" s="2">
        <v>1000000.0</v>
      </c>
      <c r="G1134" s="1" t="s">
        <v>164</v>
      </c>
      <c r="H1134" s="4">
        <f>IFERROR(__xludf.DUMMYFUNCTION("DATE(INDEX(SPLIT(G1134,""/""),,3),INDEX(SPLIT(G1134,""/""),,2),INDEX(SPLIT(G1134,""/""),,1))"),44706.0)</f>
        <v>44706</v>
      </c>
      <c r="I1134" s="4">
        <v>44568.0</v>
      </c>
      <c r="J1134" s="4">
        <f>IFERROR(__xludf.DUMMYFUNCTION("DATE(INDEX(SPLIT(I1134,""/""),,3),INDEX(SPLIT(I1134,""/""),,2),INDEX(SPLIT(I1134,""/""),,1))"),44743.0)</f>
        <v>44743</v>
      </c>
      <c r="L1134" s="1">
        <v>0.0</v>
      </c>
      <c r="M1134" s="1" t="s">
        <v>1412</v>
      </c>
      <c r="N1134" s="1"/>
      <c r="O1134" s="1" t="s">
        <v>30</v>
      </c>
      <c r="P1134" s="1" t="s">
        <v>31</v>
      </c>
      <c r="Q1134" s="1" t="s">
        <v>53</v>
      </c>
      <c r="R1134" s="1" t="s">
        <v>53</v>
      </c>
      <c r="S1134" s="1" t="s">
        <v>54</v>
      </c>
      <c r="U1134" s="1">
        <v>1.00589587E8</v>
      </c>
      <c r="X1134" s="1" t="s">
        <v>63</v>
      </c>
      <c r="Y1134" s="1" t="s">
        <v>3975</v>
      </c>
      <c r="Z1134" s="1" t="s">
        <v>37</v>
      </c>
    </row>
    <row r="1135">
      <c r="A1135" s="1" t="s">
        <v>3976</v>
      </c>
      <c r="B1135" s="1" t="s">
        <v>3977</v>
      </c>
      <c r="C1135" s="1" t="s">
        <v>3978</v>
      </c>
      <c r="D1135" s="1" t="s">
        <v>78</v>
      </c>
      <c r="E1135" s="1" t="s">
        <v>28</v>
      </c>
      <c r="F1135" s="2">
        <v>1000000.0</v>
      </c>
      <c r="G1135" s="1" t="s">
        <v>3979</v>
      </c>
      <c r="H1135" s="4">
        <f>IFERROR(__xludf.DUMMYFUNCTION("DATE(INDEX(SPLIT(G1135,""/""),,3),INDEX(SPLIT(G1135,""/""),,2),INDEX(SPLIT(G1135,""/""),,1))"),43945.0)</f>
        <v>43945</v>
      </c>
      <c r="I1135" s="1" t="s">
        <v>226</v>
      </c>
      <c r="J1135" s="4">
        <f>IFERROR(__xludf.DUMMYFUNCTION("DATE(INDEX(SPLIT(I1135,""/""),,3),INDEX(SPLIT(I1135,""/""),,2),INDEX(SPLIT(I1135,""/""),,1))"),44771.0)</f>
        <v>44771</v>
      </c>
      <c r="L1135" s="1">
        <v>0.0</v>
      </c>
      <c r="M1135" s="1" t="s">
        <v>116</v>
      </c>
      <c r="N1135" s="1"/>
      <c r="O1135" s="1" t="s">
        <v>30</v>
      </c>
      <c r="P1135" s="1" t="s">
        <v>31</v>
      </c>
      <c r="Q1135" s="1" t="s">
        <v>95</v>
      </c>
      <c r="R1135" s="1" t="s">
        <v>95</v>
      </c>
      <c r="S1135" s="1" t="s">
        <v>96</v>
      </c>
      <c r="T1135" s="1" t="s">
        <v>97</v>
      </c>
      <c r="U1135" s="1">
        <v>1.00592496E8</v>
      </c>
      <c r="X1135" s="1" t="s">
        <v>781</v>
      </c>
      <c r="Y1135" s="1" t="s">
        <v>3575</v>
      </c>
      <c r="Z1135" s="1" t="s">
        <v>37</v>
      </c>
    </row>
    <row r="1136" hidden="1">
      <c r="A1136" s="1" t="s">
        <v>3980</v>
      </c>
      <c r="B1136" s="1" t="s">
        <v>1144</v>
      </c>
      <c r="C1136" s="1" t="s">
        <v>3981</v>
      </c>
      <c r="D1136" s="1" t="s">
        <v>78</v>
      </c>
      <c r="E1136" s="1" t="s">
        <v>28</v>
      </c>
      <c r="F1136" s="2">
        <v>1000000.0</v>
      </c>
      <c r="G1136" s="4">
        <v>44598.0</v>
      </c>
      <c r="H1136" s="4">
        <f>IFERROR(__xludf.DUMMYFUNCTION("DATE(INDEX(SPLIT(G1136,""/""),,3),INDEX(SPLIT(G1136,""/""),,2),INDEX(SPLIT(G1136,""/""),,1))"),44714.0)</f>
        <v>44714</v>
      </c>
      <c r="I1136" s="4">
        <v>44570.0</v>
      </c>
      <c r="J1136" s="4">
        <f>IFERROR(__xludf.DUMMYFUNCTION("DATE(INDEX(SPLIT(I1136,""/""),,3),INDEX(SPLIT(I1136,""/""),,2),INDEX(SPLIT(I1136,""/""),,1))"),44805.0)</f>
        <v>44805</v>
      </c>
      <c r="L1136" s="1">
        <v>0.0</v>
      </c>
      <c r="M1136" s="1" t="s">
        <v>2787</v>
      </c>
      <c r="N1136" s="1"/>
      <c r="O1136" s="1" t="s">
        <v>30</v>
      </c>
      <c r="P1136" s="1" t="s">
        <v>31</v>
      </c>
      <c r="Q1136" s="1" t="s">
        <v>157</v>
      </c>
      <c r="R1136" s="1" t="s">
        <v>157</v>
      </c>
      <c r="S1136" s="1" t="s">
        <v>158</v>
      </c>
      <c r="U1136" s="1">
        <v>1.00708984E8</v>
      </c>
      <c r="X1136" s="1" t="s">
        <v>63</v>
      </c>
      <c r="Y1136" s="1" t="s">
        <v>2787</v>
      </c>
      <c r="Z1136" s="1" t="s">
        <v>37</v>
      </c>
    </row>
    <row r="1137" hidden="1">
      <c r="A1137" s="1" t="s">
        <v>3982</v>
      </c>
      <c r="B1137" s="1" t="s">
        <v>3983</v>
      </c>
      <c r="C1137" s="1" t="s">
        <v>3984</v>
      </c>
      <c r="D1137" s="1" t="s">
        <v>78</v>
      </c>
      <c r="E1137" s="1" t="s">
        <v>28</v>
      </c>
      <c r="F1137" s="2">
        <v>1000000.0</v>
      </c>
      <c r="G1137" s="1" t="s">
        <v>1521</v>
      </c>
      <c r="H1137" s="4">
        <f>IFERROR(__xludf.DUMMYFUNCTION("DATE(INDEX(SPLIT(G1137,""/""),,3),INDEX(SPLIT(G1137,""/""),,2),INDEX(SPLIT(G1137,""/""),,1))"),44756.0)</f>
        <v>44756</v>
      </c>
      <c r="I1137" s="4">
        <v>44570.0</v>
      </c>
      <c r="J1137" s="4">
        <f>IFERROR(__xludf.DUMMYFUNCTION("DATE(INDEX(SPLIT(I1137,""/""),,3),INDEX(SPLIT(I1137,""/""),,2),INDEX(SPLIT(I1137,""/""),,1))"),44805.0)</f>
        <v>44805</v>
      </c>
      <c r="L1137" s="1">
        <v>0.0</v>
      </c>
      <c r="M1137" s="1" t="s">
        <v>3985</v>
      </c>
      <c r="N1137" s="1"/>
      <c r="O1137" s="1" t="s">
        <v>30</v>
      </c>
      <c r="P1137" s="1" t="s">
        <v>31</v>
      </c>
      <c r="Q1137" s="1" t="s">
        <v>157</v>
      </c>
      <c r="R1137" s="1" t="s">
        <v>157</v>
      </c>
      <c r="S1137" s="1" t="s">
        <v>158</v>
      </c>
      <c r="U1137" s="1">
        <v>1.00616269E8</v>
      </c>
      <c r="X1137" s="1" t="s">
        <v>289</v>
      </c>
      <c r="Y1137" s="1" t="s">
        <v>3986</v>
      </c>
      <c r="Z1137" s="1" t="s">
        <v>37</v>
      </c>
    </row>
    <row r="1138" hidden="1">
      <c r="A1138" s="1" t="s">
        <v>3987</v>
      </c>
      <c r="B1138" s="1" t="s">
        <v>3988</v>
      </c>
      <c r="C1138" s="1" t="s">
        <v>3989</v>
      </c>
      <c r="D1138" s="1" t="s">
        <v>27</v>
      </c>
      <c r="E1138" s="1" t="s">
        <v>28</v>
      </c>
      <c r="F1138" s="2">
        <v>1000000.0</v>
      </c>
      <c r="G1138" s="1" t="s">
        <v>1039</v>
      </c>
      <c r="H1138" s="4">
        <f>IFERROR(__xludf.DUMMYFUNCTION("DATE(INDEX(SPLIT(G1138,""/""),,3),INDEX(SPLIT(G1138,""/""),,2),INDEX(SPLIT(G1138,""/""),,1))"),44155.0)</f>
        <v>44155</v>
      </c>
      <c r="I1138" s="1" t="s">
        <v>535</v>
      </c>
      <c r="J1138" s="4">
        <f>IFERROR(__xludf.DUMMYFUNCTION("DATE(INDEX(SPLIT(I1138,""/""),,3),INDEX(SPLIT(I1138,""/""),,2),INDEX(SPLIT(I1138,""/""),,1))"),44957.0)</f>
        <v>44957</v>
      </c>
      <c r="L1138" s="1">
        <v>0.0</v>
      </c>
      <c r="M1138" s="1" t="s">
        <v>3990</v>
      </c>
      <c r="N1138" s="1"/>
      <c r="O1138" s="1" t="s">
        <v>30</v>
      </c>
      <c r="P1138" s="1" t="s">
        <v>31</v>
      </c>
      <c r="Q1138" s="1" t="s">
        <v>95</v>
      </c>
      <c r="R1138" s="1" t="s">
        <v>95</v>
      </c>
      <c r="S1138" s="1" t="s">
        <v>96</v>
      </c>
      <c r="U1138" s="1">
        <v>1.00618416E8</v>
      </c>
      <c r="X1138" s="1" t="s">
        <v>117</v>
      </c>
      <c r="Y1138" s="1" t="s">
        <v>3990</v>
      </c>
      <c r="Z1138" s="1" t="s">
        <v>527</v>
      </c>
    </row>
    <row r="1139" hidden="1">
      <c r="A1139" s="1" t="s">
        <v>3991</v>
      </c>
      <c r="B1139" s="1" t="s">
        <v>497</v>
      </c>
      <c r="C1139" s="1" t="s">
        <v>3992</v>
      </c>
      <c r="D1139" s="1" t="s">
        <v>27</v>
      </c>
      <c r="E1139" s="1" t="s">
        <v>28</v>
      </c>
      <c r="F1139" s="2">
        <v>1000000.0</v>
      </c>
      <c r="G1139" s="1" t="s">
        <v>3934</v>
      </c>
      <c r="H1139" s="4">
        <f>IFERROR(__xludf.DUMMYFUNCTION("DATE(INDEX(SPLIT(G1139,""/""),,3),INDEX(SPLIT(G1139,""/""),,2),INDEX(SPLIT(G1139,""/""),,1))"),44428.0)</f>
        <v>44428</v>
      </c>
      <c r="I1139" s="1" t="s">
        <v>42</v>
      </c>
      <c r="J1139" s="4">
        <f>IFERROR(__xludf.DUMMYFUNCTION("DATE(INDEX(SPLIT(I1139,""/""),,3),INDEX(SPLIT(I1139,""/""),,2),INDEX(SPLIT(I1139,""/""),,1))"),44926.0)</f>
        <v>44926</v>
      </c>
      <c r="L1139" s="1">
        <v>0.0</v>
      </c>
      <c r="M1139" s="1" t="s">
        <v>2312</v>
      </c>
      <c r="N1139" s="1"/>
      <c r="O1139" s="1" t="s">
        <v>30</v>
      </c>
      <c r="P1139" s="1" t="s">
        <v>31</v>
      </c>
      <c r="Q1139" s="1" t="s">
        <v>32</v>
      </c>
      <c r="R1139" s="1" t="s">
        <v>32</v>
      </c>
      <c r="S1139" s="1" t="s">
        <v>33</v>
      </c>
      <c r="U1139" s="1">
        <v>1.00610903E8</v>
      </c>
      <c r="V1139" s="1" t="s">
        <v>3993</v>
      </c>
      <c r="W1139" s="1" t="s">
        <v>45</v>
      </c>
      <c r="X1139" s="1" t="s">
        <v>35</v>
      </c>
      <c r="Y1139" s="1" t="s">
        <v>3994</v>
      </c>
      <c r="Z1139" s="1" t="s">
        <v>37</v>
      </c>
    </row>
    <row r="1140" hidden="1">
      <c r="A1140" s="1" t="s">
        <v>3995</v>
      </c>
      <c r="B1140" s="1" t="s">
        <v>546</v>
      </c>
      <c r="C1140" s="1" t="s">
        <v>3996</v>
      </c>
      <c r="D1140" s="1" t="s">
        <v>27</v>
      </c>
      <c r="E1140" s="1" t="s">
        <v>28</v>
      </c>
      <c r="F1140" s="2">
        <v>1000000.0</v>
      </c>
      <c r="G1140" s="1" t="s">
        <v>503</v>
      </c>
      <c r="H1140" s="4">
        <f>IFERROR(__xludf.DUMMYFUNCTION("DATE(INDEX(SPLIT(G1140,""/""),,3),INDEX(SPLIT(G1140,""/""),,2),INDEX(SPLIT(G1140,""/""),,1))"),44736.0)</f>
        <v>44736</v>
      </c>
      <c r="I1140" s="1" t="s">
        <v>625</v>
      </c>
      <c r="J1140" s="4">
        <f>IFERROR(__xludf.DUMMYFUNCTION("DATE(INDEX(SPLIT(I1140,""/""),,3),INDEX(SPLIT(I1140,""/""),,2),INDEX(SPLIT(I1140,""/""),,1))"),44848.0)</f>
        <v>44848</v>
      </c>
      <c r="L1140" s="1">
        <v>0.0</v>
      </c>
      <c r="M1140" s="1" t="s">
        <v>2107</v>
      </c>
      <c r="N1140" s="1"/>
      <c r="O1140" s="1" t="s">
        <v>30</v>
      </c>
      <c r="P1140" s="1" t="s">
        <v>31</v>
      </c>
      <c r="Q1140" s="1" t="s">
        <v>71</v>
      </c>
      <c r="R1140" s="1" t="s">
        <v>71</v>
      </c>
      <c r="S1140" s="1" t="s">
        <v>72</v>
      </c>
      <c r="T1140" s="1" t="s">
        <v>73</v>
      </c>
      <c r="U1140" s="1">
        <v>1.0061233E8</v>
      </c>
      <c r="X1140" s="1" t="s">
        <v>74</v>
      </c>
      <c r="Y1140" s="1" t="s">
        <v>3997</v>
      </c>
      <c r="Z1140" s="1" t="s">
        <v>37</v>
      </c>
    </row>
    <row r="1141" hidden="1">
      <c r="A1141" s="1" t="s">
        <v>3998</v>
      </c>
      <c r="B1141" s="1" t="s">
        <v>1152</v>
      </c>
      <c r="C1141" s="1" t="s">
        <v>3999</v>
      </c>
      <c r="D1141" s="1" t="s">
        <v>27</v>
      </c>
      <c r="E1141" s="1" t="s">
        <v>28</v>
      </c>
      <c r="F1141" s="2">
        <v>1000000.0</v>
      </c>
      <c r="G1141" s="4">
        <v>44685.0</v>
      </c>
      <c r="H1141" s="4">
        <f>IFERROR(__xludf.DUMMYFUNCTION("DATE(INDEX(SPLIT(G1141,""/""),,3),INDEX(SPLIT(G1141,""/""),,2),INDEX(SPLIT(G1141,""/""),,1))"),44656.0)</f>
        <v>44656</v>
      </c>
      <c r="I1141" s="1" t="s">
        <v>281</v>
      </c>
      <c r="J1141" s="4">
        <f>IFERROR(__xludf.DUMMYFUNCTION("DATE(INDEX(SPLIT(I1141,""/""),,3),INDEX(SPLIT(I1141,""/""),,2),INDEX(SPLIT(I1141,""/""),,1))"),44865.0)</f>
        <v>44865</v>
      </c>
      <c r="L1141" s="1">
        <v>0.0</v>
      </c>
      <c r="M1141" s="1" t="s">
        <v>4000</v>
      </c>
      <c r="N1141" s="1"/>
      <c r="O1141" s="1" t="s">
        <v>30</v>
      </c>
      <c r="P1141" s="1" t="s">
        <v>31</v>
      </c>
      <c r="Q1141" s="1" t="s">
        <v>32</v>
      </c>
      <c r="R1141" s="1" t="s">
        <v>32</v>
      </c>
      <c r="S1141" s="1" t="s">
        <v>33</v>
      </c>
      <c r="T1141" s="1" t="s">
        <v>402</v>
      </c>
      <c r="U1141" s="1">
        <v>1.00588959E8</v>
      </c>
      <c r="X1141" s="1" t="s">
        <v>125</v>
      </c>
      <c r="Y1141" s="1" t="s">
        <v>2021</v>
      </c>
      <c r="Z1141" s="1" t="s">
        <v>37</v>
      </c>
    </row>
    <row r="1142" hidden="1">
      <c r="A1142" s="1" t="s">
        <v>4001</v>
      </c>
      <c r="B1142" s="1" t="s">
        <v>39</v>
      </c>
      <c r="C1142" s="1" t="s">
        <v>4002</v>
      </c>
      <c r="D1142" s="1" t="s">
        <v>78</v>
      </c>
      <c r="E1142" s="1" t="s">
        <v>28</v>
      </c>
      <c r="F1142" s="2">
        <v>1000000.0</v>
      </c>
      <c r="G1142" s="4">
        <v>44836.0</v>
      </c>
      <c r="H1142" s="4">
        <f>IFERROR(__xludf.DUMMYFUNCTION("DATE(INDEX(SPLIT(G1142,""/""),,3),INDEX(SPLIT(G1142,""/""),,2),INDEX(SPLIT(G1142,""/""),,1))"),44602.0)</f>
        <v>44602</v>
      </c>
      <c r="I1142" s="1" t="s">
        <v>360</v>
      </c>
      <c r="J1142" s="4">
        <f>IFERROR(__xludf.DUMMYFUNCTION("DATE(INDEX(SPLIT(I1142,""/""),,3),INDEX(SPLIT(I1142,""/""),,2),INDEX(SPLIT(I1142,""/""),,1))"),44895.0)</f>
        <v>44895</v>
      </c>
      <c r="L1142" s="1">
        <v>0.0</v>
      </c>
      <c r="M1142" s="1" t="s">
        <v>3717</v>
      </c>
      <c r="N1142" s="1"/>
      <c r="O1142" s="1" t="s">
        <v>30</v>
      </c>
      <c r="P1142" s="1" t="s">
        <v>31</v>
      </c>
      <c r="Q1142" s="1" t="s">
        <v>32</v>
      </c>
      <c r="R1142" s="1" t="s">
        <v>32</v>
      </c>
      <c r="S1142" s="1" t="s">
        <v>33</v>
      </c>
      <c r="T1142" s="1" t="s">
        <v>103</v>
      </c>
      <c r="U1142" s="1">
        <v>1.00651946E8</v>
      </c>
      <c r="X1142" s="1" t="s">
        <v>46</v>
      </c>
      <c r="Y1142" s="1" t="s">
        <v>104</v>
      </c>
      <c r="Z1142" s="1" t="s">
        <v>37</v>
      </c>
    </row>
    <row r="1143">
      <c r="A1143" s="1" t="s">
        <v>4003</v>
      </c>
      <c r="B1143" s="1" t="s">
        <v>2000</v>
      </c>
      <c r="C1143" s="1" t="s">
        <v>4004</v>
      </c>
      <c r="D1143" s="1" t="s">
        <v>78</v>
      </c>
      <c r="E1143" s="1" t="s">
        <v>28</v>
      </c>
      <c r="F1143" s="2">
        <v>1000000.0</v>
      </c>
      <c r="G1143" s="1" t="s">
        <v>3883</v>
      </c>
      <c r="H1143" s="4">
        <f>IFERROR(__xludf.DUMMYFUNCTION("DATE(INDEX(SPLIT(G1143,""/""),,3),INDEX(SPLIT(G1143,""/""),,2),INDEX(SPLIT(G1143,""/""),,1))"),44666.0)</f>
        <v>44666</v>
      </c>
      <c r="I1143" s="1" t="s">
        <v>226</v>
      </c>
      <c r="J1143" s="4">
        <f>IFERROR(__xludf.DUMMYFUNCTION("DATE(INDEX(SPLIT(I1143,""/""),,3),INDEX(SPLIT(I1143,""/""),,2),INDEX(SPLIT(I1143,""/""),,1))"),44771.0)</f>
        <v>44771</v>
      </c>
      <c r="L1143" s="1">
        <v>0.0</v>
      </c>
      <c r="M1143" s="1" t="s">
        <v>4005</v>
      </c>
      <c r="N1143" s="1"/>
      <c r="O1143" s="1" t="s">
        <v>30</v>
      </c>
      <c r="P1143" s="1" t="s">
        <v>31</v>
      </c>
      <c r="Q1143" s="1" t="s">
        <v>95</v>
      </c>
      <c r="R1143" s="1" t="s">
        <v>95</v>
      </c>
      <c r="S1143" s="1" t="s">
        <v>96</v>
      </c>
      <c r="U1143" s="1">
        <v>1.00643097E8</v>
      </c>
      <c r="X1143" s="1" t="s">
        <v>46</v>
      </c>
      <c r="Y1143" s="1" t="s">
        <v>4005</v>
      </c>
      <c r="Z1143" s="1" t="s">
        <v>527</v>
      </c>
    </row>
    <row r="1144" hidden="1">
      <c r="A1144" s="1" t="s">
        <v>4006</v>
      </c>
      <c r="B1144" s="1" t="s">
        <v>2570</v>
      </c>
      <c r="C1144" s="1" t="s">
        <v>4007</v>
      </c>
      <c r="D1144" s="1" t="s">
        <v>27</v>
      </c>
      <c r="E1144" s="1" t="s">
        <v>28</v>
      </c>
      <c r="F1144" s="2">
        <v>1000000.0</v>
      </c>
      <c r="G1144" s="1" t="s">
        <v>2988</v>
      </c>
      <c r="H1144" s="4">
        <f>IFERROR(__xludf.DUMMYFUNCTION("DATE(INDEX(SPLIT(G1144,""/""),,3),INDEX(SPLIT(G1144,""/""),,2),INDEX(SPLIT(G1144,""/""),,1))"),44523.0)</f>
        <v>44523</v>
      </c>
      <c r="I1144" s="1" t="s">
        <v>109</v>
      </c>
      <c r="J1144" s="4">
        <f>IFERROR(__xludf.DUMMYFUNCTION("DATE(INDEX(SPLIT(I1144,""/""),,3),INDEX(SPLIT(I1144,""/""),,2),INDEX(SPLIT(I1144,""/""),,1))"),44834.0)</f>
        <v>44834</v>
      </c>
      <c r="L1144" s="1">
        <v>0.0</v>
      </c>
      <c r="M1144" s="1" t="s">
        <v>2989</v>
      </c>
      <c r="N1144" s="1"/>
      <c r="O1144" s="1" t="s">
        <v>30</v>
      </c>
      <c r="P1144" s="1" t="s">
        <v>31</v>
      </c>
      <c r="Q1144" s="1" t="s">
        <v>235</v>
      </c>
      <c r="R1144" s="1" t="s">
        <v>235</v>
      </c>
      <c r="S1144" s="1" t="s">
        <v>236</v>
      </c>
      <c r="T1144" s="1" t="s">
        <v>4008</v>
      </c>
      <c r="U1144" s="1">
        <v>1.00647463E8</v>
      </c>
      <c r="X1144" s="1" t="s">
        <v>88</v>
      </c>
      <c r="Y1144" s="1" t="s">
        <v>2989</v>
      </c>
      <c r="Z1144" s="1" t="s">
        <v>37</v>
      </c>
    </row>
    <row r="1145" hidden="1">
      <c r="A1145" s="1" t="s">
        <v>4009</v>
      </c>
      <c r="B1145" s="1" t="s">
        <v>3957</v>
      </c>
      <c r="C1145" s="1" t="s">
        <v>4010</v>
      </c>
      <c r="D1145" s="1" t="s">
        <v>27</v>
      </c>
      <c r="E1145" s="1" t="s">
        <v>28</v>
      </c>
      <c r="F1145" s="2">
        <v>1000000.0</v>
      </c>
      <c r="G1145" s="1" t="s">
        <v>2055</v>
      </c>
      <c r="H1145" s="4">
        <f>IFERROR(__xludf.DUMMYFUNCTION("DATE(INDEX(SPLIT(G1145,""/""),,3),INDEX(SPLIT(G1145,""/""),,2),INDEX(SPLIT(G1145,""/""),,1))"),44497.0)</f>
        <v>44497</v>
      </c>
      <c r="I1145" s="1" t="s">
        <v>165</v>
      </c>
      <c r="J1145" s="4">
        <f>IFERROR(__xludf.DUMMYFUNCTION("DATE(INDEX(SPLIT(I1145,""/""),,3),INDEX(SPLIT(I1145,""/""),,2),INDEX(SPLIT(I1145,""/""),,1))"),44803.0)</f>
        <v>44803</v>
      </c>
      <c r="L1145" s="1">
        <v>0.0</v>
      </c>
      <c r="M1145" s="1" t="s">
        <v>4011</v>
      </c>
      <c r="N1145" s="1"/>
      <c r="O1145" s="1" t="s">
        <v>30</v>
      </c>
      <c r="P1145" s="1" t="s">
        <v>31</v>
      </c>
      <c r="Q1145" s="1" t="s">
        <v>95</v>
      </c>
      <c r="R1145" s="1" t="s">
        <v>95</v>
      </c>
      <c r="S1145" s="1" t="s">
        <v>96</v>
      </c>
      <c r="T1145" s="1" t="s">
        <v>97</v>
      </c>
      <c r="U1145" s="1">
        <v>1.00702554E8</v>
      </c>
      <c r="X1145" s="1" t="s">
        <v>117</v>
      </c>
      <c r="Y1145" s="1" t="s">
        <v>3459</v>
      </c>
      <c r="Z1145" s="1" t="s">
        <v>206</v>
      </c>
    </row>
    <row r="1146" hidden="1">
      <c r="A1146" s="1" t="s">
        <v>4012</v>
      </c>
      <c r="B1146" s="1" t="s">
        <v>4013</v>
      </c>
      <c r="C1146" s="1" t="s">
        <v>4014</v>
      </c>
      <c r="D1146" s="1" t="s">
        <v>27</v>
      </c>
      <c r="E1146" s="1" t="s">
        <v>28</v>
      </c>
      <c r="F1146" s="2">
        <v>1000000.0</v>
      </c>
      <c r="G1146" s="4">
        <v>44321.0</v>
      </c>
      <c r="H1146" s="4">
        <f>IFERROR(__xludf.DUMMYFUNCTION("DATE(INDEX(SPLIT(G1146,""/""),,3),INDEX(SPLIT(G1146,""/""),,2),INDEX(SPLIT(G1146,""/""),,1))"),44321.0)</f>
        <v>44321</v>
      </c>
      <c r="I1146" s="1" t="s">
        <v>4015</v>
      </c>
      <c r="J1146" s="4">
        <f>IFERROR(__xludf.DUMMYFUNCTION("DATE(INDEX(SPLIT(I1146,""/""),,3),INDEX(SPLIT(I1146,""/""),,2),INDEX(SPLIT(I1146,""/""),,1))"),44851.0)</f>
        <v>44851</v>
      </c>
      <c r="L1146" s="1">
        <v>0.0</v>
      </c>
      <c r="M1146" s="1" t="s">
        <v>4016</v>
      </c>
      <c r="N1146" s="1"/>
      <c r="O1146" s="1" t="s">
        <v>30</v>
      </c>
      <c r="P1146" s="1" t="s">
        <v>31</v>
      </c>
      <c r="Q1146" s="1" t="s">
        <v>95</v>
      </c>
      <c r="R1146" s="1" t="s">
        <v>95</v>
      </c>
      <c r="S1146" s="1" t="s">
        <v>96</v>
      </c>
      <c r="T1146" s="1" t="s">
        <v>97</v>
      </c>
      <c r="U1146" s="1">
        <v>1.00628223E8</v>
      </c>
      <c r="X1146" s="1" t="s">
        <v>190</v>
      </c>
      <c r="Y1146" s="1" t="s">
        <v>4017</v>
      </c>
      <c r="Z1146" s="1" t="s">
        <v>206</v>
      </c>
    </row>
    <row r="1147" hidden="1">
      <c r="A1147" s="1" t="s">
        <v>4018</v>
      </c>
      <c r="B1147" s="1" t="s">
        <v>120</v>
      </c>
      <c r="C1147" s="1" t="s">
        <v>4019</v>
      </c>
      <c r="D1147" s="1" t="s">
        <v>78</v>
      </c>
      <c r="E1147" s="1" t="s">
        <v>28</v>
      </c>
      <c r="F1147" s="2">
        <v>1000000.0</v>
      </c>
      <c r="G1147" s="1" t="s">
        <v>1958</v>
      </c>
      <c r="H1147" s="4">
        <f>IFERROR(__xludf.DUMMYFUNCTION("DATE(INDEX(SPLIT(G1147,""/""),,3),INDEX(SPLIT(G1147,""/""),,2),INDEX(SPLIT(G1147,""/""),,1))"),44583.0)</f>
        <v>44583</v>
      </c>
      <c r="I1147" s="1" t="s">
        <v>85</v>
      </c>
      <c r="J1147" s="4">
        <f>IFERROR(__xludf.DUMMYFUNCTION("DATE(INDEX(SPLIT(I1147,""/""),,3),INDEX(SPLIT(I1147,""/""),,2),INDEX(SPLIT(I1147,""/""),,1))"),44799.0)</f>
        <v>44799</v>
      </c>
      <c r="L1147" s="1">
        <v>0.0</v>
      </c>
      <c r="M1147" s="1" t="s">
        <v>441</v>
      </c>
      <c r="N1147" s="1"/>
      <c r="O1147" s="1" t="s">
        <v>30</v>
      </c>
      <c r="P1147" s="1" t="s">
        <v>31</v>
      </c>
      <c r="Q1147" s="1" t="s">
        <v>157</v>
      </c>
      <c r="R1147" s="1" t="s">
        <v>157</v>
      </c>
      <c r="S1147" s="1" t="s">
        <v>158</v>
      </c>
      <c r="T1147" s="1" t="s">
        <v>442</v>
      </c>
      <c r="U1147" s="1">
        <v>1.00581784E8</v>
      </c>
      <c r="X1147" s="1" t="s">
        <v>125</v>
      </c>
      <c r="Y1147" s="1" t="s">
        <v>441</v>
      </c>
      <c r="Z1147" s="1" t="s">
        <v>37</v>
      </c>
    </row>
    <row r="1148" hidden="1">
      <c r="A1148" s="1" t="s">
        <v>4020</v>
      </c>
      <c r="B1148" s="1" t="s">
        <v>1748</v>
      </c>
      <c r="C1148" s="1" t="s">
        <v>4021</v>
      </c>
      <c r="D1148" s="1" t="s">
        <v>68</v>
      </c>
      <c r="E1148" s="1" t="s">
        <v>28</v>
      </c>
      <c r="F1148" s="2">
        <v>1000000.0</v>
      </c>
      <c r="G1148" s="1" t="s">
        <v>93</v>
      </c>
      <c r="H1148" s="4">
        <f>IFERROR(__xludf.DUMMYFUNCTION("DATE(INDEX(SPLIT(G1148,""/""),,3),INDEX(SPLIT(G1148,""/""),,2),INDEX(SPLIT(G1148,""/""),,1))"),44671.0)</f>
        <v>44671</v>
      </c>
      <c r="I1148" s="1" t="s">
        <v>130</v>
      </c>
      <c r="J1148" s="4">
        <f>IFERROR(__xludf.DUMMYFUNCTION("DATE(INDEX(SPLIT(I1148,""/""),,3),INDEX(SPLIT(I1148,""/""),,2),INDEX(SPLIT(I1148,""/""),,1))"),44804.0)</f>
        <v>44804</v>
      </c>
      <c r="L1148" s="1">
        <v>0.0</v>
      </c>
      <c r="M1148" s="1" t="s">
        <v>4022</v>
      </c>
      <c r="N1148" s="1"/>
      <c r="O1148" s="1" t="s">
        <v>30</v>
      </c>
      <c r="P1148" s="1" t="s">
        <v>31</v>
      </c>
      <c r="Q1148" s="1" t="s">
        <v>235</v>
      </c>
      <c r="R1148" s="1" t="s">
        <v>235</v>
      </c>
      <c r="S1148" s="1" t="s">
        <v>236</v>
      </c>
      <c r="T1148" s="1" t="s">
        <v>753</v>
      </c>
      <c r="U1148" s="1">
        <v>1.00648421E8</v>
      </c>
      <c r="X1148" s="1" t="s">
        <v>88</v>
      </c>
      <c r="Y1148" s="1" t="s">
        <v>4022</v>
      </c>
      <c r="Z1148" s="1" t="s">
        <v>37</v>
      </c>
    </row>
    <row r="1149" hidden="1">
      <c r="A1149" s="1" t="s">
        <v>4023</v>
      </c>
      <c r="B1149" s="1" t="s">
        <v>1371</v>
      </c>
      <c r="C1149" s="1" t="s">
        <v>4024</v>
      </c>
      <c r="D1149" s="1" t="s">
        <v>68</v>
      </c>
      <c r="E1149" s="1" t="s">
        <v>28</v>
      </c>
      <c r="F1149" s="2">
        <v>1000000.0</v>
      </c>
      <c r="G1149" s="1" t="s">
        <v>1154</v>
      </c>
      <c r="H1149" s="4">
        <f>IFERROR(__xludf.DUMMYFUNCTION("DATE(INDEX(SPLIT(G1149,""/""),,3),INDEX(SPLIT(G1149,""/""),,2),INDEX(SPLIT(G1149,""/""),,1))"),44735.0)</f>
        <v>44735</v>
      </c>
      <c r="I1149" s="1" t="s">
        <v>109</v>
      </c>
      <c r="J1149" s="4">
        <f>IFERROR(__xludf.DUMMYFUNCTION("DATE(INDEX(SPLIT(I1149,""/""),,3),INDEX(SPLIT(I1149,""/""),,2),INDEX(SPLIT(I1149,""/""),,1))"),44834.0)</f>
        <v>44834</v>
      </c>
      <c r="L1149" s="1">
        <v>0.0</v>
      </c>
      <c r="M1149" s="1" t="s">
        <v>1373</v>
      </c>
      <c r="N1149" s="1"/>
      <c r="O1149" s="1" t="s">
        <v>30</v>
      </c>
      <c r="P1149" s="1" t="s">
        <v>31</v>
      </c>
      <c r="Q1149" s="1" t="s">
        <v>95</v>
      </c>
      <c r="R1149" s="1" t="s">
        <v>95</v>
      </c>
      <c r="S1149" s="1" t="s">
        <v>96</v>
      </c>
      <c r="T1149" s="1" t="s">
        <v>111</v>
      </c>
      <c r="U1149" s="1">
        <v>1.00626753E8</v>
      </c>
      <c r="X1149" s="1" t="s">
        <v>63</v>
      </c>
      <c r="Y1149" s="1" t="s">
        <v>4025</v>
      </c>
      <c r="Z1149" s="1" t="s">
        <v>37</v>
      </c>
    </row>
    <row r="1150" hidden="1">
      <c r="A1150" s="1" t="s">
        <v>4026</v>
      </c>
      <c r="B1150" s="1" t="s">
        <v>3343</v>
      </c>
      <c r="C1150" s="1" t="s">
        <v>4027</v>
      </c>
      <c r="D1150" s="1" t="s">
        <v>27</v>
      </c>
      <c r="E1150" s="1" t="s">
        <v>28</v>
      </c>
      <c r="F1150" s="2">
        <v>1000000.0</v>
      </c>
      <c r="G1150" s="4">
        <v>44568.0</v>
      </c>
      <c r="H1150" s="4">
        <f>IFERROR(__xludf.DUMMYFUNCTION("DATE(INDEX(SPLIT(G1150,""/""),,3),INDEX(SPLIT(G1150,""/""),,2),INDEX(SPLIT(G1150,""/""),,1))"),44743.0)</f>
        <v>44743</v>
      </c>
      <c r="I1150" s="1" t="s">
        <v>203</v>
      </c>
      <c r="J1150" s="4">
        <f>IFERROR(__xludf.DUMMYFUNCTION("DATE(INDEX(SPLIT(I1150,""/""),,3),INDEX(SPLIT(I1150,""/""),,2),INDEX(SPLIT(I1150,""/""),,1))"),44925.0)</f>
        <v>44925</v>
      </c>
      <c r="L1150" s="1">
        <v>0.0</v>
      </c>
      <c r="M1150" s="1" t="s">
        <v>3182</v>
      </c>
      <c r="N1150" s="1"/>
      <c r="O1150" s="1" t="s">
        <v>30</v>
      </c>
      <c r="P1150" s="1" t="s">
        <v>31</v>
      </c>
      <c r="Q1150" s="1" t="s">
        <v>32</v>
      </c>
      <c r="R1150" s="1" t="s">
        <v>32</v>
      </c>
      <c r="S1150" s="1" t="s">
        <v>33</v>
      </c>
      <c r="T1150" s="1" t="s">
        <v>34</v>
      </c>
      <c r="U1150" s="1">
        <v>1.00592587E8</v>
      </c>
      <c r="X1150" s="1" t="s">
        <v>63</v>
      </c>
      <c r="Y1150" s="1" t="s">
        <v>3346</v>
      </c>
      <c r="Z1150" s="1" t="s">
        <v>37</v>
      </c>
    </row>
    <row r="1151">
      <c r="A1151" s="1" t="s">
        <v>4028</v>
      </c>
      <c r="B1151" s="1" t="s">
        <v>4029</v>
      </c>
      <c r="C1151" s="1" t="s">
        <v>4030</v>
      </c>
      <c r="D1151" s="1" t="s">
        <v>122</v>
      </c>
      <c r="E1151" s="1" t="s">
        <v>28</v>
      </c>
      <c r="F1151" s="2">
        <v>1000000.0</v>
      </c>
      <c r="G1151" s="1" t="s">
        <v>1806</v>
      </c>
      <c r="H1151" s="4">
        <f>IFERROR(__xludf.DUMMYFUNCTION("DATE(INDEX(SPLIT(G1151,""/""),,3),INDEX(SPLIT(G1151,""/""),,2),INDEX(SPLIT(G1151,""/""),,1))"),44694.0)</f>
        <v>44694</v>
      </c>
      <c r="I1151" s="1" t="s">
        <v>518</v>
      </c>
      <c r="J1151" s="4">
        <f>IFERROR(__xludf.DUMMYFUNCTION("DATE(INDEX(SPLIT(I1151,""/""),,3),INDEX(SPLIT(I1151,""/""),,2),INDEX(SPLIT(I1151,""/""),,1))"),44757.0)</f>
        <v>44757</v>
      </c>
      <c r="L1151" s="1">
        <v>0.0</v>
      </c>
      <c r="M1151" s="1" t="s">
        <v>4031</v>
      </c>
      <c r="N1151" s="1"/>
      <c r="O1151" s="1" t="s">
        <v>30</v>
      </c>
      <c r="P1151" s="1" t="s">
        <v>31</v>
      </c>
      <c r="Q1151" s="1" t="s">
        <v>188</v>
      </c>
      <c r="R1151" s="1" t="s">
        <v>188</v>
      </c>
      <c r="S1151" s="1" t="s">
        <v>189</v>
      </c>
      <c r="T1151" s="1" t="s">
        <v>2893</v>
      </c>
      <c r="U1151" s="1">
        <v>1.00611003E8</v>
      </c>
      <c r="V1151" s="1" t="s">
        <v>4032</v>
      </c>
      <c r="W1151" s="1" t="s">
        <v>45</v>
      </c>
      <c r="X1151" s="1" t="s">
        <v>74</v>
      </c>
      <c r="Y1151" s="1" t="s">
        <v>4033</v>
      </c>
      <c r="Z1151" s="1" t="s">
        <v>37</v>
      </c>
    </row>
    <row r="1152" hidden="1">
      <c r="A1152" s="1" t="s">
        <v>4034</v>
      </c>
      <c r="B1152" s="1" t="s">
        <v>427</v>
      </c>
      <c r="C1152" s="1" t="s">
        <v>4035</v>
      </c>
      <c r="D1152" s="1" t="s">
        <v>27</v>
      </c>
      <c r="E1152" s="1" t="s">
        <v>28</v>
      </c>
      <c r="F1152" s="2">
        <v>1000000.0</v>
      </c>
      <c r="G1152" s="1" t="s">
        <v>4036</v>
      </c>
      <c r="H1152" s="4">
        <f>IFERROR(__xludf.DUMMYFUNCTION("DATE(INDEX(SPLIT(G1152,""/""),,3),INDEX(SPLIT(G1152,""/""),,2),INDEX(SPLIT(G1152,""/""),,1))"),44592.0)</f>
        <v>44592</v>
      </c>
      <c r="I1152" s="1" t="s">
        <v>130</v>
      </c>
      <c r="J1152" s="4">
        <f>IFERROR(__xludf.DUMMYFUNCTION("DATE(INDEX(SPLIT(I1152,""/""),,3),INDEX(SPLIT(I1152,""/""),,2),INDEX(SPLIT(I1152,""/""),,1))"),44804.0)</f>
        <v>44804</v>
      </c>
      <c r="L1152" s="1">
        <v>0.0</v>
      </c>
      <c r="M1152" s="1" t="s">
        <v>891</v>
      </c>
      <c r="N1152" s="1"/>
      <c r="O1152" s="1" t="s">
        <v>30</v>
      </c>
      <c r="P1152" s="1" t="s">
        <v>31</v>
      </c>
      <c r="Q1152" s="1" t="s">
        <v>32</v>
      </c>
      <c r="R1152" s="1" t="s">
        <v>32</v>
      </c>
      <c r="S1152" s="1" t="s">
        <v>33</v>
      </c>
      <c r="T1152" s="1" t="s">
        <v>442</v>
      </c>
      <c r="U1152" s="1">
        <v>1.00866856E8</v>
      </c>
      <c r="X1152" s="1" t="s">
        <v>125</v>
      </c>
      <c r="Y1152" s="1" t="s">
        <v>891</v>
      </c>
      <c r="Z1152" s="1" t="s">
        <v>37</v>
      </c>
    </row>
    <row r="1153" hidden="1">
      <c r="A1153" s="1" t="s">
        <v>4037</v>
      </c>
      <c r="B1153" s="1" t="s">
        <v>981</v>
      </c>
      <c r="C1153" s="1" t="s">
        <v>4038</v>
      </c>
      <c r="D1153" s="1" t="s">
        <v>27</v>
      </c>
      <c r="E1153" s="1" t="s">
        <v>28</v>
      </c>
      <c r="F1153" s="2">
        <v>1000000.0</v>
      </c>
      <c r="G1153" s="1" t="s">
        <v>983</v>
      </c>
      <c r="H1153" s="4">
        <f>IFERROR(__xludf.DUMMYFUNCTION("DATE(INDEX(SPLIT(G1153,""/""),,3),INDEX(SPLIT(G1153,""/""),,2),INDEX(SPLIT(G1153,""/""),,1))"),44393.0)</f>
        <v>44393</v>
      </c>
      <c r="I1153" s="1" t="s">
        <v>155</v>
      </c>
      <c r="J1153" s="4">
        <f>IFERROR(__xludf.DUMMYFUNCTION("DATE(INDEX(SPLIT(I1153,""/""),,3),INDEX(SPLIT(I1153,""/""),,2),INDEX(SPLIT(I1153,""/""),,1))"),45473.0)</f>
        <v>45473</v>
      </c>
      <c r="L1153" s="1">
        <v>0.0</v>
      </c>
      <c r="M1153" s="1" t="s">
        <v>4039</v>
      </c>
      <c r="N1153" s="1"/>
      <c r="O1153" s="1" t="s">
        <v>30</v>
      </c>
      <c r="P1153" s="1" t="s">
        <v>31</v>
      </c>
      <c r="Q1153" s="1" t="s">
        <v>228</v>
      </c>
      <c r="R1153" s="1" t="s">
        <v>228</v>
      </c>
      <c r="S1153" s="1" t="s">
        <v>229</v>
      </c>
      <c r="T1153" s="1" t="s">
        <v>640</v>
      </c>
      <c r="U1153" s="1">
        <v>1.00662113E8</v>
      </c>
      <c r="X1153" s="1" t="s">
        <v>490</v>
      </c>
      <c r="Y1153" s="1" t="s">
        <v>985</v>
      </c>
      <c r="Z1153" s="1" t="s">
        <v>37</v>
      </c>
    </row>
    <row r="1154">
      <c r="A1154" s="1" t="s">
        <v>4040</v>
      </c>
      <c r="B1154" s="1" t="s">
        <v>4041</v>
      </c>
      <c r="C1154" s="1" t="s">
        <v>4042</v>
      </c>
      <c r="D1154" s="1" t="s">
        <v>78</v>
      </c>
      <c r="E1154" s="1" t="s">
        <v>28</v>
      </c>
      <c r="F1154" s="2">
        <v>1000000.0</v>
      </c>
      <c r="G1154" s="1" t="s">
        <v>1806</v>
      </c>
      <c r="H1154" s="4">
        <f>IFERROR(__xludf.DUMMYFUNCTION("DATE(INDEX(SPLIT(G1154,""/""),,3),INDEX(SPLIT(G1154,""/""),,2),INDEX(SPLIT(G1154,""/""),,1))"),44694.0)</f>
        <v>44694</v>
      </c>
      <c r="I1154" s="1" t="s">
        <v>226</v>
      </c>
      <c r="J1154" s="4">
        <f>IFERROR(__xludf.DUMMYFUNCTION("DATE(INDEX(SPLIT(I1154,""/""),,3),INDEX(SPLIT(I1154,""/""),,2),INDEX(SPLIT(I1154,""/""),,1))"),44771.0)</f>
        <v>44771</v>
      </c>
      <c r="L1154" s="1">
        <v>0.0</v>
      </c>
      <c r="M1154" s="1" t="s">
        <v>4043</v>
      </c>
      <c r="N1154" s="1"/>
      <c r="O1154" s="1" t="s">
        <v>30</v>
      </c>
      <c r="P1154" s="1" t="s">
        <v>31</v>
      </c>
      <c r="Q1154" s="1" t="s">
        <v>95</v>
      </c>
      <c r="R1154" s="1" t="s">
        <v>95</v>
      </c>
      <c r="S1154" s="1" t="s">
        <v>96</v>
      </c>
      <c r="T1154" s="1" t="s">
        <v>602</v>
      </c>
      <c r="U1154" s="1">
        <v>1.00641038E8</v>
      </c>
      <c r="X1154" s="1" t="s">
        <v>375</v>
      </c>
      <c r="Y1154" s="1" t="s">
        <v>350</v>
      </c>
      <c r="Z1154" s="1" t="s">
        <v>37</v>
      </c>
    </row>
    <row r="1155">
      <c r="A1155" s="1" t="s">
        <v>4044</v>
      </c>
      <c r="B1155" s="1" t="s">
        <v>4045</v>
      </c>
      <c r="C1155" s="1" t="s">
        <v>4046</v>
      </c>
      <c r="D1155" s="1" t="s">
        <v>122</v>
      </c>
      <c r="E1155" s="1" t="s">
        <v>28</v>
      </c>
      <c r="F1155" s="2">
        <v>1000000.0</v>
      </c>
      <c r="G1155" s="1" t="s">
        <v>4047</v>
      </c>
      <c r="H1155" s="4">
        <f>IFERROR(__xludf.DUMMYFUNCTION("DATE(INDEX(SPLIT(G1155,""/""),,3),INDEX(SPLIT(G1155,""/""),,2),INDEX(SPLIT(G1155,""/""),,1))"),44580.0)</f>
        <v>44580</v>
      </c>
      <c r="I1155" s="1" t="s">
        <v>226</v>
      </c>
      <c r="J1155" s="4">
        <f>IFERROR(__xludf.DUMMYFUNCTION("DATE(INDEX(SPLIT(I1155,""/""),,3),INDEX(SPLIT(I1155,""/""),,2),INDEX(SPLIT(I1155,""/""),,1))"),44771.0)</f>
        <v>44771</v>
      </c>
      <c r="L1155" s="1">
        <v>0.0</v>
      </c>
      <c r="M1155" s="1" t="s">
        <v>4048</v>
      </c>
      <c r="N1155" s="1"/>
      <c r="O1155" s="1" t="s">
        <v>30</v>
      </c>
      <c r="P1155" s="1" t="s">
        <v>31</v>
      </c>
      <c r="Q1155" s="1" t="s">
        <v>32</v>
      </c>
      <c r="R1155" s="1" t="s">
        <v>32</v>
      </c>
      <c r="S1155" s="1" t="s">
        <v>33</v>
      </c>
      <c r="U1155" s="1">
        <v>1.00610426E8</v>
      </c>
      <c r="V1155" s="1" t="s">
        <v>4049</v>
      </c>
      <c r="W1155" s="1" t="s">
        <v>199</v>
      </c>
      <c r="X1155" s="1" t="s">
        <v>35</v>
      </c>
      <c r="Y1155" s="1" t="s">
        <v>160</v>
      </c>
      <c r="Z1155" s="1" t="s">
        <v>37</v>
      </c>
    </row>
    <row r="1156" hidden="1">
      <c r="A1156" s="1" t="s">
        <v>4050</v>
      </c>
      <c r="B1156" s="1" t="s">
        <v>3343</v>
      </c>
      <c r="C1156" s="1" t="s">
        <v>4051</v>
      </c>
      <c r="D1156" s="1" t="s">
        <v>27</v>
      </c>
      <c r="E1156" s="1" t="s">
        <v>28</v>
      </c>
      <c r="F1156" s="2">
        <v>1000000.0</v>
      </c>
      <c r="G1156" s="4">
        <v>44568.0</v>
      </c>
      <c r="H1156" s="4">
        <f>IFERROR(__xludf.DUMMYFUNCTION("DATE(INDEX(SPLIT(G1156,""/""),,3),INDEX(SPLIT(G1156,""/""),,2),INDEX(SPLIT(G1156,""/""),,1))"),44743.0)</f>
        <v>44743</v>
      </c>
      <c r="I1156" s="1" t="s">
        <v>203</v>
      </c>
      <c r="J1156" s="4">
        <f>IFERROR(__xludf.DUMMYFUNCTION("DATE(INDEX(SPLIT(I1156,""/""),,3),INDEX(SPLIT(I1156,""/""),,2),INDEX(SPLIT(I1156,""/""),,1))"),44925.0)</f>
        <v>44925</v>
      </c>
      <c r="L1156" s="1">
        <v>0.0</v>
      </c>
      <c r="M1156" s="1" t="s">
        <v>1856</v>
      </c>
      <c r="N1156" s="1"/>
      <c r="O1156" s="1" t="s">
        <v>30</v>
      </c>
      <c r="P1156" s="1" t="s">
        <v>31</v>
      </c>
      <c r="Q1156" s="1" t="s">
        <v>32</v>
      </c>
      <c r="R1156" s="1" t="s">
        <v>32</v>
      </c>
      <c r="S1156" s="1" t="s">
        <v>33</v>
      </c>
      <c r="T1156" s="1" t="s">
        <v>34</v>
      </c>
      <c r="U1156" s="1">
        <v>1.00587434E8</v>
      </c>
      <c r="X1156" s="1" t="s">
        <v>63</v>
      </c>
      <c r="Y1156" s="1" t="s">
        <v>3346</v>
      </c>
      <c r="Z1156" s="1" t="s">
        <v>37</v>
      </c>
    </row>
    <row r="1157" hidden="1">
      <c r="A1157" s="1" t="s">
        <v>4052</v>
      </c>
      <c r="B1157" s="1" t="s">
        <v>3343</v>
      </c>
      <c r="C1157" s="1" t="s">
        <v>4053</v>
      </c>
      <c r="D1157" s="1" t="s">
        <v>27</v>
      </c>
      <c r="E1157" s="1" t="s">
        <v>28</v>
      </c>
      <c r="F1157" s="2">
        <v>1000000.0</v>
      </c>
      <c r="G1157" s="4">
        <v>44568.0</v>
      </c>
      <c r="H1157" s="4">
        <f>IFERROR(__xludf.DUMMYFUNCTION("DATE(INDEX(SPLIT(G1157,""/""),,3),INDEX(SPLIT(G1157,""/""),,2),INDEX(SPLIT(G1157,""/""),,1))"),44743.0)</f>
        <v>44743</v>
      </c>
      <c r="I1157" s="1" t="s">
        <v>203</v>
      </c>
      <c r="J1157" s="4">
        <f>IFERROR(__xludf.DUMMYFUNCTION("DATE(INDEX(SPLIT(I1157,""/""),,3),INDEX(SPLIT(I1157,""/""),,2),INDEX(SPLIT(I1157,""/""),,1))"),44925.0)</f>
        <v>44925</v>
      </c>
      <c r="L1157" s="1">
        <v>0.0</v>
      </c>
      <c r="M1157" s="1" t="s">
        <v>1856</v>
      </c>
      <c r="N1157" s="1"/>
      <c r="O1157" s="1" t="s">
        <v>30</v>
      </c>
      <c r="P1157" s="1" t="s">
        <v>31</v>
      </c>
      <c r="Q1157" s="1" t="s">
        <v>32</v>
      </c>
      <c r="R1157" s="1" t="s">
        <v>32</v>
      </c>
      <c r="S1157" s="1" t="s">
        <v>33</v>
      </c>
      <c r="T1157" s="1" t="s">
        <v>34</v>
      </c>
      <c r="U1157" s="1">
        <v>1.00587434E8</v>
      </c>
      <c r="X1157" s="1" t="s">
        <v>63</v>
      </c>
      <c r="Y1157" s="1" t="s">
        <v>3346</v>
      </c>
      <c r="Z1157" s="1" t="s">
        <v>37</v>
      </c>
    </row>
    <row r="1158" hidden="1">
      <c r="A1158" s="1" t="s">
        <v>4054</v>
      </c>
      <c r="B1158" s="1" t="s">
        <v>4055</v>
      </c>
      <c r="C1158" s="1" t="s">
        <v>4056</v>
      </c>
      <c r="D1158" s="1" t="s">
        <v>27</v>
      </c>
      <c r="E1158" s="1" t="s">
        <v>28</v>
      </c>
      <c r="F1158" s="2">
        <v>1000000.0</v>
      </c>
      <c r="G1158" s="4">
        <v>44568.0</v>
      </c>
      <c r="H1158" s="4">
        <f>IFERROR(__xludf.DUMMYFUNCTION("DATE(INDEX(SPLIT(G1158,""/""),,3),INDEX(SPLIT(G1158,""/""),,2),INDEX(SPLIT(G1158,""/""),,1))"),44743.0)</f>
        <v>44743</v>
      </c>
      <c r="I1158" s="1" t="s">
        <v>203</v>
      </c>
      <c r="J1158" s="4">
        <f>IFERROR(__xludf.DUMMYFUNCTION("DATE(INDEX(SPLIT(I1158,""/""),,3),INDEX(SPLIT(I1158,""/""),,2),INDEX(SPLIT(I1158,""/""),,1))"),44925.0)</f>
        <v>44925</v>
      </c>
      <c r="L1158" s="1">
        <v>0.0</v>
      </c>
      <c r="M1158" s="1" t="s">
        <v>1856</v>
      </c>
      <c r="N1158" s="1"/>
      <c r="O1158" s="1" t="s">
        <v>30</v>
      </c>
      <c r="P1158" s="1" t="s">
        <v>31</v>
      </c>
      <c r="Q1158" s="1" t="s">
        <v>32</v>
      </c>
      <c r="R1158" s="1" t="s">
        <v>32</v>
      </c>
      <c r="S1158" s="1" t="s">
        <v>33</v>
      </c>
      <c r="T1158" s="1" t="s">
        <v>34</v>
      </c>
      <c r="U1158" s="1">
        <v>1.00587434E8</v>
      </c>
      <c r="X1158" s="1" t="s">
        <v>63</v>
      </c>
      <c r="Y1158" s="1" t="s">
        <v>3346</v>
      </c>
      <c r="Z1158" s="1" t="s">
        <v>37</v>
      </c>
    </row>
    <row r="1159" hidden="1">
      <c r="A1159" s="1" t="s">
        <v>4057</v>
      </c>
      <c r="B1159" s="1" t="s">
        <v>363</v>
      </c>
      <c r="C1159" s="1" t="s">
        <v>4058</v>
      </c>
      <c r="D1159" s="1" t="s">
        <v>27</v>
      </c>
      <c r="E1159" s="1" t="s">
        <v>28</v>
      </c>
      <c r="F1159" s="2">
        <v>1000000.0</v>
      </c>
      <c r="G1159" s="1" t="s">
        <v>3349</v>
      </c>
      <c r="H1159" s="4">
        <f>IFERROR(__xludf.DUMMYFUNCTION("DATE(INDEX(SPLIT(G1159,""/""),,3),INDEX(SPLIT(G1159,""/""),,2),INDEX(SPLIT(G1159,""/""),,1))"),44648.0)</f>
        <v>44648</v>
      </c>
      <c r="I1159" s="1" t="s">
        <v>109</v>
      </c>
      <c r="J1159" s="4">
        <f>IFERROR(__xludf.DUMMYFUNCTION("DATE(INDEX(SPLIT(I1159,""/""),,3),INDEX(SPLIT(I1159,""/""),,2),INDEX(SPLIT(I1159,""/""),,1))"),44834.0)</f>
        <v>44834</v>
      </c>
      <c r="L1159" s="1">
        <v>0.0</v>
      </c>
      <c r="M1159" s="1" t="s">
        <v>1814</v>
      </c>
      <c r="N1159" s="1"/>
      <c r="O1159" s="1" t="s">
        <v>30</v>
      </c>
      <c r="P1159" s="1" t="s">
        <v>31</v>
      </c>
      <c r="Q1159" s="1" t="s">
        <v>95</v>
      </c>
      <c r="R1159" s="1" t="s">
        <v>95</v>
      </c>
      <c r="S1159" s="1" t="s">
        <v>96</v>
      </c>
      <c r="T1159" s="1" t="s">
        <v>260</v>
      </c>
      <c r="U1159" s="1">
        <v>1.00597983E8</v>
      </c>
      <c r="X1159" s="1" t="s">
        <v>239</v>
      </c>
      <c r="Y1159" s="1" t="s">
        <v>4059</v>
      </c>
      <c r="Z1159" s="1" t="s">
        <v>206</v>
      </c>
    </row>
    <row r="1160" hidden="1">
      <c r="A1160" s="1" t="s">
        <v>4060</v>
      </c>
      <c r="B1160" s="1" t="s">
        <v>492</v>
      </c>
      <c r="C1160" s="1" t="s">
        <v>4061</v>
      </c>
      <c r="D1160" s="1" t="s">
        <v>27</v>
      </c>
      <c r="E1160" s="1" t="s">
        <v>28</v>
      </c>
      <c r="F1160" s="2">
        <v>1000000.0</v>
      </c>
      <c r="G1160" s="1" t="s">
        <v>3349</v>
      </c>
      <c r="H1160" s="4">
        <f>IFERROR(__xludf.DUMMYFUNCTION("DATE(INDEX(SPLIT(G1160,""/""),,3),INDEX(SPLIT(G1160,""/""),,2),INDEX(SPLIT(G1160,""/""),,1))"),44648.0)</f>
        <v>44648</v>
      </c>
      <c r="I1160" s="1" t="s">
        <v>109</v>
      </c>
      <c r="J1160" s="4">
        <f>IFERROR(__xludf.DUMMYFUNCTION("DATE(INDEX(SPLIT(I1160,""/""),,3),INDEX(SPLIT(I1160,""/""),,2),INDEX(SPLIT(I1160,""/""),,1))"),44834.0)</f>
        <v>44834</v>
      </c>
      <c r="L1160" s="1">
        <v>0.0</v>
      </c>
      <c r="M1160" s="1" t="s">
        <v>1814</v>
      </c>
      <c r="N1160" s="1"/>
      <c r="O1160" s="1" t="s">
        <v>30</v>
      </c>
      <c r="P1160" s="1" t="s">
        <v>31</v>
      </c>
      <c r="Q1160" s="1" t="s">
        <v>95</v>
      </c>
      <c r="R1160" s="1" t="s">
        <v>95</v>
      </c>
      <c r="S1160" s="1" t="s">
        <v>96</v>
      </c>
      <c r="T1160" s="1" t="s">
        <v>217</v>
      </c>
      <c r="U1160" s="1">
        <v>1.00597983E8</v>
      </c>
      <c r="X1160" s="1" t="s">
        <v>46</v>
      </c>
      <c r="Y1160" s="1" t="s">
        <v>4059</v>
      </c>
      <c r="Z1160" s="1" t="s">
        <v>206</v>
      </c>
    </row>
    <row r="1161" hidden="1">
      <c r="A1161" s="1" t="s">
        <v>4062</v>
      </c>
      <c r="B1161" s="1" t="s">
        <v>4063</v>
      </c>
      <c r="C1161" s="1" t="s">
        <v>4064</v>
      </c>
      <c r="D1161" s="1" t="s">
        <v>27</v>
      </c>
      <c r="E1161" s="1" t="s">
        <v>28</v>
      </c>
      <c r="F1161" s="2">
        <v>1000000.0</v>
      </c>
      <c r="G1161" s="1" t="s">
        <v>3349</v>
      </c>
      <c r="H1161" s="4">
        <f>IFERROR(__xludf.DUMMYFUNCTION("DATE(INDEX(SPLIT(G1161,""/""),,3),INDEX(SPLIT(G1161,""/""),,2),INDEX(SPLIT(G1161,""/""),,1))"),44648.0)</f>
        <v>44648</v>
      </c>
      <c r="I1161" s="1" t="s">
        <v>109</v>
      </c>
      <c r="J1161" s="4">
        <f>IFERROR(__xludf.DUMMYFUNCTION("DATE(INDEX(SPLIT(I1161,""/""),,3),INDEX(SPLIT(I1161,""/""),,2),INDEX(SPLIT(I1161,""/""),,1))"),44834.0)</f>
        <v>44834</v>
      </c>
      <c r="L1161" s="1">
        <v>0.0</v>
      </c>
      <c r="M1161" s="1" t="s">
        <v>1814</v>
      </c>
      <c r="N1161" s="1"/>
      <c r="O1161" s="1" t="s">
        <v>30</v>
      </c>
      <c r="P1161" s="1" t="s">
        <v>31</v>
      </c>
      <c r="Q1161" s="1" t="s">
        <v>95</v>
      </c>
      <c r="R1161" s="1" t="s">
        <v>95</v>
      </c>
      <c r="S1161" s="1" t="s">
        <v>96</v>
      </c>
      <c r="T1161" s="1" t="s">
        <v>97</v>
      </c>
      <c r="U1161" s="1">
        <v>1.00597983E8</v>
      </c>
      <c r="X1161" s="1" t="s">
        <v>117</v>
      </c>
      <c r="Y1161" s="1" t="s">
        <v>4059</v>
      </c>
      <c r="Z1161" s="1" t="s">
        <v>206</v>
      </c>
    </row>
    <row r="1162" hidden="1">
      <c r="A1162" s="1" t="s">
        <v>4065</v>
      </c>
      <c r="B1162" s="1" t="s">
        <v>4066</v>
      </c>
      <c r="C1162" s="1" t="s">
        <v>4067</v>
      </c>
      <c r="D1162" s="1" t="s">
        <v>122</v>
      </c>
      <c r="E1162" s="1" t="s">
        <v>28</v>
      </c>
      <c r="F1162" s="2">
        <v>1000000.0</v>
      </c>
      <c r="G1162" s="1" t="s">
        <v>458</v>
      </c>
      <c r="H1162" s="4">
        <f>IFERROR(__xludf.DUMMYFUNCTION("DATE(INDEX(SPLIT(G1162,""/""),,3),INDEX(SPLIT(G1162,""/""),,2),INDEX(SPLIT(G1162,""/""),,1))"),44649.0)</f>
        <v>44649</v>
      </c>
      <c r="I1162" s="4">
        <v>44573.0</v>
      </c>
      <c r="J1162" s="4">
        <f>IFERROR(__xludf.DUMMYFUNCTION("DATE(INDEX(SPLIT(I1162,""/""),,3),INDEX(SPLIT(I1162,""/""),,2),INDEX(SPLIT(I1162,""/""),,1))"),44896.0)</f>
        <v>44896</v>
      </c>
      <c r="L1162" s="1">
        <v>0.0</v>
      </c>
      <c r="M1162" s="1" t="s">
        <v>4068</v>
      </c>
      <c r="N1162" s="1"/>
      <c r="O1162" s="1" t="s">
        <v>30</v>
      </c>
      <c r="P1162" s="1" t="s">
        <v>31</v>
      </c>
      <c r="Q1162" s="1" t="s">
        <v>157</v>
      </c>
      <c r="R1162" s="1" t="s">
        <v>157</v>
      </c>
      <c r="S1162" s="1" t="s">
        <v>158</v>
      </c>
      <c r="T1162" s="1" t="s">
        <v>159</v>
      </c>
      <c r="U1162" s="1">
        <v>1.00652203E8</v>
      </c>
      <c r="X1162" s="1" t="s">
        <v>74</v>
      </c>
      <c r="Y1162" s="1" t="s">
        <v>4068</v>
      </c>
      <c r="Z1162" s="1" t="s">
        <v>527</v>
      </c>
    </row>
    <row r="1163" hidden="1">
      <c r="A1163" s="1" t="s">
        <v>4069</v>
      </c>
      <c r="B1163" s="1" t="s">
        <v>3343</v>
      </c>
      <c r="C1163" s="1" t="s">
        <v>4070</v>
      </c>
      <c r="D1163" s="1" t="s">
        <v>27</v>
      </c>
      <c r="E1163" s="1" t="s">
        <v>28</v>
      </c>
      <c r="F1163" s="2">
        <v>1000000.0</v>
      </c>
      <c r="G1163" s="4">
        <v>44568.0</v>
      </c>
      <c r="H1163" s="4">
        <f>IFERROR(__xludf.DUMMYFUNCTION("DATE(INDEX(SPLIT(G1163,""/""),,3),INDEX(SPLIT(G1163,""/""),,2),INDEX(SPLIT(G1163,""/""),,1))"),44743.0)</f>
        <v>44743</v>
      </c>
      <c r="I1163" s="1" t="s">
        <v>203</v>
      </c>
      <c r="J1163" s="4">
        <f>IFERROR(__xludf.DUMMYFUNCTION("DATE(INDEX(SPLIT(I1163,""/""),,3),INDEX(SPLIT(I1163,""/""),,2),INDEX(SPLIT(I1163,""/""),,1))"),44925.0)</f>
        <v>44925</v>
      </c>
      <c r="L1163" s="1">
        <v>0.0</v>
      </c>
      <c r="M1163" s="1" t="s">
        <v>1856</v>
      </c>
      <c r="N1163" s="1"/>
      <c r="O1163" s="1" t="s">
        <v>30</v>
      </c>
      <c r="P1163" s="1" t="s">
        <v>31</v>
      </c>
      <c r="Q1163" s="1" t="s">
        <v>32</v>
      </c>
      <c r="R1163" s="1" t="s">
        <v>32</v>
      </c>
      <c r="S1163" s="1" t="s">
        <v>33</v>
      </c>
      <c r="T1163" s="1" t="s">
        <v>34</v>
      </c>
      <c r="U1163" s="1">
        <v>1.00587434E8</v>
      </c>
      <c r="X1163" s="1" t="s">
        <v>63</v>
      </c>
      <c r="Y1163" s="1" t="s">
        <v>3346</v>
      </c>
      <c r="Z1163" s="1" t="s">
        <v>37</v>
      </c>
    </row>
    <row r="1164" hidden="1">
      <c r="A1164" s="1" t="s">
        <v>4071</v>
      </c>
      <c r="B1164" s="1" t="s">
        <v>3343</v>
      </c>
      <c r="C1164" s="1" t="s">
        <v>4072</v>
      </c>
      <c r="D1164" s="1" t="s">
        <v>27</v>
      </c>
      <c r="E1164" s="1" t="s">
        <v>28</v>
      </c>
      <c r="F1164" s="2">
        <v>1000000.0</v>
      </c>
      <c r="G1164" s="4">
        <v>44568.0</v>
      </c>
      <c r="H1164" s="4">
        <f>IFERROR(__xludf.DUMMYFUNCTION("DATE(INDEX(SPLIT(G1164,""/""),,3),INDEX(SPLIT(G1164,""/""),,2),INDEX(SPLIT(G1164,""/""),,1))"),44743.0)</f>
        <v>44743</v>
      </c>
      <c r="I1164" s="1" t="s">
        <v>203</v>
      </c>
      <c r="J1164" s="4">
        <f>IFERROR(__xludf.DUMMYFUNCTION("DATE(INDEX(SPLIT(I1164,""/""),,3),INDEX(SPLIT(I1164,""/""),,2),INDEX(SPLIT(I1164,""/""),,1))"),44925.0)</f>
        <v>44925</v>
      </c>
      <c r="L1164" s="1">
        <v>0.0</v>
      </c>
      <c r="M1164" s="1" t="s">
        <v>3182</v>
      </c>
      <c r="N1164" s="1"/>
      <c r="O1164" s="1" t="s">
        <v>30</v>
      </c>
      <c r="P1164" s="1" t="s">
        <v>31</v>
      </c>
      <c r="Q1164" s="1" t="s">
        <v>32</v>
      </c>
      <c r="R1164" s="1" t="s">
        <v>32</v>
      </c>
      <c r="S1164" s="1" t="s">
        <v>33</v>
      </c>
      <c r="T1164" s="1" t="s">
        <v>34</v>
      </c>
      <c r="U1164" s="1">
        <v>1.00592587E8</v>
      </c>
      <c r="Y1164" s="1" t="s">
        <v>3346</v>
      </c>
      <c r="Z1164" s="1" t="s">
        <v>37</v>
      </c>
    </row>
    <row r="1165" hidden="1">
      <c r="A1165" s="1" t="s">
        <v>4073</v>
      </c>
      <c r="B1165" s="1" t="s">
        <v>1612</v>
      </c>
      <c r="C1165" s="1" t="s">
        <v>4074</v>
      </c>
      <c r="D1165" s="1" t="s">
        <v>27</v>
      </c>
      <c r="E1165" s="1" t="s">
        <v>28</v>
      </c>
      <c r="F1165" s="2">
        <v>1000000.0</v>
      </c>
      <c r="G1165" s="1" t="s">
        <v>3349</v>
      </c>
      <c r="H1165" s="4">
        <f>IFERROR(__xludf.DUMMYFUNCTION("DATE(INDEX(SPLIT(G1165,""/""),,3),INDEX(SPLIT(G1165,""/""),,2),INDEX(SPLIT(G1165,""/""),,1))"),44648.0)</f>
        <v>44648</v>
      </c>
      <c r="I1165" s="1" t="s">
        <v>109</v>
      </c>
      <c r="J1165" s="4">
        <f>IFERROR(__xludf.DUMMYFUNCTION("DATE(INDEX(SPLIT(I1165,""/""),,3),INDEX(SPLIT(I1165,""/""),,2),INDEX(SPLIT(I1165,""/""),,1))"),44834.0)</f>
        <v>44834</v>
      </c>
      <c r="L1165" s="1">
        <v>0.0</v>
      </c>
      <c r="M1165" s="1" t="s">
        <v>1814</v>
      </c>
      <c r="N1165" s="1"/>
      <c r="O1165" s="1" t="s">
        <v>30</v>
      </c>
      <c r="P1165" s="1" t="s">
        <v>31</v>
      </c>
      <c r="Q1165" s="1" t="s">
        <v>95</v>
      </c>
      <c r="R1165" s="1" t="s">
        <v>95</v>
      </c>
      <c r="S1165" s="1" t="s">
        <v>96</v>
      </c>
      <c r="T1165" s="1" t="s">
        <v>97</v>
      </c>
      <c r="U1165" s="1">
        <v>1.00597983E8</v>
      </c>
      <c r="X1165" s="1" t="s">
        <v>117</v>
      </c>
      <c r="Y1165" s="1" t="s">
        <v>4059</v>
      </c>
      <c r="Z1165" s="1" t="s">
        <v>206</v>
      </c>
    </row>
    <row r="1166" hidden="1">
      <c r="A1166" s="1" t="s">
        <v>4075</v>
      </c>
      <c r="B1166" s="1" t="s">
        <v>1603</v>
      </c>
      <c r="C1166" s="1" t="s">
        <v>4076</v>
      </c>
      <c r="D1166" s="1" t="s">
        <v>27</v>
      </c>
      <c r="E1166" s="1" t="s">
        <v>28</v>
      </c>
      <c r="F1166" s="2">
        <v>1000000.0</v>
      </c>
      <c r="G1166" s="1" t="s">
        <v>3349</v>
      </c>
      <c r="H1166" s="4">
        <f>IFERROR(__xludf.DUMMYFUNCTION("DATE(INDEX(SPLIT(G1166,""/""),,3),INDEX(SPLIT(G1166,""/""),,2),INDEX(SPLIT(G1166,""/""),,1))"),44648.0)</f>
        <v>44648</v>
      </c>
      <c r="I1166" s="1" t="s">
        <v>109</v>
      </c>
      <c r="J1166" s="4">
        <f>IFERROR(__xludf.DUMMYFUNCTION("DATE(INDEX(SPLIT(I1166,""/""),,3),INDEX(SPLIT(I1166,""/""),,2),INDEX(SPLIT(I1166,""/""),,1))"),44834.0)</f>
        <v>44834</v>
      </c>
      <c r="L1166" s="1">
        <v>0.0</v>
      </c>
      <c r="M1166" s="1" t="s">
        <v>1814</v>
      </c>
      <c r="N1166" s="1"/>
      <c r="O1166" s="1" t="s">
        <v>30</v>
      </c>
      <c r="P1166" s="1" t="s">
        <v>31</v>
      </c>
      <c r="Q1166" s="1" t="s">
        <v>95</v>
      </c>
      <c r="R1166" s="1" t="s">
        <v>95</v>
      </c>
      <c r="S1166" s="1" t="s">
        <v>96</v>
      </c>
      <c r="T1166" s="1" t="s">
        <v>217</v>
      </c>
      <c r="U1166" s="1">
        <v>1.00597983E8</v>
      </c>
      <c r="X1166" s="1" t="s">
        <v>81</v>
      </c>
      <c r="Y1166" s="1" t="s">
        <v>4059</v>
      </c>
      <c r="Z1166" s="1" t="s">
        <v>206</v>
      </c>
    </row>
    <row r="1167" hidden="1">
      <c r="A1167" s="1" t="s">
        <v>4077</v>
      </c>
      <c r="B1167" s="1" t="s">
        <v>3429</v>
      </c>
      <c r="C1167" s="1" t="s">
        <v>4078</v>
      </c>
      <c r="D1167" s="1" t="s">
        <v>27</v>
      </c>
      <c r="E1167" s="1" t="s">
        <v>28</v>
      </c>
      <c r="F1167" s="2">
        <v>1000000.0</v>
      </c>
      <c r="G1167" s="1" t="s">
        <v>3349</v>
      </c>
      <c r="H1167" s="4">
        <f>IFERROR(__xludf.DUMMYFUNCTION("DATE(INDEX(SPLIT(G1167,""/""),,3),INDEX(SPLIT(G1167,""/""),,2),INDEX(SPLIT(G1167,""/""),,1))"),44648.0)</f>
        <v>44648</v>
      </c>
      <c r="I1167" s="1" t="s">
        <v>109</v>
      </c>
      <c r="J1167" s="4">
        <f>IFERROR(__xludf.DUMMYFUNCTION("DATE(INDEX(SPLIT(I1167,""/""),,3),INDEX(SPLIT(I1167,""/""),,2),INDEX(SPLIT(I1167,""/""),,1))"),44834.0)</f>
        <v>44834</v>
      </c>
      <c r="L1167" s="1">
        <v>0.0</v>
      </c>
      <c r="M1167" s="1" t="s">
        <v>1814</v>
      </c>
      <c r="N1167" s="1"/>
      <c r="O1167" s="1" t="s">
        <v>30</v>
      </c>
      <c r="P1167" s="1" t="s">
        <v>31</v>
      </c>
      <c r="Q1167" s="1" t="s">
        <v>95</v>
      </c>
      <c r="R1167" s="1" t="s">
        <v>95</v>
      </c>
      <c r="S1167" s="1" t="s">
        <v>96</v>
      </c>
      <c r="T1167" s="1" t="s">
        <v>111</v>
      </c>
      <c r="U1167" s="1">
        <v>1.00597983E8</v>
      </c>
      <c r="X1167" s="1" t="s">
        <v>63</v>
      </c>
      <c r="Y1167" s="1" t="s">
        <v>4059</v>
      </c>
      <c r="Z1167" s="1" t="s">
        <v>206</v>
      </c>
    </row>
    <row r="1168" hidden="1">
      <c r="A1168" s="1" t="s">
        <v>4079</v>
      </c>
      <c r="B1168" s="1" t="s">
        <v>4080</v>
      </c>
      <c r="C1168" s="1" t="s">
        <v>4081</v>
      </c>
      <c r="D1168" s="1" t="s">
        <v>27</v>
      </c>
      <c r="E1168" s="1" t="s">
        <v>28</v>
      </c>
      <c r="F1168" s="2">
        <v>1000000.0</v>
      </c>
      <c r="G1168" s="1" t="s">
        <v>3349</v>
      </c>
      <c r="H1168" s="4">
        <f>IFERROR(__xludf.DUMMYFUNCTION("DATE(INDEX(SPLIT(G1168,""/""),,3),INDEX(SPLIT(G1168,""/""),,2),INDEX(SPLIT(G1168,""/""),,1))"),44648.0)</f>
        <v>44648</v>
      </c>
      <c r="I1168" s="1" t="s">
        <v>109</v>
      </c>
      <c r="J1168" s="4">
        <f>IFERROR(__xludf.DUMMYFUNCTION("DATE(INDEX(SPLIT(I1168,""/""),,3),INDEX(SPLIT(I1168,""/""),,2),INDEX(SPLIT(I1168,""/""),,1))"),44834.0)</f>
        <v>44834</v>
      </c>
      <c r="L1168" s="1">
        <v>0.0</v>
      </c>
      <c r="M1168" s="1" t="s">
        <v>1814</v>
      </c>
      <c r="N1168" s="1"/>
      <c r="O1168" s="1" t="s">
        <v>30</v>
      </c>
      <c r="P1168" s="1" t="s">
        <v>31</v>
      </c>
      <c r="Q1168" s="1" t="s">
        <v>95</v>
      </c>
      <c r="R1168" s="1" t="s">
        <v>95</v>
      </c>
      <c r="S1168" s="1" t="s">
        <v>96</v>
      </c>
      <c r="T1168" s="1" t="s">
        <v>260</v>
      </c>
      <c r="U1168" s="1">
        <v>1.00597983E8</v>
      </c>
      <c r="X1168" s="1" t="s">
        <v>239</v>
      </c>
      <c r="Y1168" s="1" t="s">
        <v>4059</v>
      </c>
      <c r="Z1168" s="1" t="s">
        <v>206</v>
      </c>
    </row>
    <row r="1169" hidden="1">
      <c r="A1169" s="1" t="s">
        <v>4082</v>
      </c>
      <c r="B1169" s="1" t="s">
        <v>4083</v>
      </c>
      <c r="C1169" s="1" t="s">
        <v>4084</v>
      </c>
      <c r="D1169" s="1" t="s">
        <v>27</v>
      </c>
      <c r="E1169" s="1" t="s">
        <v>28</v>
      </c>
      <c r="F1169" s="2">
        <v>1000000.0</v>
      </c>
      <c r="G1169" s="1" t="s">
        <v>3349</v>
      </c>
      <c r="H1169" s="4">
        <f>IFERROR(__xludf.DUMMYFUNCTION("DATE(INDEX(SPLIT(G1169,""/""),,3),INDEX(SPLIT(G1169,""/""),,2),INDEX(SPLIT(G1169,""/""),,1))"),44648.0)</f>
        <v>44648</v>
      </c>
      <c r="I1169" s="1" t="s">
        <v>109</v>
      </c>
      <c r="J1169" s="4">
        <f>IFERROR(__xludf.DUMMYFUNCTION("DATE(INDEX(SPLIT(I1169,""/""),,3),INDEX(SPLIT(I1169,""/""),,2),INDEX(SPLIT(I1169,""/""),,1))"),44834.0)</f>
        <v>44834</v>
      </c>
      <c r="L1169" s="1">
        <v>0.0</v>
      </c>
      <c r="M1169" s="1" t="s">
        <v>1814</v>
      </c>
      <c r="N1169" s="1"/>
      <c r="O1169" s="1" t="s">
        <v>30</v>
      </c>
      <c r="P1169" s="1" t="s">
        <v>31</v>
      </c>
      <c r="Q1169" s="1" t="s">
        <v>95</v>
      </c>
      <c r="R1169" s="1" t="s">
        <v>95</v>
      </c>
      <c r="S1169" s="1" t="s">
        <v>96</v>
      </c>
      <c r="T1169" s="1" t="s">
        <v>260</v>
      </c>
      <c r="U1169" s="1">
        <v>1.00597983E8</v>
      </c>
      <c r="X1169" s="1" t="s">
        <v>239</v>
      </c>
      <c r="Y1169" s="1" t="s">
        <v>4059</v>
      </c>
      <c r="Z1169" s="1" t="s">
        <v>206</v>
      </c>
    </row>
    <row r="1170" hidden="1">
      <c r="A1170" s="1" t="s">
        <v>4085</v>
      </c>
      <c r="B1170" s="1" t="s">
        <v>152</v>
      </c>
      <c r="C1170" s="1" t="s">
        <v>4086</v>
      </c>
      <c r="D1170" s="1" t="s">
        <v>27</v>
      </c>
      <c r="E1170" s="1" t="s">
        <v>28</v>
      </c>
      <c r="F1170" s="2">
        <v>1000000.0</v>
      </c>
      <c r="G1170" s="1" t="s">
        <v>3349</v>
      </c>
      <c r="H1170" s="4">
        <f>IFERROR(__xludf.DUMMYFUNCTION("DATE(INDEX(SPLIT(G1170,""/""),,3),INDEX(SPLIT(G1170,""/""),,2),INDEX(SPLIT(G1170,""/""),,1))"),44648.0)</f>
        <v>44648</v>
      </c>
      <c r="I1170" s="1" t="s">
        <v>109</v>
      </c>
      <c r="J1170" s="4">
        <f>IFERROR(__xludf.DUMMYFUNCTION("DATE(INDEX(SPLIT(I1170,""/""),,3),INDEX(SPLIT(I1170,""/""),,2),INDEX(SPLIT(I1170,""/""),,1))"),44834.0)</f>
        <v>44834</v>
      </c>
      <c r="L1170" s="1">
        <v>0.0</v>
      </c>
      <c r="M1170" s="1" t="s">
        <v>1814</v>
      </c>
      <c r="N1170" s="1"/>
      <c r="O1170" s="1" t="s">
        <v>30</v>
      </c>
      <c r="P1170" s="1" t="s">
        <v>31</v>
      </c>
      <c r="Q1170" s="1" t="s">
        <v>95</v>
      </c>
      <c r="R1170" s="1" t="s">
        <v>95</v>
      </c>
      <c r="S1170" s="1" t="s">
        <v>96</v>
      </c>
      <c r="T1170" s="1" t="s">
        <v>217</v>
      </c>
      <c r="U1170" s="1">
        <v>1.00597983E8</v>
      </c>
      <c r="X1170" s="1" t="s">
        <v>35</v>
      </c>
      <c r="Y1170" s="1" t="s">
        <v>4059</v>
      </c>
      <c r="Z1170" s="1" t="s">
        <v>206</v>
      </c>
    </row>
    <row r="1171" hidden="1">
      <c r="A1171" s="1" t="s">
        <v>4087</v>
      </c>
      <c r="B1171" s="1" t="s">
        <v>341</v>
      </c>
      <c r="C1171" s="1" t="s">
        <v>4088</v>
      </c>
      <c r="D1171" s="1" t="s">
        <v>27</v>
      </c>
      <c r="E1171" s="1" t="s">
        <v>28</v>
      </c>
      <c r="F1171" s="2">
        <v>1000000.0</v>
      </c>
      <c r="G1171" s="1" t="s">
        <v>3349</v>
      </c>
      <c r="H1171" s="4">
        <f>IFERROR(__xludf.DUMMYFUNCTION("DATE(INDEX(SPLIT(G1171,""/""),,3),INDEX(SPLIT(G1171,""/""),,2),INDEX(SPLIT(G1171,""/""),,1))"),44648.0)</f>
        <v>44648</v>
      </c>
      <c r="I1171" s="1" t="s">
        <v>109</v>
      </c>
      <c r="J1171" s="4">
        <f>IFERROR(__xludf.DUMMYFUNCTION("DATE(INDEX(SPLIT(I1171,""/""),,3),INDEX(SPLIT(I1171,""/""),,2),INDEX(SPLIT(I1171,""/""),,1))"),44834.0)</f>
        <v>44834</v>
      </c>
      <c r="L1171" s="1">
        <v>0.0</v>
      </c>
      <c r="M1171" s="1" t="s">
        <v>1814</v>
      </c>
      <c r="N1171" s="1"/>
      <c r="O1171" s="1" t="s">
        <v>30</v>
      </c>
      <c r="P1171" s="1" t="s">
        <v>31</v>
      </c>
      <c r="Q1171" s="1" t="s">
        <v>95</v>
      </c>
      <c r="R1171" s="1" t="s">
        <v>95</v>
      </c>
      <c r="S1171" s="1" t="s">
        <v>96</v>
      </c>
      <c r="T1171" s="1" t="s">
        <v>260</v>
      </c>
      <c r="U1171" s="1">
        <v>1.00597983E8</v>
      </c>
      <c r="X1171" s="1" t="s">
        <v>239</v>
      </c>
      <c r="Y1171" s="1" t="s">
        <v>4059</v>
      </c>
      <c r="Z1171" s="1" t="s">
        <v>206</v>
      </c>
    </row>
    <row r="1172" hidden="1">
      <c r="A1172" s="1" t="s">
        <v>4089</v>
      </c>
      <c r="B1172" s="1" t="s">
        <v>4090</v>
      </c>
      <c r="C1172" s="1" t="s">
        <v>4091</v>
      </c>
      <c r="D1172" s="1" t="s">
        <v>27</v>
      </c>
      <c r="E1172" s="1" t="s">
        <v>28</v>
      </c>
      <c r="F1172" s="2">
        <v>1000000.0</v>
      </c>
      <c r="G1172" s="1" t="s">
        <v>3934</v>
      </c>
      <c r="H1172" s="4">
        <f>IFERROR(__xludf.DUMMYFUNCTION("DATE(INDEX(SPLIT(G1172,""/""),,3),INDEX(SPLIT(G1172,""/""),,2),INDEX(SPLIT(G1172,""/""),,1))"),44428.0)</f>
        <v>44428</v>
      </c>
      <c r="I1172" s="1" t="s">
        <v>109</v>
      </c>
      <c r="J1172" s="4">
        <f>IFERROR(__xludf.DUMMYFUNCTION("DATE(INDEX(SPLIT(I1172,""/""),,3),INDEX(SPLIT(I1172,""/""),,2),INDEX(SPLIT(I1172,""/""),,1))"),44834.0)</f>
        <v>44834</v>
      </c>
      <c r="L1172" s="1">
        <v>0.0</v>
      </c>
      <c r="M1172" s="1" t="s">
        <v>524</v>
      </c>
      <c r="N1172" s="1"/>
      <c r="O1172" s="1" t="s">
        <v>30</v>
      </c>
      <c r="P1172" s="1" t="s">
        <v>31</v>
      </c>
      <c r="Q1172" s="1" t="s">
        <v>32</v>
      </c>
      <c r="R1172" s="1" t="s">
        <v>32</v>
      </c>
      <c r="S1172" s="1" t="s">
        <v>33</v>
      </c>
      <c r="T1172" s="1" t="s">
        <v>34</v>
      </c>
      <c r="U1172" s="1">
        <v>1.00627768E8</v>
      </c>
      <c r="X1172" s="1" t="s">
        <v>190</v>
      </c>
      <c r="Y1172" s="1" t="s">
        <v>79</v>
      </c>
      <c r="Z1172" s="1" t="s">
        <v>527</v>
      </c>
    </row>
    <row r="1173" hidden="1">
      <c r="A1173" s="1" t="s">
        <v>4092</v>
      </c>
      <c r="B1173" s="1" t="s">
        <v>981</v>
      </c>
      <c r="C1173" s="1" t="s">
        <v>4093</v>
      </c>
      <c r="D1173" s="1" t="s">
        <v>27</v>
      </c>
      <c r="E1173" s="1" t="s">
        <v>28</v>
      </c>
      <c r="F1173" s="2">
        <v>1000000.0</v>
      </c>
      <c r="G1173" s="4">
        <v>44717.0</v>
      </c>
      <c r="H1173" s="4">
        <f>IFERROR(__xludf.DUMMYFUNCTION("DATE(INDEX(SPLIT(G1173,""/""),,3),INDEX(SPLIT(G1173,""/""),,2),INDEX(SPLIT(G1173,""/""),,1))"),44687.0)</f>
        <v>44687</v>
      </c>
      <c r="I1173" s="1" t="s">
        <v>171</v>
      </c>
      <c r="J1173" s="4">
        <f>IFERROR(__xludf.DUMMYFUNCTION("DATE(INDEX(SPLIT(I1173,""/""),,3),INDEX(SPLIT(I1173,""/""),,2),INDEX(SPLIT(I1173,""/""),,1))"),45077.0)</f>
        <v>45077</v>
      </c>
      <c r="L1173" s="1">
        <v>0.0</v>
      </c>
      <c r="M1173" s="1" t="s">
        <v>1527</v>
      </c>
      <c r="N1173" s="1"/>
      <c r="O1173" s="1" t="s">
        <v>30</v>
      </c>
      <c r="P1173" s="1" t="s">
        <v>31</v>
      </c>
      <c r="Q1173" s="1" t="s">
        <v>95</v>
      </c>
      <c r="R1173" s="1" t="s">
        <v>95</v>
      </c>
      <c r="S1173" s="1" t="s">
        <v>96</v>
      </c>
      <c r="T1173" s="1" t="s">
        <v>615</v>
      </c>
      <c r="U1173" s="1">
        <v>1.00651554E8</v>
      </c>
      <c r="X1173" s="1" t="s">
        <v>490</v>
      </c>
      <c r="Y1173" s="1" t="s">
        <v>985</v>
      </c>
      <c r="Z1173" s="1" t="s">
        <v>37</v>
      </c>
    </row>
    <row r="1174" hidden="1">
      <c r="A1174" s="1" t="s">
        <v>4094</v>
      </c>
      <c r="B1174" s="1" t="s">
        <v>981</v>
      </c>
      <c r="C1174" s="1" t="s">
        <v>4095</v>
      </c>
      <c r="D1174" s="1" t="s">
        <v>27</v>
      </c>
      <c r="E1174" s="1" t="s">
        <v>28</v>
      </c>
      <c r="F1174" s="2">
        <v>1000000.0</v>
      </c>
      <c r="G1174" s="4">
        <v>44717.0</v>
      </c>
      <c r="H1174" s="4">
        <f>IFERROR(__xludf.DUMMYFUNCTION("DATE(INDEX(SPLIT(G1174,""/""),,3),INDEX(SPLIT(G1174,""/""),,2),INDEX(SPLIT(G1174,""/""),,1))"),44687.0)</f>
        <v>44687</v>
      </c>
      <c r="I1174" s="1" t="s">
        <v>171</v>
      </c>
      <c r="J1174" s="4">
        <f>IFERROR(__xludf.DUMMYFUNCTION("DATE(INDEX(SPLIT(I1174,""/""),,3),INDEX(SPLIT(I1174,""/""),,2),INDEX(SPLIT(I1174,""/""),,1))"),45077.0)</f>
        <v>45077</v>
      </c>
      <c r="L1174" s="1">
        <v>0.0</v>
      </c>
      <c r="M1174" s="1" t="s">
        <v>1527</v>
      </c>
      <c r="N1174" s="1"/>
      <c r="O1174" s="1" t="s">
        <v>30</v>
      </c>
      <c r="P1174" s="1" t="s">
        <v>31</v>
      </c>
      <c r="Q1174" s="1" t="s">
        <v>95</v>
      </c>
      <c r="R1174" s="1" t="s">
        <v>95</v>
      </c>
      <c r="S1174" s="1" t="s">
        <v>96</v>
      </c>
      <c r="T1174" s="1" t="s">
        <v>489</v>
      </c>
      <c r="U1174" s="1">
        <v>1.00651554E8</v>
      </c>
      <c r="X1174" s="1" t="s">
        <v>490</v>
      </c>
      <c r="Y1174" s="1" t="s">
        <v>985</v>
      </c>
      <c r="Z1174" s="1" t="s">
        <v>37</v>
      </c>
    </row>
    <row r="1175" hidden="1">
      <c r="A1175" s="1" t="s">
        <v>4096</v>
      </c>
      <c r="B1175" s="1" t="s">
        <v>497</v>
      </c>
      <c r="C1175" s="1" t="s">
        <v>4097</v>
      </c>
      <c r="D1175" s="1" t="s">
        <v>27</v>
      </c>
      <c r="E1175" s="1" t="s">
        <v>28</v>
      </c>
      <c r="F1175" s="2">
        <v>1000000.0</v>
      </c>
      <c r="G1175" s="4">
        <v>44568.0</v>
      </c>
      <c r="H1175" s="4">
        <f>IFERROR(__xludf.DUMMYFUNCTION("DATE(INDEX(SPLIT(G1175,""/""),,3),INDEX(SPLIT(G1175,""/""),,2),INDEX(SPLIT(G1175,""/""),,1))"),44743.0)</f>
        <v>44743</v>
      </c>
      <c r="I1175" s="1" t="s">
        <v>109</v>
      </c>
      <c r="J1175" s="4">
        <f>IFERROR(__xludf.DUMMYFUNCTION("DATE(INDEX(SPLIT(I1175,""/""),,3),INDEX(SPLIT(I1175,""/""),,2),INDEX(SPLIT(I1175,""/""),,1))"),44834.0)</f>
        <v>44834</v>
      </c>
      <c r="L1175" s="1">
        <v>0.0</v>
      </c>
      <c r="M1175" s="1" t="s">
        <v>4098</v>
      </c>
      <c r="N1175" s="1"/>
      <c r="O1175" s="1" t="s">
        <v>30</v>
      </c>
      <c r="P1175" s="1" t="s">
        <v>31</v>
      </c>
      <c r="Q1175" s="1" t="s">
        <v>32</v>
      </c>
      <c r="R1175" s="1" t="s">
        <v>32</v>
      </c>
      <c r="S1175" s="1" t="s">
        <v>33</v>
      </c>
      <c r="U1175" s="1">
        <v>1.00586097E8</v>
      </c>
      <c r="X1175" s="1" t="s">
        <v>35</v>
      </c>
      <c r="Y1175" s="1" t="s">
        <v>4099</v>
      </c>
      <c r="Z1175" s="1" t="s">
        <v>37</v>
      </c>
    </row>
    <row r="1176">
      <c r="A1176" s="1" t="s">
        <v>4100</v>
      </c>
      <c r="B1176" s="1" t="s">
        <v>4101</v>
      </c>
      <c r="C1176" s="1" t="s">
        <v>4102</v>
      </c>
      <c r="D1176" s="1" t="s">
        <v>122</v>
      </c>
      <c r="E1176" s="1" t="s">
        <v>28</v>
      </c>
      <c r="F1176" s="2">
        <v>1000000.0</v>
      </c>
      <c r="G1176" s="4">
        <v>44776.0</v>
      </c>
      <c r="H1176" s="4">
        <f>IFERROR(__xludf.DUMMYFUNCTION("DATE(INDEX(SPLIT(G1176,""/""),,3),INDEX(SPLIT(G1176,""/""),,2),INDEX(SPLIT(G1176,""/""),,1))"),44628.0)</f>
        <v>44628</v>
      </c>
      <c r="I1176" s="1" t="s">
        <v>226</v>
      </c>
      <c r="J1176" s="4">
        <f>IFERROR(__xludf.DUMMYFUNCTION("DATE(INDEX(SPLIT(I1176,""/""),,3),INDEX(SPLIT(I1176,""/""),,2),INDEX(SPLIT(I1176,""/""),,1))"),44771.0)</f>
        <v>44771</v>
      </c>
      <c r="L1176" s="1">
        <v>0.0</v>
      </c>
      <c r="M1176" s="1" t="s">
        <v>467</v>
      </c>
      <c r="N1176" s="1"/>
      <c r="O1176" s="1" t="s">
        <v>30</v>
      </c>
      <c r="P1176" s="1" t="s">
        <v>31</v>
      </c>
      <c r="Q1176" s="1" t="s">
        <v>32</v>
      </c>
      <c r="R1176" s="1" t="s">
        <v>32</v>
      </c>
      <c r="S1176" s="1" t="s">
        <v>33</v>
      </c>
      <c r="T1176" s="1" t="s">
        <v>402</v>
      </c>
      <c r="U1176" s="1">
        <v>1.00619817E8</v>
      </c>
      <c r="X1176" s="1" t="s">
        <v>312</v>
      </c>
      <c r="Y1176" s="1" t="s">
        <v>4103</v>
      </c>
      <c r="Z1176" s="1" t="s">
        <v>37</v>
      </c>
    </row>
    <row r="1177" hidden="1">
      <c r="A1177" s="1" t="s">
        <v>4104</v>
      </c>
      <c r="B1177" s="1" t="s">
        <v>981</v>
      </c>
      <c r="C1177" s="1" t="s">
        <v>4105</v>
      </c>
      <c r="D1177" s="1" t="s">
        <v>27</v>
      </c>
      <c r="E1177" s="1" t="s">
        <v>28</v>
      </c>
      <c r="F1177" s="2">
        <v>1000000.0</v>
      </c>
      <c r="G1177" s="4">
        <v>44717.0</v>
      </c>
      <c r="H1177" s="4">
        <f>IFERROR(__xludf.DUMMYFUNCTION("DATE(INDEX(SPLIT(G1177,""/""),,3),INDEX(SPLIT(G1177,""/""),,2),INDEX(SPLIT(G1177,""/""),,1))"),44687.0)</f>
        <v>44687</v>
      </c>
      <c r="I1177" s="1" t="s">
        <v>171</v>
      </c>
      <c r="J1177" s="4">
        <f>IFERROR(__xludf.DUMMYFUNCTION("DATE(INDEX(SPLIT(I1177,""/""),,3),INDEX(SPLIT(I1177,""/""),,2),INDEX(SPLIT(I1177,""/""),,1))"),45077.0)</f>
        <v>45077</v>
      </c>
      <c r="L1177" s="1">
        <v>0.0</v>
      </c>
      <c r="M1177" s="1" t="s">
        <v>1527</v>
      </c>
      <c r="N1177" s="1"/>
      <c r="O1177" s="1" t="s">
        <v>30</v>
      </c>
      <c r="P1177" s="1" t="s">
        <v>31</v>
      </c>
      <c r="Q1177" s="1" t="s">
        <v>95</v>
      </c>
      <c r="R1177" s="1" t="s">
        <v>95</v>
      </c>
      <c r="S1177" s="1" t="s">
        <v>96</v>
      </c>
      <c r="T1177" s="1" t="s">
        <v>615</v>
      </c>
      <c r="U1177" s="1">
        <v>1.00651554E8</v>
      </c>
      <c r="X1177" s="1" t="s">
        <v>490</v>
      </c>
      <c r="Y1177" s="1" t="s">
        <v>985</v>
      </c>
      <c r="Z1177" s="1" t="s">
        <v>37</v>
      </c>
    </row>
    <row r="1178" hidden="1">
      <c r="A1178" s="1" t="s">
        <v>4106</v>
      </c>
      <c r="B1178" s="1" t="s">
        <v>981</v>
      </c>
      <c r="C1178" s="1" t="s">
        <v>4107</v>
      </c>
      <c r="D1178" s="1" t="s">
        <v>27</v>
      </c>
      <c r="E1178" s="1" t="s">
        <v>28</v>
      </c>
      <c r="F1178" s="2">
        <v>1000000.0</v>
      </c>
      <c r="G1178" s="4">
        <v>44717.0</v>
      </c>
      <c r="H1178" s="4">
        <f>IFERROR(__xludf.DUMMYFUNCTION("DATE(INDEX(SPLIT(G1178,""/""),,3),INDEX(SPLIT(G1178,""/""),,2),INDEX(SPLIT(G1178,""/""),,1))"),44687.0)</f>
        <v>44687</v>
      </c>
      <c r="I1178" s="1" t="s">
        <v>171</v>
      </c>
      <c r="J1178" s="4">
        <f>IFERROR(__xludf.DUMMYFUNCTION("DATE(INDEX(SPLIT(I1178,""/""),,3),INDEX(SPLIT(I1178,""/""),,2),INDEX(SPLIT(I1178,""/""),,1))"),45077.0)</f>
        <v>45077</v>
      </c>
      <c r="L1178" s="1">
        <v>0.0</v>
      </c>
      <c r="M1178" s="1" t="s">
        <v>1527</v>
      </c>
      <c r="N1178" s="1"/>
      <c r="O1178" s="1" t="s">
        <v>30</v>
      </c>
      <c r="P1178" s="1" t="s">
        <v>31</v>
      </c>
      <c r="Q1178" s="1" t="s">
        <v>95</v>
      </c>
      <c r="R1178" s="1" t="s">
        <v>95</v>
      </c>
      <c r="S1178" s="1" t="s">
        <v>96</v>
      </c>
      <c r="T1178" s="1" t="s">
        <v>1386</v>
      </c>
      <c r="U1178" s="1">
        <v>1.00651554E8</v>
      </c>
      <c r="X1178" s="1" t="s">
        <v>490</v>
      </c>
      <c r="Y1178" s="1" t="s">
        <v>985</v>
      </c>
      <c r="Z1178" s="1" t="s">
        <v>37</v>
      </c>
    </row>
    <row r="1179" hidden="1">
      <c r="A1179" s="1" t="s">
        <v>4108</v>
      </c>
      <c r="B1179" s="1" t="s">
        <v>4109</v>
      </c>
      <c r="C1179" s="1" t="s">
        <v>4110</v>
      </c>
      <c r="D1179" s="1" t="s">
        <v>122</v>
      </c>
      <c r="E1179" s="1" t="s">
        <v>28</v>
      </c>
      <c r="F1179" s="2">
        <v>1000000.0</v>
      </c>
      <c r="G1179" s="4">
        <v>44717.0</v>
      </c>
      <c r="H1179" s="4">
        <f>IFERROR(__xludf.DUMMYFUNCTION("DATE(INDEX(SPLIT(G1179,""/""),,3),INDEX(SPLIT(G1179,""/""),,2),INDEX(SPLIT(G1179,""/""),,1))"),44687.0)</f>
        <v>44687</v>
      </c>
      <c r="I1179" s="4">
        <v>44781.0</v>
      </c>
      <c r="J1179" s="4">
        <f>IFERROR(__xludf.DUMMYFUNCTION("DATE(INDEX(SPLIT(I1179,""/""),,3),INDEX(SPLIT(I1179,""/""),,2),INDEX(SPLIT(I1179,""/""),,1))"),44781.0)</f>
        <v>44781</v>
      </c>
      <c r="L1179" s="1">
        <v>0.0</v>
      </c>
      <c r="M1179" s="1" t="s">
        <v>4111</v>
      </c>
      <c r="N1179" s="1"/>
      <c r="O1179" s="1" t="s">
        <v>30</v>
      </c>
      <c r="P1179" s="1" t="s">
        <v>31</v>
      </c>
      <c r="Q1179" s="1" t="s">
        <v>32</v>
      </c>
      <c r="R1179" s="1" t="s">
        <v>32</v>
      </c>
      <c r="S1179" s="1" t="s">
        <v>33</v>
      </c>
      <c r="T1179" s="1" t="s">
        <v>402</v>
      </c>
      <c r="U1179" s="1">
        <v>1.00586786E8</v>
      </c>
      <c r="X1179" s="1" t="s">
        <v>117</v>
      </c>
      <c r="Y1179" s="1" t="s">
        <v>4111</v>
      </c>
      <c r="Z1179" s="1" t="s">
        <v>37</v>
      </c>
    </row>
    <row r="1180">
      <c r="A1180" s="1" t="s">
        <v>4112</v>
      </c>
      <c r="B1180" s="1" t="s">
        <v>1797</v>
      </c>
      <c r="C1180" s="1" t="s">
        <v>4113</v>
      </c>
      <c r="D1180" s="1" t="s">
        <v>122</v>
      </c>
      <c r="E1180" s="1" t="s">
        <v>28</v>
      </c>
      <c r="F1180" s="2">
        <v>1000000.0</v>
      </c>
      <c r="G1180" s="1" t="s">
        <v>1501</v>
      </c>
      <c r="H1180" s="4">
        <f>IFERROR(__xludf.DUMMYFUNCTION("DATE(INDEX(SPLIT(G1180,""/""),,3),INDEX(SPLIT(G1180,""/""),,2),INDEX(SPLIT(G1180,""/""),,1))"),44711.0)</f>
        <v>44711</v>
      </c>
      <c r="I1180" s="1" t="s">
        <v>518</v>
      </c>
      <c r="J1180" s="4">
        <f>IFERROR(__xludf.DUMMYFUNCTION("DATE(INDEX(SPLIT(I1180,""/""),,3),INDEX(SPLIT(I1180,""/""),,2),INDEX(SPLIT(I1180,""/""),,1))"),44757.0)</f>
        <v>44757</v>
      </c>
      <c r="L1180" s="1">
        <v>0.0</v>
      </c>
      <c r="M1180" s="1" t="s">
        <v>2321</v>
      </c>
      <c r="N1180" s="1"/>
      <c r="O1180" s="1" t="s">
        <v>30</v>
      </c>
      <c r="P1180" s="1" t="s">
        <v>31</v>
      </c>
      <c r="Q1180" s="1" t="s">
        <v>32</v>
      </c>
      <c r="R1180" s="1" t="s">
        <v>32</v>
      </c>
      <c r="S1180" s="1" t="s">
        <v>33</v>
      </c>
      <c r="T1180" s="1" t="s">
        <v>1195</v>
      </c>
      <c r="U1180" s="1">
        <v>1.00589993E8</v>
      </c>
      <c r="X1180" s="1" t="s">
        <v>490</v>
      </c>
      <c r="Y1180" s="1" t="s">
        <v>4114</v>
      </c>
      <c r="Z1180" s="1" t="s">
        <v>37</v>
      </c>
    </row>
    <row r="1181" hidden="1">
      <c r="A1181" s="1" t="s">
        <v>4115</v>
      </c>
      <c r="B1181" s="1" t="s">
        <v>1185</v>
      </c>
      <c r="C1181" s="1" t="s">
        <v>4116</v>
      </c>
      <c r="D1181" s="1" t="s">
        <v>27</v>
      </c>
      <c r="E1181" s="1" t="s">
        <v>28</v>
      </c>
      <c r="F1181" s="2">
        <v>1000000.0</v>
      </c>
      <c r="G1181" s="1" t="s">
        <v>3972</v>
      </c>
      <c r="H1181" s="4">
        <f>IFERROR(__xludf.DUMMYFUNCTION("DATE(INDEX(SPLIT(G1181,""/""),,3),INDEX(SPLIT(G1181,""/""),,2),INDEX(SPLIT(G1181,""/""),,1))"),44637.0)</f>
        <v>44637</v>
      </c>
      <c r="I1181" s="4">
        <v>44571.0</v>
      </c>
      <c r="J1181" s="4">
        <f>IFERROR(__xludf.DUMMYFUNCTION("DATE(INDEX(SPLIT(I1181,""/""),,3),INDEX(SPLIT(I1181,""/""),,2),INDEX(SPLIT(I1181,""/""),,1))"),44835.0)</f>
        <v>44835</v>
      </c>
      <c r="L1181" s="1">
        <v>0.0</v>
      </c>
      <c r="M1181" s="1" t="s">
        <v>4117</v>
      </c>
      <c r="N1181" s="1"/>
      <c r="O1181" s="1" t="s">
        <v>30</v>
      </c>
      <c r="P1181" s="1" t="s">
        <v>31</v>
      </c>
      <c r="Q1181" s="1" t="s">
        <v>95</v>
      </c>
      <c r="R1181" s="1" t="s">
        <v>95</v>
      </c>
      <c r="S1181" s="1" t="s">
        <v>96</v>
      </c>
      <c r="T1181" s="1" t="s">
        <v>97</v>
      </c>
      <c r="U1181" s="1">
        <v>1.00658777E8</v>
      </c>
      <c r="X1181" s="1" t="s">
        <v>190</v>
      </c>
      <c r="Y1181" s="1" t="s">
        <v>2959</v>
      </c>
      <c r="Z1181" s="1" t="s">
        <v>206</v>
      </c>
    </row>
    <row r="1182" hidden="1">
      <c r="A1182" s="1" t="s">
        <v>4118</v>
      </c>
      <c r="B1182" s="1" t="s">
        <v>3867</v>
      </c>
      <c r="C1182" s="1" t="s">
        <v>4119</v>
      </c>
      <c r="D1182" s="1" t="s">
        <v>78</v>
      </c>
      <c r="E1182" s="1" t="s">
        <v>28</v>
      </c>
      <c r="F1182" s="2">
        <v>1000000.0</v>
      </c>
      <c r="G1182" s="1" t="s">
        <v>343</v>
      </c>
      <c r="H1182" s="4">
        <f>IFERROR(__xludf.DUMMYFUNCTION("DATE(INDEX(SPLIT(G1182,""/""),,3),INDEX(SPLIT(G1182,""/""),,2),INDEX(SPLIT(G1182,""/""),,1))"),44761.0)</f>
        <v>44761</v>
      </c>
      <c r="I1182" s="1" t="s">
        <v>130</v>
      </c>
      <c r="J1182" s="4">
        <f>IFERROR(__xludf.DUMMYFUNCTION("DATE(INDEX(SPLIT(I1182,""/""),,3),INDEX(SPLIT(I1182,""/""),,2),INDEX(SPLIT(I1182,""/""),,1))"),44804.0)</f>
        <v>44804</v>
      </c>
      <c r="L1182" s="1">
        <v>0.0</v>
      </c>
      <c r="M1182" s="1" t="s">
        <v>2989</v>
      </c>
      <c r="N1182" s="1"/>
      <c r="O1182" s="1" t="s">
        <v>30</v>
      </c>
      <c r="P1182" s="1" t="s">
        <v>31</v>
      </c>
      <c r="Q1182" s="1" t="s">
        <v>235</v>
      </c>
      <c r="R1182" s="1" t="s">
        <v>235</v>
      </c>
      <c r="S1182" s="1" t="s">
        <v>236</v>
      </c>
      <c r="T1182" s="1" t="s">
        <v>438</v>
      </c>
      <c r="U1182" s="1">
        <v>1.00647463E8</v>
      </c>
      <c r="X1182" s="1" t="s">
        <v>88</v>
      </c>
      <c r="Y1182" s="1" t="s">
        <v>2989</v>
      </c>
      <c r="Z1182" s="1" t="s">
        <v>37</v>
      </c>
    </row>
    <row r="1183" hidden="1">
      <c r="A1183" s="1" t="s">
        <v>4120</v>
      </c>
      <c r="B1183" s="1" t="s">
        <v>1492</v>
      </c>
      <c r="C1183" s="1" t="s">
        <v>4121</v>
      </c>
      <c r="D1183" s="1" t="s">
        <v>68</v>
      </c>
      <c r="E1183" s="1" t="s">
        <v>28</v>
      </c>
      <c r="F1183" s="2">
        <v>1000000.0</v>
      </c>
      <c r="G1183" s="1" t="s">
        <v>4122</v>
      </c>
      <c r="H1183" s="4">
        <f>IFERROR(__xludf.DUMMYFUNCTION("DATE(INDEX(SPLIT(G1183,""/""),,3),INDEX(SPLIT(G1183,""/""),,2),INDEX(SPLIT(G1183,""/""),,1))"),44429.0)</f>
        <v>44429</v>
      </c>
      <c r="I1183" s="4">
        <v>44569.0</v>
      </c>
      <c r="J1183" s="4">
        <f>IFERROR(__xludf.DUMMYFUNCTION("DATE(INDEX(SPLIT(I1183,""/""),,3),INDEX(SPLIT(I1183,""/""),,2),INDEX(SPLIT(I1183,""/""),,1))"),44774.0)</f>
        <v>44774</v>
      </c>
      <c r="L1183" s="1">
        <v>0.0</v>
      </c>
      <c r="M1183" s="1" t="s">
        <v>1496</v>
      </c>
      <c r="N1183" s="1"/>
      <c r="O1183" s="1" t="s">
        <v>30</v>
      </c>
      <c r="P1183" s="1" t="s">
        <v>31</v>
      </c>
      <c r="Q1183" s="1" t="s">
        <v>53</v>
      </c>
      <c r="R1183" s="1" t="s">
        <v>53</v>
      </c>
      <c r="S1183" s="1" t="s">
        <v>54</v>
      </c>
      <c r="T1183" s="1" t="s">
        <v>103</v>
      </c>
      <c r="U1183" s="1">
        <v>1.00610014E8</v>
      </c>
      <c r="X1183" s="1" t="s">
        <v>81</v>
      </c>
      <c r="Y1183" s="1" t="s">
        <v>104</v>
      </c>
      <c r="Z1183" s="1" t="s">
        <v>37</v>
      </c>
    </row>
    <row r="1184" hidden="1">
      <c r="A1184" s="1" t="s">
        <v>4123</v>
      </c>
      <c r="B1184" s="1" t="s">
        <v>1066</v>
      </c>
      <c r="C1184" s="1" t="s">
        <v>4124</v>
      </c>
      <c r="D1184" s="1" t="s">
        <v>27</v>
      </c>
      <c r="E1184" s="1" t="s">
        <v>28</v>
      </c>
      <c r="F1184" s="2">
        <v>1000000.0</v>
      </c>
      <c r="G1184" s="4">
        <v>43871.0</v>
      </c>
      <c r="H1184" s="4">
        <f>IFERROR(__xludf.DUMMYFUNCTION("DATE(INDEX(SPLIT(G1184,""/""),,3),INDEX(SPLIT(G1184,""/""),,2),INDEX(SPLIT(G1184,""/""),,1))"),44106.0)</f>
        <v>44106</v>
      </c>
      <c r="I1184" s="1" t="s">
        <v>85</v>
      </c>
      <c r="J1184" s="4">
        <f>IFERROR(__xludf.DUMMYFUNCTION("DATE(INDEX(SPLIT(I1184,""/""),,3),INDEX(SPLIT(I1184,""/""),,2),INDEX(SPLIT(I1184,""/""),,1))"),44799.0)</f>
        <v>44799</v>
      </c>
      <c r="L1184" s="1">
        <v>0.0</v>
      </c>
      <c r="M1184" s="1" t="s">
        <v>3573</v>
      </c>
      <c r="N1184" s="1"/>
      <c r="O1184" s="1" t="s">
        <v>30</v>
      </c>
      <c r="P1184" s="1" t="s">
        <v>31</v>
      </c>
      <c r="Q1184" s="1" t="s">
        <v>157</v>
      </c>
      <c r="R1184" s="1" t="s">
        <v>157</v>
      </c>
      <c r="S1184" s="1" t="s">
        <v>158</v>
      </c>
      <c r="T1184" s="1" t="s">
        <v>442</v>
      </c>
      <c r="U1184" s="1">
        <v>1.00651086E8</v>
      </c>
      <c r="X1184" s="1" t="s">
        <v>125</v>
      </c>
      <c r="Y1184" s="1" t="s">
        <v>3676</v>
      </c>
      <c r="Z1184" s="1" t="s">
        <v>37</v>
      </c>
    </row>
    <row r="1185" hidden="1">
      <c r="A1185" s="1" t="s">
        <v>4125</v>
      </c>
      <c r="B1185" s="1" t="s">
        <v>1743</v>
      </c>
      <c r="C1185" s="1" t="s">
        <v>4126</v>
      </c>
      <c r="D1185" s="1" t="s">
        <v>27</v>
      </c>
      <c r="E1185" s="1" t="s">
        <v>28</v>
      </c>
      <c r="F1185" s="2">
        <v>1000000.0</v>
      </c>
      <c r="G1185" s="1" t="s">
        <v>1694</v>
      </c>
      <c r="H1185" s="4">
        <f>IFERROR(__xludf.DUMMYFUNCTION("DATE(INDEX(SPLIT(G1185,""/""),,3),INDEX(SPLIT(G1185,""/""),,2),INDEX(SPLIT(G1185,""/""),,1))"),44516.0)</f>
        <v>44516</v>
      </c>
      <c r="I1185" s="1" t="s">
        <v>42</v>
      </c>
      <c r="J1185" s="4">
        <f>IFERROR(__xludf.DUMMYFUNCTION("DATE(INDEX(SPLIT(I1185,""/""),,3),INDEX(SPLIT(I1185,""/""),,2),INDEX(SPLIT(I1185,""/""),,1))"),44926.0)</f>
        <v>44926</v>
      </c>
      <c r="L1185" s="1">
        <v>0.0</v>
      </c>
      <c r="M1185" s="1" t="s">
        <v>1239</v>
      </c>
      <c r="N1185" s="1"/>
      <c r="O1185" s="1" t="s">
        <v>30</v>
      </c>
      <c r="P1185" s="1" t="s">
        <v>31</v>
      </c>
      <c r="Q1185" s="1" t="s">
        <v>71</v>
      </c>
      <c r="R1185" s="1" t="s">
        <v>71</v>
      </c>
      <c r="S1185" s="1" t="s">
        <v>72</v>
      </c>
      <c r="T1185" s="1" t="s">
        <v>136</v>
      </c>
      <c r="U1185" s="1">
        <v>1.00943277E8</v>
      </c>
      <c r="X1185" s="1" t="s">
        <v>74</v>
      </c>
      <c r="Y1185" s="1" t="s">
        <v>1746</v>
      </c>
      <c r="Z1185" s="1" t="s">
        <v>37</v>
      </c>
    </row>
    <row r="1186" hidden="1">
      <c r="A1186" s="1" t="s">
        <v>4127</v>
      </c>
      <c r="B1186" s="1" t="s">
        <v>784</v>
      </c>
      <c r="C1186" s="1" t="s">
        <v>4128</v>
      </c>
      <c r="D1186" s="1" t="s">
        <v>27</v>
      </c>
      <c r="E1186" s="1" t="s">
        <v>28</v>
      </c>
      <c r="F1186" s="2">
        <v>1000000.0</v>
      </c>
      <c r="G1186" s="1" t="s">
        <v>1521</v>
      </c>
      <c r="H1186" s="4">
        <f>IFERROR(__xludf.DUMMYFUNCTION("DATE(INDEX(SPLIT(G1186,""/""),,3),INDEX(SPLIT(G1186,""/""),,2),INDEX(SPLIT(G1186,""/""),,1))"),44756.0)</f>
        <v>44756</v>
      </c>
      <c r="I1186" s="1" t="s">
        <v>1097</v>
      </c>
      <c r="J1186" s="4">
        <f>IFERROR(__xludf.DUMMYFUNCTION("DATE(INDEX(SPLIT(I1186,""/""),,3),INDEX(SPLIT(I1186,""/""),,2),INDEX(SPLIT(I1186,""/""),,1))"),45107.0)</f>
        <v>45107</v>
      </c>
      <c r="L1186" s="1">
        <v>0.0</v>
      </c>
      <c r="M1186" s="1" t="s">
        <v>4129</v>
      </c>
      <c r="N1186" s="1"/>
      <c r="O1186" s="1" t="s">
        <v>30</v>
      </c>
      <c r="P1186" s="1" t="s">
        <v>31</v>
      </c>
      <c r="Q1186" s="1" t="s">
        <v>228</v>
      </c>
      <c r="R1186" s="1" t="s">
        <v>228</v>
      </c>
      <c r="S1186" s="1" t="s">
        <v>229</v>
      </c>
      <c r="T1186" s="1" t="s">
        <v>640</v>
      </c>
      <c r="U1186" s="1">
        <v>1.00599268E8</v>
      </c>
      <c r="X1186" s="1" t="s">
        <v>63</v>
      </c>
      <c r="Y1186" s="1" t="s">
        <v>4130</v>
      </c>
      <c r="Z1186" s="1" t="s">
        <v>37</v>
      </c>
    </row>
    <row r="1187" hidden="1">
      <c r="A1187" s="1" t="s">
        <v>4131</v>
      </c>
      <c r="B1187" s="1" t="s">
        <v>948</v>
      </c>
      <c r="C1187" s="1" t="s">
        <v>4132</v>
      </c>
      <c r="D1187" s="1" t="s">
        <v>27</v>
      </c>
      <c r="E1187" s="1" t="s">
        <v>28</v>
      </c>
      <c r="F1187" s="2">
        <v>1000000.0</v>
      </c>
      <c r="G1187" s="1" t="s">
        <v>4133</v>
      </c>
      <c r="H1187" s="4">
        <f>IFERROR(__xludf.DUMMYFUNCTION("DATE(INDEX(SPLIT(G1187,""/""),,3),INDEX(SPLIT(G1187,""/""),,2),INDEX(SPLIT(G1187,""/""),,1))"),44495.0)</f>
        <v>44495</v>
      </c>
      <c r="I1187" s="1" t="s">
        <v>535</v>
      </c>
      <c r="J1187" s="4">
        <f>IFERROR(__xludf.DUMMYFUNCTION("DATE(INDEX(SPLIT(I1187,""/""),,3),INDEX(SPLIT(I1187,""/""),,2),INDEX(SPLIT(I1187,""/""),,1))"),44957.0)</f>
        <v>44957</v>
      </c>
      <c r="L1187" s="1">
        <v>0.0</v>
      </c>
      <c r="M1187" s="1" t="s">
        <v>4134</v>
      </c>
      <c r="N1187" s="1"/>
      <c r="O1187" s="1" t="s">
        <v>30</v>
      </c>
      <c r="P1187" s="1" t="s">
        <v>31</v>
      </c>
      <c r="Q1187" s="1" t="s">
        <v>53</v>
      </c>
      <c r="R1187" s="1" t="s">
        <v>53</v>
      </c>
      <c r="S1187" s="1" t="s">
        <v>54</v>
      </c>
      <c r="T1187" s="1" t="s">
        <v>181</v>
      </c>
      <c r="U1187" s="1">
        <v>1.00652666E8</v>
      </c>
      <c r="V1187" s="1" t="s">
        <v>1149</v>
      </c>
      <c r="W1187" s="1" t="s">
        <v>45</v>
      </c>
      <c r="X1187" s="1" t="s">
        <v>74</v>
      </c>
      <c r="Y1187" s="1" t="s">
        <v>4134</v>
      </c>
      <c r="Z1187" s="1" t="s">
        <v>37</v>
      </c>
    </row>
    <row r="1188" hidden="1">
      <c r="A1188" s="1" t="s">
        <v>4135</v>
      </c>
      <c r="B1188" s="1" t="s">
        <v>784</v>
      </c>
      <c r="C1188" s="1" t="s">
        <v>4136</v>
      </c>
      <c r="D1188" s="1" t="s">
        <v>27</v>
      </c>
      <c r="E1188" s="1" t="s">
        <v>28</v>
      </c>
      <c r="F1188" s="2">
        <v>1000000.0</v>
      </c>
      <c r="G1188" s="1" t="s">
        <v>1521</v>
      </c>
      <c r="H1188" s="4">
        <f>IFERROR(__xludf.DUMMYFUNCTION("DATE(INDEX(SPLIT(G1188,""/""),,3),INDEX(SPLIT(G1188,""/""),,2),INDEX(SPLIT(G1188,""/""),,1))"),44756.0)</f>
        <v>44756</v>
      </c>
      <c r="I1188" s="1" t="s">
        <v>1097</v>
      </c>
      <c r="J1188" s="4">
        <f>IFERROR(__xludf.DUMMYFUNCTION("DATE(INDEX(SPLIT(I1188,""/""),,3),INDEX(SPLIT(I1188,""/""),,2),INDEX(SPLIT(I1188,""/""),,1))"),45107.0)</f>
        <v>45107</v>
      </c>
      <c r="L1188" s="1">
        <v>0.0</v>
      </c>
      <c r="M1188" s="1" t="s">
        <v>4129</v>
      </c>
      <c r="N1188" s="1"/>
      <c r="O1188" s="1" t="s">
        <v>30</v>
      </c>
      <c r="P1188" s="1" t="s">
        <v>31</v>
      </c>
      <c r="Q1188" s="1" t="s">
        <v>228</v>
      </c>
      <c r="R1188" s="1" t="s">
        <v>228</v>
      </c>
      <c r="S1188" s="1" t="s">
        <v>229</v>
      </c>
      <c r="T1188" s="1" t="s">
        <v>640</v>
      </c>
      <c r="U1188" s="1">
        <v>1.00599268E8</v>
      </c>
      <c r="X1188" s="1" t="s">
        <v>63</v>
      </c>
      <c r="Y1188" s="1" t="s">
        <v>4130</v>
      </c>
      <c r="Z1188" s="1" t="s">
        <v>37</v>
      </c>
    </row>
    <row r="1189" hidden="1">
      <c r="A1189" s="1" t="s">
        <v>4137</v>
      </c>
      <c r="B1189" s="1" t="s">
        <v>948</v>
      </c>
      <c r="C1189" s="1" t="s">
        <v>4138</v>
      </c>
      <c r="D1189" s="1" t="s">
        <v>27</v>
      </c>
      <c r="E1189" s="1" t="s">
        <v>28</v>
      </c>
      <c r="F1189" s="2">
        <v>1000000.0</v>
      </c>
      <c r="G1189" s="1" t="s">
        <v>4133</v>
      </c>
      <c r="H1189" s="4">
        <f>IFERROR(__xludf.DUMMYFUNCTION("DATE(INDEX(SPLIT(G1189,""/""),,3),INDEX(SPLIT(G1189,""/""),,2),INDEX(SPLIT(G1189,""/""),,1))"),44495.0)</f>
        <v>44495</v>
      </c>
      <c r="I1189" s="1" t="s">
        <v>42</v>
      </c>
      <c r="J1189" s="4">
        <f>IFERROR(__xludf.DUMMYFUNCTION("DATE(INDEX(SPLIT(I1189,""/""),,3),INDEX(SPLIT(I1189,""/""),,2),INDEX(SPLIT(I1189,""/""),,1))"),44926.0)</f>
        <v>44926</v>
      </c>
      <c r="L1189" s="1">
        <v>0.0</v>
      </c>
      <c r="M1189" s="1" t="s">
        <v>4134</v>
      </c>
      <c r="N1189" s="1"/>
      <c r="O1189" s="1" t="s">
        <v>30</v>
      </c>
      <c r="P1189" s="1" t="s">
        <v>31</v>
      </c>
      <c r="Q1189" s="1" t="s">
        <v>53</v>
      </c>
      <c r="R1189" s="1" t="s">
        <v>53</v>
      </c>
      <c r="S1189" s="1" t="s">
        <v>54</v>
      </c>
      <c r="T1189" s="1" t="s">
        <v>181</v>
      </c>
      <c r="U1189" s="1">
        <v>1.00652666E8</v>
      </c>
      <c r="X1189" s="1" t="s">
        <v>74</v>
      </c>
      <c r="Y1189" s="1" t="s">
        <v>4134</v>
      </c>
      <c r="Z1189" s="1" t="s">
        <v>37</v>
      </c>
    </row>
    <row r="1190" hidden="1">
      <c r="A1190" s="1" t="s">
        <v>4139</v>
      </c>
      <c r="B1190" s="1" t="s">
        <v>1748</v>
      </c>
      <c r="C1190" s="1" t="s">
        <v>4140</v>
      </c>
      <c r="D1190" s="1" t="s">
        <v>122</v>
      </c>
      <c r="E1190" s="1" t="s">
        <v>28</v>
      </c>
      <c r="F1190" s="2">
        <v>1000000.0</v>
      </c>
      <c r="G1190" s="4">
        <v>44294.0</v>
      </c>
      <c r="H1190" s="4">
        <f>IFERROR(__xludf.DUMMYFUNCTION("DATE(INDEX(SPLIT(G1190,""/""),,3),INDEX(SPLIT(G1190,""/""),,2),INDEX(SPLIT(G1190,""/""),,1))"),44412.0)</f>
        <v>44412</v>
      </c>
      <c r="I1190" s="1" t="s">
        <v>3202</v>
      </c>
      <c r="J1190" s="4">
        <f>IFERROR(__xludf.DUMMYFUNCTION("DATE(INDEX(SPLIT(I1190,""/""),,3),INDEX(SPLIT(I1190,""/""),,2),INDEX(SPLIT(I1190,""/""),,1))"),44830.0)</f>
        <v>44830</v>
      </c>
      <c r="L1190" s="1">
        <v>0.0</v>
      </c>
      <c r="M1190" s="1" t="s">
        <v>4022</v>
      </c>
      <c r="N1190" s="1"/>
      <c r="O1190" s="1" t="s">
        <v>30</v>
      </c>
      <c r="P1190" s="1" t="s">
        <v>31</v>
      </c>
      <c r="Q1190" s="1" t="s">
        <v>235</v>
      </c>
      <c r="R1190" s="1" t="s">
        <v>235</v>
      </c>
      <c r="S1190" s="1" t="s">
        <v>236</v>
      </c>
      <c r="T1190" s="1" t="s">
        <v>753</v>
      </c>
      <c r="U1190" s="1">
        <v>1.00648421E8</v>
      </c>
      <c r="X1190" s="1" t="s">
        <v>88</v>
      </c>
      <c r="Y1190" s="1" t="s">
        <v>4022</v>
      </c>
      <c r="Z1190" s="1" t="s">
        <v>37</v>
      </c>
    </row>
    <row r="1191" hidden="1">
      <c r="A1191" s="1" t="s">
        <v>4141</v>
      </c>
      <c r="B1191" s="1" t="s">
        <v>1612</v>
      </c>
      <c r="C1191" s="1" t="s">
        <v>4142</v>
      </c>
      <c r="D1191" s="1" t="s">
        <v>27</v>
      </c>
      <c r="E1191" s="1" t="s">
        <v>28</v>
      </c>
      <c r="F1191" s="2">
        <v>1000000.0</v>
      </c>
      <c r="G1191" s="1" t="s">
        <v>836</v>
      </c>
      <c r="H1191" s="4">
        <f>IFERROR(__xludf.DUMMYFUNCTION("DATE(INDEX(SPLIT(G1191,""/""),,3),INDEX(SPLIT(G1191,""/""),,2),INDEX(SPLIT(G1191,""/""),,1))"),44610.0)</f>
        <v>44610</v>
      </c>
      <c r="I1191" s="4">
        <v>44693.0</v>
      </c>
      <c r="J1191" s="4">
        <f>IFERROR(__xludf.DUMMYFUNCTION("DATE(INDEX(SPLIT(I1191,""/""),,3),INDEX(SPLIT(I1191,""/""),,2),INDEX(SPLIT(I1191,""/""),,1))"),44900.0)</f>
        <v>44900</v>
      </c>
      <c r="L1191" s="1">
        <v>0.0</v>
      </c>
      <c r="M1191" s="1" t="s">
        <v>1614</v>
      </c>
      <c r="N1191" s="1"/>
      <c r="O1191" s="1" t="s">
        <v>30</v>
      </c>
      <c r="P1191" s="1" t="s">
        <v>31</v>
      </c>
      <c r="Q1191" s="1" t="s">
        <v>32</v>
      </c>
      <c r="R1191" s="1" t="s">
        <v>32</v>
      </c>
      <c r="S1191" s="1" t="s">
        <v>33</v>
      </c>
      <c r="U1191" s="1">
        <v>1.00587799E8</v>
      </c>
      <c r="X1191" s="1" t="s">
        <v>117</v>
      </c>
      <c r="Y1191" s="1" t="s">
        <v>1614</v>
      </c>
      <c r="Z1191" s="1" t="s">
        <v>37</v>
      </c>
    </row>
    <row r="1192">
      <c r="A1192" s="1" t="s">
        <v>4143</v>
      </c>
      <c r="B1192" s="1" t="s">
        <v>2462</v>
      </c>
      <c r="C1192" s="1" t="s">
        <v>4144</v>
      </c>
      <c r="D1192" s="1" t="s">
        <v>27</v>
      </c>
      <c r="E1192" s="1" t="s">
        <v>28</v>
      </c>
      <c r="F1192" s="2">
        <v>1000000.0</v>
      </c>
      <c r="G1192" s="4">
        <v>44717.0</v>
      </c>
      <c r="H1192" s="4">
        <f>IFERROR(__xludf.DUMMYFUNCTION("DATE(INDEX(SPLIT(G1192,""/""),,3),INDEX(SPLIT(G1192,""/""),,2),INDEX(SPLIT(G1192,""/""),,1))"),44687.0)</f>
        <v>44687</v>
      </c>
      <c r="I1192" s="1" t="s">
        <v>226</v>
      </c>
      <c r="J1192" s="4">
        <f>IFERROR(__xludf.DUMMYFUNCTION("DATE(INDEX(SPLIT(I1192,""/""),,3),INDEX(SPLIT(I1192,""/""),,2),INDEX(SPLIT(I1192,""/""),,1))"),44771.0)</f>
        <v>44771</v>
      </c>
      <c r="L1192" s="1">
        <v>0.0</v>
      </c>
      <c r="M1192" s="1" t="s">
        <v>1036</v>
      </c>
      <c r="N1192" s="1"/>
      <c r="O1192" s="1" t="s">
        <v>30</v>
      </c>
      <c r="P1192" s="1" t="s">
        <v>31</v>
      </c>
      <c r="Q1192" s="1" t="s">
        <v>95</v>
      </c>
      <c r="R1192" s="1" t="s">
        <v>95</v>
      </c>
      <c r="S1192" s="1" t="s">
        <v>96</v>
      </c>
      <c r="T1192" s="1" t="s">
        <v>111</v>
      </c>
      <c r="U1192" s="1">
        <v>1.00633489E8</v>
      </c>
      <c r="Y1192" s="1" t="s">
        <v>4145</v>
      </c>
      <c r="Z1192" s="1" t="s">
        <v>37</v>
      </c>
    </row>
    <row r="1193" hidden="1">
      <c r="A1193" s="1" t="s">
        <v>4146</v>
      </c>
      <c r="B1193" s="1" t="s">
        <v>2462</v>
      </c>
      <c r="C1193" s="1" t="s">
        <v>4147</v>
      </c>
      <c r="D1193" s="1" t="s">
        <v>27</v>
      </c>
      <c r="E1193" s="1" t="s">
        <v>28</v>
      </c>
      <c r="F1193" s="2">
        <v>1000000.0</v>
      </c>
      <c r="G1193" s="4">
        <v>44717.0</v>
      </c>
      <c r="H1193" s="4">
        <f>IFERROR(__xludf.DUMMYFUNCTION("DATE(INDEX(SPLIT(G1193,""/""),,3),INDEX(SPLIT(G1193,""/""),,2),INDEX(SPLIT(G1193,""/""),,1))"),44687.0)</f>
        <v>44687</v>
      </c>
      <c r="I1193" s="1" t="s">
        <v>625</v>
      </c>
      <c r="J1193" s="4">
        <f>IFERROR(__xludf.DUMMYFUNCTION("DATE(INDEX(SPLIT(I1193,""/""),,3),INDEX(SPLIT(I1193,""/""),,2),INDEX(SPLIT(I1193,""/""),,1))"),44848.0)</f>
        <v>44848</v>
      </c>
      <c r="L1193" s="1">
        <v>0.0</v>
      </c>
      <c r="M1193" s="1" t="s">
        <v>1036</v>
      </c>
      <c r="N1193" s="1"/>
      <c r="O1193" s="1" t="s">
        <v>30</v>
      </c>
      <c r="P1193" s="1" t="s">
        <v>31</v>
      </c>
      <c r="Q1193" s="1" t="s">
        <v>95</v>
      </c>
      <c r="R1193" s="1" t="s">
        <v>95</v>
      </c>
      <c r="S1193" s="1" t="s">
        <v>96</v>
      </c>
      <c r="T1193" s="1" t="s">
        <v>111</v>
      </c>
      <c r="U1193" s="1">
        <v>1.00633489E8</v>
      </c>
      <c r="Y1193" s="1" t="s">
        <v>4145</v>
      </c>
      <c r="Z1193" s="1" t="s">
        <v>37</v>
      </c>
    </row>
    <row r="1194" hidden="1">
      <c r="A1194" s="1" t="s">
        <v>4148</v>
      </c>
      <c r="B1194" s="1" t="s">
        <v>2128</v>
      </c>
      <c r="C1194" s="1" t="s">
        <v>4149</v>
      </c>
      <c r="D1194" s="1" t="s">
        <v>78</v>
      </c>
      <c r="E1194" s="1" t="s">
        <v>28</v>
      </c>
      <c r="F1194" s="2">
        <v>1000000.0</v>
      </c>
      <c r="G1194" s="1" t="s">
        <v>93</v>
      </c>
      <c r="H1194" s="4">
        <f>IFERROR(__xludf.DUMMYFUNCTION("DATE(INDEX(SPLIT(G1194,""/""),,3),INDEX(SPLIT(G1194,""/""),,2),INDEX(SPLIT(G1194,""/""),,1))"),44671.0)</f>
        <v>44671</v>
      </c>
      <c r="I1194" s="1" t="s">
        <v>1079</v>
      </c>
      <c r="J1194" s="4">
        <f>IFERROR(__xludf.DUMMYFUNCTION("DATE(INDEX(SPLIT(I1194,""/""),,3),INDEX(SPLIT(I1194,""/""),,2),INDEX(SPLIT(I1194,""/""),,1))"),44923.0)</f>
        <v>44923</v>
      </c>
      <c r="L1194" s="1">
        <v>0.0</v>
      </c>
      <c r="M1194" s="1" t="s">
        <v>1200</v>
      </c>
      <c r="N1194" s="1"/>
      <c r="O1194" s="1" t="s">
        <v>30</v>
      </c>
      <c r="P1194" s="1" t="s">
        <v>31</v>
      </c>
      <c r="Q1194" s="1" t="s">
        <v>235</v>
      </c>
      <c r="R1194" s="1" t="s">
        <v>235</v>
      </c>
      <c r="S1194" s="1" t="s">
        <v>236</v>
      </c>
      <c r="T1194" s="1" t="s">
        <v>438</v>
      </c>
      <c r="U1194" s="1">
        <v>1.00586959E8</v>
      </c>
      <c r="X1194" s="1" t="s">
        <v>88</v>
      </c>
      <c r="Y1194" s="1" t="s">
        <v>979</v>
      </c>
      <c r="Z1194" s="1" t="s">
        <v>37</v>
      </c>
    </row>
    <row r="1195" hidden="1">
      <c r="A1195" s="1" t="s">
        <v>4150</v>
      </c>
      <c r="B1195" s="1" t="s">
        <v>4151</v>
      </c>
      <c r="C1195" s="1" t="s">
        <v>4152</v>
      </c>
      <c r="D1195" s="1" t="s">
        <v>78</v>
      </c>
      <c r="E1195" s="1" t="s">
        <v>28</v>
      </c>
      <c r="F1195" s="2">
        <v>1000000.0</v>
      </c>
      <c r="G1195" s="1" t="s">
        <v>3349</v>
      </c>
      <c r="H1195" s="4">
        <f>IFERROR(__xludf.DUMMYFUNCTION("DATE(INDEX(SPLIT(G1195,""/""),,3),INDEX(SPLIT(G1195,""/""),,2),INDEX(SPLIT(G1195,""/""),,1))"),44648.0)</f>
        <v>44648</v>
      </c>
      <c r="I1195" s="1" t="s">
        <v>109</v>
      </c>
      <c r="J1195" s="4">
        <f>IFERROR(__xludf.DUMMYFUNCTION("DATE(INDEX(SPLIT(I1195,""/""),,3),INDEX(SPLIT(I1195,""/""),,2),INDEX(SPLIT(I1195,""/""),,1))"),44834.0)</f>
        <v>44834</v>
      </c>
      <c r="L1195" s="1">
        <v>0.0</v>
      </c>
      <c r="M1195" s="1" t="s">
        <v>4153</v>
      </c>
      <c r="N1195" s="1"/>
      <c r="O1195" s="1" t="s">
        <v>30</v>
      </c>
      <c r="P1195" s="1" t="s">
        <v>31</v>
      </c>
      <c r="Q1195" s="1" t="s">
        <v>235</v>
      </c>
      <c r="R1195" s="1" t="s">
        <v>235</v>
      </c>
      <c r="S1195" s="1" t="s">
        <v>236</v>
      </c>
      <c r="U1195" s="1">
        <v>1.00659524E8</v>
      </c>
      <c r="X1195" s="1" t="s">
        <v>88</v>
      </c>
      <c r="Y1195" s="1" t="s">
        <v>4154</v>
      </c>
      <c r="Z1195" s="1" t="s">
        <v>37</v>
      </c>
    </row>
    <row r="1196" hidden="1">
      <c r="A1196" s="1" t="s">
        <v>4155</v>
      </c>
      <c r="B1196" s="1" t="s">
        <v>700</v>
      </c>
      <c r="C1196" s="1" t="s">
        <v>4156</v>
      </c>
      <c r="D1196" s="1" t="s">
        <v>78</v>
      </c>
      <c r="E1196" s="1" t="s">
        <v>28</v>
      </c>
      <c r="F1196" s="2">
        <v>1000000.0</v>
      </c>
      <c r="G1196" s="1" t="s">
        <v>3142</v>
      </c>
      <c r="H1196" s="4">
        <f>IFERROR(__xludf.DUMMYFUNCTION("DATE(INDEX(SPLIT(G1196,""/""),,3),INDEX(SPLIT(G1196,""/""),,2),INDEX(SPLIT(G1196,""/""),,1))"),44611.0)</f>
        <v>44611</v>
      </c>
      <c r="I1196" s="4">
        <v>44630.0</v>
      </c>
      <c r="J1196" s="4">
        <f>IFERROR(__xludf.DUMMYFUNCTION("DATE(INDEX(SPLIT(I1196,""/""),,3),INDEX(SPLIT(I1196,""/""),,2),INDEX(SPLIT(I1196,""/""),,1))"),44837.0)</f>
        <v>44837</v>
      </c>
      <c r="L1196" s="1">
        <v>0.0</v>
      </c>
      <c r="M1196" s="1" t="s">
        <v>702</v>
      </c>
      <c r="N1196" s="1"/>
      <c r="O1196" s="1" t="s">
        <v>30</v>
      </c>
      <c r="P1196" s="1" t="s">
        <v>31</v>
      </c>
      <c r="Q1196" s="1" t="s">
        <v>95</v>
      </c>
      <c r="R1196" s="1" t="s">
        <v>95</v>
      </c>
      <c r="S1196" s="1" t="s">
        <v>96</v>
      </c>
      <c r="T1196" s="1" t="s">
        <v>311</v>
      </c>
      <c r="U1196" s="1">
        <v>1.00616804E8</v>
      </c>
      <c r="X1196" s="1" t="s">
        <v>98</v>
      </c>
      <c r="Y1196" s="1" t="s">
        <v>702</v>
      </c>
      <c r="Z1196" s="1" t="s">
        <v>37</v>
      </c>
    </row>
    <row r="1197" hidden="1">
      <c r="A1197" s="1" t="s">
        <v>4157</v>
      </c>
      <c r="B1197" s="1" t="s">
        <v>1762</v>
      </c>
      <c r="C1197" s="1" t="s">
        <v>4158</v>
      </c>
      <c r="D1197" s="1" t="s">
        <v>27</v>
      </c>
      <c r="E1197" s="1" t="s">
        <v>28</v>
      </c>
      <c r="F1197" s="2">
        <v>1000000.0</v>
      </c>
      <c r="G1197" s="4">
        <v>44481.0</v>
      </c>
      <c r="H1197" s="4">
        <f>IFERROR(__xludf.DUMMYFUNCTION("DATE(INDEX(SPLIT(G1197,""/""),,3),INDEX(SPLIT(G1197,""/""),,2),INDEX(SPLIT(G1197,""/""),,1))"),44540.0)</f>
        <v>44540</v>
      </c>
      <c r="I1197" s="1" t="s">
        <v>109</v>
      </c>
      <c r="J1197" s="4">
        <f>IFERROR(__xludf.DUMMYFUNCTION("DATE(INDEX(SPLIT(I1197,""/""),,3),INDEX(SPLIT(I1197,""/""),,2),INDEX(SPLIT(I1197,""/""),,1))"),44834.0)</f>
        <v>44834</v>
      </c>
      <c r="L1197" s="1">
        <v>0.0</v>
      </c>
      <c r="M1197" s="1" t="s">
        <v>3663</v>
      </c>
      <c r="N1197" s="1"/>
      <c r="O1197" s="1" t="s">
        <v>30</v>
      </c>
      <c r="P1197" s="1" t="s">
        <v>31</v>
      </c>
      <c r="Q1197" s="1" t="s">
        <v>95</v>
      </c>
      <c r="R1197" s="1" t="s">
        <v>95</v>
      </c>
      <c r="S1197" s="1" t="s">
        <v>96</v>
      </c>
      <c r="T1197" s="1" t="s">
        <v>489</v>
      </c>
      <c r="U1197" s="1">
        <v>1.00620159E8</v>
      </c>
      <c r="X1197" s="1" t="s">
        <v>490</v>
      </c>
      <c r="Y1197" s="1" t="s">
        <v>3663</v>
      </c>
      <c r="Z1197" s="1" t="s">
        <v>37</v>
      </c>
    </row>
    <row r="1198" hidden="1">
      <c r="A1198" s="1" t="s">
        <v>4159</v>
      </c>
      <c r="B1198" s="1" t="s">
        <v>4160</v>
      </c>
      <c r="C1198" s="1" t="s">
        <v>4161</v>
      </c>
      <c r="D1198" s="1" t="s">
        <v>27</v>
      </c>
      <c r="E1198" s="1" t="s">
        <v>28</v>
      </c>
      <c r="F1198" s="2">
        <v>1000000.0</v>
      </c>
      <c r="G1198" s="1" t="s">
        <v>4162</v>
      </c>
      <c r="H1198" s="4">
        <f>IFERROR(__xludf.DUMMYFUNCTION("DATE(INDEX(SPLIT(G1198,""/""),,3),INDEX(SPLIT(G1198,""/""),,2),INDEX(SPLIT(G1198,""/""),,1))"),43813.0)</f>
        <v>43813</v>
      </c>
      <c r="I1198" s="1" t="s">
        <v>660</v>
      </c>
      <c r="J1198" s="4">
        <f>IFERROR(__xludf.DUMMYFUNCTION("DATE(INDEX(SPLIT(I1198,""/""),,3),INDEX(SPLIT(I1198,""/""),,2),INDEX(SPLIT(I1198,""/""),,1))"),44832.0)</f>
        <v>44832</v>
      </c>
      <c r="L1198" s="1">
        <v>0.0</v>
      </c>
      <c r="M1198" s="1" t="s">
        <v>2237</v>
      </c>
      <c r="N1198" s="1"/>
      <c r="O1198" s="1" t="s">
        <v>30</v>
      </c>
      <c r="P1198" s="1" t="s">
        <v>31</v>
      </c>
      <c r="Q1198" s="1" t="s">
        <v>32</v>
      </c>
      <c r="R1198" s="1" t="s">
        <v>32</v>
      </c>
      <c r="S1198" s="1" t="s">
        <v>33</v>
      </c>
      <c r="T1198" s="1" t="s">
        <v>103</v>
      </c>
      <c r="U1198" s="1">
        <v>1.00611284E8</v>
      </c>
      <c r="X1198" s="1" t="s">
        <v>46</v>
      </c>
      <c r="Y1198" s="1" t="s">
        <v>4163</v>
      </c>
      <c r="Z1198" s="1" t="s">
        <v>37</v>
      </c>
    </row>
    <row r="1199">
      <c r="A1199" s="1" t="s">
        <v>4164</v>
      </c>
      <c r="B1199" s="1" t="s">
        <v>2483</v>
      </c>
      <c r="C1199" s="1" t="s">
        <v>4165</v>
      </c>
      <c r="D1199" s="1" t="s">
        <v>68</v>
      </c>
      <c r="E1199" s="1" t="s">
        <v>28</v>
      </c>
      <c r="F1199" s="2">
        <v>1000000.0</v>
      </c>
      <c r="G1199" s="1" t="s">
        <v>1012</v>
      </c>
      <c r="H1199" s="4">
        <f>IFERROR(__xludf.DUMMYFUNCTION("DATE(INDEX(SPLIT(G1199,""/""),,3),INDEX(SPLIT(G1199,""/""),,2),INDEX(SPLIT(G1199,""/""),,1))"),44496.0)</f>
        <v>44496</v>
      </c>
      <c r="I1199" s="1" t="s">
        <v>226</v>
      </c>
      <c r="J1199" s="4">
        <f>IFERROR(__xludf.DUMMYFUNCTION("DATE(INDEX(SPLIT(I1199,""/""),,3),INDEX(SPLIT(I1199,""/""),,2),INDEX(SPLIT(I1199,""/""),,1))"),44771.0)</f>
        <v>44771</v>
      </c>
      <c r="L1199" s="1">
        <v>0.0</v>
      </c>
      <c r="M1199" s="1" t="s">
        <v>3854</v>
      </c>
      <c r="N1199" s="1"/>
      <c r="O1199" s="1" t="s">
        <v>30</v>
      </c>
      <c r="P1199" s="1" t="s">
        <v>31</v>
      </c>
      <c r="Q1199" s="1" t="s">
        <v>71</v>
      </c>
      <c r="R1199" s="1" t="s">
        <v>71</v>
      </c>
      <c r="S1199" s="1" t="s">
        <v>72</v>
      </c>
      <c r="T1199" s="1" t="s">
        <v>136</v>
      </c>
      <c r="U1199" s="1">
        <v>1.00603613E8</v>
      </c>
      <c r="X1199" s="1" t="s">
        <v>2028</v>
      </c>
      <c r="Y1199" s="1" t="s">
        <v>4166</v>
      </c>
      <c r="Z1199" s="1" t="s">
        <v>37</v>
      </c>
    </row>
    <row r="1200" hidden="1">
      <c r="A1200" s="1" t="s">
        <v>4167</v>
      </c>
      <c r="B1200" s="1" t="s">
        <v>4168</v>
      </c>
      <c r="C1200" s="1" t="s">
        <v>4169</v>
      </c>
      <c r="D1200" s="1" t="s">
        <v>27</v>
      </c>
      <c r="E1200" s="1" t="s">
        <v>28</v>
      </c>
      <c r="F1200" s="2">
        <v>1000000.0</v>
      </c>
      <c r="G1200" s="1" t="s">
        <v>4170</v>
      </c>
      <c r="H1200" s="4">
        <f>IFERROR(__xludf.DUMMYFUNCTION("DATE(INDEX(SPLIT(G1200,""/""),,3),INDEX(SPLIT(G1200,""/""),,2),INDEX(SPLIT(G1200,""/""),,1))"),43552.0)</f>
        <v>43552</v>
      </c>
      <c r="I1200" s="1" t="s">
        <v>668</v>
      </c>
      <c r="J1200" s="4">
        <f>IFERROR(__xludf.DUMMYFUNCTION("DATE(INDEX(SPLIT(I1200,""/""),,3),INDEX(SPLIT(I1200,""/""),,2),INDEX(SPLIT(I1200,""/""),,1))"),45199.0)</f>
        <v>45199</v>
      </c>
      <c r="L1200" s="1">
        <v>0.0</v>
      </c>
      <c r="M1200" s="1" t="s">
        <v>1129</v>
      </c>
      <c r="N1200" s="1"/>
      <c r="O1200" s="1" t="s">
        <v>30</v>
      </c>
      <c r="P1200" s="1" t="s">
        <v>31</v>
      </c>
      <c r="Q1200" s="1" t="s">
        <v>157</v>
      </c>
      <c r="R1200" s="1" t="s">
        <v>157</v>
      </c>
      <c r="S1200" s="1" t="s">
        <v>158</v>
      </c>
      <c r="T1200" s="1" t="s">
        <v>442</v>
      </c>
      <c r="U1200" s="1">
        <v>1.00650786E8</v>
      </c>
      <c r="X1200" s="1" t="s">
        <v>125</v>
      </c>
      <c r="Y1200" s="1" t="s">
        <v>1129</v>
      </c>
      <c r="Z1200" s="1" t="s">
        <v>37</v>
      </c>
    </row>
    <row r="1201" hidden="1">
      <c r="A1201" s="1" t="s">
        <v>4171</v>
      </c>
      <c r="B1201" s="1" t="s">
        <v>4172</v>
      </c>
      <c r="C1201" s="1" t="s">
        <v>4173</v>
      </c>
      <c r="D1201" s="1" t="s">
        <v>27</v>
      </c>
      <c r="E1201" s="1" t="s">
        <v>28</v>
      </c>
      <c r="F1201" s="2">
        <v>1000000.0</v>
      </c>
      <c r="G1201" s="4">
        <v>44598.0</v>
      </c>
      <c r="H1201" s="4">
        <f>IFERROR(__xludf.DUMMYFUNCTION("DATE(INDEX(SPLIT(G1201,""/""),,3),INDEX(SPLIT(G1201,""/""),,2),INDEX(SPLIT(G1201,""/""),,1))"),44714.0)</f>
        <v>44714</v>
      </c>
      <c r="I1201" s="1" t="s">
        <v>625</v>
      </c>
      <c r="J1201" s="4">
        <f>IFERROR(__xludf.DUMMYFUNCTION("DATE(INDEX(SPLIT(I1201,""/""),,3),INDEX(SPLIT(I1201,""/""),,2),INDEX(SPLIT(I1201,""/""),,1))"),44848.0)</f>
        <v>44848</v>
      </c>
      <c r="L1201" s="1">
        <v>0.0</v>
      </c>
      <c r="M1201" s="1" t="s">
        <v>3116</v>
      </c>
      <c r="N1201" s="1"/>
      <c r="O1201" s="1" t="s">
        <v>30</v>
      </c>
      <c r="P1201" s="1" t="s">
        <v>31</v>
      </c>
      <c r="Q1201" s="1" t="s">
        <v>157</v>
      </c>
      <c r="R1201" s="1" t="s">
        <v>157</v>
      </c>
      <c r="S1201" s="1" t="s">
        <v>158</v>
      </c>
      <c r="U1201" s="1">
        <v>1.00574828E8</v>
      </c>
      <c r="X1201" s="1" t="s">
        <v>63</v>
      </c>
      <c r="Y1201" s="1" t="s">
        <v>4174</v>
      </c>
      <c r="Z1201" s="1" t="s">
        <v>37</v>
      </c>
    </row>
    <row r="1202" hidden="1">
      <c r="A1202" s="1" t="s">
        <v>4175</v>
      </c>
      <c r="B1202" s="1" t="s">
        <v>1070</v>
      </c>
      <c r="C1202" s="1" t="s">
        <v>4176</v>
      </c>
      <c r="D1202" s="1" t="s">
        <v>27</v>
      </c>
      <c r="E1202" s="1" t="s">
        <v>28</v>
      </c>
      <c r="F1202" s="2">
        <v>1000000.0</v>
      </c>
      <c r="G1202" s="1" t="s">
        <v>714</v>
      </c>
      <c r="H1202" s="4">
        <f>IFERROR(__xludf.DUMMYFUNCTION("DATE(INDEX(SPLIT(G1202,""/""),,3),INDEX(SPLIT(G1202,""/""),,2),INDEX(SPLIT(G1202,""/""),,1))"),44546.0)</f>
        <v>44546</v>
      </c>
      <c r="I1202" s="1" t="s">
        <v>4177</v>
      </c>
      <c r="J1202" s="4">
        <f>IFERROR(__xludf.DUMMYFUNCTION("DATE(INDEX(SPLIT(I1202,""/""),,3),INDEX(SPLIT(I1202,""/""),,2),INDEX(SPLIT(I1202,""/""),,1))"),44880.0)</f>
        <v>44880</v>
      </c>
      <c r="L1202" s="1">
        <v>0.0</v>
      </c>
      <c r="M1202" s="1" t="s">
        <v>1072</v>
      </c>
      <c r="N1202" s="1"/>
      <c r="O1202" s="1" t="s">
        <v>30</v>
      </c>
      <c r="P1202" s="1" t="s">
        <v>31</v>
      </c>
      <c r="Q1202" s="1" t="s">
        <v>157</v>
      </c>
      <c r="R1202" s="1" t="s">
        <v>157</v>
      </c>
      <c r="S1202" s="1" t="s">
        <v>158</v>
      </c>
      <c r="T1202" s="1" t="s">
        <v>571</v>
      </c>
      <c r="U1202" s="1">
        <v>1.00594872E8</v>
      </c>
      <c r="X1202" s="1" t="s">
        <v>305</v>
      </c>
      <c r="Y1202" s="1" t="s">
        <v>1072</v>
      </c>
      <c r="Z1202" s="1" t="s">
        <v>37</v>
      </c>
    </row>
    <row r="1203" hidden="1">
      <c r="A1203" s="1" t="s">
        <v>4178</v>
      </c>
      <c r="B1203" s="1" t="s">
        <v>948</v>
      </c>
      <c r="C1203" s="1" t="s">
        <v>4179</v>
      </c>
      <c r="D1203" s="1" t="s">
        <v>122</v>
      </c>
      <c r="E1203" s="1" t="s">
        <v>28</v>
      </c>
      <c r="F1203" s="2">
        <v>1000000.0</v>
      </c>
      <c r="G1203" s="4">
        <v>44415.0</v>
      </c>
      <c r="H1203" s="4">
        <f>IFERROR(__xludf.DUMMYFUNCTION("DATE(INDEX(SPLIT(G1203,""/""),,3),INDEX(SPLIT(G1203,""/""),,2),INDEX(SPLIT(G1203,""/""),,1))"),44385.0)</f>
        <v>44385</v>
      </c>
      <c r="I1203" s="1" t="s">
        <v>130</v>
      </c>
      <c r="J1203" s="4">
        <f>IFERROR(__xludf.DUMMYFUNCTION("DATE(INDEX(SPLIT(I1203,""/""),,3),INDEX(SPLIT(I1203,""/""),,2),INDEX(SPLIT(I1203,""/""),,1))"),44804.0)</f>
        <v>44804</v>
      </c>
      <c r="L1203" s="1">
        <v>0.0</v>
      </c>
      <c r="M1203" s="1" t="s">
        <v>2032</v>
      </c>
      <c r="N1203" s="1"/>
      <c r="O1203" s="1" t="s">
        <v>30</v>
      </c>
      <c r="P1203" s="1" t="s">
        <v>31</v>
      </c>
      <c r="Q1203" s="1" t="s">
        <v>71</v>
      </c>
      <c r="R1203" s="1" t="s">
        <v>71</v>
      </c>
      <c r="S1203" s="1" t="s">
        <v>72</v>
      </c>
      <c r="T1203" s="1" t="s">
        <v>73</v>
      </c>
      <c r="U1203" s="1">
        <v>1.00929557E8</v>
      </c>
      <c r="X1203" s="1" t="s">
        <v>74</v>
      </c>
      <c r="Y1203" s="1" t="s">
        <v>2032</v>
      </c>
      <c r="Z1203" s="1" t="s">
        <v>206</v>
      </c>
    </row>
    <row r="1204" hidden="1">
      <c r="A1204" s="1" t="s">
        <v>4180</v>
      </c>
      <c r="B1204" s="1" t="s">
        <v>645</v>
      </c>
      <c r="C1204" s="1" t="s">
        <v>4181</v>
      </c>
      <c r="D1204" s="1" t="s">
        <v>78</v>
      </c>
      <c r="E1204" s="1" t="s">
        <v>28</v>
      </c>
      <c r="F1204" s="2">
        <v>1000000.0</v>
      </c>
      <c r="G1204" s="1" t="s">
        <v>2324</v>
      </c>
      <c r="H1204" s="4">
        <f>IFERROR(__xludf.DUMMYFUNCTION("DATE(INDEX(SPLIT(G1204,""/""),,3),INDEX(SPLIT(G1204,""/""),,2),INDEX(SPLIT(G1204,""/""),,1))"),44705.0)</f>
        <v>44705</v>
      </c>
      <c r="I1204" s="1" t="s">
        <v>130</v>
      </c>
      <c r="J1204" s="4">
        <f>IFERROR(__xludf.DUMMYFUNCTION("DATE(INDEX(SPLIT(I1204,""/""),,3),INDEX(SPLIT(I1204,""/""),,2),INDEX(SPLIT(I1204,""/""),,1))"),44804.0)</f>
        <v>44804</v>
      </c>
      <c r="L1204" s="1">
        <v>0.0</v>
      </c>
      <c r="M1204" s="1" t="s">
        <v>259</v>
      </c>
      <c r="N1204" s="1"/>
      <c r="O1204" s="1" t="s">
        <v>30</v>
      </c>
      <c r="P1204" s="1" t="s">
        <v>31</v>
      </c>
      <c r="Q1204" s="1" t="s">
        <v>95</v>
      </c>
      <c r="R1204" s="1" t="s">
        <v>95</v>
      </c>
      <c r="S1204" s="1" t="s">
        <v>96</v>
      </c>
      <c r="T1204" s="1" t="s">
        <v>1558</v>
      </c>
      <c r="U1204" s="1">
        <v>1.00659114E8</v>
      </c>
      <c r="X1204" s="1" t="s">
        <v>239</v>
      </c>
      <c r="Y1204" s="1" t="s">
        <v>1076</v>
      </c>
      <c r="Z1204" s="1" t="s">
        <v>37</v>
      </c>
    </row>
    <row r="1205" hidden="1">
      <c r="A1205" s="1" t="s">
        <v>4182</v>
      </c>
      <c r="B1205" s="1" t="s">
        <v>2570</v>
      </c>
      <c r="C1205" s="1" t="s">
        <v>4007</v>
      </c>
      <c r="D1205" s="1" t="s">
        <v>27</v>
      </c>
      <c r="E1205" s="1" t="s">
        <v>28</v>
      </c>
      <c r="F1205" s="2">
        <v>1000000.0</v>
      </c>
      <c r="G1205" s="4">
        <v>44420.0</v>
      </c>
      <c r="H1205" s="4">
        <f>IFERROR(__xludf.DUMMYFUNCTION("DATE(INDEX(SPLIT(G1205,""/""),,3),INDEX(SPLIT(G1205,""/""),,2),INDEX(SPLIT(G1205,""/""),,1))"),44538.0)</f>
        <v>44538</v>
      </c>
      <c r="I1205" s="1" t="s">
        <v>360</v>
      </c>
      <c r="J1205" s="4">
        <f>IFERROR(__xludf.DUMMYFUNCTION("DATE(INDEX(SPLIT(I1205,""/""),,3),INDEX(SPLIT(I1205,""/""),,2),INDEX(SPLIT(I1205,""/""),,1))"),44895.0)</f>
        <v>44895</v>
      </c>
      <c r="L1205" s="1">
        <v>0.0</v>
      </c>
      <c r="M1205" s="1" t="s">
        <v>2573</v>
      </c>
      <c r="N1205" s="1"/>
      <c r="O1205" s="1" t="s">
        <v>30</v>
      </c>
      <c r="P1205" s="1" t="s">
        <v>31</v>
      </c>
      <c r="Q1205" s="1" t="s">
        <v>157</v>
      </c>
      <c r="R1205" s="1" t="s">
        <v>157</v>
      </c>
      <c r="S1205" s="1" t="s">
        <v>158</v>
      </c>
      <c r="T1205" s="1" t="s">
        <v>4008</v>
      </c>
      <c r="U1205" s="1">
        <v>1.00690774E8</v>
      </c>
      <c r="X1205" s="1" t="s">
        <v>88</v>
      </c>
      <c r="Y1205" s="1" t="s">
        <v>4183</v>
      </c>
      <c r="Z1205" s="1" t="s">
        <v>37</v>
      </c>
    </row>
    <row r="1206" hidden="1">
      <c r="A1206" s="1" t="s">
        <v>4184</v>
      </c>
      <c r="B1206" s="1" t="s">
        <v>1854</v>
      </c>
      <c r="C1206" s="1" t="s">
        <v>4185</v>
      </c>
      <c r="D1206" s="1" t="s">
        <v>27</v>
      </c>
      <c r="E1206" s="1" t="s">
        <v>28</v>
      </c>
      <c r="F1206" s="2">
        <v>1000000.0</v>
      </c>
      <c r="G1206" s="1" t="s">
        <v>2324</v>
      </c>
      <c r="H1206" s="4">
        <f>IFERROR(__xludf.DUMMYFUNCTION("DATE(INDEX(SPLIT(G1206,""/""),,3),INDEX(SPLIT(G1206,""/""),,2),INDEX(SPLIT(G1206,""/""),,1))"),44705.0)</f>
        <v>44705</v>
      </c>
      <c r="I1206" s="4">
        <v>44573.0</v>
      </c>
      <c r="J1206" s="4">
        <f>IFERROR(__xludf.DUMMYFUNCTION("DATE(INDEX(SPLIT(I1206,""/""),,3),INDEX(SPLIT(I1206,""/""),,2),INDEX(SPLIT(I1206,""/""),,1))"),44896.0)</f>
        <v>44896</v>
      </c>
      <c r="L1206" s="1">
        <v>0.0</v>
      </c>
      <c r="M1206" s="1" t="s">
        <v>4186</v>
      </c>
      <c r="N1206" s="1"/>
      <c r="O1206" s="1" t="s">
        <v>30</v>
      </c>
      <c r="P1206" s="1" t="s">
        <v>31</v>
      </c>
      <c r="Q1206" s="1" t="s">
        <v>53</v>
      </c>
      <c r="R1206" s="1" t="s">
        <v>53</v>
      </c>
      <c r="S1206" s="1" t="s">
        <v>54</v>
      </c>
      <c r="T1206" s="1" t="s">
        <v>197</v>
      </c>
      <c r="U1206" s="1">
        <v>1.00650382E8</v>
      </c>
      <c r="X1206" s="1" t="s">
        <v>63</v>
      </c>
      <c r="Y1206" s="1" t="s">
        <v>4186</v>
      </c>
      <c r="Z1206" s="1" t="s">
        <v>37</v>
      </c>
    </row>
    <row r="1207" hidden="1">
      <c r="A1207" s="1" t="s">
        <v>4187</v>
      </c>
      <c r="B1207" s="1" t="s">
        <v>4188</v>
      </c>
      <c r="C1207" s="1" t="s">
        <v>4189</v>
      </c>
      <c r="D1207" s="1" t="s">
        <v>27</v>
      </c>
      <c r="E1207" s="1" t="s">
        <v>28</v>
      </c>
      <c r="F1207" s="2">
        <v>1000000.0</v>
      </c>
      <c r="G1207" s="1" t="s">
        <v>233</v>
      </c>
      <c r="H1207" s="4">
        <f>IFERROR(__xludf.DUMMYFUNCTION("DATE(INDEX(SPLIT(G1207,""/""),,3),INDEX(SPLIT(G1207,""/""),,2),INDEX(SPLIT(G1207,""/""),,1))"),44729.0)</f>
        <v>44729</v>
      </c>
      <c r="I1207" s="1" t="s">
        <v>2236</v>
      </c>
      <c r="J1207" s="4">
        <f>IFERROR(__xludf.DUMMYFUNCTION("DATE(INDEX(SPLIT(I1207,""/""),,3),INDEX(SPLIT(I1207,""/""),,2),INDEX(SPLIT(I1207,""/""),,1))"),44924.0)</f>
        <v>44924</v>
      </c>
      <c r="L1207" s="1">
        <v>0.0</v>
      </c>
      <c r="M1207" s="1" t="s">
        <v>1723</v>
      </c>
      <c r="N1207" s="1"/>
      <c r="O1207" s="1" t="s">
        <v>30</v>
      </c>
      <c r="P1207" s="1" t="s">
        <v>31</v>
      </c>
      <c r="Q1207" s="1" t="s">
        <v>157</v>
      </c>
      <c r="R1207" s="1" t="s">
        <v>157</v>
      </c>
      <c r="S1207" s="1" t="s">
        <v>158</v>
      </c>
      <c r="T1207" s="1" t="s">
        <v>159</v>
      </c>
      <c r="U1207" s="1">
        <v>1.00654085E8</v>
      </c>
      <c r="X1207" s="1" t="s">
        <v>74</v>
      </c>
      <c r="Y1207" s="1" t="s">
        <v>4190</v>
      </c>
      <c r="Z1207" s="1" t="s">
        <v>37</v>
      </c>
    </row>
    <row r="1208" hidden="1">
      <c r="A1208" s="1" t="s">
        <v>4191</v>
      </c>
      <c r="B1208" s="1" t="s">
        <v>4192</v>
      </c>
      <c r="C1208" s="1" t="s">
        <v>4193</v>
      </c>
      <c r="D1208" s="1" t="s">
        <v>122</v>
      </c>
      <c r="E1208" s="1" t="s">
        <v>28</v>
      </c>
      <c r="F1208" s="2">
        <v>1000000.0</v>
      </c>
      <c r="G1208" s="4">
        <v>44351.0</v>
      </c>
      <c r="H1208" s="4">
        <f>IFERROR(__xludf.DUMMYFUNCTION("DATE(INDEX(SPLIT(G1208,""/""),,3),INDEX(SPLIT(G1208,""/""),,2),INDEX(SPLIT(G1208,""/""),,1))"),44292.0)</f>
        <v>44292</v>
      </c>
      <c r="I1208" s="1" t="s">
        <v>109</v>
      </c>
      <c r="J1208" s="4">
        <f>IFERROR(__xludf.DUMMYFUNCTION("DATE(INDEX(SPLIT(I1208,""/""),,3),INDEX(SPLIT(I1208,""/""),,2),INDEX(SPLIT(I1208,""/""),,1))"),44834.0)</f>
        <v>44834</v>
      </c>
      <c r="L1208" s="1">
        <v>0.0</v>
      </c>
      <c r="M1208" s="1" t="s">
        <v>1088</v>
      </c>
      <c r="N1208" s="1"/>
      <c r="O1208" s="1" t="s">
        <v>30</v>
      </c>
      <c r="P1208" s="1" t="s">
        <v>31</v>
      </c>
      <c r="Q1208" s="1" t="s">
        <v>71</v>
      </c>
      <c r="R1208" s="1" t="s">
        <v>71</v>
      </c>
      <c r="S1208" s="1" t="s">
        <v>72</v>
      </c>
      <c r="T1208" s="1" t="s">
        <v>136</v>
      </c>
      <c r="U1208" s="1">
        <v>1.0090037E8</v>
      </c>
      <c r="X1208" s="1" t="s">
        <v>74</v>
      </c>
      <c r="Y1208" s="1" t="s">
        <v>4194</v>
      </c>
      <c r="Z1208" s="1" t="s">
        <v>37</v>
      </c>
    </row>
    <row r="1209" hidden="1">
      <c r="A1209" s="1" t="s">
        <v>4195</v>
      </c>
      <c r="B1209" s="1" t="s">
        <v>4196</v>
      </c>
      <c r="C1209" s="1" t="s">
        <v>4197</v>
      </c>
      <c r="D1209" s="1" t="s">
        <v>122</v>
      </c>
      <c r="E1209" s="1" t="s">
        <v>28</v>
      </c>
      <c r="F1209" s="2">
        <v>1000000.0</v>
      </c>
      <c r="G1209" s="4">
        <v>44717.0</v>
      </c>
      <c r="H1209" s="4">
        <f>IFERROR(__xludf.DUMMYFUNCTION("DATE(INDEX(SPLIT(G1209,""/""),,3),INDEX(SPLIT(G1209,""/""),,2),INDEX(SPLIT(G1209,""/""),,1))"),44687.0)</f>
        <v>44687</v>
      </c>
      <c r="I1209" s="4">
        <v>44781.0</v>
      </c>
      <c r="J1209" s="4">
        <f>IFERROR(__xludf.DUMMYFUNCTION("DATE(INDEX(SPLIT(I1209,""/""),,3),INDEX(SPLIT(I1209,""/""),,2),INDEX(SPLIT(I1209,""/""),,1))"),44781.0)</f>
        <v>44781</v>
      </c>
      <c r="L1209" s="1">
        <v>0.0</v>
      </c>
      <c r="M1209" s="1" t="s">
        <v>936</v>
      </c>
      <c r="N1209" s="1"/>
      <c r="O1209" s="1" t="s">
        <v>30</v>
      </c>
      <c r="P1209" s="1" t="s">
        <v>31</v>
      </c>
      <c r="Q1209" s="1" t="s">
        <v>71</v>
      </c>
      <c r="R1209" s="1" t="s">
        <v>71</v>
      </c>
      <c r="S1209" s="1" t="s">
        <v>72</v>
      </c>
      <c r="T1209" s="1" t="s">
        <v>73</v>
      </c>
      <c r="U1209" s="1">
        <v>1.00941744E8</v>
      </c>
      <c r="X1209" s="1" t="s">
        <v>74</v>
      </c>
      <c r="Y1209" s="1" t="s">
        <v>4198</v>
      </c>
      <c r="Z1209" s="1" t="s">
        <v>37</v>
      </c>
    </row>
    <row r="1210" hidden="1">
      <c r="A1210" s="1" t="s">
        <v>4199</v>
      </c>
      <c r="B1210" s="1" t="s">
        <v>1371</v>
      </c>
      <c r="C1210" s="1" t="s">
        <v>4200</v>
      </c>
      <c r="D1210" s="1" t="s">
        <v>27</v>
      </c>
      <c r="E1210" s="1" t="s">
        <v>28</v>
      </c>
      <c r="F1210" s="2">
        <v>1000000.0</v>
      </c>
      <c r="G1210" s="4">
        <v>44451.0</v>
      </c>
      <c r="H1210" s="4">
        <f>IFERROR(__xludf.DUMMYFUNCTION("DATE(INDEX(SPLIT(G1210,""/""),,3),INDEX(SPLIT(G1210,""/""),,2),INDEX(SPLIT(G1210,""/""),,1))"),44539.0)</f>
        <v>44539</v>
      </c>
      <c r="I1210" s="1" t="s">
        <v>1495</v>
      </c>
      <c r="J1210" s="4">
        <f>IFERROR(__xludf.DUMMYFUNCTION("DATE(INDEX(SPLIT(I1210,""/""),,3),INDEX(SPLIT(I1210,""/""),,2),INDEX(SPLIT(I1210,""/""),,1))"),44864.0)</f>
        <v>44864</v>
      </c>
      <c r="L1210" s="1">
        <v>0.0</v>
      </c>
      <c r="M1210" s="1" t="s">
        <v>4129</v>
      </c>
      <c r="N1210" s="1"/>
      <c r="O1210" s="1" t="s">
        <v>30</v>
      </c>
      <c r="P1210" s="1" t="s">
        <v>31</v>
      </c>
      <c r="Q1210" s="1" t="s">
        <v>228</v>
      </c>
      <c r="R1210" s="1" t="s">
        <v>228</v>
      </c>
      <c r="S1210" s="1" t="s">
        <v>229</v>
      </c>
      <c r="T1210" s="1" t="s">
        <v>640</v>
      </c>
      <c r="U1210" s="1">
        <v>1.00599268E8</v>
      </c>
      <c r="X1210" s="1" t="s">
        <v>63</v>
      </c>
      <c r="Y1210" s="1" t="s">
        <v>4201</v>
      </c>
      <c r="Z1210" s="1" t="s">
        <v>37</v>
      </c>
    </row>
    <row r="1211">
      <c r="A1211" s="1" t="s">
        <v>4202</v>
      </c>
      <c r="B1211" s="1" t="s">
        <v>516</v>
      </c>
      <c r="C1211" s="1" t="s">
        <v>4203</v>
      </c>
      <c r="D1211" s="1" t="s">
        <v>27</v>
      </c>
      <c r="E1211" s="1" t="s">
        <v>28</v>
      </c>
      <c r="F1211" s="2">
        <v>1000000.0</v>
      </c>
      <c r="G1211" s="4">
        <v>44686.0</v>
      </c>
      <c r="H1211" s="4">
        <f>IFERROR(__xludf.DUMMYFUNCTION("DATE(INDEX(SPLIT(G1211,""/""),,3),INDEX(SPLIT(G1211,""/""),,2),INDEX(SPLIT(G1211,""/""),,1))"),44686.0)</f>
        <v>44686</v>
      </c>
      <c r="I1211" s="1" t="s">
        <v>226</v>
      </c>
      <c r="J1211" s="4">
        <f>IFERROR(__xludf.DUMMYFUNCTION("DATE(INDEX(SPLIT(I1211,""/""),,3),INDEX(SPLIT(I1211,""/""),,2),INDEX(SPLIT(I1211,""/""),,1))"),44771.0)</f>
        <v>44771</v>
      </c>
      <c r="L1211" s="1">
        <v>0.0</v>
      </c>
      <c r="M1211" s="1" t="s">
        <v>2703</v>
      </c>
      <c r="N1211" s="1"/>
      <c r="O1211" s="1" t="s">
        <v>30</v>
      </c>
      <c r="P1211" s="1" t="s">
        <v>31</v>
      </c>
      <c r="Q1211" s="1" t="s">
        <v>95</v>
      </c>
      <c r="R1211" s="1" t="s">
        <v>95</v>
      </c>
      <c r="S1211" s="1" t="s">
        <v>96</v>
      </c>
      <c r="U1211" s="1">
        <v>1.01054651E8</v>
      </c>
      <c r="X1211" s="1" t="s">
        <v>781</v>
      </c>
      <c r="Y1211" s="1" t="s">
        <v>216</v>
      </c>
      <c r="Z1211" s="1" t="s">
        <v>1783</v>
      </c>
    </row>
    <row r="1212" hidden="1">
      <c r="A1212" s="1" t="s">
        <v>4204</v>
      </c>
      <c r="B1212" s="1" t="s">
        <v>4205</v>
      </c>
      <c r="C1212" s="1" t="s">
        <v>4206</v>
      </c>
      <c r="D1212" s="1" t="s">
        <v>78</v>
      </c>
      <c r="E1212" s="1" t="s">
        <v>28</v>
      </c>
      <c r="F1212" s="2">
        <v>1000000.0</v>
      </c>
      <c r="G1212" s="1" t="s">
        <v>4207</v>
      </c>
      <c r="H1212" s="4">
        <f>IFERROR(__xludf.DUMMYFUNCTION("DATE(INDEX(SPLIT(G1212,""/""),,3),INDEX(SPLIT(G1212,""/""),,2),INDEX(SPLIT(G1212,""/""),,1))"),43521.0)</f>
        <v>43521</v>
      </c>
      <c r="I1212" s="1" t="s">
        <v>999</v>
      </c>
      <c r="J1212" s="4">
        <f>IFERROR(__xludf.DUMMYFUNCTION("DATE(INDEX(SPLIT(I1212,""/""),,3),INDEX(SPLIT(I1212,""/""),,2),INDEX(SPLIT(I1212,""/""),,1))"),44953.0)</f>
        <v>44953</v>
      </c>
      <c r="L1212" s="1">
        <v>0.0</v>
      </c>
      <c r="M1212" s="1" t="s">
        <v>259</v>
      </c>
      <c r="N1212" s="1"/>
      <c r="O1212" s="1" t="s">
        <v>30</v>
      </c>
      <c r="P1212" s="1" t="s">
        <v>31</v>
      </c>
      <c r="Q1212" s="1" t="s">
        <v>95</v>
      </c>
      <c r="R1212" s="1" t="s">
        <v>95</v>
      </c>
      <c r="S1212" s="1" t="s">
        <v>96</v>
      </c>
      <c r="T1212" s="1" t="s">
        <v>260</v>
      </c>
      <c r="U1212" s="1">
        <v>1.00659114E8</v>
      </c>
      <c r="X1212" s="1" t="s">
        <v>239</v>
      </c>
      <c r="Y1212" s="1" t="s">
        <v>2977</v>
      </c>
      <c r="Z1212" s="1" t="s">
        <v>37</v>
      </c>
    </row>
    <row r="1213" hidden="1">
      <c r="A1213" s="1" t="s">
        <v>4208</v>
      </c>
      <c r="B1213" s="1" t="s">
        <v>4209</v>
      </c>
      <c r="C1213" s="1" t="s">
        <v>4210</v>
      </c>
      <c r="D1213" s="1" t="s">
        <v>27</v>
      </c>
      <c r="E1213" s="1" t="s">
        <v>28</v>
      </c>
      <c r="F1213" s="2">
        <v>1000000.0</v>
      </c>
      <c r="G1213" s="1" t="s">
        <v>233</v>
      </c>
      <c r="H1213" s="4">
        <f>IFERROR(__xludf.DUMMYFUNCTION("DATE(INDEX(SPLIT(G1213,""/""),,3),INDEX(SPLIT(G1213,""/""),,2),INDEX(SPLIT(G1213,""/""),,1))"),44729.0)</f>
        <v>44729</v>
      </c>
      <c r="I1213" s="1" t="s">
        <v>85</v>
      </c>
      <c r="J1213" s="4">
        <f>IFERROR(__xludf.DUMMYFUNCTION("DATE(INDEX(SPLIT(I1213,""/""),,3),INDEX(SPLIT(I1213,""/""),,2),INDEX(SPLIT(I1213,""/""),,1))"),44799.0)</f>
        <v>44799</v>
      </c>
      <c r="L1213" s="1">
        <v>0.0</v>
      </c>
      <c r="M1213" s="1" t="s">
        <v>3854</v>
      </c>
      <c r="N1213" s="1"/>
      <c r="O1213" s="1" t="s">
        <v>30</v>
      </c>
      <c r="P1213" s="1" t="s">
        <v>31</v>
      </c>
      <c r="Q1213" s="1" t="s">
        <v>71</v>
      </c>
      <c r="R1213" s="1" t="s">
        <v>71</v>
      </c>
      <c r="S1213" s="1" t="s">
        <v>72</v>
      </c>
      <c r="T1213" s="1" t="s">
        <v>136</v>
      </c>
      <c r="U1213" s="1">
        <v>1.00603613E8</v>
      </c>
      <c r="X1213" s="1" t="s">
        <v>63</v>
      </c>
      <c r="Y1213" s="1" t="s">
        <v>4211</v>
      </c>
      <c r="Z1213" s="1" t="s">
        <v>37</v>
      </c>
    </row>
    <row r="1214" hidden="1">
      <c r="A1214" s="1" t="s">
        <v>4212</v>
      </c>
      <c r="B1214" s="1" t="s">
        <v>4213</v>
      </c>
      <c r="C1214" s="1" t="s">
        <v>4214</v>
      </c>
      <c r="D1214" s="1" t="s">
        <v>27</v>
      </c>
      <c r="E1214" s="1" t="s">
        <v>28</v>
      </c>
      <c r="F1214" s="2">
        <v>1000000.0</v>
      </c>
      <c r="G1214" s="1" t="s">
        <v>275</v>
      </c>
      <c r="H1214" s="4">
        <f>IFERROR(__xludf.DUMMYFUNCTION("DATE(INDEX(SPLIT(G1214,""/""),,3),INDEX(SPLIT(G1214,""/""),,2),INDEX(SPLIT(G1214,""/""),,1))"),44462.0)</f>
        <v>44462</v>
      </c>
      <c r="I1214" s="1" t="s">
        <v>109</v>
      </c>
      <c r="J1214" s="4">
        <f>IFERROR(__xludf.DUMMYFUNCTION("DATE(INDEX(SPLIT(I1214,""/""),,3),INDEX(SPLIT(I1214,""/""),,2),INDEX(SPLIT(I1214,""/""),,1))"),44834.0)</f>
        <v>44834</v>
      </c>
      <c r="L1214" s="1">
        <v>0.0</v>
      </c>
      <c r="M1214" s="1" t="s">
        <v>1303</v>
      </c>
      <c r="N1214" s="1"/>
      <c r="O1214" s="1" t="s">
        <v>30</v>
      </c>
      <c r="P1214" s="1" t="s">
        <v>31</v>
      </c>
      <c r="Q1214" s="1" t="s">
        <v>235</v>
      </c>
      <c r="R1214" s="1" t="s">
        <v>235</v>
      </c>
      <c r="S1214" s="1" t="s">
        <v>236</v>
      </c>
      <c r="T1214" s="1" t="s">
        <v>438</v>
      </c>
      <c r="U1214" s="1">
        <v>1.00609073E8</v>
      </c>
      <c r="X1214" s="1" t="s">
        <v>88</v>
      </c>
      <c r="Y1214" s="1" t="s">
        <v>942</v>
      </c>
      <c r="Z1214" s="1" t="s">
        <v>37</v>
      </c>
    </row>
    <row r="1215">
      <c r="A1215" s="1" t="s">
        <v>4215</v>
      </c>
      <c r="B1215" s="1" t="s">
        <v>1291</v>
      </c>
      <c r="C1215" s="1" t="s">
        <v>4216</v>
      </c>
      <c r="D1215" s="1" t="s">
        <v>78</v>
      </c>
      <c r="E1215" s="1" t="s">
        <v>28</v>
      </c>
      <c r="F1215" s="2">
        <v>1000000.0</v>
      </c>
      <c r="G1215" s="4">
        <v>44837.0</v>
      </c>
      <c r="H1215" s="4">
        <f>IFERROR(__xludf.DUMMYFUNCTION("DATE(INDEX(SPLIT(G1215,""/""),,3),INDEX(SPLIT(G1215,""/""),,2),INDEX(SPLIT(G1215,""/""),,1))"),44630.0)</f>
        <v>44630</v>
      </c>
      <c r="I1215" s="1" t="s">
        <v>607</v>
      </c>
      <c r="J1215" s="4">
        <f>IFERROR(__xludf.DUMMYFUNCTION("DATE(INDEX(SPLIT(I1215,""/""),,3),INDEX(SPLIT(I1215,""/""),,2),INDEX(SPLIT(I1215,""/""),,1))"),44770.0)</f>
        <v>44770</v>
      </c>
      <c r="L1215" s="1">
        <v>0.0</v>
      </c>
      <c r="M1215" s="1" t="s">
        <v>1443</v>
      </c>
      <c r="N1215" s="1"/>
      <c r="O1215" s="1" t="s">
        <v>30</v>
      </c>
      <c r="P1215" s="1" t="s">
        <v>31</v>
      </c>
      <c r="Q1215" s="1" t="s">
        <v>53</v>
      </c>
      <c r="R1215" s="1" t="s">
        <v>53</v>
      </c>
      <c r="S1215" s="1" t="s">
        <v>54</v>
      </c>
      <c r="T1215" s="1" t="s">
        <v>103</v>
      </c>
      <c r="U1215" s="1">
        <v>1.0059033E8</v>
      </c>
      <c r="X1215" s="1" t="s">
        <v>312</v>
      </c>
      <c r="Y1215" s="1" t="s">
        <v>313</v>
      </c>
      <c r="Z1215" s="1" t="s">
        <v>37</v>
      </c>
    </row>
    <row r="1216" hidden="1">
      <c r="A1216" s="1" t="s">
        <v>4217</v>
      </c>
      <c r="B1216" s="1" t="s">
        <v>927</v>
      </c>
      <c r="C1216" s="1" t="s">
        <v>4218</v>
      </c>
      <c r="D1216" s="1" t="s">
        <v>27</v>
      </c>
      <c r="E1216" s="1" t="s">
        <v>28</v>
      </c>
      <c r="F1216" s="2">
        <v>1000000.0</v>
      </c>
      <c r="G1216" s="1" t="s">
        <v>1244</v>
      </c>
      <c r="H1216" s="4">
        <f>IFERROR(__xludf.DUMMYFUNCTION("DATE(INDEX(SPLIT(G1216,""/""),,3),INDEX(SPLIT(G1216,""/""),,2),INDEX(SPLIT(G1216,""/""),,1))"),44742.0)</f>
        <v>44742</v>
      </c>
      <c r="I1216" s="1" t="s">
        <v>203</v>
      </c>
      <c r="J1216" s="4">
        <f>IFERROR(__xludf.DUMMYFUNCTION("DATE(INDEX(SPLIT(I1216,""/""),,3),INDEX(SPLIT(I1216,""/""),,2),INDEX(SPLIT(I1216,""/""),,1))"),44925.0)</f>
        <v>44925</v>
      </c>
      <c r="L1216" s="1">
        <v>0.0</v>
      </c>
      <c r="M1216" s="1" t="s">
        <v>863</v>
      </c>
      <c r="N1216" s="1"/>
      <c r="O1216" s="1" t="s">
        <v>30</v>
      </c>
      <c r="P1216" s="1" t="s">
        <v>31</v>
      </c>
      <c r="Q1216" s="1" t="s">
        <v>32</v>
      </c>
      <c r="R1216" s="1" t="s">
        <v>32</v>
      </c>
      <c r="S1216" s="1" t="s">
        <v>33</v>
      </c>
      <c r="T1216" s="1" t="s">
        <v>831</v>
      </c>
      <c r="U1216" s="1">
        <v>1.00650568E8</v>
      </c>
      <c r="X1216" s="1" t="s">
        <v>117</v>
      </c>
      <c r="Y1216" s="1" t="s">
        <v>863</v>
      </c>
      <c r="Z1216" s="1" t="s">
        <v>37</v>
      </c>
    </row>
    <row r="1217">
      <c r="A1217" s="1" t="s">
        <v>4219</v>
      </c>
      <c r="B1217" s="1" t="s">
        <v>177</v>
      </c>
      <c r="C1217" s="1" t="s">
        <v>4220</v>
      </c>
      <c r="D1217" s="1" t="s">
        <v>27</v>
      </c>
      <c r="E1217" s="1" t="s">
        <v>28</v>
      </c>
      <c r="F1217" s="2">
        <v>1000000.0</v>
      </c>
      <c r="G1217" s="1" t="s">
        <v>1012</v>
      </c>
      <c r="H1217" s="4">
        <f>IFERROR(__xludf.DUMMYFUNCTION("DATE(INDEX(SPLIT(G1217,""/""),,3),INDEX(SPLIT(G1217,""/""),,2),INDEX(SPLIT(G1217,""/""),,1))"),44496.0)</f>
        <v>44496</v>
      </c>
      <c r="I1217" s="1" t="s">
        <v>226</v>
      </c>
      <c r="J1217" s="4">
        <f>IFERROR(__xludf.DUMMYFUNCTION("DATE(INDEX(SPLIT(I1217,""/""),,3),INDEX(SPLIT(I1217,""/""),,2),INDEX(SPLIT(I1217,""/""),,1))"),44771.0)</f>
        <v>44771</v>
      </c>
      <c r="L1217" s="1">
        <v>0.0</v>
      </c>
      <c r="M1217" s="1" t="s">
        <v>1409</v>
      </c>
      <c r="N1217" s="1"/>
      <c r="O1217" s="1" t="s">
        <v>30</v>
      </c>
      <c r="P1217" s="1" t="s">
        <v>31</v>
      </c>
      <c r="Q1217" s="1" t="s">
        <v>71</v>
      </c>
      <c r="R1217" s="1" t="s">
        <v>71</v>
      </c>
      <c r="S1217" s="1" t="s">
        <v>72</v>
      </c>
      <c r="T1217" s="1" t="s">
        <v>73</v>
      </c>
      <c r="U1217" s="1">
        <v>1.00613761E8</v>
      </c>
      <c r="X1217" s="1" t="s">
        <v>74</v>
      </c>
      <c r="Y1217" s="1" t="s">
        <v>1640</v>
      </c>
      <c r="Z1217" s="1" t="s">
        <v>37</v>
      </c>
    </row>
    <row r="1218" hidden="1">
      <c r="A1218" s="1" t="s">
        <v>4221</v>
      </c>
      <c r="B1218" s="1" t="s">
        <v>39</v>
      </c>
      <c r="C1218" s="1" t="s">
        <v>4222</v>
      </c>
      <c r="D1218" s="1" t="s">
        <v>78</v>
      </c>
      <c r="E1218" s="1" t="s">
        <v>28</v>
      </c>
      <c r="F1218" s="2">
        <v>1000000.0</v>
      </c>
      <c r="G1218" s="1" t="s">
        <v>4223</v>
      </c>
      <c r="H1218" s="4">
        <f>IFERROR(__xludf.DUMMYFUNCTION("DATE(INDEX(SPLIT(G1218,""/""),,3),INDEX(SPLIT(G1218,""/""),,2),INDEX(SPLIT(G1218,""/""),,1))"),44134.0)</f>
        <v>44134</v>
      </c>
      <c r="I1218" s="1" t="s">
        <v>4224</v>
      </c>
      <c r="J1218" s="4">
        <f>IFERROR(__xludf.DUMMYFUNCTION("DATE(INDEX(SPLIT(I1218,""/""),,3),INDEX(SPLIT(I1218,""/""),,2),INDEX(SPLIT(I1218,""/""),,1))"),44894.0)</f>
        <v>44894</v>
      </c>
      <c r="L1218" s="1">
        <v>0.0</v>
      </c>
      <c r="M1218" s="1" t="s">
        <v>277</v>
      </c>
      <c r="N1218" s="1"/>
      <c r="O1218" s="1" t="s">
        <v>30</v>
      </c>
      <c r="P1218" s="1" t="s">
        <v>31</v>
      </c>
      <c r="Q1218" s="1" t="s">
        <v>32</v>
      </c>
      <c r="R1218" s="1" t="s">
        <v>32</v>
      </c>
      <c r="S1218" s="1" t="s">
        <v>33</v>
      </c>
      <c r="T1218" s="1" t="s">
        <v>103</v>
      </c>
      <c r="U1218" s="1">
        <v>1.00608828E8</v>
      </c>
      <c r="X1218" s="1" t="s">
        <v>46</v>
      </c>
      <c r="Y1218" s="1" t="s">
        <v>104</v>
      </c>
      <c r="Z1218" s="1" t="s">
        <v>37</v>
      </c>
    </row>
    <row r="1219" hidden="1">
      <c r="A1219" s="1" t="s">
        <v>4225</v>
      </c>
      <c r="B1219" s="1" t="s">
        <v>4080</v>
      </c>
      <c r="C1219" s="1" t="s">
        <v>4226</v>
      </c>
      <c r="D1219" s="1" t="s">
        <v>27</v>
      </c>
      <c r="E1219" s="1" t="s">
        <v>28</v>
      </c>
      <c r="F1219" s="2">
        <v>1000000.0</v>
      </c>
      <c r="G1219" s="1" t="s">
        <v>185</v>
      </c>
      <c r="H1219" s="4">
        <f>IFERROR(__xludf.DUMMYFUNCTION("DATE(INDEX(SPLIT(G1219,""/""),,3),INDEX(SPLIT(G1219,""/""),,2),INDEX(SPLIT(G1219,""/""),,1))"),44741.0)</f>
        <v>44741</v>
      </c>
      <c r="I1219" s="1" t="s">
        <v>999</v>
      </c>
      <c r="J1219" s="4">
        <f>IFERROR(__xludf.DUMMYFUNCTION("DATE(INDEX(SPLIT(I1219,""/""),,3),INDEX(SPLIT(I1219,""/""),,2),INDEX(SPLIT(I1219,""/""),,1))"),44953.0)</f>
        <v>44953</v>
      </c>
      <c r="L1219" s="1">
        <v>0.0</v>
      </c>
      <c r="M1219" s="1" t="s">
        <v>2147</v>
      </c>
      <c r="N1219" s="1"/>
      <c r="O1219" s="1" t="s">
        <v>30</v>
      </c>
      <c r="P1219" s="1" t="s">
        <v>31</v>
      </c>
      <c r="Q1219" s="1" t="s">
        <v>235</v>
      </c>
      <c r="R1219" s="1" t="s">
        <v>235</v>
      </c>
      <c r="S1219" s="1" t="s">
        <v>236</v>
      </c>
      <c r="T1219" s="1" t="s">
        <v>237</v>
      </c>
      <c r="U1219" s="1">
        <v>1.00647935E8</v>
      </c>
      <c r="X1219" s="1" t="s">
        <v>239</v>
      </c>
      <c r="Y1219" s="1" t="s">
        <v>2147</v>
      </c>
      <c r="Z1219" s="1" t="s">
        <v>37</v>
      </c>
    </row>
    <row r="1220" hidden="1">
      <c r="A1220" s="1" t="s">
        <v>4227</v>
      </c>
      <c r="B1220" s="1" t="s">
        <v>377</v>
      </c>
      <c r="C1220" s="1" t="s">
        <v>4228</v>
      </c>
      <c r="D1220" s="1" t="s">
        <v>27</v>
      </c>
      <c r="E1220" s="1" t="s">
        <v>28</v>
      </c>
      <c r="F1220" s="2">
        <v>1000000.0</v>
      </c>
      <c r="G1220" s="4">
        <v>44686.0</v>
      </c>
      <c r="H1220" s="4">
        <f>IFERROR(__xludf.DUMMYFUNCTION("DATE(INDEX(SPLIT(G1220,""/""),,3),INDEX(SPLIT(G1220,""/""),,2),INDEX(SPLIT(G1220,""/""),,1))"),44686.0)</f>
        <v>44686</v>
      </c>
      <c r="I1220" s="4">
        <v>44601.0</v>
      </c>
      <c r="J1220" s="4">
        <f>IFERROR(__xludf.DUMMYFUNCTION("DATE(INDEX(SPLIT(I1220,""/""),,3),INDEX(SPLIT(I1220,""/""),,2),INDEX(SPLIT(I1220,""/""),,1))"),44806.0)</f>
        <v>44806</v>
      </c>
      <c r="L1220" s="1">
        <v>0.0</v>
      </c>
      <c r="M1220" s="1" t="s">
        <v>2147</v>
      </c>
      <c r="N1220" s="1"/>
      <c r="O1220" s="1" t="s">
        <v>30</v>
      </c>
      <c r="P1220" s="1" t="s">
        <v>31</v>
      </c>
      <c r="Q1220" s="1" t="s">
        <v>235</v>
      </c>
      <c r="R1220" s="1" t="s">
        <v>235</v>
      </c>
      <c r="S1220" s="1" t="s">
        <v>236</v>
      </c>
      <c r="T1220" s="1" t="s">
        <v>237</v>
      </c>
      <c r="U1220" s="1">
        <v>1.00647935E8</v>
      </c>
      <c r="V1220" s="1" t="s">
        <v>4229</v>
      </c>
      <c r="W1220" s="1" t="s">
        <v>199</v>
      </c>
      <c r="X1220" s="1" t="s">
        <v>239</v>
      </c>
      <c r="Y1220" s="1" t="s">
        <v>2147</v>
      </c>
      <c r="Z1220" s="1" t="s">
        <v>37</v>
      </c>
    </row>
    <row r="1221" hidden="1">
      <c r="A1221" s="1" t="s">
        <v>4230</v>
      </c>
      <c r="B1221" s="1" t="s">
        <v>497</v>
      </c>
      <c r="C1221" s="1" t="s">
        <v>4231</v>
      </c>
      <c r="D1221" s="1" t="s">
        <v>27</v>
      </c>
      <c r="E1221" s="1" t="s">
        <v>28</v>
      </c>
      <c r="F1221" s="2">
        <v>1000000.0</v>
      </c>
      <c r="G1221" s="1" t="s">
        <v>1244</v>
      </c>
      <c r="H1221" s="4">
        <f>IFERROR(__xludf.DUMMYFUNCTION("DATE(INDEX(SPLIT(G1221,""/""),,3),INDEX(SPLIT(G1221,""/""),,2),INDEX(SPLIT(G1221,""/""),,1))"),44742.0)</f>
        <v>44742</v>
      </c>
      <c r="I1221" s="4">
        <v>44689.0</v>
      </c>
      <c r="J1221" s="4">
        <f>IFERROR(__xludf.DUMMYFUNCTION("DATE(INDEX(SPLIT(I1221,""/""),,3),INDEX(SPLIT(I1221,""/""),,2),INDEX(SPLIT(I1221,""/""),,1))"),44778.0)</f>
        <v>44778</v>
      </c>
      <c r="L1221" s="1">
        <v>0.0</v>
      </c>
      <c r="M1221" s="1" t="s">
        <v>4048</v>
      </c>
      <c r="N1221" s="1"/>
      <c r="O1221" s="1" t="s">
        <v>30</v>
      </c>
      <c r="P1221" s="1" t="s">
        <v>31</v>
      </c>
      <c r="Q1221" s="1" t="s">
        <v>32</v>
      </c>
      <c r="R1221" s="1" t="s">
        <v>32</v>
      </c>
      <c r="S1221" s="1" t="s">
        <v>33</v>
      </c>
      <c r="U1221" s="1">
        <v>1.00610426E8</v>
      </c>
      <c r="X1221" s="1" t="s">
        <v>35</v>
      </c>
      <c r="Y1221" s="1" t="s">
        <v>36</v>
      </c>
      <c r="Z1221" s="1" t="s">
        <v>37</v>
      </c>
    </row>
    <row r="1222">
      <c r="A1222" s="1" t="s">
        <v>4232</v>
      </c>
      <c r="B1222" s="1" t="s">
        <v>427</v>
      </c>
      <c r="C1222" s="1" t="s">
        <v>4233</v>
      </c>
      <c r="D1222" s="1" t="s">
        <v>27</v>
      </c>
      <c r="E1222" s="1" t="s">
        <v>28</v>
      </c>
      <c r="F1222" s="2">
        <v>1000000.0</v>
      </c>
      <c r="G1222" s="1" t="s">
        <v>286</v>
      </c>
      <c r="H1222" s="4">
        <f>IFERROR(__xludf.DUMMYFUNCTION("DATE(INDEX(SPLIT(G1222,""/""),,3),INDEX(SPLIT(G1222,""/""),,2),INDEX(SPLIT(G1222,""/""),,1))"),44609.0)</f>
        <v>44609</v>
      </c>
      <c r="I1222" s="1" t="s">
        <v>1244</v>
      </c>
      <c r="J1222" s="4">
        <f>IFERROR(__xludf.DUMMYFUNCTION("DATE(INDEX(SPLIT(I1222,""/""),,3),INDEX(SPLIT(I1222,""/""),,2),INDEX(SPLIT(I1222,""/""),,1))"),44742.0)</f>
        <v>44742</v>
      </c>
      <c r="L1222" s="1">
        <v>0.0</v>
      </c>
      <c r="M1222" s="1" t="s">
        <v>891</v>
      </c>
      <c r="N1222" s="1"/>
      <c r="O1222" s="1" t="s">
        <v>30</v>
      </c>
      <c r="P1222" s="1" t="s">
        <v>31</v>
      </c>
      <c r="Q1222" s="1" t="s">
        <v>32</v>
      </c>
      <c r="R1222" s="1" t="s">
        <v>32</v>
      </c>
      <c r="S1222" s="1" t="s">
        <v>33</v>
      </c>
      <c r="T1222" s="1" t="s">
        <v>402</v>
      </c>
      <c r="U1222" s="1">
        <v>1.00866856E8</v>
      </c>
      <c r="X1222" s="1" t="s">
        <v>125</v>
      </c>
      <c r="Y1222" s="1" t="s">
        <v>891</v>
      </c>
      <c r="Z1222" s="1" t="s">
        <v>37</v>
      </c>
    </row>
    <row r="1223">
      <c r="A1223" s="1" t="s">
        <v>4234</v>
      </c>
      <c r="B1223" s="1" t="s">
        <v>4235</v>
      </c>
      <c r="C1223" s="1" t="s">
        <v>4236</v>
      </c>
      <c r="D1223" s="1" t="s">
        <v>78</v>
      </c>
      <c r="E1223" s="1" t="s">
        <v>28</v>
      </c>
      <c r="F1223" s="2">
        <v>1000000.0</v>
      </c>
      <c r="G1223" s="1" t="s">
        <v>286</v>
      </c>
      <c r="H1223" s="4">
        <f>IFERROR(__xludf.DUMMYFUNCTION("DATE(INDEX(SPLIT(G1223,""/""),,3),INDEX(SPLIT(G1223,""/""),,2),INDEX(SPLIT(G1223,""/""),,1))"),44609.0)</f>
        <v>44609</v>
      </c>
      <c r="I1223" s="1" t="s">
        <v>226</v>
      </c>
      <c r="J1223" s="4">
        <f>IFERROR(__xludf.DUMMYFUNCTION("DATE(INDEX(SPLIT(I1223,""/""),,3),INDEX(SPLIT(I1223,""/""),,2),INDEX(SPLIT(I1223,""/""),,1))"),44771.0)</f>
        <v>44771</v>
      </c>
      <c r="L1223" s="1">
        <v>0.0</v>
      </c>
      <c r="M1223" s="1" t="s">
        <v>4153</v>
      </c>
      <c r="N1223" s="1"/>
      <c r="O1223" s="1" t="s">
        <v>30</v>
      </c>
      <c r="P1223" s="1" t="s">
        <v>31</v>
      </c>
      <c r="Q1223" s="1" t="s">
        <v>235</v>
      </c>
      <c r="R1223" s="1" t="s">
        <v>235</v>
      </c>
      <c r="S1223" s="1" t="s">
        <v>236</v>
      </c>
      <c r="T1223" s="1" t="s">
        <v>438</v>
      </c>
      <c r="U1223" s="1">
        <v>1.00659524E8</v>
      </c>
      <c r="X1223" s="1" t="s">
        <v>63</v>
      </c>
      <c r="Y1223" s="1" t="s">
        <v>4153</v>
      </c>
      <c r="Z1223" s="1" t="s">
        <v>37</v>
      </c>
    </row>
    <row r="1224" hidden="1">
      <c r="A1224" s="1" t="s">
        <v>4237</v>
      </c>
      <c r="B1224" s="1" t="s">
        <v>2415</v>
      </c>
      <c r="C1224" s="1" t="s">
        <v>4238</v>
      </c>
      <c r="D1224" s="1" t="s">
        <v>122</v>
      </c>
      <c r="E1224" s="1" t="s">
        <v>28</v>
      </c>
      <c r="F1224" s="2">
        <v>1000000.0</v>
      </c>
      <c r="G1224" s="1" t="s">
        <v>1244</v>
      </c>
      <c r="H1224" s="4">
        <f>IFERROR(__xludf.DUMMYFUNCTION("DATE(INDEX(SPLIT(G1224,""/""),,3),INDEX(SPLIT(G1224,""/""),,2),INDEX(SPLIT(G1224,""/""),,1))"),44742.0)</f>
        <v>44742</v>
      </c>
      <c r="I1224" s="1" t="s">
        <v>317</v>
      </c>
      <c r="J1224" s="4">
        <f>IFERROR(__xludf.DUMMYFUNCTION("DATE(INDEX(SPLIT(I1224,""/""),,3),INDEX(SPLIT(I1224,""/""),,2),INDEX(SPLIT(I1224,""/""),,1))"),44862.0)</f>
        <v>44862</v>
      </c>
      <c r="L1224" s="1">
        <v>0.0</v>
      </c>
      <c r="M1224" s="1" t="s">
        <v>1052</v>
      </c>
      <c r="N1224" s="1"/>
      <c r="O1224" s="1" t="s">
        <v>30</v>
      </c>
      <c r="P1224" s="1" t="s">
        <v>31</v>
      </c>
      <c r="Q1224" s="1" t="s">
        <v>235</v>
      </c>
      <c r="R1224" s="1" t="s">
        <v>235</v>
      </c>
      <c r="S1224" s="1" t="s">
        <v>236</v>
      </c>
      <c r="T1224" s="1" t="s">
        <v>237</v>
      </c>
      <c r="U1224" s="1">
        <v>1.00650344E8</v>
      </c>
      <c r="X1224" s="1" t="s">
        <v>239</v>
      </c>
      <c r="Y1224" s="1" t="s">
        <v>4239</v>
      </c>
      <c r="Z1224" s="1" t="s">
        <v>37</v>
      </c>
    </row>
    <row r="1225" hidden="1">
      <c r="A1225" s="1" t="s">
        <v>4240</v>
      </c>
      <c r="B1225" s="1" t="s">
        <v>1762</v>
      </c>
      <c r="C1225" s="1" t="s">
        <v>4241</v>
      </c>
      <c r="D1225" s="1" t="s">
        <v>27</v>
      </c>
      <c r="E1225" s="1" t="s">
        <v>28</v>
      </c>
      <c r="F1225" s="2">
        <v>1000000.0</v>
      </c>
      <c r="G1225" s="1" t="s">
        <v>4242</v>
      </c>
      <c r="H1225" s="4">
        <f>IFERROR(__xludf.DUMMYFUNCTION("DATE(INDEX(SPLIT(G1225,""/""),,3),INDEX(SPLIT(G1225,""/""),,2),INDEX(SPLIT(G1225,""/""),,1))"),44285.0)</f>
        <v>44285</v>
      </c>
      <c r="I1225" s="1" t="s">
        <v>109</v>
      </c>
      <c r="J1225" s="4">
        <f>IFERROR(__xludf.DUMMYFUNCTION("DATE(INDEX(SPLIT(I1225,""/""),,3),INDEX(SPLIT(I1225,""/""),,2),INDEX(SPLIT(I1225,""/""),,1))"),44834.0)</f>
        <v>44834</v>
      </c>
      <c r="L1225" s="1">
        <v>0.0</v>
      </c>
      <c r="M1225" s="1" t="s">
        <v>4243</v>
      </c>
      <c r="N1225" s="1"/>
      <c r="O1225" s="1" t="s">
        <v>30</v>
      </c>
      <c r="P1225" s="1" t="s">
        <v>31</v>
      </c>
      <c r="Q1225" s="1" t="s">
        <v>157</v>
      </c>
      <c r="R1225" s="1" t="s">
        <v>157</v>
      </c>
      <c r="S1225" s="1" t="s">
        <v>158</v>
      </c>
      <c r="T1225" s="1" t="s">
        <v>159</v>
      </c>
      <c r="U1225" s="1">
        <v>1.0058537E8</v>
      </c>
      <c r="X1225" s="1" t="s">
        <v>490</v>
      </c>
      <c r="Y1225" s="1" t="s">
        <v>4244</v>
      </c>
      <c r="Z1225" s="1" t="s">
        <v>37</v>
      </c>
    </row>
    <row r="1226" hidden="1">
      <c r="A1226" s="1" t="s">
        <v>4245</v>
      </c>
      <c r="B1226" s="1" t="s">
        <v>39</v>
      </c>
      <c r="C1226" s="1" t="s">
        <v>4246</v>
      </c>
      <c r="D1226" s="1" t="s">
        <v>27</v>
      </c>
      <c r="E1226" s="1" t="s">
        <v>28</v>
      </c>
      <c r="F1226" s="2">
        <v>1000000.0</v>
      </c>
      <c r="G1226" s="1" t="s">
        <v>286</v>
      </c>
      <c r="H1226" s="4">
        <f>IFERROR(__xludf.DUMMYFUNCTION("DATE(INDEX(SPLIT(G1226,""/""),,3),INDEX(SPLIT(G1226,""/""),,2),INDEX(SPLIT(G1226,""/""),,1))"),44609.0)</f>
        <v>44609</v>
      </c>
      <c r="I1226" s="1" t="s">
        <v>109</v>
      </c>
      <c r="J1226" s="4">
        <f>IFERROR(__xludf.DUMMYFUNCTION("DATE(INDEX(SPLIT(I1226,""/""),,3),INDEX(SPLIT(I1226,""/""),,2),INDEX(SPLIT(I1226,""/""),,1))"),44834.0)</f>
        <v>44834</v>
      </c>
      <c r="L1226" s="1">
        <v>0.0</v>
      </c>
      <c r="M1226" s="1" t="s">
        <v>841</v>
      </c>
      <c r="N1226" s="1"/>
      <c r="O1226" s="1" t="s">
        <v>30</v>
      </c>
      <c r="P1226" s="1" t="s">
        <v>31</v>
      </c>
      <c r="Q1226" s="1" t="s">
        <v>95</v>
      </c>
      <c r="R1226" s="1" t="s">
        <v>95</v>
      </c>
      <c r="S1226" s="1" t="s">
        <v>96</v>
      </c>
      <c r="T1226" s="1" t="s">
        <v>311</v>
      </c>
      <c r="U1226" s="1">
        <v>1.00621664E8</v>
      </c>
      <c r="V1226" s="1" t="s">
        <v>326</v>
      </c>
      <c r="W1226" s="1" t="s">
        <v>45</v>
      </c>
      <c r="X1226" s="1" t="s">
        <v>46</v>
      </c>
      <c r="Y1226" s="1" t="s">
        <v>842</v>
      </c>
      <c r="Z1226" s="1" t="s">
        <v>37</v>
      </c>
    </row>
    <row r="1227" hidden="1">
      <c r="A1227" s="1" t="s">
        <v>4247</v>
      </c>
      <c r="B1227" s="1" t="s">
        <v>3867</v>
      </c>
      <c r="C1227" s="1" t="s">
        <v>4248</v>
      </c>
      <c r="D1227" s="1" t="s">
        <v>27</v>
      </c>
      <c r="E1227" s="1" t="s">
        <v>28</v>
      </c>
      <c r="F1227" s="2">
        <v>1000000.0</v>
      </c>
      <c r="G1227" s="1" t="s">
        <v>418</v>
      </c>
      <c r="H1227" s="4">
        <f>IFERROR(__xludf.DUMMYFUNCTION("DATE(INDEX(SPLIT(G1227,""/""),,3),INDEX(SPLIT(G1227,""/""),,2),INDEX(SPLIT(G1227,""/""),,1))"),44755.0)</f>
        <v>44755</v>
      </c>
      <c r="I1227" s="1" t="s">
        <v>179</v>
      </c>
      <c r="J1227" s="4">
        <f>IFERROR(__xludf.DUMMYFUNCTION("DATE(INDEX(SPLIT(I1227,""/""),,3),INDEX(SPLIT(I1227,""/""),,2),INDEX(SPLIT(I1227,""/""),,1))"),44890.0)</f>
        <v>44890</v>
      </c>
      <c r="L1227" s="1">
        <v>0.0</v>
      </c>
      <c r="M1227" s="1" t="s">
        <v>1792</v>
      </c>
      <c r="N1227" s="1"/>
      <c r="O1227" s="1" t="s">
        <v>30</v>
      </c>
      <c r="P1227" s="1" t="s">
        <v>31</v>
      </c>
      <c r="Q1227" s="1" t="s">
        <v>235</v>
      </c>
      <c r="R1227" s="1" t="s">
        <v>235</v>
      </c>
      <c r="S1227" s="1" t="s">
        <v>236</v>
      </c>
      <c r="U1227" s="1">
        <v>1.00964362E8</v>
      </c>
      <c r="X1227" s="1" t="s">
        <v>88</v>
      </c>
      <c r="Y1227" s="1" t="s">
        <v>2865</v>
      </c>
      <c r="Z1227" s="1" t="s">
        <v>37</v>
      </c>
    </row>
    <row r="1228">
      <c r="A1228" s="1" t="s">
        <v>4249</v>
      </c>
      <c r="B1228" s="1" t="s">
        <v>4250</v>
      </c>
      <c r="C1228" s="1" t="s">
        <v>4251</v>
      </c>
      <c r="D1228" s="1" t="s">
        <v>122</v>
      </c>
      <c r="E1228" s="1" t="s">
        <v>28</v>
      </c>
      <c r="F1228" s="2">
        <v>1000000.0</v>
      </c>
      <c r="G1228" s="4">
        <v>44870.0</v>
      </c>
      <c r="H1228" s="4">
        <f>IFERROR(__xludf.DUMMYFUNCTION("DATE(INDEX(SPLIT(G1228,""/""),,3),INDEX(SPLIT(G1228,""/""),,2),INDEX(SPLIT(G1228,""/""),,1))"),44692.0)</f>
        <v>44692</v>
      </c>
      <c r="I1228" s="1" t="s">
        <v>69</v>
      </c>
      <c r="J1228" s="4">
        <f>IFERROR(__xludf.DUMMYFUNCTION("DATE(INDEX(SPLIT(I1228,""/""),,3),INDEX(SPLIT(I1228,""/""),,2),INDEX(SPLIT(I1228,""/""),,1))"),44773.0)</f>
        <v>44773</v>
      </c>
      <c r="L1228" s="1">
        <v>0.0</v>
      </c>
      <c r="M1228" s="1" t="s">
        <v>2622</v>
      </c>
      <c r="N1228" s="1"/>
      <c r="O1228" s="1" t="s">
        <v>30</v>
      </c>
      <c r="P1228" s="1" t="s">
        <v>31</v>
      </c>
      <c r="Q1228" s="1" t="s">
        <v>71</v>
      </c>
      <c r="R1228" s="1" t="s">
        <v>71</v>
      </c>
      <c r="S1228" s="1" t="s">
        <v>72</v>
      </c>
      <c r="T1228" s="1" t="s">
        <v>73</v>
      </c>
      <c r="U1228" s="1">
        <v>1.01082364E8</v>
      </c>
      <c r="X1228" s="1" t="s">
        <v>63</v>
      </c>
      <c r="Y1228" s="1" t="s">
        <v>2622</v>
      </c>
      <c r="Z1228" s="1" t="s">
        <v>206</v>
      </c>
    </row>
    <row r="1229" hidden="1">
      <c r="A1229" s="1" t="s">
        <v>4252</v>
      </c>
      <c r="B1229" s="1" t="s">
        <v>1050</v>
      </c>
      <c r="C1229" s="1" t="s">
        <v>4253</v>
      </c>
      <c r="D1229" s="1" t="s">
        <v>27</v>
      </c>
      <c r="E1229" s="1" t="s">
        <v>28</v>
      </c>
      <c r="F1229" s="2">
        <v>1000000.0</v>
      </c>
      <c r="G1229" s="1" t="s">
        <v>2629</v>
      </c>
      <c r="H1229" s="4">
        <f>IFERROR(__xludf.DUMMYFUNCTION("DATE(INDEX(SPLIT(G1229,""/""),,3),INDEX(SPLIT(G1229,""/""),,2),INDEX(SPLIT(G1229,""/""),,1))"),44651.0)</f>
        <v>44651</v>
      </c>
      <c r="I1229" s="4">
        <v>44752.0</v>
      </c>
      <c r="J1229" s="4">
        <f>IFERROR(__xludf.DUMMYFUNCTION("DATE(INDEX(SPLIT(I1229,""/""),,3),INDEX(SPLIT(I1229,""/""),,2),INDEX(SPLIT(I1229,""/""),,1))"),44841.0)</f>
        <v>44841</v>
      </c>
      <c r="L1229" s="1">
        <v>0.0</v>
      </c>
      <c r="M1229" s="1" t="s">
        <v>746</v>
      </c>
      <c r="N1229" s="1"/>
      <c r="O1229" s="1" t="s">
        <v>30</v>
      </c>
      <c r="P1229" s="1" t="s">
        <v>31</v>
      </c>
      <c r="Q1229" s="1" t="s">
        <v>235</v>
      </c>
      <c r="R1229" s="1" t="s">
        <v>235</v>
      </c>
      <c r="S1229" s="1" t="s">
        <v>236</v>
      </c>
      <c r="T1229" s="1" t="s">
        <v>237</v>
      </c>
      <c r="U1229" s="1">
        <v>1.00616656E8</v>
      </c>
      <c r="X1229" s="1" t="s">
        <v>239</v>
      </c>
      <c r="Y1229" s="1" t="s">
        <v>746</v>
      </c>
      <c r="Z1229" s="1" t="s">
        <v>206</v>
      </c>
    </row>
    <row r="1230" hidden="1">
      <c r="A1230" s="1" t="s">
        <v>4254</v>
      </c>
      <c r="B1230" s="1" t="s">
        <v>4255</v>
      </c>
      <c r="C1230" s="1" t="s">
        <v>4256</v>
      </c>
      <c r="D1230" s="1" t="s">
        <v>27</v>
      </c>
      <c r="E1230" s="1" t="s">
        <v>28</v>
      </c>
      <c r="F1230" s="2">
        <v>1000000.0</v>
      </c>
      <c r="G1230" s="4">
        <v>44598.0</v>
      </c>
      <c r="H1230" s="4">
        <f>IFERROR(__xludf.DUMMYFUNCTION("DATE(INDEX(SPLIT(G1230,""/""),,3),INDEX(SPLIT(G1230,""/""),,2),INDEX(SPLIT(G1230,""/""),,1))"),44714.0)</f>
        <v>44714</v>
      </c>
      <c r="I1230" s="1" t="s">
        <v>1097</v>
      </c>
      <c r="J1230" s="4">
        <f>IFERROR(__xludf.DUMMYFUNCTION("DATE(INDEX(SPLIT(I1230,""/""),,3),INDEX(SPLIT(I1230,""/""),,2),INDEX(SPLIT(I1230,""/""),,1))"),45107.0)</f>
        <v>45107</v>
      </c>
      <c r="L1230" s="1">
        <v>0.0</v>
      </c>
      <c r="M1230" s="1" t="s">
        <v>4257</v>
      </c>
      <c r="N1230" s="1"/>
      <c r="O1230" s="1" t="s">
        <v>30</v>
      </c>
      <c r="P1230" s="1" t="s">
        <v>31</v>
      </c>
      <c r="Q1230" s="1" t="s">
        <v>188</v>
      </c>
      <c r="R1230" s="1" t="s">
        <v>188</v>
      </c>
      <c r="S1230" s="1" t="s">
        <v>189</v>
      </c>
      <c r="U1230" s="1">
        <v>1.00598931E8</v>
      </c>
      <c r="X1230" s="1" t="s">
        <v>254</v>
      </c>
      <c r="Y1230" s="1" t="s">
        <v>4258</v>
      </c>
      <c r="Z1230" s="1" t="s">
        <v>37</v>
      </c>
    </row>
    <row r="1231">
      <c r="A1231" s="1" t="s">
        <v>4259</v>
      </c>
      <c r="B1231" s="1" t="s">
        <v>4260</v>
      </c>
      <c r="C1231" s="1" t="s">
        <v>4261</v>
      </c>
      <c r="D1231" s="1" t="s">
        <v>68</v>
      </c>
      <c r="E1231" s="1" t="s">
        <v>28</v>
      </c>
      <c r="F1231" s="2">
        <v>1000000.0</v>
      </c>
      <c r="G1231" s="1" t="s">
        <v>233</v>
      </c>
      <c r="H1231" s="4">
        <f>IFERROR(__xludf.DUMMYFUNCTION("DATE(INDEX(SPLIT(G1231,""/""),,3),INDEX(SPLIT(G1231,""/""),,2),INDEX(SPLIT(G1231,""/""),,1))"),44729.0)</f>
        <v>44729</v>
      </c>
      <c r="I1231" s="1" t="s">
        <v>472</v>
      </c>
      <c r="J1231" s="4">
        <f>IFERROR(__xludf.DUMMYFUNCTION("DATE(INDEX(SPLIT(I1231,""/""),,3),INDEX(SPLIT(I1231,""/""),,2),INDEX(SPLIT(I1231,""/""),,1))"),44760.0)</f>
        <v>44760</v>
      </c>
      <c r="L1231" s="1">
        <v>0.0</v>
      </c>
      <c r="M1231" s="1" t="s">
        <v>4262</v>
      </c>
      <c r="N1231" s="1"/>
      <c r="O1231" s="1" t="s">
        <v>30</v>
      </c>
      <c r="P1231" s="1" t="s">
        <v>31</v>
      </c>
      <c r="Q1231" s="1" t="s">
        <v>228</v>
      </c>
      <c r="R1231" s="1" t="s">
        <v>228</v>
      </c>
      <c r="S1231" s="1" t="s">
        <v>229</v>
      </c>
      <c r="T1231" s="1" t="s">
        <v>513</v>
      </c>
      <c r="U1231" s="1">
        <v>1.00639544E8</v>
      </c>
      <c r="X1231" s="1" t="s">
        <v>63</v>
      </c>
      <c r="Y1231" s="1" t="s">
        <v>4263</v>
      </c>
      <c r="Z1231" s="1" t="s">
        <v>206</v>
      </c>
    </row>
    <row r="1232" hidden="1">
      <c r="A1232" s="1" t="s">
        <v>4264</v>
      </c>
      <c r="B1232" s="1" t="s">
        <v>4265</v>
      </c>
      <c r="C1232" s="1" t="s">
        <v>4266</v>
      </c>
      <c r="D1232" s="1" t="s">
        <v>27</v>
      </c>
      <c r="E1232" s="1" t="s">
        <v>28</v>
      </c>
      <c r="F1232" s="2">
        <v>1000000.0</v>
      </c>
      <c r="G1232" s="4">
        <v>44749.0</v>
      </c>
      <c r="H1232" s="4">
        <f>IFERROR(__xludf.DUMMYFUNCTION("DATE(INDEX(SPLIT(G1232,""/""),,3),INDEX(SPLIT(G1232,""/""),,2),INDEX(SPLIT(G1232,""/""),,1))"),44749.0)</f>
        <v>44749</v>
      </c>
      <c r="I1232" s="1" t="s">
        <v>203</v>
      </c>
      <c r="J1232" s="4">
        <f>IFERROR(__xludf.DUMMYFUNCTION("DATE(INDEX(SPLIT(I1232,""/""),,3),INDEX(SPLIT(I1232,""/""),,2),INDEX(SPLIT(I1232,""/""),,1))"),44925.0)</f>
        <v>44925</v>
      </c>
      <c r="L1232" s="1">
        <v>0.0</v>
      </c>
      <c r="M1232" s="1" t="s">
        <v>2831</v>
      </c>
      <c r="N1232" s="1"/>
      <c r="O1232" s="1" t="s">
        <v>30</v>
      </c>
      <c r="P1232" s="1" t="s">
        <v>31</v>
      </c>
      <c r="Q1232" s="1" t="s">
        <v>32</v>
      </c>
      <c r="R1232" s="1" t="s">
        <v>32</v>
      </c>
      <c r="S1232" s="1" t="s">
        <v>33</v>
      </c>
      <c r="U1232" s="1">
        <v>1.0119869E8</v>
      </c>
      <c r="X1232" s="1" t="s">
        <v>63</v>
      </c>
      <c r="Y1232" s="1" t="s">
        <v>3377</v>
      </c>
      <c r="Z1232" s="1" t="s">
        <v>37</v>
      </c>
    </row>
    <row r="1233" hidden="1">
      <c r="A1233" s="1" t="s">
        <v>4267</v>
      </c>
      <c r="B1233" s="1" t="s">
        <v>4268</v>
      </c>
      <c r="C1233" s="1" t="s">
        <v>4269</v>
      </c>
      <c r="D1233" s="1" t="s">
        <v>27</v>
      </c>
      <c r="E1233" s="1" t="s">
        <v>28</v>
      </c>
      <c r="F1233" s="2">
        <v>1000000.0</v>
      </c>
      <c r="G1233" s="4">
        <v>44749.0</v>
      </c>
      <c r="H1233" s="4">
        <f>IFERROR(__xludf.DUMMYFUNCTION("DATE(INDEX(SPLIT(G1233,""/""),,3),INDEX(SPLIT(G1233,""/""),,2),INDEX(SPLIT(G1233,""/""),,1))"),44749.0)</f>
        <v>44749</v>
      </c>
      <c r="I1233" s="1" t="s">
        <v>203</v>
      </c>
      <c r="J1233" s="4">
        <f>IFERROR(__xludf.DUMMYFUNCTION("DATE(INDEX(SPLIT(I1233,""/""),,3),INDEX(SPLIT(I1233,""/""),,2),INDEX(SPLIT(I1233,""/""),,1))"),44925.0)</f>
        <v>44925</v>
      </c>
      <c r="L1233" s="1">
        <v>0.0</v>
      </c>
      <c r="M1233" s="1" t="s">
        <v>3182</v>
      </c>
      <c r="N1233" s="1"/>
      <c r="O1233" s="1" t="s">
        <v>30</v>
      </c>
      <c r="P1233" s="1" t="s">
        <v>31</v>
      </c>
      <c r="Q1233" s="1" t="s">
        <v>32</v>
      </c>
      <c r="R1233" s="1" t="s">
        <v>32</v>
      </c>
      <c r="S1233" s="1" t="s">
        <v>33</v>
      </c>
      <c r="U1233" s="1">
        <v>1.00592587E8</v>
      </c>
      <c r="X1233" s="1" t="s">
        <v>63</v>
      </c>
      <c r="Y1233" s="1" t="s">
        <v>3377</v>
      </c>
      <c r="Z1233" s="1" t="s">
        <v>37</v>
      </c>
    </row>
    <row r="1234" hidden="1">
      <c r="A1234" s="1" t="s">
        <v>4270</v>
      </c>
      <c r="B1234" s="1" t="s">
        <v>516</v>
      </c>
      <c r="C1234" s="1" t="s">
        <v>4271</v>
      </c>
      <c r="D1234" s="1" t="s">
        <v>27</v>
      </c>
      <c r="E1234" s="1" t="s">
        <v>28</v>
      </c>
      <c r="F1234" s="2">
        <v>1000000.0</v>
      </c>
      <c r="G1234" s="4">
        <v>44327.0</v>
      </c>
      <c r="H1234" s="4">
        <f>IFERROR(__xludf.DUMMYFUNCTION("DATE(INDEX(SPLIT(G1234,""/""),,3),INDEX(SPLIT(G1234,""/""),,2),INDEX(SPLIT(G1234,""/""),,1))"),44505.0)</f>
        <v>44505</v>
      </c>
      <c r="I1234" s="1" t="s">
        <v>42</v>
      </c>
      <c r="J1234" s="4">
        <f>IFERROR(__xludf.DUMMYFUNCTION("DATE(INDEX(SPLIT(I1234,""/""),,3),INDEX(SPLIT(I1234,""/""),,2),INDEX(SPLIT(I1234,""/""),,1))"),44926.0)</f>
        <v>44926</v>
      </c>
      <c r="L1234" s="1">
        <v>0.0</v>
      </c>
      <c r="M1234" s="1" t="s">
        <v>2057</v>
      </c>
      <c r="N1234" s="1"/>
      <c r="O1234" s="1" t="s">
        <v>30</v>
      </c>
      <c r="P1234" s="1" t="s">
        <v>31</v>
      </c>
      <c r="Q1234" s="1" t="s">
        <v>71</v>
      </c>
      <c r="R1234" s="1" t="s">
        <v>71</v>
      </c>
      <c r="S1234" s="1" t="s">
        <v>72</v>
      </c>
      <c r="T1234" s="1" t="s">
        <v>136</v>
      </c>
      <c r="U1234" s="1">
        <v>1.01078216E8</v>
      </c>
      <c r="X1234" s="1" t="s">
        <v>74</v>
      </c>
      <c r="Y1234" s="1" t="s">
        <v>2057</v>
      </c>
      <c r="Z1234" s="1" t="s">
        <v>206</v>
      </c>
    </row>
    <row r="1235" hidden="1">
      <c r="A1235" s="1" t="s">
        <v>4272</v>
      </c>
      <c r="B1235" s="1" t="s">
        <v>3639</v>
      </c>
      <c r="C1235" s="1" t="s">
        <v>4273</v>
      </c>
      <c r="D1235" s="1" t="s">
        <v>27</v>
      </c>
      <c r="E1235" s="1" t="s">
        <v>28</v>
      </c>
      <c r="F1235" s="2">
        <v>999999.0</v>
      </c>
      <c r="G1235" s="1" t="s">
        <v>233</v>
      </c>
      <c r="H1235" s="4">
        <f>IFERROR(__xludf.DUMMYFUNCTION("DATE(INDEX(SPLIT(G1235,""/""),,3),INDEX(SPLIT(G1235,""/""),,2),INDEX(SPLIT(G1235,""/""),,1))"),44729.0)</f>
        <v>44729</v>
      </c>
      <c r="I1235" s="1" t="s">
        <v>109</v>
      </c>
      <c r="J1235" s="4">
        <f>IFERROR(__xludf.DUMMYFUNCTION("DATE(INDEX(SPLIT(I1235,""/""),,3),INDEX(SPLIT(I1235,""/""),,2),INDEX(SPLIT(I1235,""/""),,1))"),44834.0)</f>
        <v>44834</v>
      </c>
      <c r="L1235" s="1">
        <v>0.0</v>
      </c>
      <c r="M1235" s="1" t="s">
        <v>4274</v>
      </c>
      <c r="N1235" s="1"/>
      <c r="O1235" s="1" t="s">
        <v>30</v>
      </c>
      <c r="P1235" s="1" t="s">
        <v>31</v>
      </c>
      <c r="Q1235" s="1" t="s">
        <v>235</v>
      </c>
      <c r="R1235" s="1" t="s">
        <v>235</v>
      </c>
      <c r="S1235" s="1" t="s">
        <v>236</v>
      </c>
      <c r="U1235" s="1">
        <v>1.00628891E8</v>
      </c>
      <c r="X1235" s="1" t="s">
        <v>375</v>
      </c>
      <c r="Y1235" s="1" t="s">
        <v>4274</v>
      </c>
      <c r="Z1235" s="1" t="s">
        <v>37</v>
      </c>
    </row>
    <row r="1236" hidden="1">
      <c r="A1236" s="1" t="s">
        <v>4275</v>
      </c>
      <c r="B1236" s="1" t="s">
        <v>4276</v>
      </c>
      <c r="C1236" s="1" t="s">
        <v>4277</v>
      </c>
      <c r="D1236" s="1" t="s">
        <v>27</v>
      </c>
      <c r="E1236" s="1" t="s">
        <v>28</v>
      </c>
      <c r="F1236" s="2">
        <v>995000.0</v>
      </c>
      <c r="G1236" s="4">
        <v>44625.0</v>
      </c>
      <c r="H1236" s="4">
        <f>IFERROR(__xludf.DUMMYFUNCTION("DATE(INDEX(SPLIT(G1236,""/""),,3),INDEX(SPLIT(G1236,""/""),,2),INDEX(SPLIT(G1236,""/""),,1))"),44684.0)</f>
        <v>44684</v>
      </c>
      <c r="I1236" s="1" t="s">
        <v>130</v>
      </c>
      <c r="J1236" s="4">
        <f>IFERROR(__xludf.DUMMYFUNCTION("DATE(INDEX(SPLIT(I1236,""/""),,3),INDEX(SPLIT(I1236,""/""),,2),INDEX(SPLIT(I1236,""/""),,1))"),44804.0)</f>
        <v>44804</v>
      </c>
      <c r="L1236" s="1">
        <v>0.0</v>
      </c>
      <c r="M1236" s="1" t="s">
        <v>1833</v>
      </c>
      <c r="N1236" s="1"/>
      <c r="O1236" s="1" t="s">
        <v>30</v>
      </c>
      <c r="P1236" s="1" t="s">
        <v>31</v>
      </c>
      <c r="Q1236" s="1" t="s">
        <v>53</v>
      </c>
      <c r="R1236" s="1" t="s">
        <v>53</v>
      </c>
      <c r="S1236" s="1" t="s">
        <v>54</v>
      </c>
      <c r="T1236" s="1" t="s">
        <v>634</v>
      </c>
      <c r="U1236" s="1">
        <v>1.0105484E8</v>
      </c>
      <c r="X1236" s="1" t="s">
        <v>490</v>
      </c>
      <c r="Y1236" s="1" t="s">
        <v>1833</v>
      </c>
      <c r="Z1236" s="1" t="s">
        <v>37</v>
      </c>
    </row>
    <row r="1237">
      <c r="A1237" s="1" t="s">
        <v>4278</v>
      </c>
      <c r="B1237" s="1" t="s">
        <v>1542</v>
      </c>
      <c r="C1237" s="1" t="s">
        <v>4279</v>
      </c>
      <c r="D1237" s="1" t="s">
        <v>68</v>
      </c>
      <c r="E1237" s="1" t="s">
        <v>28</v>
      </c>
      <c r="F1237" s="2">
        <v>990000.0</v>
      </c>
      <c r="G1237" s="1" t="s">
        <v>359</v>
      </c>
      <c r="H1237" s="4">
        <f>IFERROR(__xludf.DUMMYFUNCTION("DATE(INDEX(SPLIT(G1237,""/""),,3),INDEX(SPLIT(G1237,""/""),,2),INDEX(SPLIT(G1237,""/""),,1))"),44740.0)</f>
        <v>44740</v>
      </c>
      <c r="I1237" s="1" t="s">
        <v>1141</v>
      </c>
      <c r="J1237" s="4">
        <f>IFERROR(__xludf.DUMMYFUNCTION("DATE(INDEX(SPLIT(I1237,""/""),,3),INDEX(SPLIT(I1237,""/""),,2),INDEX(SPLIT(I1237,""/""),,1))"),44767.0)</f>
        <v>44767</v>
      </c>
      <c r="L1237" s="1">
        <v>0.0</v>
      </c>
      <c r="M1237" s="1" t="s">
        <v>1544</v>
      </c>
      <c r="N1237" s="1"/>
      <c r="O1237" s="1" t="s">
        <v>30</v>
      </c>
      <c r="P1237" s="1" t="s">
        <v>31</v>
      </c>
      <c r="Q1237" s="1" t="s">
        <v>71</v>
      </c>
      <c r="R1237" s="1" t="s">
        <v>71</v>
      </c>
      <c r="S1237" s="1" t="s">
        <v>72</v>
      </c>
      <c r="T1237" s="1" t="s">
        <v>136</v>
      </c>
      <c r="U1237" s="1">
        <v>1.00619692E8</v>
      </c>
      <c r="X1237" s="1" t="s">
        <v>74</v>
      </c>
      <c r="Y1237" s="1" t="s">
        <v>1544</v>
      </c>
      <c r="Z1237" s="1" t="s">
        <v>37</v>
      </c>
    </row>
    <row r="1238">
      <c r="A1238" s="1" t="s">
        <v>4280</v>
      </c>
      <c r="B1238" s="1" t="s">
        <v>4045</v>
      </c>
      <c r="C1238" s="1" t="s">
        <v>4281</v>
      </c>
      <c r="D1238" s="1" t="s">
        <v>122</v>
      </c>
      <c r="E1238" s="1" t="s">
        <v>28</v>
      </c>
      <c r="F1238" s="2">
        <v>990000.0</v>
      </c>
      <c r="G1238" s="1" t="s">
        <v>1058</v>
      </c>
      <c r="H1238" s="4">
        <f>IFERROR(__xludf.DUMMYFUNCTION("DATE(INDEX(SPLIT(G1238,""/""),,3),INDEX(SPLIT(G1238,""/""),,2),INDEX(SPLIT(G1238,""/""),,1))"),44733.0)</f>
        <v>44733</v>
      </c>
      <c r="I1238" s="1" t="s">
        <v>1141</v>
      </c>
      <c r="J1238" s="4">
        <f>IFERROR(__xludf.DUMMYFUNCTION("DATE(INDEX(SPLIT(I1238,""/""),,3),INDEX(SPLIT(I1238,""/""),,2),INDEX(SPLIT(I1238,""/""),,1))"),44767.0)</f>
        <v>44767</v>
      </c>
      <c r="L1238" s="1">
        <v>0.0</v>
      </c>
      <c r="M1238" s="1" t="s">
        <v>4282</v>
      </c>
      <c r="N1238" s="1"/>
      <c r="O1238" s="1" t="s">
        <v>30</v>
      </c>
      <c r="P1238" s="1" t="s">
        <v>31</v>
      </c>
      <c r="Q1238" s="1" t="s">
        <v>53</v>
      </c>
      <c r="R1238" s="1" t="s">
        <v>53</v>
      </c>
      <c r="S1238" s="1" t="s">
        <v>54</v>
      </c>
      <c r="T1238" s="1" t="s">
        <v>55</v>
      </c>
      <c r="U1238" s="1">
        <v>1.01238292E8</v>
      </c>
      <c r="X1238" s="1" t="s">
        <v>35</v>
      </c>
      <c r="Y1238" s="1" t="s">
        <v>4283</v>
      </c>
      <c r="Z1238" s="1" t="s">
        <v>37</v>
      </c>
    </row>
    <row r="1239" hidden="1">
      <c r="A1239" s="1" t="s">
        <v>4284</v>
      </c>
      <c r="B1239" s="1" t="s">
        <v>1854</v>
      </c>
      <c r="C1239" s="1" t="s">
        <v>4285</v>
      </c>
      <c r="D1239" s="1" t="s">
        <v>122</v>
      </c>
      <c r="E1239" s="1" t="s">
        <v>28</v>
      </c>
      <c r="F1239" s="2">
        <v>985000.0</v>
      </c>
      <c r="G1239" s="4">
        <v>44261.0</v>
      </c>
      <c r="H1239" s="4">
        <f>IFERROR(__xludf.DUMMYFUNCTION("DATE(INDEX(SPLIT(G1239,""/""),,3),INDEX(SPLIT(G1239,""/""),,2),INDEX(SPLIT(G1239,""/""),,1))"),44350.0)</f>
        <v>44350</v>
      </c>
      <c r="I1239" s="4">
        <v>44689.0</v>
      </c>
      <c r="J1239" s="4">
        <f>IFERROR(__xludf.DUMMYFUNCTION("DATE(INDEX(SPLIT(I1239,""/""),,3),INDEX(SPLIT(I1239,""/""),,2),INDEX(SPLIT(I1239,""/""),,1))"),44778.0)</f>
        <v>44778</v>
      </c>
      <c r="L1239" s="1">
        <v>0.0</v>
      </c>
      <c r="M1239" s="1" t="s">
        <v>2448</v>
      </c>
      <c r="N1239" s="1"/>
      <c r="O1239" s="1" t="s">
        <v>30</v>
      </c>
      <c r="P1239" s="1" t="s">
        <v>31</v>
      </c>
      <c r="Q1239" s="1" t="s">
        <v>53</v>
      </c>
      <c r="R1239" s="1" t="s">
        <v>53</v>
      </c>
      <c r="S1239" s="1" t="s">
        <v>54</v>
      </c>
      <c r="T1239" s="1" t="s">
        <v>197</v>
      </c>
      <c r="U1239" s="1">
        <v>1.00584032E8</v>
      </c>
      <c r="X1239" s="1" t="s">
        <v>63</v>
      </c>
      <c r="Y1239" s="1" t="s">
        <v>2448</v>
      </c>
      <c r="Z1239" s="1" t="s">
        <v>37</v>
      </c>
    </row>
    <row r="1240" hidden="1">
      <c r="A1240" s="1" t="s">
        <v>4286</v>
      </c>
      <c r="B1240" s="1" t="s">
        <v>3429</v>
      </c>
      <c r="C1240" s="1" t="s">
        <v>4287</v>
      </c>
      <c r="D1240" s="1" t="s">
        <v>78</v>
      </c>
      <c r="E1240" s="1" t="s">
        <v>28</v>
      </c>
      <c r="F1240" s="2">
        <v>984000.0</v>
      </c>
      <c r="G1240" s="1" t="s">
        <v>4288</v>
      </c>
      <c r="H1240" s="4">
        <f>IFERROR(__xludf.DUMMYFUNCTION("DATE(INDEX(SPLIT(G1240,""/""),,3),INDEX(SPLIT(G1240,""/""),,2),INDEX(SPLIT(G1240,""/""),,1))"),44254.0)</f>
        <v>44254</v>
      </c>
      <c r="I1240" s="1" t="s">
        <v>109</v>
      </c>
      <c r="J1240" s="4">
        <f>IFERROR(__xludf.DUMMYFUNCTION("DATE(INDEX(SPLIT(I1240,""/""),,3),INDEX(SPLIT(I1240,""/""),,2),INDEX(SPLIT(I1240,""/""),,1))"),44834.0)</f>
        <v>44834</v>
      </c>
      <c r="L1240" s="1">
        <v>0.0</v>
      </c>
      <c r="M1240" s="1" t="s">
        <v>61</v>
      </c>
      <c r="N1240" s="1"/>
      <c r="O1240" s="1" t="s">
        <v>30</v>
      </c>
      <c r="P1240" s="1" t="s">
        <v>31</v>
      </c>
      <c r="Q1240" s="1" t="s">
        <v>32</v>
      </c>
      <c r="R1240" s="1" t="s">
        <v>32</v>
      </c>
      <c r="S1240" s="1" t="s">
        <v>33</v>
      </c>
      <c r="T1240" s="1" t="s">
        <v>640</v>
      </c>
      <c r="U1240" s="1">
        <v>1.0060843E8</v>
      </c>
      <c r="X1240" s="1" t="s">
        <v>63</v>
      </c>
      <c r="Y1240" s="1" t="s">
        <v>4289</v>
      </c>
      <c r="Z1240" s="1" t="s">
        <v>37</v>
      </c>
    </row>
    <row r="1241" hidden="1">
      <c r="A1241" s="1" t="s">
        <v>4290</v>
      </c>
      <c r="B1241" s="1" t="s">
        <v>1692</v>
      </c>
      <c r="C1241" s="1" t="s">
        <v>4291</v>
      </c>
      <c r="D1241" s="1" t="s">
        <v>78</v>
      </c>
      <c r="E1241" s="1" t="s">
        <v>28</v>
      </c>
      <c r="F1241" s="2">
        <v>980000.0</v>
      </c>
      <c r="G1241" s="4">
        <v>44568.0</v>
      </c>
      <c r="H1241" s="4">
        <f>IFERROR(__xludf.DUMMYFUNCTION("DATE(INDEX(SPLIT(G1241,""/""),,3),INDEX(SPLIT(G1241,""/""),,2),INDEX(SPLIT(G1241,""/""),,1))"),44743.0)</f>
        <v>44743</v>
      </c>
      <c r="I1241" s="1" t="s">
        <v>134</v>
      </c>
      <c r="J1241" s="4">
        <f>IFERROR(__xludf.DUMMYFUNCTION("DATE(INDEX(SPLIT(I1241,""/""),,3),INDEX(SPLIT(I1241,""/""),,2),INDEX(SPLIT(I1241,""/""),,1))"),44792.0)</f>
        <v>44792</v>
      </c>
      <c r="L1241" s="1">
        <v>0.0</v>
      </c>
      <c r="M1241" s="1" t="s">
        <v>1200</v>
      </c>
      <c r="N1241" s="1"/>
      <c r="O1241" s="1" t="s">
        <v>30</v>
      </c>
      <c r="P1241" s="1" t="s">
        <v>31</v>
      </c>
      <c r="Q1241" s="1" t="s">
        <v>235</v>
      </c>
      <c r="R1241" s="1" t="s">
        <v>235</v>
      </c>
      <c r="S1241" s="1" t="s">
        <v>236</v>
      </c>
      <c r="U1241" s="1">
        <v>1.00586959E8</v>
      </c>
      <c r="X1241" s="1" t="s">
        <v>88</v>
      </c>
      <c r="Y1241" s="1" t="s">
        <v>1200</v>
      </c>
      <c r="Z1241" s="1" t="s">
        <v>37</v>
      </c>
    </row>
    <row r="1242" hidden="1">
      <c r="A1242" s="1" t="s">
        <v>4292</v>
      </c>
      <c r="B1242" s="1" t="s">
        <v>1748</v>
      </c>
      <c r="C1242" s="1" t="s">
        <v>4293</v>
      </c>
      <c r="D1242" s="1" t="s">
        <v>27</v>
      </c>
      <c r="E1242" s="1" t="s">
        <v>28</v>
      </c>
      <c r="F1242" s="2">
        <v>975000.0</v>
      </c>
      <c r="G1242" s="1" t="s">
        <v>4294</v>
      </c>
      <c r="H1242" s="4">
        <f>IFERROR(__xludf.DUMMYFUNCTION("DATE(INDEX(SPLIT(G1242,""/""),,3),INDEX(SPLIT(G1242,""/""),,2),INDEX(SPLIT(G1242,""/""),,1))"),44133.0)</f>
        <v>44133</v>
      </c>
      <c r="I1242" s="1" t="s">
        <v>1750</v>
      </c>
      <c r="J1242" s="4">
        <f>IFERROR(__xludf.DUMMYFUNCTION("DATE(INDEX(SPLIT(I1242,""/""),,3),INDEX(SPLIT(I1242,""/""),,2),INDEX(SPLIT(I1242,""/""),,1))"),44802.0)</f>
        <v>44802</v>
      </c>
      <c r="L1242" s="1">
        <v>0.0</v>
      </c>
      <c r="M1242" s="1" t="s">
        <v>3860</v>
      </c>
      <c r="N1242" s="1"/>
      <c r="O1242" s="1" t="s">
        <v>30</v>
      </c>
      <c r="P1242" s="1" t="s">
        <v>31</v>
      </c>
      <c r="Q1242" s="1" t="s">
        <v>235</v>
      </c>
      <c r="R1242" s="1" t="s">
        <v>235</v>
      </c>
      <c r="S1242" s="1" t="s">
        <v>236</v>
      </c>
      <c r="T1242" s="1" t="s">
        <v>753</v>
      </c>
      <c r="U1242" s="1">
        <v>1.00636461E8</v>
      </c>
      <c r="X1242" s="1" t="s">
        <v>88</v>
      </c>
      <c r="Y1242" s="1" t="s">
        <v>3860</v>
      </c>
      <c r="Z1242" s="1" t="s">
        <v>37</v>
      </c>
    </row>
    <row r="1243">
      <c r="A1243" s="1" t="s">
        <v>4295</v>
      </c>
      <c r="B1243" s="1" t="s">
        <v>1216</v>
      </c>
      <c r="C1243" s="1" t="s">
        <v>4296</v>
      </c>
      <c r="D1243" s="1" t="s">
        <v>68</v>
      </c>
      <c r="E1243" s="1" t="s">
        <v>28</v>
      </c>
      <c r="F1243" s="2">
        <v>975000.0</v>
      </c>
      <c r="G1243" s="4">
        <v>44622.0</v>
      </c>
      <c r="H1243" s="4">
        <f>IFERROR(__xludf.DUMMYFUNCTION("DATE(INDEX(SPLIT(G1243,""/""),,3),INDEX(SPLIT(G1243,""/""),,2),INDEX(SPLIT(G1243,""/""),,1))"),44595.0)</f>
        <v>44595</v>
      </c>
      <c r="I1243" s="1" t="s">
        <v>226</v>
      </c>
      <c r="J1243" s="4">
        <f>IFERROR(__xludf.DUMMYFUNCTION("DATE(INDEX(SPLIT(I1243,""/""),,3),INDEX(SPLIT(I1243,""/""),,2),INDEX(SPLIT(I1243,""/""),,1))"),44771.0)</f>
        <v>44771</v>
      </c>
      <c r="L1243" s="1">
        <v>0.0</v>
      </c>
      <c r="M1243" s="1" t="s">
        <v>4297</v>
      </c>
      <c r="N1243" s="1"/>
      <c r="O1243" s="1" t="s">
        <v>30</v>
      </c>
      <c r="P1243" s="1" t="s">
        <v>31</v>
      </c>
      <c r="Q1243" s="1" t="s">
        <v>235</v>
      </c>
      <c r="R1243" s="1" t="s">
        <v>235</v>
      </c>
      <c r="S1243" s="1" t="s">
        <v>236</v>
      </c>
      <c r="T1243" s="1" t="s">
        <v>438</v>
      </c>
      <c r="U1243" s="1">
        <v>1.00622174E8</v>
      </c>
      <c r="X1243" s="1" t="s">
        <v>88</v>
      </c>
      <c r="Y1243" s="1" t="s">
        <v>4297</v>
      </c>
      <c r="Z1243" s="1" t="s">
        <v>37</v>
      </c>
    </row>
    <row r="1244">
      <c r="A1244" s="1" t="s">
        <v>4298</v>
      </c>
      <c r="B1244" s="1" t="s">
        <v>3820</v>
      </c>
      <c r="C1244" s="1" t="s">
        <v>4299</v>
      </c>
      <c r="D1244" s="1" t="s">
        <v>122</v>
      </c>
      <c r="E1244" s="1" t="s">
        <v>28</v>
      </c>
      <c r="F1244" s="2">
        <v>975000.0</v>
      </c>
      <c r="G1244" s="4">
        <v>44625.0</v>
      </c>
      <c r="H1244" s="4">
        <f>IFERROR(__xludf.DUMMYFUNCTION("DATE(INDEX(SPLIT(G1244,""/""),,3),INDEX(SPLIT(G1244,""/""),,2),INDEX(SPLIT(G1244,""/""),,1))"),44684.0)</f>
        <v>44684</v>
      </c>
      <c r="I1244" s="1" t="s">
        <v>1141</v>
      </c>
      <c r="J1244" s="4">
        <f>IFERROR(__xludf.DUMMYFUNCTION("DATE(INDEX(SPLIT(I1244,""/""),,3),INDEX(SPLIT(I1244,""/""),,2),INDEX(SPLIT(I1244,""/""),,1))"),44767.0)</f>
        <v>44767</v>
      </c>
      <c r="L1244" s="1">
        <v>0.0</v>
      </c>
      <c r="M1244" s="1" t="s">
        <v>1918</v>
      </c>
      <c r="N1244" s="1"/>
      <c r="O1244" s="1" t="s">
        <v>30</v>
      </c>
      <c r="P1244" s="1" t="s">
        <v>31</v>
      </c>
      <c r="Q1244" s="1" t="s">
        <v>53</v>
      </c>
      <c r="R1244" s="1" t="s">
        <v>53</v>
      </c>
      <c r="S1244" s="1" t="s">
        <v>54</v>
      </c>
      <c r="T1244" s="1" t="s">
        <v>1386</v>
      </c>
      <c r="U1244" s="1">
        <v>1.00638639E8</v>
      </c>
      <c r="X1244" s="1" t="s">
        <v>88</v>
      </c>
      <c r="Y1244" s="1" t="s">
        <v>4300</v>
      </c>
      <c r="Z1244" s="1" t="s">
        <v>206</v>
      </c>
    </row>
    <row r="1245" hidden="1">
      <c r="A1245" s="1" t="s">
        <v>4301</v>
      </c>
      <c r="B1245" s="1" t="s">
        <v>521</v>
      </c>
      <c r="C1245" s="1" t="s">
        <v>4302</v>
      </c>
      <c r="D1245" s="1" t="s">
        <v>27</v>
      </c>
      <c r="E1245" s="1" t="s">
        <v>28</v>
      </c>
      <c r="F1245" s="2">
        <v>960000.0</v>
      </c>
      <c r="G1245" s="4">
        <v>44420.0</v>
      </c>
      <c r="H1245" s="4">
        <f>IFERROR(__xludf.DUMMYFUNCTION("DATE(INDEX(SPLIT(G1245,""/""),,3),INDEX(SPLIT(G1245,""/""),,2),INDEX(SPLIT(G1245,""/""),,1))"),44538.0)</f>
        <v>44538</v>
      </c>
      <c r="I1245" s="1" t="s">
        <v>569</v>
      </c>
      <c r="J1245" s="4">
        <f>IFERROR(__xludf.DUMMYFUNCTION("DATE(INDEX(SPLIT(I1245,""/""),,3),INDEX(SPLIT(I1245,""/""),,2),INDEX(SPLIT(I1245,""/""),,1))"),45016.0)</f>
        <v>45016</v>
      </c>
      <c r="L1245" s="1">
        <v>0.0</v>
      </c>
      <c r="M1245" s="1" t="s">
        <v>524</v>
      </c>
      <c r="N1245" s="1"/>
      <c r="O1245" s="1" t="s">
        <v>30</v>
      </c>
      <c r="P1245" s="1" t="s">
        <v>31</v>
      </c>
      <c r="Q1245" s="1" t="s">
        <v>32</v>
      </c>
      <c r="R1245" s="1" t="s">
        <v>32</v>
      </c>
      <c r="S1245" s="1" t="s">
        <v>33</v>
      </c>
      <c r="U1245" s="1">
        <v>1.00627768E8</v>
      </c>
      <c r="V1245" s="1" t="s">
        <v>522</v>
      </c>
      <c r="W1245" s="1" t="s">
        <v>199</v>
      </c>
      <c r="X1245" s="1" t="s">
        <v>81</v>
      </c>
      <c r="Y1245" s="1" t="s">
        <v>526</v>
      </c>
      <c r="Z1245" s="1" t="s">
        <v>527</v>
      </c>
    </row>
    <row r="1246" hidden="1">
      <c r="A1246" s="1" t="s">
        <v>4303</v>
      </c>
      <c r="B1246" s="1" t="s">
        <v>4101</v>
      </c>
      <c r="C1246" s="1" t="s">
        <v>3759</v>
      </c>
      <c r="D1246" s="1" t="s">
        <v>27</v>
      </c>
      <c r="E1246" s="1" t="s">
        <v>28</v>
      </c>
      <c r="F1246" s="2">
        <v>950000.0</v>
      </c>
      <c r="G1246" s="4">
        <v>44899.0</v>
      </c>
      <c r="H1246" s="4">
        <f>IFERROR(__xludf.DUMMYFUNCTION("DATE(INDEX(SPLIT(G1246,""/""),,3),INDEX(SPLIT(G1246,""/""),,2),INDEX(SPLIT(G1246,""/""),,1))"),44663.0)</f>
        <v>44663</v>
      </c>
      <c r="I1246" s="1" t="s">
        <v>293</v>
      </c>
      <c r="J1246" s="4">
        <f>IFERROR(__xludf.DUMMYFUNCTION("DATE(INDEX(SPLIT(I1246,""/""),,3),INDEX(SPLIT(I1246,""/""),,2),INDEX(SPLIT(I1246,""/""),,1))"),44918.0)</f>
        <v>44918</v>
      </c>
      <c r="L1246" s="1">
        <v>0.0</v>
      </c>
      <c r="M1246" s="1" t="s">
        <v>3182</v>
      </c>
      <c r="N1246" s="1"/>
      <c r="O1246" s="1" t="s">
        <v>30</v>
      </c>
      <c r="P1246" s="1" t="s">
        <v>31</v>
      </c>
      <c r="Q1246" s="1" t="s">
        <v>32</v>
      </c>
      <c r="R1246" s="1" t="s">
        <v>32</v>
      </c>
      <c r="S1246" s="1" t="s">
        <v>33</v>
      </c>
      <c r="T1246" s="1" t="s">
        <v>3759</v>
      </c>
      <c r="U1246" s="1">
        <v>1.00592587E8</v>
      </c>
      <c r="X1246" s="1" t="s">
        <v>312</v>
      </c>
      <c r="Y1246" s="1" t="s">
        <v>4304</v>
      </c>
      <c r="Z1246" s="1" t="s">
        <v>37</v>
      </c>
    </row>
    <row r="1247" hidden="1">
      <c r="A1247" s="1" t="s">
        <v>4305</v>
      </c>
      <c r="B1247" s="1" t="s">
        <v>3180</v>
      </c>
      <c r="C1247" s="1" t="s">
        <v>3759</v>
      </c>
      <c r="D1247" s="1" t="s">
        <v>27</v>
      </c>
      <c r="E1247" s="1" t="s">
        <v>28</v>
      </c>
      <c r="F1247" s="2">
        <v>950000.0</v>
      </c>
      <c r="G1247" s="4">
        <v>44899.0</v>
      </c>
      <c r="H1247" s="4">
        <f>IFERROR(__xludf.DUMMYFUNCTION("DATE(INDEX(SPLIT(G1247,""/""),,3),INDEX(SPLIT(G1247,""/""),,2),INDEX(SPLIT(G1247,""/""),,1))"),44663.0)</f>
        <v>44663</v>
      </c>
      <c r="I1247" s="1" t="s">
        <v>293</v>
      </c>
      <c r="J1247" s="4">
        <f>IFERROR(__xludf.DUMMYFUNCTION("DATE(INDEX(SPLIT(I1247,""/""),,3),INDEX(SPLIT(I1247,""/""),,2),INDEX(SPLIT(I1247,""/""),,1))"),44918.0)</f>
        <v>44918</v>
      </c>
      <c r="L1247" s="1">
        <v>0.0</v>
      </c>
      <c r="M1247" s="1" t="s">
        <v>3182</v>
      </c>
      <c r="N1247" s="1"/>
      <c r="O1247" s="1" t="s">
        <v>30</v>
      </c>
      <c r="P1247" s="1" t="s">
        <v>31</v>
      </c>
      <c r="Q1247" s="1" t="s">
        <v>32</v>
      </c>
      <c r="R1247" s="1" t="s">
        <v>32</v>
      </c>
      <c r="S1247" s="1" t="s">
        <v>33</v>
      </c>
      <c r="T1247" s="1" t="s">
        <v>3759</v>
      </c>
      <c r="U1247" s="1">
        <v>1.00592587E8</v>
      </c>
      <c r="X1247" s="1" t="s">
        <v>63</v>
      </c>
      <c r="Y1247" s="1" t="s">
        <v>4304</v>
      </c>
      <c r="Z1247" s="1" t="s">
        <v>37</v>
      </c>
    </row>
    <row r="1248" hidden="1">
      <c r="A1248" s="1" t="s">
        <v>4306</v>
      </c>
      <c r="B1248" s="1" t="s">
        <v>4307</v>
      </c>
      <c r="C1248" s="1" t="s">
        <v>3759</v>
      </c>
      <c r="D1248" s="1" t="s">
        <v>27</v>
      </c>
      <c r="E1248" s="1" t="s">
        <v>28</v>
      </c>
      <c r="F1248" s="2">
        <v>950000.0</v>
      </c>
      <c r="G1248" s="4">
        <v>44899.0</v>
      </c>
      <c r="H1248" s="4">
        <f>IFERROR(__xludf.DUMMYFUNCTION("DATE(INDEX(SPLIT(G1248,""/""),,3),INDEX(SPLIT(G1248,""/""),,2),INDEX(SPLIT(G1248,""/""),,1))"),44663.0)</f>
        <v>44663</v>
      </c>
      <c r="I1248" s="1" t="s">
        <v>293</v>
      </c>
      <c r="J1248" s="4">
        <f>IFERROR(__xludf.DUMMYFUNCTION("DATE(INDEX(SPLIT(I1248,""/""),,3),INDEX(SPLIT(I1248,""/""),,2),INDEX(SPLIT(I1248,""/""),,1))"),44918.0)</f>
        <v>44918</v>
      </c>
      <c r="L1248" s="1">
        <v>0.0</v>
      </c>
      <c r="M1248" s="1" t="s">
        <v>3182</v>
      </c>
      <c r="N1248" s="1"/>
      <c r="O1248" s="1" t="s">
        <v>30</v>
      </c>
      <c r="P1248" s="1" t="s">
        <v>31</v>
      </c>
      <c r="Q1248" s="1" t="s">
        <v>32</v>
      </c>
      <c r="R1248" s="1" t="s">
        <v>32</v>
      </c>
      <c r="S1248" s="1" t="s">
        <v>33</v>
      </c>
      <c r="T1248" s="1" t="s">
        <v>3759</v>
      </c>
      <c r="U1248" s="1">
        <v>1.00592587E8</v>
      </c>
      <c r="X1248" s="1" t="s">
        <v>125</v>
      </c>
      <c r="Y1248" s="1" t="s">
        <v>4304</v>
      </c>
      <c r="Z1248" s="1" t="s">
        <v>37</v>
      </c>
    </row>
    <row r="1249" hidden="1">
      <c r="A1249" s="1" t="s">
        <v>4308</v>
      </c>
      <c r="B1249" s="1" t="s">
        <v>1492</v>
      </c>
      <c r="C1249" s="1" t="s">
        <v>4309</v>
      </c>
      <c r="D1249" s="1" t="s">
        <v>27</v>
      </c>
      <c r="E1249" s="1" t="s">
        <v>28</v>
      </c>
      <c r="F1249" s="2">
        <v>950000.0</v>
      </c>
      <c r="G1249" s="1" t="s">
        <v>4310</v>
      </c>
      <c r="H1249" s="4">
        <f>IFERROR(__xludf.DUMMYFUNCTION("DATE(INDEX(SPLIT(G1249,""/""),,3),INDEX(SPLIT(G1249,""/""),,2),INDEX(SPLIT(G1249,""/""),,1))"),44070.0)</f>
        <v>44070</v>
      </c>
      <c r="I1249" s="1" t="s">
        <v>535</v>
      </c>
      <c r="J1249" s="4">
        <f>IFERROR(__xludf.DUMMYFUNCTION("DATE(INDEX(SPLIT(I1249,""/""),,3),INDEX(SPLIT(I1249,""/""),,2),INDEX(SPLIT(I1249,""/""),,1))"),44957.0)</f>
        <v>44957</v>
      </c>
      <c r="L1249" s="1">
        <v>0.0</v>
      </c>
      <c r="M1249" s="1" t="s">
        <v>1496</v>
      </c>
      <c r="N1249" s="1"/>
      <c r="O1249" s="1" t="s">
        <v>30</v>
      </c>
      <c r="P1249" s="1" t="s">
        <v>31</v>
      </c>
      <c r="Q1249" s="1" t="s">
        <v>53</v>
      </c>
      <c r="R1249" s="1" t="s">
        <v>53</v>
      </c>
      <c r="S1249" s="1" t="s">
        <v>54</v>
      </c>
      <c r="T1249" s="1" t="s">
        <v>159</v>
      </c>
      <c r="U1249" s="1">
        <v>1.00610014E8</v>
      </c>
      <c r="X1249" s="1" t="s">
        <v>81</v>
      </c>
      <c r="Y1249" s="1" t="s">
        <v>4311</v>
      </c>
      <c r="Z1249" s="1" t="s">
        <v>37</v>
      </c>
    </row>
    <row r="1250" hidden="1">
      <c r="A1250" s="1" t="s">
        <v>4312</v>
      </c>
      <c r="B1250" s="1" t="s">
        <v>4313</v>
      </c>
      <c r="C1250" s="1" t="s">
        <v>3759</v>
      </c>
      <c r="D1250" s="1" t="s">
        <v>27</v>
      </c>
      <c r="E1250" s="1" t="s">
        <v>28</v>
      </c>
      <c r="F1250" s="2">
        <v>950000.0</v>
      </c>
      <c r="G1250" s="4">
        <v>44899.0</v>
      </c>
      <c r="H1250" s="4">
        <f>IFERROR(__xludf.DUMMYFUNCTION("DATE(INDEX(SPLIT(G1250,""/""),,3),INDEX(SPLIT(G1250,""/""),,2),INDEX(SPLIT(G1250,""/""),,1))"),44663.0)</f>
        <v>44663</v>
      </c>
      <c r="I1250" s="1" t="s">
        <v>293</v>
      </c>
      <c r="J1250" s="4">
        <f>IFERROR(__xludf.DUMMYFUNCTION("DATE(INDEX(SPLIT(I1250,""/""),,3),INDEX(SPLIT(I1250,""/""),,2),INDEX(SPLIT(I1250,""/""),,1))"),44918.0)</f>
        <v>44918</v>
      </c>
      <c r="L1250" s="1">
        <v>0.0</v>
      </c>
      <c r="M1250" s="1" t="s">
        <v>3182</v>
      </c>
      <c r="N1250" s="1"/>
      <c r="O1250" s="1" t="s">
        <v>30</v>
      </c>
      <c r="P1250" s="1" t="s">
        <v>31</v>
      </c>
      <c r="Q1250" s="1" t="s">
        <v>32</v>
      </c>
      <c r="R1250" s="1" t="s">
        <v>32</v>
      </c>
      <c r="S1250" s="1" t="s">
        <v>33</v>
      </c>
      <c r="T1250" s="1" t="s">
        <v>3759</v>
      </c>
      <c r="U1250" s="1">
        <v>1.00592587E8</v>
      </c>
      <c r="X1250" s="1" t="s">
        <v>490</v>
      </c>
      <c r="Y1250" s="1" t="s">
        <v>4304</v>
      </c>
      <c r="Z1250" s="1" t="s">
        <v>37</v>
      </c>
    </row>
    <row r="1251" hidden="1">
      <c r="A1251" s="1" t="s">
        <v>4314</v>
      </c>
      <c r="B1251" s="1" t="s">
        <v>1665</v>
      </c>
      <c r="C1251" s="1" t="s">
        <v>4315</v>
      </c>
      <c r="D1251" s="1" t="s">
        <v>78</v>
      </c>
      <c r="E1251" s="1" t="s">
        <v>28</v>
      </c>
      <c r="F1251" s="2">
        <v>950000.0</v>
      </c>
      <c r="G1251" s="4">
        <v>44840.0</v>
      </c>
      <c r="H1251" s="4">
        <f>IFERROR(__xludf.DUMMYFUNCTION("DATE(INDEX(SPLIT(G1251,""/""),,3),INDEX(SPLIT(G1251,""/""),,2),INDEX(SPLIT(G1251,""/""),,1))"),44722.0)</f>
        <v>44722</v>
      </c>
      <c r="I1251" s="1" t="s">
        <v>130</v>
      </c>
      <c r="J1251" s="4">
        <f>IFERROR(__xludf.DUMMYFUNCTION("DATE(INDEX(SPLIT(I1251,""/""),,3),INDEX(SPLIT(I1251,""/""),,2),INDEX(SPLIT(I1251,""/""),,1))"),44804.0)</f>
        <v>44804</v>
      </c>
      <c r="L1251" s="1">
        <v>0.0</v>
      </c>
      <c r="M1251" s="1" t="s">
        <v>4316</v>
      </c>
      <c r="N1251" s="1"/>
      <c r="O1251" s="1" t="s">
        <v>30</v>
      </c>
      <c r="P1251" s="1" t="s">
        <v>31</v>
      </c>
      <c r="Q1251" s="1" t="s">
        <v>157</v>
      </c>
      <c r="R1251" s="1" t="s">
        <v>157</v>
      </c>
      <c r="S1251" s="1" t="s">
        <v>158</v>
      </c>
      <c r="T1251" s="1" t="s">
        <v>442</v>
      </c>
      <c r="U1251" s="1">
        <v>1.00694303E8</v>
      </c>
      <c r="X1251" s="1" t="s">
        <v>490</v>
      </c>
      <c r="Y1251" s="1" t="s">
        <v>1969</v>
      </c>
      <c r="Z1251" s="1" t="s">
        <v>37</v>
      </c>
    </row>
    <row r="1252">
      <c r="A1252" s="1" t="s">
        <v>4317</v>
      </c>
      <c r="B1252" s="1" t="s">
        <v>66</v>
      </c>
      <c r="C1252" s="1" t="s">
        <v>4318</v>
      </c>
      <c r="D1252" s="1" t="s">
        <v>27</v>
      </c>
      <c r="E1252" s="1" t="s">
        <v>28</v>
      </c>
      <c r="F1252" s="2">
        <v>950000.0</v>
      </c>
      <c r="G1252" s="1" t="s">
        <v>271</v>
      </c>
      <c r="H1252" s="4">
        <f>IFERROR(__xludf.DUMMYFUNCTION("DATE(INDEX(SPLIT(G1252,""/""),,3),INDEX(SPLIT(G1252,""/""),,2),INDEX(SPLIT(G1252,""/""),,1))"),44680.0)</f>
        <v>44680</v>
      </c>
      <c r="I1252" s="1" t="s">
        <v>1244</v>
      </c>
      <c r="J1252" s="4">
        <f>IFERROR(__xludf.DUMMYFUNCTION("DATE(INDEX(SPLIT(I1252,""/""),,3),INDEX(SPLIT(I1252,""/""),,2),INDEX(SPLIT(I1252,""/""),,1))"),44742.0)</f>
        <v>44742</v>
      </c>
      <c r="L1252" s="1">
        <v>0.0</v>
      </c>
      <c r="M1252" s="1" t="s">
        <v>70</v>
      </c>
      <c r="N1252" s="1"/>
      <c r="O1252" s="1" t="s">
        <v>30</v>
      </c>
      <c r="P1252" s="1" t="s">
        <v>31</v>
      </c>
      <c r="Q1252" s="1" t="s">
        <v>71</v>
      </c>
      <c r="R1252" s="1" t="s">
        <v>71</v>
      </c>
      <c r="S1252" s="1" t="s">
        <v>72</v>
      </c>
      <c r="T1252" s="1" t="s">
        <v>73</v>
      </c>
      <c r="U1252" s="1">
        <v>1.00640331E8</v>
      </c>
      <c r="X1252" s="1" t="s">
        <v>74</v>
      </c>
      <c r="Y1252" s="1" t="s">
        <v>4319</v>
      </c>
      <c r="Z1252" s="1" t="s">
        <v>37</v>
      </c>
    </row>
    <row r="1253">
      <c r="A1253" s="1" t="s">
        <v>4320</v>
      </c>
      <c r="B1253" s="1" t="s">
        <v>4321</v>
      </c>
      <c r="C1253" s="1" t="s">
        <v>4322</v>
      </c>
      <c r="D1253" s="1" t="s">
        <v>78</v>
      </c>
      <c r="E1253" s="1" t="s">
        <v>28</v>
      </c>
      <c r="F1253" s="2">
        <v>950000.0</v>
      </c>
      <c r="G1253" s="1" t="s">
        <v>619</v>
      </c>
      <c r="H1253" s="4">
        <f>IFERROR(__xludf.DUMMYFUNCTION("DATE(INDEX(SPLIT(G1253,""/""),,3),INDEX(SPLIT(G1253,""/""),,2),INDEX(SPLIT(G1253,""/""),,1))"),44490.0)</f>
        <v>44490</v>
      </c>
      <c r="I1253" s="1" t="s">
        <v>226</v>
      </c>
      <c r="J1253" s="4">
        <f>IFERROR(__xludf.DUMMYFUNCTION("DATE(INDEX(SPLIT(I1253,""/""),,3),INDEX(SPLIT(I1253,""/""),,2),INDEX(SPLIT(I1253,""/""),,1))"),44771.0)</f>
        <v>44771</v>
      </c>
      <c r="L1253" s="1">
        <v>0.0</v>
      </c>
      <c r="M1253" s="1" t="s">
        <v>4323</v>
      </c>
      <c r="N1253" s="1"/>
      <c r="O1253" s="1" t="s">
        <v>30</v>
      </c>
      <c r="P1253" s="1" t="s">
        <v>31</v>
      </c>
      <c r="Q1253" s="1" t="s">
        <v>157</v>
      </c>
      <c r="R1253" s="1" t="s">
        <v>157</v>
      </c>
      <c r="S1253" s="1" t="s">
        <v>158</v>
      </c>
      <c r="U1253" s="1">
        <v>1.00607244E8</v>
      </c>
      <c r="X1253" s="1" t="s">
        <v>305</v>
      </c>
      <c r="Y1253" s="1" t="s">
        <v>4324</v>
      </c>
      <c r="Z1253" s="1" t="s">
        <v>37</v>
      </c>
    </row>
    <row r="1254" hidden="1">
      <c r="A1254" s="1" t="s">
        <v>4325</v>
      </c>
      <c r="B1254" s="1" t="s">
        <v>4326</v>
      </c>
      <c r="C1254" s="1" t="s">
        <v>4327</v>
      </c>
      <c r="D1254" s="1" t="s">
        <v>27</v>
      </c>
      <c r="E1254" s="1" t="s">
        <v>28</v>
      </c>
      <c r="F1254" s="2">
        <v>950000.0</v>
      </c>
      <c r="G1254" s="4">
        <v>44685.0</v>
      </c>
      <c r="H1254" s="4">
        <f>IFERROR(__xludf.DUMMYFUNCTION("DATE(INDEX(SPLIT(G1254,""/""),,3),INDEX(SPLIT(G1254,""/""),,2),INDEX(SPLIT(G1254,""/""),,1))"),44656.0)</f>
        <v>44656</v>
      </c>
      <c r="I1254" s="4">
        <v>44601.0</v>
      </c>
      <c r="J1254" s="4">
        <f>IFERROR(__xludf.DUMMYFUNCTION("DATE(INDEX(SPLIT(I1254,""/""),,3),INDEX(SPLIT(I1254,""/""),,2),INDEX(SPLIT(I1254,""/""),,1))"),44806.0)</f>
        <v>44806</v>
      </c>
      <c r="L1254" s="1">
        <v>0.0</v>
      </c>
      <c r="M1254" s="1" t="s">
        <v>4328</v>
      </c>
      <c r="N1254" s="1"/>
      <c r="O1254" s="1" t="s">
        <v>30</v>
      </c>
      <c r="P1254" s="1" t="s">
        <v>31</v>
      </c>
      <c r="Q1254" s="1" t="s">
        <v>32</v>
      </c>
      <c r="R1254" s="1" t="s">
        <v>32</v>
      </c>
      <c r="S1254" s="1" t="s">
        <v>33</v>
      </c>
      <c r="T1254" s="1" t="s">
        <v>1195</v>
      </c>
      <c r="U1254" s="1">
        <v>1.00581763E8</v>
      </c>
      <c r="X1254" s="1" t="s">
        <v>490</v>
      </c>
      <c r="Y1254" s="1" t="s">
        <v>4328</v>
      </c>
      <c r="Z1254" s="1" t="s">
        <v>37</v>
      </c>
    </row>
    <row r="1255" hidden="1">
      <c r="A1255" s="1" t="s">
        <v>4329</v>
      </c>
      <c r="B1255" s="1" t="s">
        <v>4330</v>
      </c>
      <c r="C1255" s="1" t="s">
        <v>4331</v>
      </c>
      <c r="D1255" s="1" t="s">
        <v>27</v>
      </c>
      <c r="E1255" s="1" t="s">
        <v>28</v>
      </c>
      <c r="F1255" s="2">
        <v>950000.0</v>
      </c>
      <c r="G1255" s="4">
        <v>44352.0</v>
      </c>
      <c r="H1255" s="4">
        <f>IFERROR(__xludf.DUMMYFUNCTION("DATE(INDEX(SPLIT(G1255,""/""),,3),INDEX(SPLIT(G1255,""/""),,2),INDEX(SPLIT(G1255,""/""),,1))"),44322.0)</f>
        <v>44322</v>
      </c>
      <c r="I1255" s="1" t="s">
        <v>203</v>
      </c>
      <c r="J1255" s="4">
        <f>IFERROR(__xludf.DUMMYFUNCTION("DATE(INDEX(SPLIT(I1255,""/""),,3),INDEX(SPLIT(I1255,""/""),,2),INDEX(SPLIT(I1255,""/""),,1))"),44925.0)</f>
        <v>44925</v>
      </c>
      <c r="L1255" s="1">
        <v>0.0</v>
      </c>
      <c r="M1255" s="1" t="s">
        <v>620</v>
      </c>
      <c r="N1255" s="1"/>
      <c r="O1255" s="1" t="s">
        <v>30</v>
      </c>
      <c r="P1255" s="1" t="s">
        <v>31</v>
      </c>
      <c r="Q1255" s="1" t="s">
        <v>32</v>
      </c>
      <c r="R1255" s="1" t="s">
        <v>32</v>
      </c>
      <c r="S1255" s="1" t="s">
        <v>33</v>
      </c>
      <c r="T1255" s="1" t="s">
        <v>159</v>
      </c>
      <c r="U1255" s="1">
        <v>1.00609607E8</v>
      </c>
      <c r="X1255" s="1" t="s">
        <v>361</v>
      </c>
      <c r="Y1255" s="1" t="s">
        <v>4311</v>
      </c>
      <c r="Z1255" s="1" t="s">
        <v>37</v>
      </c>
    </row>
    <row r="1256" hidden="1">
      <c r="A1256" s="1" t="s">
        <v>4332</v>
      </c>
      <c r="B1256" s="1" t="s">
        <v>645</v>
      </c>
      <c r="C1256" s="1" t="s">
        <v>4333</v>
      </c>
      <c r="D1256" s="1" t="s">
        <v>27</v>
      </c>
      <c r="E1256" s="1" t="s">
        <v>28</v>
      </c>
      <c r="F1256" s="2">
        <v>950000.0</v>
      </c>
      <c r="G1256" s="4">
        <v>44898.0</v>
      </c>
      <c r="H1256" s="4">
        <f>IFERROR(__xludf.DUMMYFUNCTION("DATE(INDEX(SPLIT(G1256,""/""),,3),INDEX(SPLIT(G1256,""/""),,2),INDEX(SPLIT(G1256,""/""),,1))"),44632.0)</f>
        <v>44632</v>
      </c>
      <c r="I1256" s="1" t="s">
        <v>109</v>
      </c>
      <c r="J1256" s="4">
        <f>IFERROR(__xludf.DUMMYFUNCTION("DATE(INDEX(SPLIT(I1256,""/""),,3),INDEX(SPLIT(I1256,""/""),,2),INDEX(SPLIT(I1256,""/""),,1))"),44834.0)</f>
        <v>44834</v>
      </c>
      <c r="L1256" s="1">
        <v>0.0</v>
      </c>
      <c r="M1256" s="1" t="s">
        <v>467</v>
      </c>
      <c r="N1256" s="1"/>
      <c r="O1256" s="1" t="s">
        <v>30</v>
      </c>
      <c r="P1256" s="1" t="s">
        <v>31</v>
      </c>
      <c r="Q1256" s="1" t="s">
        <v>32</v>
      </c>
      <c r="R1256" s="1" t="s">
        <v>32</v>
      </c>
      <c r="S1256" s="1" t="s">
        <v>33</v>
      </c>
      <c r="T1256" s="1" t="s">
        <v>4334</v>
      </c>
      <c r="U1256" s="1">
        <v>1.00619817E8</v>
      </c>
      <c r="X1256" s="1" t="s">
        <v>289</v>
      </c>
      <c r="Y1256" s="1" t="s">
        <v>467</v>
      </c>
      <c r="Z1256" s="1" t="s">
        <v>37</v>
      </c>
    </row>
    <row r="1257" hidden="1">
      <c r="A1257" s="1" t="s">
        <v>4335</v>
      </c>
      <c r="B1257" s="1" t="s">
        <v>246</v>
      </c>
      <c r="C1257" s="1" t="s">
        <v>4336</v>
      </c>
      <c r="D1257" s="1" t="s">
        <v>27</v>
      </c>
      <c r="E1257" s="1" t="s">
        <v>28</v>
      </c>
      <c r="F1257" s="2">
        <v>950000.0</v>
      </c>
      <c r="G1257" s="4">
        <v>44896.0</v>
      </c>
      <c r="H1257" s="4">
        <f>IFERROR(__xludf.DUMMYFUNCTION("DATE(INDEX(SPLIT(G1257,""/""),,3),INDEX(SPLIT(G1257,""/""),,2),INDEX(SPLIT(G1257,""/""),,1))"),44573.0)</f>
        <v>44573</v>
      </c>
      <c r="I1257" s="1" t="s">
        <v>203</v>
      </c>
      <c r="J1257" s="4">
        <f>IFERROR(__xludf.DUMMYFUNCTION("DATE(INDEX(SPLIT(I1257,""/""),,3),INDEX(SPLIT(I1257,""/""),,2),INDEX(SPLIT(I1257,""/""),,1))"),44925.0)</f>
        <v>44925</v>
      </c>
      <c r="L1257" s="1">
        <v>0.0</v>
      </c>
      <c r="M1257" s="1" t="s">
        <v>156</v>
      </c>
      <c r="N1257" s="1"/>
      <c r="O1257" s="1" t="s">
        <v>30</v>
      </c>
      <c r="P1257" s="1" t="s">
        <v>31</v>
      </c>
      <c r="Q1257" s="1" t="s">
        <v>157</v>
      </c>
      <c r="R1257" s="1" t="s">
        <v>157</v>
      </c>
      <c r="S1257" s="1" t="s">
        <v>158</v>
      </c>
      <c r="U1257" s="1">
        <v>1.00619165E8</v>
      </c>
      <c r="X1257" s="1" t="s">
        <v>35</v>
      </c>
      <c r="Y1257" s="1" t="s">
        <v>4311</v>
      </c>
      <c r="Z1257" s="1" t="s">
        <v>37</v>
      </c>
    </row>
    <row r="1258" hidden="1">
      <c r="A1258" s="1" t="s">
        <v>4337</v>
      </c>
      <c r="B1258" s="1" t="s">
        <v>83</v>
      </c>
      <c r="C1258" s="1" t="s">
        <v>4338</v>
      </c>
      <c r="D1258" s="1" t="s">
        <v>122</v>
      </c>
      <c r="E1258" s="1" t="s">
        <v>28</v>
      </c>
      <c r="F1258" s="2">
        <v>950000.0</v>
      </c>
      <c r="G1258" s="1" t="s">
        <v>271</v>
      </c>
      <c r="H1258" s="4">
        <f>IFERROR(__xludf.DUMMYFUNCTION("DATE(INDEX(SPLIT(G1258,""/""),,3),INDEX(SPLIT(G1258,""/""),,2),INDEX(SPLIT(G1258,""/""),,1))"),44680.0)</f>
        <v>44680</v>
      </c>
      <c r="I1258" s="1" t="s">
        <v>85</v>
      </c>
      <c r="J1258" s="4">
        <f>IFERROR(__xludf.DUMMYFUNCTION("DATE(INDEX(SPLIT(I1258,""/""),,3),INDEX(SPLIT(I1258,""/""),,2),INDEX(SPLIT(I1258,""/""),,1))"),44799.0)</f>
        <v>44799</v>
      </c>
      <c r="L1258" s="1">
        <v>0.0</v>
      </c>
      <c r="M1258" s="1" t="s">
        <v>4339</v>
      </c>
      <c r="N1258" s="1"/>
      <c r="O1258" s="1" t="s">
        <v>30</v>
      </c>
      <c r="P1258" s="1" t="s">
        <v>31</v>
      </c>
      <c r="Q1258" s="1" t="s">
        <v>53</v>
      </c>
      <c r="R1258" s="1" t="s">
        <v>53</v>
      </c>
      <c r="S1258" s="1" t="s">
        <v>54</v>
      </c>
      <c r="U1258" s="1">
        <v>1.00655236E8</v>
      </c>
      <c r="X1258" s="1" t="s">
        <v>88</v>
      </c>
      <c r="Y1258" s="1" t="s">
        <v>2456</v>
      </c>
      <c r="Z1258" s="1" t="s">
        <v>37</v>
      </c>
    </row>
    <row r="1259" hidden="1">
      <c r="A1259" s="1" t="s">
        <v>4340</v>
      </c>
      <c r="B1259" s="1" t="s">
        <v>1809</v>
      </c>
      <c r="C1259" s="1" t="s">
        <v>4341</v>
      </c>
      <c r="D1259" s="1" t="s">
        <v>27</v>
      </c>
      <c r="E1259" s="1" t="s">
        <v>28</v>
      </c>
      <c r="F1259" s="2">
        <v>950000.0</v>
      </c>
      <c r="G1259" s="1" t="s">
        <v>2891</v>
      </c>
      <c r="H1259" s="4">
        <f>IFERROR(__xludf.DUMMYFUNCTION("DATE(INDEX(SPLIT(G1259,""/""),,3),INDEX(SPLIT(G1259,""/""),,2),INDEX(SPLIT(G1259,""/""),,1))"),44455.0)</f>
        <v>44455</v>
      </c>
      <c r="I1259" s="4">
        <v>44570.0</v>
      </c>
      <c r="J1259" s="4">
        <f>IFERROR(__xludf.DUMMYFUNCTION("DATE(INDEX(SPLIT(I1259,""/""),,3),INDEX(SPLIT(I1259,""/""),,2),INDEX(SPLIT(I1259,""/""),,1))"),44805.0)</f>
        <v>44805</v>
      </c>
      <c r="L1259" s="1">
        <v>0.0</v>
      </c>
      <c r="M1259" s="1" t="s">
        <v>620</v>
      </c>
      <c r="N1259" s="1"/>
      <c r="O1259" s="1" t="s">
        <v>30</v>
      </c>
      <c r="P1259" s="1" t="s">
        <v>31</v>
      </c>
      <c r="Q1259" s="1" t="s">
        <v>32</v>
      </c>
      <c r="R1259" s="1" t="s">
        <v>32</v>
      </c>
      <c r="S1259" s="1" t="s">
        <v>33</v>
      </c>
      <c r="T1259" s="1" t="s">
        <v>159</v>
      </c>
      <c r="U1259" s="1">
        <v>1.00609607E8</v>
      </c>
      <c r="X1259" s="1" t="s">
        <v>81</v>
      </c>
      <c r="Y1259" s="1" t="s">
        <v>740</v>
      </c>
      <c r="Z1259" s="1" t="s">
        <v>37</v>
      </c>
    </row>
    <row r="1260" hidden="1">
      <c r="A1260" s="1" t="s">
        <v>4342</v>
      </c>
      <c r="B1260" s="1" t="s">
        <v>127</v>
      </c>
      <c r="C1260" s="1" t="s">
        <v>4343</v>
      </c>
      <c r="D1260" s="1" t="s">
        <v>27</v>
      </c>
      <c r="E1260" s="1" t="s">
        <v>28</v>
      </c>
      <c r="F1260" s="2">
        <v>950000.0</v>
      </c>
      <c r="G1260" s="1" t="s">
        <v>298</v>
      </c>
      <c r="H1260" s="4">
        <f>IFERROR(__xludf.DUMMYFUNCTION("DATE(INDEX(SPLIT(G1260,""/""),,3),INDEX(SPLIT(G1260,""/""),,2),INDEX(SPLIT(G1260,""/""),,1))"),44762.0)</f>
        <v>44762</v>
      </c>
      <c r="I1260" s="1" t="s">
        <v>203</v>
      </c>
      <c r="J1260" s="4">
        <f>IFERROR(__xludf.DUMMYFUNCTION("DATE(INDEX(SPLIT(I1260,""/""),,3),INDEX(SPLIT(I1260,""/""),,2),INDEX(SPLIT(I1260,""/""),,1))"),44925.0)</f>
        <v>44925</v>
      </c>
      <c r="L1260" s="1">
        <v>0.0</v>
      </c>
      <c r="M1260" s="1" t="s">
        <v>620</v>
      </c>
      <c r="N1260" s="1"/>
      <c r="O1260" s="1" t="s">
        <v>30</v>
      </c>
      <c r="P1260" s="1" t="s">
        <v>31</v>
      </c>
      <c r="Q1260" s="1" t="s">
        <v>32</v>
      </c>
      <c r="R1260" s="1" t="s">
        <v>32</v>
      </c>
      <c r="S1260" s="1" t="s">
        <v>33</v>
      </c>
      <c r="U1260" s="1">
        <v>1.00609607E8</v>
      </c>
      <c r="X1260" s="1" t="s">
        <v>81</v>
      </c>
      <c r="Y1260" s="1" t="s">
        <v>4311</v>
      </c>
      <c r="Z1260" s="1" t="s">
        <v>37</v>
      </c>
    </row>
    <row r="1261" hidden="1">
      <c r="A1261" s="1" t="s">
        <v>4344</v>
      </c>
      <c r="B1261" s="1" t="s">
        <v>4345</v>
      </c>
      <c r="C1261" s="1" t="s">
        <v>3759</v>
      </c>
      <c r="D1261" s="1" t="s">
        <v>27</v>
      </c>
      <c r="E1261" s="1" t="s">
        <v>28</v>
      </c>
      <c r="F1261" s="2">
        <v>950000.0</v>
      </c>
      <c r="G1261" s="1" t="s">
        <v>4346</v>
      </c>
      <c r="H1261" s="4">
        <f>IFERROR(__xludf.DUMMYFUNCTION("DATE(INDEX(SPLIT(G1261,""/""),,3),INDEX(SPLIT(G1261,""/""),,2),INDEX(SPLIT(G1261,""/""),,1))"),44765.0)</f>
        <v>44765</v>
      </c>
      <c r="I1261" s="1" t="s">
        <v>293</v>
      </c>
      <c r="J1261" s="4">
        <f>IFERROR(__xludf.DUMMYFUNCTION("DATE(INDEX(SPLIT(I1261,""/""),,3),INDEX(SPLIT(I1261,""/""),,2),INDEX(SPLIT(I1261,""/""),,1))"),44918.0)</f>
        <v>44918</v>
      </c>
      <c r="L1261" s="1">
        <v>0.0</v>
      </c>
      <c r="M1261" s="1" t="s">
        <v>3182</v>
      </c>
      <c r="N1261" s="1"/>
      <c r="O1261" s="1" t="s">
        <v>30</v>
      </c>
      <c r="P1261" s="1" t="s">
        <v>31</v>
      </c>
      <c r="Q1261" s="1" t="s">
        <v>32</v>
      </c>
      <c r="R1261" s="1" t="s">
        <v>32</v>
      </c>
      <c r="S1261" s="1" t="s">
        <v>33</v>
      </c>
      <c r="T1261" s="1" t="s">
        <v>3759</v>
      </c>
      <c r="U1261" s="1">
        <v>1.00592587E8</v>
      </c>
      <c r="X1261" s="1" t="s">
        <v>125</v>
      </c>
      <c r="Y1261" s="1" t="s">
        <v>4304</v>
      </c>
      <c r="Z1261" s="1" t="s">
        <v>37</v>
      </c>
    </row>
    <row r="1262" hidden="1">
      <c r="A1262" s="1" t="s">
        <v>4347</v>
      </c>
      <c r="B1262" s="1" t="s">
        <v>4348</v>
      </c>
      <c r="C1262" s="1" t="s">
        <v>3759</v>
      </c>
      <c r="D1262" s="1" t="s">
        <v>27</v>
      </c>
      <c r="E1262" s="1" t="s">
        <v>28</v>
      </c>
      <c r="F1262" s="2">
        <v>950000.0</v>
      </c>
      <c r="G1262" s="1" t="s">
        <v>4346</v>
      </c>
      <c r="H1262" s="4">
        <f>IFERROR(__xludf.DUMMYFUNCTION("DATE(INDEX(SPLIT(G1262,""/""),,3),INDEX(SPLIT(G1262,""/""),,2),INDEX(SPLIT(G1262,""/""),,1))"),44765.0)</f>
        <v>44765</v>
      </c>
      <c r="I1262" s="1" t="s">
        <v>293</v>
      </c>
      <c r="J1262" s="4">
        <f>IFERROR(__xludf.DUMMYFUNCTION("DATE(INDEX(SPLIT(I1262,""/""),,3),INDEX(SPLIT(I1262,""/""),,2),INDEX(SPLIT(I1262,""/""),,1))"),44918.0)</f>
        <v>44918</v>
      </c>
      <c r="L1262" s="1">
        <v>0.0</v>
      </c>
      <c r="M1262" s="1" t="s">
        <v>3182</v>
      </c>
      <c r="N1262" s="1"/>
      <c r="O1262" s="1" t="s">
        <v>30</v>
      </c>
      <c r="P1262" s="1" t="s">
        <v>31</v>
      </c>
      <c r="Q1262" s="1" t="s">
        <v>32</v>
      </c>
      <c r="R1262" s="1" t="s">
        <v>32</v>
      </c>
      <c r="S1262" s="1" t="s">
        <v>33</v>
      </c>
      <c r="T1262" s="1" t="s">
        <v>3759</v>
      </c>
      <c r="U1262" s="1">
        <v>1.00592587E8</v>
      </c>
      <c r="X1262" s="1" t="s">
        <v>490</v>
      </c>
      <c r="Y1262" s="1" t="s">
        <v>4304</v>
      </c>
      <c r="Z1262" s="1" t="s">
        <v>37</v>
      </c>
    </row>
    <row r="1263" hidden="1">
      <c r="A1263" s="1" t="s">
        <v>4349</v>
      </c>
      <c r="B1263" s="1" t="s">
        <v>4350</v>
      </c>
      <c r="C1263" s="1" t="s">
        <v>3759</v>
      </c>
      <c r="D1263" s="1" t="s">
        <v>27</v>
      </c>
      <c r="E1263" s="1" t="s">
        <v>28</v>
      </c>
      <c r="F1263" s="2">
        <v>950000.0</v>
      </c>
      <c r="G1263" s="1" t="s">
        <v>4346</v>
      </c>
      <c r="H1263" s="4">
        <f>IFERROR(__xludf.DUMMYFUNCTION("DATE(INDEX(SPLIT(G1263,""/""),,3),INDEX(SPLIT(G1263,""/""),,2),INDEX(SPLIT(G1263,""/""),,1))"),44765.0)</f>
        <v>44765</v>
      </c>
      <c r="I1263" s="1" t="s">
        <v>293</v>
      </c>
      <c r="J1263" s="4">
        <f>IFERROR(__xludf.DUMMYFUNCTION("DATE(INDEX(SPLIT(I1263,""/""),,3),INDEX(SPLIT(I1263,""/""),,2),INDEX(SPLIT(I1263,""/""),,1))"),44918.0)</f>
        <v>44918</v>
      </c>
      <c r="L1263" s="1">
        <v>0.0</v>
      </c>
      <c r="M1263" s="1" t="s">
        <v>3182</v>
      </c>
      <c r="N1263" s="1"/>
      <c r="O1263" s="1" t="s">
        <v>30</v>
      </c>
      <c r="P1263" s="1" t="s">
        <v>31</v>
      </c>
      <c r="Q1263" s="1" t="s">
        <v>32</v>
      </c>
      <c r="R1263" s="1" t="s">
        <v>32</v>
      </c>
      <c r="S1263" s="1" t="s">
        <v>33</v>
      </c>
      <c r="T1263" s="1" t="s">
        <v>3759</v>
      </c>
      <c r="U1263" s="1">
        <v>1.00592587E8</v>
      </c>
      <c r="X1263" s="1" t="s">
        <v>125</v>
      </c>
      <c r="Y1263" s="1" t="s">
        <v>4304</v>
      </c>
      <c r="Z1263" s="1" t="s">
        <v>37</v>
      </c>
    </row>
    <row r="1264" hidden="1">
      <c r="A1264" s="1" t="s">
        <v>4351</v>
      </c>
      <c r="B1264" s="1" t="s">
        <v>4352</v>
      </c>
      <c r="C1264" s="1" t="s">
        <v>3759</v>
      </c>
      <c r="D1264" s="1" t="s">
        <v>27</v>
      </c>
      <c r="E1264" s="1" t="s">
        <v>28</v>
      </c>
      <c r="F1264" s="2">
        <v>950000.0</v>
      </c>
      <c r="G1264" s="1" t="s">
        <v>4346</v>
      </c>
      <c r="H1264" s="4">
        <f>IFERROR(__xludf.DUMMYFUNCTION("DATE(INDEX(SPLIT(G1264,""/""),,3),INDEX(SPLIT(G1264,""/""),,2),INDEX(SPLIT(G1264,""/""),,1))"),44765.0)</f>
        <v>44765</v>
      </c>
      <c r="I1264" s="1" t="s">
        <v>293</v>
      </c>
      <c r="J1264" s="4">
        <f>IFERROR(__xludf.DUMMYFUNCTION("DATE(INDEX(SPLIT(I1264,""/""),,3),INDEX(SPLIT(I1264,""/""),,2),INDEX(SPLIT(I1264,""/""),,1))"),44918.0)</f>
        <v>44918</v>
      </c>
      <c r="L1264" s="1">
        <v>0.0</v>
      </c>
      <c r="M1264" s="1" t="s">
        <v>3182</v>
      </c>
      <c r="N1264" s="1"/>
      <c r="O1264" s="1" t="s">
        <v>30</v>
      </c>
      <c r="P1264" s="1" t="s">
        <v>31</v>
      </c>
      <c r="Q1264" s="1" t="s">
        <v>32</v>
      </c>
      <c r="R1264" s="1" t="s">
        <v>32</v>
      </c>
      <c r="S1264" s="1" t="s">
        <v>33</v>
      </c>
      <c r="T1264" s="1" t="s">
        <v>3759</v>
      </c>
      <c r="U1264" s="1">
        <v>1.00592587E8</v>
      </c>
      <c r="X1264" s="1" t="s">
        <v>490</v>
      </c>
      <c r="Y1264" s="1" t="s">
        <v>4304</v>
      </c>
      <c r="Z1264" s="1" t="s">
        <v>37</v>
      </c>
    </row>
    <row r="1265" hidden="1">
      <c r="A1265" s="1" t="s">
        <v>4353</v>
      </c>
      <c r="B1265" s="1" t="s">
        <v>4354</v>
      </c>
      <c r="C1265" s="1" t="s">
        <v>3759</v>
      </c>
      <c r="D1265" s="1" t="s">
        <v>27</v>
      </c>
      <c r="E1265" s="1" t="s">
        <v>28</v>
      </c>
      <c r="F1265" s="2">
        <v>950000.0</v>
      </c>
      <c r="G1265" s="1" t="s">
        <v>4346</v>
      </c>
      <c r="H1265" s="4">
        <f>IFERROR(__xludf.DUMMYFUNCTION("DATE(INDEX(SPLIT(G1265,""/""),,3),INDEX(SPLIT(G1265,""/""),,2),INDEX(SPLIT(G1265,""/""),,1))"),44765.0)</f>
        <v>44765</v>
      </c>
      <c r="I1265" s="1" t="s">
        <v>293</v>
      </c>
      <c r="J1265" s="4">
        <f>IFERROR(__xludf.DUMMYFUNCTION("DATE(INDEX(SPLIT(I1265,""/""),,3),INDEX(SPLIT(I1265,""/""),,2),INDEX(SPLIT(I1265,""/""),,1))"),44918.0)</f>
        <v>44918</v>
      </c>
      <c r="L1265" s="1">
        <v>0.0</v>
      </c>
      <c r="M1265" s="1" t="s">
        <v>3182</v>
      </c>
      <c r="N1265" s="1"/>
      <c r="O1265" s="1" t="s">
        <v>30</v>
      </c>
      <c r="P1265" s="1" t="s">
        <v>31</v>
      </c>
      <c r="Q1265" s="1" t="s">
        <v>32</v>
      </c>
      <c r="R1265" s="1" t="s">
        <v>32</v>
      </c>
      <c r="S1265" s="1" t="s">
        <v>33</v>
      </c>
      <c r="T1265" s="1" t="s">
        <v>3759</v>
      </c>
      <c r="U1265" s="1">
        <v>1.00592587E8</v>
      </c>
      <c r="X1265" s="1" t="s">
        <v>98</v>
      </c>
      <c r="Y1265" s="1" t="s">
        <v>4304</v>
      </c>
      <c r="Z1265" s="1" t="s">
        <v>37</v>
      </c>
    </row>
    <row r="1266" hidden="1">
      <c r="A1266" s="1" t="s">
        <v>4355</v>
      </c>
      <c r="B1266" s="1" t="s">
        <v>4356</v>
      </c>
      <c r="C1266" s="1" t="s">
        <v>3759</v>
      </c>
      <c r="D1266" s="1" t="s">
        <v>27</v>
      </c>
      <c r="E1266" s="1" t="s">
        <v>28</v>
      </c>
      <c r="F1266" s="2">
        <v>950000.0</v>
      </c>
      <c r="G1266" s="1" t="s">
        <v>4346</v>
      </c>
      <c r="H1266" s="4">
        <f>IFERROR(__xludf.DUMMYFUNCTION("DATE(INDEX(SPLIT(G1266,""/""),,3),INDEX(SPLIT(G1266,""/""),,2),INDEX(SPLIT(G1266,""/""),,1))"),44765.0)</f>
        <v>44765</v>
      </c>
      <c r="I1266" s="1" t="s">
        <v>293</v>
      </c>
      <c r="J1266" s="4">
        <f>IFERROR(__xludf.DUMMYFUNCTION("DATE(INDEX(SPLIT(I1266,""/""),,3),INDEX(SPLIT(I1266,""/""),,2),INDEX(SPLIT(I1266,""/""),,1))"),44918.0)</f>
        <v>44918</v>
      </c>
      <c r="L1266" s="1">
        <v>0.0</v>
      </c>
      <c r="M1266" s="1" t="s">
        <v>3182</v>
      </c>
      <c r="N1266" s="1"/>
      <c r="O1266" s="1" t="s">
        <v>30</v>
      </c>
      <c r="P1266" s="1" t="s">
        <v>31</v>
      </c>
      <c r="Q1266" s="1" t="s">
        <v>32</v>
      </c>
      <c r="R1266" s="1" t="s">
        <v>32</v>
      </c>
      <c r="S1266" s="1" t="s">
        <v>33</v>
      </c>
      <c r="T1266" s="1" t="s">
        <v>3759</v>
      </c>
      <c r="U1266" s="1">
        <v>1.00592587E8</v>
      </c>
      <c r="X1266" s="1" t="s">
        <v>289</v>
      </c>
      <c r="Y1266" s="1" t="s">
        <v>4304</v>
      </c>
      <c r="Z1266" s="1" t="s">
        <v>37</v>
      </c>
    </row>
    <row r="1267" hidden="1">
      <c r="A1267" s="1" t="s">
        <v>4357</v>
      </c>
      <c r="B1267" s="1" t="s">
        <v>3472</v>
      </c>
      <c r="C1267" s="1" t="s">
        <v>3759</v>
      </c>
      <c r="D1267" s="1" t="s">
        <v>27</v>
      </c>
      <c r="E1267" s="1" t="s">
        <v>28</v>
      </c>
      <c r="F1267" s="2">
        <v>950000.0</v>
      </c>
      <c r="G1267" s="1" t="s">
        <v>4346</v>
      </c>
      <c r="H1267" s="4">
        <f>IFERROR(__xludf.DUMMYFUNCTION("DATE(INDEX(SPLIT(G1267,""/""),,3),INDEX(SPLIT(G1267,""/""),,2),INDEX(SPLIT(G1267,""/""),,1))"),44765.0)</f>
        <v>44765</v>
      </c>
      <c r="I1267" s="1" t="s">
        <v>293</v>
      </c>
      <c r="J1267" s="4">
        <f>IFERROR(__xludf.DUMMYFUNCTION("DATE(INDEX(SPLIT(I1267,""/""),,3),INDEX(SPLIT(I1267,""/""),,2),INDEX(SPLIT(I1267,""/""),,1))"),44918.0)</f>
        <v>44918</v>
      </c>
      <c r="L1267" s="1">
        <v>0.0</v>
      </c>
      <c r="M1267" s="1" t="s">
        <v>3182</v>
      </c>
      <c r="N1267" s="1"/>
      <c r="O1267" s="1" t="s">
        <v>30</v>
      </c>
      <c r="P1267" s="1" t="s">
        <v>31</v>
      </c>
      <c r="Q1267" s="1" t="s">
        <v>32</v>
      </c>
      <c r="R1267" s="1" t="s">
        <v>32</v>
      </c>
      <c r="S1267" s="1" t="s">
        <v>33</v>
      </c>
      <c r="T1267" s="1" t="s">
        <v>3759</v>
      </c>
      <c r="U1267" s="1">
        <v>1.00592587E8</v>
      </c>
      <c r="X1267" s="1" t="s">
        <v>490</v>
      </c>
      <c r="Y1267" s="1" t="s">
        <v>4304</v>
      </c>
      <c r="Z1267" s="1" t="s">
        <v>37</v>
      </c>
    </row>
    <row r="1268" hidden="1">
      <c r="A1268" s="1" t="s">
        <v>4358</v>
      </c>
      <c r="B1268" s="1" t="s">
        <v>479</v>
      </c>
      <c r="C1268" s="1" t="s">
        <v>3759</v>
      </c>
      <c r="D1268" s="1" t="s">
        <v>27</v>
      </c>
      <c r="E1268" s="1" t="s">
        <v>28</v>
      </c>
      <c r="F1268" s="2">
        <v>950000.0</v>
      </c>
      <c r="G1268" s="1" t="s">
        <v>4346</v>
      </c>
      <c r="H1268" s="4">
        <f>IFERROR(__xludf.DUMMYFUNCTION("DATE(INDEX(SPLIT(G1268,""/""),,3),INDEX(SPLIT(G1268,""/""),,2),INDEX(SPLIT(G1268,""/""),,1))"),44765.0)</f>
        <v>44765</v>
      </c>
      <c r="I1268" s="1" t="s">
        <v>293</v>
      </c>
      <c r="J1268" s="4">
        <f>IFERROR(__xludf.DUMMYFUNCTION("DATE(INDEX(SPLIT(I1268,""/""),,3),INDEX(SPLIT(I1268,""/""),,2),INDEX(SPLIT(I1268,""/""),,1))"),44918.0)</f>
        <v>44918</v>
      </c>
      <c r="L1268" s="1">
        <v>0.0</v>
      </c>
      <c r="M1268" s="1" t="s">
        <v>3182</v>
      </c>
      <c r="N1268" s="1"/>
      <c r="O1268" s="1" t="s">
        <v>30</v>
      </c>
      <c r="P1268" s="1" t="s">
        <v>31</v>
      </c>
      <c r="Q1268" s="1" t="s">
        <v>32</v>
      </c>
      <c r="R1268" s="1" t="s">
        <v>32</v>
      </c>
      <c r="S1268" s="1" t="s">
        <v>33</v>
      </c>
      <c r="T1268" s="1" t="s">
        <v>3759</v>
      </c>
      <c r="U1268" s="1">
        <v>1.00592587E8</v>
      </c>
      <c r="X1268" s="1" t="s">
        <v>312</v>
      </c>
      <c r="Y1268" s="1" t="s">
        <v>4304</v>
      </c>
      <c r="Z1268" s="1" t="s">
        <v>37</v>
      </c>
    </row>
    <row r="1269" hidden="1">
      <c r="A1269" s="1" t="s">
        <v>4359</v>
      </c>
      <c r="B1269" s="1" t="s">
        <v>1665</v>
      </c>
      <c r="C1269" s="1" t="s">
        <v>3759</v>
      </c>
      <c r="D1269" s="1" t="s">
        <v>27</v>
      </c>
      <c r="E1269" s="1" t="s">
        <v>28</v>
      </c>
      <c r="F1269" s="2">
        <v>950000.0</v>
      </c>
      <c r="G1269" s="1" t="s">
        <v>4346</v>
      </c>
      <c r="H1269" s="4">
        <f>IFERROR(__xludf.DUMMYFUNCTION("DATE(INDEX(SPLIT(G1269,""/""),,3),INDEX(SPLIT(G1269,""/""),,2),INDEX(SPLIT(G1269,""/""),,1))"),44765.0)</f>
        <v>44765</v>
      </c>
      <c r="I1269" s="1" t="s">
        <v>293</v>
      </c>
      <c r="J1269" s="4">
        <f>IFERROR(__xludf.DUMMYFUNCTION("DATE(INDEX(SPLIT(I1269,""/""),,3),INDEX(SPLIT(I1269,""/""),,2),INDEX(SPLIT(I1269,""/""),,1))"),44918.0)</f>
        <v>44918</v>
      </c>
      <c r="L1269" s="1">
        <v>0.0</v>
      </c>
      <c r="M1269" s="1" t="s">
        <v>3182</v>
      </c>
      <c r="N1269" s="1"/>
      <c r="O1269" s="1" t="s">
        <v>30</v>
      </c>
      <c r="P1269" s="1" t="s">
        <v>31</v>
      </c>
      <c r="Q1269" s="1" t="s">
        <v>32</v>
      </c>
      <c r="R1269" s="1" t="s">
        <v>32</v>
      </c>
      <c r="S1269" s="1" t="s">
        <v>33</v>
      </c>
      <c r="T1269" s="1" t="s">
        <v>3759</v>
      </c>
      <c r="U1269" s="1">
        <v>1.00592587E8</v>
      </c>
      <c r="X1269" s="1" t="s">
        <v>490</v>
      </c>
      <c r="Y1269" s="1" t="s">
        <v>4304</v>
      </c>
      <c r="Z1269" s="1" t="s">
        <v>37</v>
      </c>
    </row>
    <row r="1270" hidden="1">
      <c r="A1270" s="1" t="s">
        <v>4360</v>
      </c>
      <c r="B1270" s="1" t="s">
        <v>4361</v>
      </c>
      <c r="C1270" s="1" t="s">
        <v>3759</v>
      </c>
      <c r="D1270" s="1" t="s">
        <v>27</v>
      </c>
      <c r="E1270" s="1" t="s">
        <v>28</v>
      </c>
      <c r="F1270" s="2">
        <v>950000.0</v>
      </c>
      <c r="G1270" s="1" t="s">
        <v>4346</v>
      </c>
      <c r="H1270" s="4">
        <f>IFERROR(__xludf.DUMMYFUNCTION("DATE(INDEX(SPLIT(G1270,""/""),,3),INDEX(SPLIT(G1270,""/""),,2),INDEX(SPLIT(G1270,""/""),,1))"),44765.0)</f>
        <v>44765</v>
      </c>
      <c r="I1270" s="1" t="s">
        <v>293</v>
      </c>
      <c r="J1270" s="4">
        <f>IFERROR(__xludf.DUMMYFUNCTION("DATE(INDEX(SPLIT(I1270,""/""),,3),INDEX(SPLIT(I1270,""/""),,2),INDEX(SPLIT(I1270,""/""),,1))"),44918.0)</f>
        <v>44918</v>
      </c>
      <c r="L1270" s="1">
        <v>0.0</v>
      </c>
      <c r="M1270" s="1" t="s">
        <v>3182</v>
      </c>
      <c r="N1270" s="1"/>
      <c r="O1270" s="1" t="s">
        <v>30</v>
      </c>
      <c r="P1270" s="1" t="s">
        <v>31</v>
      </c>
      <c r="Q1270" s="1" t="s">
        <v>32</v>
      </c>
      <c r="R1270" s="1" t="s">
        <v>32</v>
      </c>
      <c r="S1270" s="1" t="s">
        <v>33</v>
      </c>
      <c r="T1270" s="1" t="s">
        <v>3759</v>
      </c>
      <c r="U1270" s="1">
        <v>1.00592587E8</v>
      </c>
      <c r="X1270" s="1" t="s">
        <v>63</v>
      </c>
      <c r="Y1270" s="1" t="s">
        <v>4304</v>
      </c>
      <c r="Z1270" s="1" t="s">
        <v>37</v>
      </c>
    </row>
    <row r="1271" hidden="1">
      <c r="A1271" s="1" t="s">
        <v>4362</v>
      </c>
      <c r="B1271" s="1" t="s">
        <v>1066</v>
      </c>
      <c r="C1271" s="1" t="s">
        <v>3759</v>
      </c>
      <c r="D1271" s="1" t="s">
        <v>27</v>
      </c>
      <c r="E1271" s="1" t="s">
        <v>28</v>
      </c>
      <c r="F1271" s="2">
        <v>950000.0</v>
      </c>
      <c r="G1271" s="1" t="s">
        <v>4346</v>
      </c>
      <c r="H1271" s="4">
        <f>IFERROR(__xludf.DUMMYFUNCTION("DATE(INDEX(SPLIT(G1271,""/""),,3),INDEX(SPLIT(G1271,""/""),,2),INDEX(SPLIT(G1271,""/""),,1))"),44765.0)</f>
        <v>44765</v>
      </c>
      <c r="I1271" s="1" t="s">
        <v>293</v>
      </c>
      <c r="J1271" s="4">
        <f>IFERROR(__xludf.DUMMYFUNCTION("DATE(INDEX(SPLIT(I1271,""/""),,3),INDEX(SPLIT(I1271,""/""),,2),INDEX(SPLIT(I1271,""/""),,1))"),44918.0)</f>
        <v>44918</v>
      </c>
      <c r="L1271" s="1">
        <v>0.0</v>
      </c>
      <c r="M1271" s="1" t="s">
        <v>3182</v>
      </c>
      <c r="N1271" s="1"/>
      <c r="O1271" s="1" t="s">
        <v>30</v>
      </c>
      <c r="P1271" s="1" t="s">
        <v>31</v>
      </c>
      <c r="Q1271" s="1" t="s">
        <v>32</v>
      </c>
      <c r="R1271" s="1" t="s">
        <v>32</v>
      </c>
      <c r="S1271" s="1" t="s">
        <v>33</v>
      </c>
      <c r="T1271" s="1" t="s">
        <v>3759</v>
      </c>
      <c r="U1271" s="1">
        <v>1.00592587E8</v>
      </c>
      <c r="X1271" s="1" t="s">
        <v>125</v>
      </c>
      <c r="Y1271" s="1" t="s">
        <v>4304</v>
      </c>
      <c r="Z1271" s="1" t="s">
        <v>37</v>
      </c>
    </row>
    <row r="1272" hidden="1">
      <c r="A1272" s="1" t="s">
        <v>4363</v>
      </c>
      <c r="B1272" s="1" t="s">
        <v>4364</v>
      </c>
      <c r="C1272" s="1" t="s">
        <v>3759</v>
      </c>
      <c r="D1272" s="1" t="s">
        <v>27</v>
      </c>
      <c r="E1272" s="1" t="s">
        <v>28</v>
      </c>
      <c r="F1272" s="2">
        <v>950000.0</v>
      </c>
      <c r="G1272" s="1" t="s">
        <v>4346</v>
      </c>
      <c r="H1272" s="4">
        <f>IFERROR(__xludf.DUMMYFUNCTION("DATE(INDEX(SPLIT(G1272,""/""),,3),INDEX(SPLIT(G1272,""/""),,2),INDEX(SPLIT(G1272,""/""),,1))"),44765.0)</f>
        <v>44765</v>
      </c>
      <c r="I1272" s="1" t="s">
        <v>293</v>
      </c>
      <c r="J1272" s="4">
        <f>IFERROR(__xludf.DUMMYFUNCTION("DATE(INDEX(SPLIT(I1272,""/""),,3),INDEX(SPLIT(I1272,""/""),,2),INDEX(SPLIT(I1272,""/""),,1))"),44918.0)</f>
        <v>44918</v>
      </c>
      <c r="L1272" s="1">
        <v>0.0</v>
      </c>
      <c r="M1272" s="1" t="s">
        <v>3182</v>
      </c>
      <c r="N1272" s="1"/>
      <c r="O1272" s="1" t="s">
        <v>30</v>
      </c>
      <c r="P1272" s="1" t="s">
        <v>31</v>
      </c>
      <c r="Q1272" s="1" t="s">
        <v>32</v>
      </c>
      <c r="R1272" s="1" t="s">
        <v>32</v>
      </c>
      <c r="S1272" s="1" t="s">
        <v>33</v>
      </c>
      <c r="T1272" s="1" t="s">
        <v>3759</v>
      </c>
      <c r="U1272" s="1">
        <v>1.00592587E8</v>
      </c>
      <c r="X1272" s="1" t="s">
        <v>125</v>
      </c>
      <c r="Y1272" s="1" t="s">
        <v>4304</v>
      </c>
      <c r="Z1272" s="1" t="s">
        <v>37</v>
      </c>
    </row>
    <row r="1273" hidden="1">
      <c r="A1273" s="1" t="s">
        <v>4365</v>
      </c>
      <c r="B1273" s="1" t="s">
        <v>3184</v>
      </c>
      <c r="C1273" s="1" t="s">
        <v>3759</v>
      </c>
      <c r="D1273" s="1" t="s">
        <v>27</v>
      </c>
      <c r="E1273" s="1" t="s">
        <v>28</v>
      </c>
      <c r="F1273" s="2">
        <v>950000.0</v>
      </c>
      <c r="G1273" s="1" t="s">
        <v>4346</v>
      </c>
      <c r="H1273" s="4">
        <f>IFERROR(__xludf.DUMMYFUNCTION("DATE(INDEX(SPLIT(G1273,""/""),,3),INDEX(SPLIT(G1273,""/""),,2),INDEX(SPLIT(G1273,""/""),,1))"),44765.0)</f>
        <v>44765</v>
      </c>
      <c r="I1273" s="1" t="s">
        <v>293</v>
      </c>
      <c r="J1273" s="4">
        <f>IFERROR(__xludf.DUMMYFUNCTION("DATE(INDEX(SPLIT(I1273,""/""),,3),INDEX(SPLIT(I1273,""/""),,2),INDEX(SPLIT(I1273,""/""),,1))"),44918.0)</f>
        <v>44918</v>
      </c>
      <c r="L1273" s="1">
        <v>0.0</v>
      </c>
      <c r="M1273" s="1" t="s">
        <v>3182</v>
      </c>
      <c r="N1273" s="1"/>
      <c r="O1273" s="1" t="s">
        <v>30</v>
      </c>
      <c r="P1273" s="1" t="s">
        <v>31</v>
      </c>
      <c r="Q1273" s="1" t="s">
        <v>32</v>
      </c>
      <c r="R1273" s="1" t="s">
        <v>32</v>
      </c>
      <c r="S1273" s="1" t="s">
        <v>33</v>
      </c>
      <c r="T1273" s="1" t="s">
        <v>3759</v>
      </c>
      <c r="U1273" s="1">
        <v>1.00592587E8</v>
      </c>
      <c r="X1273" s="1" t="s">
        <v>312</v>
      </c>
      <c r="Y1273" s="1" t="s">
        <v>4304</v>
      </c>
      <c r="Z1273" s="1" t="s">
        <v>37</v>
      </c>
    </row>
    <row r="1274">
      <c r="A1274" s="1" t="s">
        <v>4366</v>
      </c>
      <c r="B1274" s="1" t="s">
        <v>39</v>
      </c>
      <c r="C1274" s="1" t="s">
        <v>4367</v>
      </c>
      <c r="D1274" s="1" t="s">
        <v>122</v>
      </c>
      <c r="E1274" s="1" t="s">
        <v>28</v>
      </c>
      <c r="F1274" s="2">
        <v>950000.0</v>
      </c>
      <c r="G1274" s="4">
        <v>44686.0</v>
      </c>
      <c r="H1274" s="4">
        <f>IFERROR(__xludf.DUMMYFUNCTION("DATE(INDEX(SPLIT(G1274,""/""),,3),INDEX(SPLIT(G1274,""/""),,2),INDEX(SPLIT(G1274,""/""),,1))"),44686.0)</f>
        <v>44686</v>
      </c>
      <c r="I1274" s="1" t="s">
        <v>518</v>
      </c>
      <c r="J1274" s="4">
        <f>IFERROR(__xludf.DUMMYFUNCTION("DATE(INDEX(SPLIT(I1274,""/""),,3),INDEX(SPLIT(I1274,""/""),,2),INDEX(SPLIT(I1274,""/""),,1))"),44757.0)</f>
        <v>44757</v>
      </c>
      <c r="L1274" s="1">
        <v>0.0</v>
      </c>
      <c r="M1274" s="1" t="s">
        <v>2842</v>
      </c>
      <c r="N1274" s="1"/>
      <c r="O1274" s="1" t="s">
        <v>30</v>
      </c>
      <c r="P1274" s="1" t="s">
        <v>31</v>
      </c>
      <c r="Q1274" s="1" t="s">
        <v>53</v>
      </c>
      <c r="R1274" s="1" t="s">
        <v>53</v>
      </c>
      <c r="S1274" s="1" t="s">
        <v>54</v>
      </c>
      <c r="U1274" s="1">
        <v>1.00586524E8</v>
      </c>
      <c r="V1274" s="1" t="s">
        <v>4368</v>
      </c>
      <c r="W1274" s="1" t="s">
        <v>45</v>
      </c>
      <c r="X1274" s="1" t="s">
        <v>46</v>
      </c>
      <c r="Y1274" s="1" t="s">
        <v>2842</v>
      </c>
      <c r="Z1274" s="1" t="s">
        <v>206</v>
      </c>
    </row>
    <row r="1275" hidden="1">
      <c r="A1275" s="1" t="s">
        <v>4369</v>
      </c>
      <c r="B1275" s="1" t="s">
        <v>3655</v>
      </c>
      <c r="C1275" s="1" t="s">
        <v>4370</v>
      </c>
      <c r="D1275" s="1" t="s">
        <v>78</v>
      </c>
      <c r="E1275" s="1" t="s">
        <v>28</v>
      </c>
      <c r="F1275" s="2">
        <v>950000.0</v>
      </c>
      <c r="G1275" s="1" t="s">
        <v>1244</v>
      </c>
      <c r="H1275" s="4">
        <f>IFERROR(__xludf.DUMMYFUNCTION("DATE(INDEX(SPLIT(G1275,""/""),,3),INDEX(SPLIT(G1275,""/""),,2),INDEX(SPLIT(G1275,""/""),,1))"),44742.0)</f>
        <v>44742</v>
      </c>
      <c r="I1275" s="1" t="s">
        <v>109</v>
      </c>
      <c r="J1275" s="4">
        <f>IFERROR(__xludf.DUMMYFUNCTION("DATE(INDEX(SPLIT(I1275,""/""),,3),INDEX(SPLIT(I1275,""/""),,2),INDEX(SPLIT(I1275,""/""),,1))"),44834.0)</f>
        <v>44834</v>
      </c>
      <c r="L1275" s="1">
        <v>0.0</v>
      </c>
      <c r="M1275" s="1" t="s">
        <v>3123</v>
      </c>
      <c r="N1275" s="1"/>
      <c r="O1275" s="1" t="s">
        <v>30</v>
      </c>
      <c r="P1275" s="1" t="s">
        <v>31</v>
      </c>
      <c r="Q1275" s="1" t="s">
        <v>157</v>
      </c>
      <c r="R1275" s="1" t="s">
        <v>157</v>
      </c>
      <c r="S1275" s="1" t="s">
        <v>158</v>
      </c>
      <c r="T1275" s="1" t="s">
        <v>442</v>
      </c>
      <c r="U1275" s="1">
        <v>1.00875111E8</v>
      </c>
      <c r="X1275" s="1" t="s">
        <v>88</v>
      </c>
      <c r="Y1275" s="1" t="s">
        <v>2367</v>
      </c>
      <c r="Z1275" s="1" t="s">
        <v>37</v>
      </c>
    </row>
    <row r="1276" hidden="1">
      <c r="A1276" s="1" t="s">
        <v>4371</v>
      </c>
      <c r="B1276" s="1" t="s">
        <v>1355</v>
      </c>
      <c r="C1276" s="1" t="s">
        <v>4372</v>
      </c>
      <c r="D1276" s="1" t="s">
        <v>27</v>
      </c>
      <c r="E1276" s="1" t="s">
        <v>28</v>
      </c>
      <c r="F1276" s="2">
        <v>950000.0</v>
      </c>
      <c r="G1276" s="4">
        <v>44682.0</v>
      </c>
      <c r="H1276" s="4">
        <f>IFERROR(__xludf.DUMMYFUNCTION("DATE(INDEX(SPLIT(G1276,""/""),,3),INDEX(SPLIT(G1276,""/""),,2),INDEX(SPLIT(G1276,""/""),,1))"),44566.0)</f>
        <v>44566</v>
      </c>
      <c r="I1276" s="1" t="s">
        <v>281</v>
      </c>
      <c r="J1276" s="4">
        <f>IFERROR(__xludf.DUMMYFUNCTION("DATE(INDEX(SPLIT(I1276,""/""),,3),INDEX(SPLIT(I1276,""/""),,2),INDEX(SPLIT(I1276,""/""),,1))"),44865.0)</f>
        <v>44865</v>
      </c>
      <c r="L1276" s="1">
        <v>0.0</v>
      </c>
      <c r="M1276" s="1" t="s">
        <v>156</v>
      </c>
      <c r="N1276" s="1"/>
      <c r="O1276" s="1" t="s">
        <v>30</v>
      </c>
      <c r="P1276" s="1" t="s">
        <v>31</v>
      </c>
      <c r="Q1276" s="1" t="s">
        <v>157</v>
      </c>
      <c r="R1276" s="1" t="s">
        <v>157</v>
      </c>
      <c r="S1276" s="1" t="s">
        <v>158</v>
      </c>
      <c r="U1276" s="1">
        <v>1.00619165E8</v>
      </c>
      <c r="X1276" s="1" t="s">
        <v>35</v>
      </c>
      <c r="Y1276" s="1" t="s">
        <v>4311</v>
      </c>
      <c r="Z1276" s="1" t="s">
        <v>37</v>
      </c>
    </row>
    <row r="1277" hidden="1">
      <c r="A1277" s="1" t="s">
        <v>4373</v>
      </c>
      <c r="B1277" s="1" t="s">
        <v>301</v>
      </c>
      <c r="C1277" s="1" t="s">
        <v>4374</v>
      </c>
      <c r="D1277" s="1" t="s">
        <v>122</v>
      </c>
      <c r="E1277" s="1" t="s">
        <v>28</v>
      </c>
      <c r="F1277" s="2">
        <v>950000.0</v>
      </c>
      <c r="G1277" s="1" t="s">
        <v>836</v>
      </c>
      <c r="H1277" s="4">
        <f>IFERROR(__xludf.DUMMYFUNCTION("DATE(INDEX(SPLIT(G1277,""/""),,3),INDEX(SPLIT(G1277,""/""),,2),INDEX(SPLIT(G1277,""/""),,1))"),44610.0)</f>
        <v>44610</v>
      </c>
      <c r="I1277" s="4">
        <v>44569.0</v>
      </c>
      <c r="J1277" s="4">
        <f>IFERROR(__xludf.DUMMYFUNCTION("DATE(INDEX(SPLIT(I1277,""/""),,3),INDEX(SPLIT(I1277,""/""),,2),INDEX(SPLIT(I1277,""/""),,1))"),44774.0)</f>
        <v>44774</v>
      </c>
      <c r="L1277" s="1">
        <v>0.0</v>
      </c>
      <c r="M1277" s="1" t="s">
        <v>873</v>
      </c>
      <c r="N1277" s="1"/>
      <c r="O1277" s="1" t="s">
        <v>30</v>
      </c>
      <c r="P1277" s="1" t="s">
        <v>31</v>
      </c>
      <c r="Q1277" s="1" t="s">
        <v>157</v>
      </c>
      <c r="R1277" s="1" t="s">
        <v>157</v>
      </c>
      <c r="S1277" s="1" t="s">
        <v>158</v>
      </c>
      <c r="U1277" s="1">
        <v>1.00586701E8</v>
      </c>
      <c r="X1277" s="1" t="s">
        <v>305</v>
      </c>
      <c r="Y1277" s="1" t="s">
        <v>4375</v>
      </c>
      <c r="Z1277" s="1" t="s">
        <v>37</v>
      </c>
    </row>
    <row r="1278" hidden="1">
      <c r="A1278" s="1" t="s">
        <v>4376</v>
      </c>
      <c r="B1278" s="1" t="s">
        <v>4377</v>
      </c>
      <c r="C1278" s="1" t="s">
        <v>4378</v>
      </c>
      <c r="D1278" s="1" t="s">
        <v>27</v>
      </c>
      <c r="E1278" s="1" t="s">
        <v>28</v>
      </c>
      <c r="F1278" s="2">
        <v>950000.0</v>
      </c>
      <c r="G1278" s="1" t="s">
        <v>4379</v>
      </c>
      <c r="H1278" s="4">
        <f>IFERROR(__xludf.DUMMYFUNCTION("DATE(INDEX(SPLIT(G1278,""/""),,3),INDEX(SPLIT(G1278,""/""),,2),INDEX(SPLIT(G1278,""/""),,1))"),44522.0)</f>
        <v>44522</v>
      </c>
      <c r="I1278" s="1" t="s">
        <v>203</v>
      </c>
      <c r="J1278" s="4">
        <f>IFERROR(__xludf.DUMMYFUNCTION("DATE(INDEX(SPLIT(I1278,""/""),,3),INDEX(SPLIT(I1278,""/""),,2),INDEX(SPLIT(I1278,""/""),,1))"),44925.0)</f>
        <v>44925</v>
      </c>
      <c r="L1278" s="1">
        <v>0.0</v>
      </c>
      <c r="M1278" s="1" t="s">
        <v>4016</v>
      </c>
      <c r="N1278" s="1"/>
      <c r="O1278" s="1" t="s">
        <v>30</v>
      </c>
      <c r="P1278" s="1" t="s">
        <v>31</v>
      </c>
      <c r="Q1278" s="1" t="s">
        <v>95</v>
      </c>
      <c r="R1278" s="1" t="s">
        <v>95</v>
      </c>
      <c r="S1278" s="1" t="s">
        <v>96</v>
      </c>
      <c r="T1278" s="1" t="s">
        <v>311</v>
      </c>
      <c r="U1278" s="1">
        <v>1.00628223E8</v>
      </c>
      <c r="X1278" s="1" t="s">
        <v>410</v>
      </c>
      <c r="Y1278" s="1" t="s">
        <v>4016</v>
      </c>
      <c r="Z1278" s="1" t="s">
        <v>206</v>
      </c>
    </row>
    <row r="1279" hidden="1">
      <c r="A1279" s="1" t="s">
        <v>4380</v>
      </c>
      <c r="B1279" s="1" t="s">
        <v>464</v>
      </c>
      <c r="C1279" s="1" t="s">
        <v>4381</v>
      </c>
      <c r="D1279" s="1" t="s">
        <v>27</v>
      </c>
      <c r="E1279" s="1" t="s">
        <v>28</v>
      </c>
      <c r="F1279" s="2">
        <v>950000.0</v>
      </c>
      <c r="G1279" s="4">
        <v>44595.0</v>
      </c>
      <c r="H1279" s="4">
        <f>IFERROR(__xludf.DUMMYFUNCTION("DATE(INDEX(SPLIT(G1279,""/""),,3),INDEX(SPLIT(G1279,""/""),,2),INDEX(SPLIT(G1279,""/""),,1))"),44622.0)</f>
        <v>44622</v>
      </c>
      <c r="I1279" s="1" t="s">
        <v>203</v>
      </c>
      <c r="J1279" s="4">
        <f>IFERROR(__xludf.DUMMYFUNCTION("DATE(INDEX(SPLIT(I1279,""/""),,3),INDEX(SPLIT(I1279,""/""),,2),INDEX(SPLIT(I1279,""/""),,1))"),44925.0)</f>
        <v>44925</v>
      </c>
      <c r="L1279" s="1">
        <v>0.0</v>
      </c>
      <c r="M1279" s="1" t="s">
        <v>467</v>
      </c>
      <c r="N1279" s="1"/>
      <c r="O1279" s="1" t="s">
        <v>30</v>
      </c>
      <c r="P1279" s="1" t="s">
        <v>31</v>
      </c>
      <c r="Q1279" s="1" t="s">
        <v>32</v>
      </c>
      <c r="R1279" s="1" t="s">
        <v>32</v>
      </c>
      <c r="S1279" s="1" t="s">
        <v>33</v>
      </c>
      <c r="T1279" s="1" t="s">
        <v>103</v>
      </c>
      <c r="U1279" s="1">
        <v>1.00619817E8</v>
      </c>
      <c r="X1279" s="1" t="s">
        <v>468</v>
      </c>
      <c r="Y1279" s="1" t="s">
        <v>467</v>
      </c>
      <c r="Z1279" s="1" t="s">
        <v>37</v>
      </c>
    </row>
    <row r="1280" hidden="1">
      <c r="A1280" s="1" t="s">
        <v>4382</v>
      </c>
      <c r="B1280" s="1" t="s">
        <v>4383</v>
      </c>
      <c r="C1280" s="1" t="s">
        <v>4384</v>
      </c>
      <c r="D1280" s="1" t="s">
        <v>78</v>
      </c>
      <c r="E1280" s="1" t="s">
        <v>28</v>
      </c>
      <c r="F1280" s="2">
        <v>950000.0</v>
      </c>
      <c r="G1280" s="4">
        <v>44656.0</v>
      </c>
      <c r="H1280" s="4">
        <f>IFERROR(__xludf.DUMMYFUNCTION("DATE(INDEX(SPLIT(G1280,""/""),,3),INDEX(SPLIT(G1280,""/""),,2),INDEX(SPLIT(G1280,""/""),,1))"),44685.0)</f>
        <v>44685</v>
      </c>
      <c r="I1280" s="1" t="s">
        <v>2042</v>
      </c>
      <c r="J1280" s="4">
        <f>IFERROR(__xludf.DUMMYFUNCTION("DATE(INDEX(SPLIT(I1280,""/""),,3),INDEX(SPLIT(I1280,""/""),,2),INDEX(SPLIT(I1280,""/""),,1))"),45169.0)</f>
        <v>45169</v>
      </c>
      <c r="L1280" s="1">
        <v>0.0</v>
      </c>
      <c r="M1280" s="1" t="s">
        <v>2342</v>
      </c>
      <c r="N1280" s="1"/>
      <c r="O1280" s="1" t="s">
        <v>30</v>
      </c>
      <c r="P1280" s="1" t="s">
        <v>31</v>
      </c>
      <c r="Q1280" s="1" t="s">
        <v>53</v>
      </c>
      <c r="R1280" s="1" t="s">
        <v>53</v>
      </c>
      <c r="S1280" s="1" t="s">
        <v>54</v>
      </c>
      <c r="T1280" s="1" t="s">
        <v>103</v>
      </c>
      <c r="U1280" s="1">
        <v>1.00886112E8</v>
      </c>
      <c r="X1280" s="1" t="s">
        <v>289</v>
      </c>
      <c r="Y1280" s="1" t="s">
        <v>3480</v>
      </c>
      <c r="Z1280" s="1" t="s">
        <v>37</v>
      </c>
    </row>
    <row r="1281" hidden="1">
      <c r="A1281" s="1" t="s">
        <v>4385</v>
      </c>
      <c r="B1281" s="1" t="s">
        <v>3799</v>
      </c>
      <c r="C1281" s="1" t="s">
        <v>4386</v>
      </c>
      <c r="D1281" s="1" t="s">
        <v>122</v>
      </c>
      <c r="E1281" s="1" t="s">
        <v>28</v>
      </c>
      <c r="F1281" s="2">
        <v>950000.0</v>
      </c>
      <c r="G1281" s="1" t="s">
        <v>1136</v>
      </c>
      <c r="H1281" s="4">
        <f>IFERROR(__xludf.DUMMYFUNCTION("DATE(INDEX(SPLIT(G1281,""/""),,3),INDEX(SPLIT(G1281,""/""),,2),INDEX(SPLIT(G1281,""/""),,1))"),44608.0)</f>
        <v>44608</v>
      </c>
      <c r="I1281" s="1" t="s">
        <v>130</v>
      </c>
      <c r="J1281" s="4">
        <f>IFERROR(__xludf.DUMMYFUNCTION("DATE(INDEX(SPLIT(I1281,""/""),,3),INDEX(SPLIT(I1281,""/""),,2),INDEX(SPLIT(I1281,""/""),,1))"),44804.0)</f>
        <v>44804</v>
      </c>
      <c r="L1281" s="1">
        <v>0.0</v>
      </c>
      <c r="M1281" s="1" t="s">
        <v>3123</v>
      </c>
      <c r="N1281" s="1"/>
      <c r="O1281" s="1" t="s">
        <v>30</v>
      </c>
      <c r="P1281" s="1" t="s">
        <v>31</v>
      </c>
      <c r="Q1281" s="1" t="s">
        <v>157</v>
      </c>
      <c r="R1281" s="1" t="s">
        <v>157</v>
      </c>
      <c r="S1281" s="1" t="s">
        <v>158</v>
      </c>
      <c r="T1281" s="1" t="s">
        <v>442</v>
      </c>
      <c r="U1281" s="1">
        <v>1.00875111E8</v>
      </c>
      <c r="X1281" s="1" t="s">
        <v>88</v>
      </c>
      <c r="Y1281" s="1" t="s">
        <v>3124</v>
      </c>
      <c r="Z1281" s="1" t="s">
        <v>37</v>
      </c>
    </row>
    <row r="1282">
      <c r="A1282" s="1" t="s">
        <v>4387</v>
      </c>
      <c r="B1282" s="1" t="s">
        <v>1113</v>
      </c>
      <c r="C1282" s="1" t="s">
        <v>4388</v>
      </c>
      <c r="D1282" s="1" t="s">
        <v>122</v>
      </c>
      <c r="E1282" s="1" t="s">
        <v>28</v>
      </c>
      <c r="F1282" s="2">
        <v>945000.0</v>
      </c>
      <c r="G1282" s="4">
        <v>44717.0</v>
      </c>
      <c r="H1282" s="4">
        <f>IFERROR(__xludf.DUMMYFUNCTION("DATE(INDEX(SPLIT(G1282,""/""),,3),INDEX(SPLIT(G1282,""/""),,2),INDEX(SPLIT(G1282,""/""),,1))"),44687.0)</f>
        <v>44687</v>
      </c>
      <c r="I1282" s="1" t="s">
        <v>935</v>
      </c>
      <c r="J1282" s="4">
        <f>IFERROR(__xludf.DUMMYFUNCTION("DATE(INDEX(SPLIT(I1282,""/""),,3),INDEX(SPLIT(I1282,""/""),,2),INDEX(SPLIT(I1282,""/""),,1))"),44764.0)</f>
        <v>44764</v>
      </c>
      <c r="L1282" s="1">
        <v>0.0</v>
      </c>
      <c r="M1282" s="1" t="s">
        <v>1115</v>
      </c>
      <c r="N1282" s="1"/>
      <c r="O1282" s="1" t="s">
        <v>30</v>
      </c>
      <c r="P1282" s="1" t="s">
        <v>31</v>
      </c>
      <c r="Q1282" s="1" t="s">
        <v>157</v>
      </c>
      <c r="R1282" s="1" t="s">
        <v>157</v>
      </c>
      <c r="S1282" s="1" t="s">
        <v>158</v>
      </c>
      <c r="U1282" s="1">
        <v>1.00609827E8</v>
      </c>
      <c r="X1282" s="1" t="s">
        <v>490</v>
      </c>
      <c r="Y1282" s="1" t="s">
        <v>4389</v>
      </c>
      <c r="Z1282" s="1" t="s">
        <v>37</v>
      </c>
    </row>
    <row r="1283" hidden="1">
      <c r="A1283" s="1" t="s">
        <v>4390</v>
      </c>
      <c r="B1283" s="1" t="s">
        <v>59</v>
      </c>
      <c r="C1283" s="1" t="s">
        <v>4391</v>
      </c>
      <c r="D1283" s="1" t="s">
        <v>27</v>
      </c>
      <c r="E1283" s="1" t="s">
        <v>28</v>
      </c>
      <c r="F1283" s="2">
        <v>925000.0</v>
      </c>
      <c r="G1283" s="1" t="s">
        <v>2540</v>
      </c>
      <c r="H1283" s="4">
        <f>IFERROR(__xludf.DUMMYFUNCTION("DATE(INDEX(SPLIT(G1283,""/""),,3),INDEX(SPLIT(G1283,""/""),,2),INDEX(SPLIT(G1283,""/""),,1))"),44491.0)</f>
        <v>44491</v>
      </c>
      <c r="I1283" s="4">
        <v>44844.0</v>
      </c>
      <c r="J1283" s="4">
        <f>IFERROR(__xludf.DUMMYFUNCTION("DATE(INDEX(SPLIT(I1283,""/""),,3),INDEX(SPLIT(I1283,""/""),,2),INDEX(SPLIT(I1283,""/""),,1))"),44844.0)</f>
        <v>44844</v>
      </c>
      <c r="L1283" s="1">
        <v>0.0</v>
      </c>
      <c r="M1283" s="1" t="s">
        <v>2582</v>
      </c>
      <c r="N1283" s="1"/>
      <c r="O1283" s="1" t="s">
        <v>30</v>
      </c>
      <c r="P1283" s="1" t="s">
        <v>31</v>
      </c>
      <c r="Q1283" s="1" t="s">
        <v>157</v>
      </c>
      <c r="R1283" s="1" t="s">
        <v>157</v>
      </c>
      <c r="S1283" s="1" t="s">
        <v>158</v>
      </c>
      <c r="T1283" s="1" t="s">
        <v>442</v>
      </c>
      <c r="U1283" s="1">
        <v>1.00590772E8</v>
      </c>
      <c r="X1283" s="1" t="s">
        <v>63</v>
      </c>
      <c r="Y1283" s="1" t="s">
        <v>64</v>
      </c>
      <c r="Z1283" s="1" t="s">
        <v>37</v>
      </c>
    </row>
    <row r="1284" hidden="1">
      <c r="A1284" s="1" t="s">
        <v>4392</v>
      </c>
      <c r="B1284" s="1" t="s">
        <v>39</v>
      </c>
      <c r="C1284" s="1" t="s">
        <v>4393</v>
      </c>
      <c r="D1284" s="1" t="s">
        <v>122</v>
      </c>
      <c r="E1284" s="1" t="s">
        <v>28</v>
      </c>
      <c r="F1284" s="2">
        <v>925000.0</v>
      </c>
      <c r="G1284" s="1" t="s">
        <v>3849</v>
      </c>
      <c r="H1284" s="4">
        <f>IFERROR(__xludf.DUMMYFUNCTION("DATE(INDEX(SPLIT(G1284,""/""),,3),INDEX(SPLIT(G1284,""/""),,2),INDEX(SPLIT(G1284,""/""),,1))"),44551.0)</f>
        <v>44551</v>
      </c>
      <c r="I1284" s="1" t="s">
        <v>4394</v>
      </c>
      <c r="J1284" s="4">
        <f>IFERROR(__xludf.DUMMYFUNCTION("DATE(INDEX(SPLIT(I1284,""/""),,3),INDEX(SPLIT(I1284,""/""),,2),INDEX(SPLIT(I1284,""/""),,1))"),44831.0)</f>
        <v>44831</v>
      </c>
      <c r="L1284" s="1">
        <v>0.0</v>
      </c>
      <c r="M1284" s="1" t="s">
        <v>277</v>
      </c>
      <c r="N1284" s="1"/>
      <c r="O1284" s="1" t="s">
        <v>30</v>
      </c>
      <c r="P1284" s="1" t="s">
        <v>31</v>
      </c>
      <c r="Q1284" s="1" t="s">
        <v>32</v>
      </c>
      <c r="R1284" s="1" t="s">
        <v>32</v>
      </c>
      <c r="S1284" s="1" t="s">
        <v>33</v>
      </c>
      <c r="T1284" s="1" t="s">
        <v>103</v>
      </c>
      <c r="U1284" s="1">
        <v>1.00608828E8</v>
      </c>
      <c r="X1284" s="1" t="s">
        <v>46</v>
      </c>
      <c r="Y1284" s="1" t="s">
        <v>104</v>
      </c>
      <c r="Z1284" s="1" t="s">
        <v>37</v>
      </c>
    </row>
    <row r="1285" hidden="1">
      <c r="A1285" s="1" t="s">
        <v>4395</v>
      </c>
      <c r="B1285" s="1" t="s">
        <v>1216</v>
      </c>
      <c r="C1285" s="1" t="s">
        <v>4396</v>
      </c>
      <c r="D1285" s="1" t="s">
        <v>27</v>
      </c>
      <c r="E1285" s="1" t="s">
        <v>28</v>
      </c>
      <c r="F1285" s="2">
        <v>925000.0</v>
      </c>
      <c r="G1285" s="1" t="s">
        <v>343</v>
      </c>
      <c r="H1285" s="4">
        <f>IFERROR(__xludf.DUMMYFUNCTION("DATE(INDEX(SPLIT(G1285,""/""),,3),INDEX(SPLIT(G1285,""/""),,2),INDEX(SPLIT(G1285,""/""),,1))"),44761.0)</f>
        <v>44761</v>
      </c>
      <c r="I1285" s="4">
        <v>44689.0</v>
      </c>
      <c r="J1285" s="4">
        <f>IFERROR(__xludf.DUMMYFUNCTION("DATE(INDEX(SPLIT(I1285,""/""),,3),INDEX(SPLIT(I1285,""/""),,2),INDEX(SPLIT(I1285,""/""),,1))"),44778.0)</f>
        <v>44778</v>
      </c>
      <c r="L1285" s="1">
        <v>0.0</v>
      </c>
      <c r="M1285" s="1" t="s">
        <v>4397</v>
      </c>
      <c r="N1285" s="1"/>
      <c r="O1285" s="1" t="s">
        <v>30</v>
      </c>
      <c r="P1285" s="1" t="s">
        <v>31</v>
      </c>
      <c r="Q1285" s="1" t="s">
        <v>235</v>
      </c>
      <c r="R1285" s="1" t="s">
        <v>235</v>
      </c>
      <c r="S1285" s="1" t="s">
        <v>236</v>
      </c>
      <c r="U1285" s="1">
        <v>1.0064547E8</v>
      </c>
      <c r="X1285" s="1" t="s">
        <v>88</v>
      </c>
      <c r="Y1285" s="1" t="s">
        <v>4398</v>
      </c>
      <c r="Z1285" s="1" t="s">
        <v>37</v>
      </c>
    </row>
    <row r="1286" hidden="1">
      <c r="A1286" s="1" t="s">
        <v>4399</v>
      </c>
      <c r="B1286" s="1" t="s">
        <v>4400</v>
      </c>
      <c r="C1286" s="1" t="s">
        <v>4401</v>
      </c>
      <c r="D1286" s="1" t="s">
        <v>122</v>
      </c>
      <c r="E1286" s="1" t="s">
        <v>28</v>
      </c>
      <c r="F1286" s="2">
        <v>925000.0</v>
      </c>
      <c r="G1286" s="1" t="s">
        <v>4402</v>
      </c>
      <c r="H1286" s="4">
        <f>IFERROR(__xludf.DUMMYFUNCTION("DATE(INDEX(SPLIT(G1286,""/""),,3),INDEX(SPLIT(G1286,""/""),,2),INDEX(SPLIT(G1286,""/""),,1))"),44390.0)</f>
        <v>44390</v>
      </c>
      <c r="I1286" s="1" t="s">
        <v>4403</v>
      </c>
      <c r="J1286" s="4">
        <f>IFERROR(__xludf.DUMMYFUNCTION("DATE(INDEX(SPLIT(I1286,""/""),,3),INDEX(SPLIT(I1286,""/""),,2),INDEX(SPLIT(I1286,""/""),,1))"),44829.0)</f>
        <v>44829</v>
      </c>
      <c r="L1286" s="1">
        <v>0.0</v>
      </c>
      <c r="M1286" s="1" t="s">
        <v>2237</v>
      </c>
      <c r="N1286" s="1"/>
      <c r="O1286" s="1" t="s">
        <v>30</v>
      </c>
      <c r="P1286" s="1" t="s">
        <v>31</v>
      </c>
      <c r="Q1286" s="1" t="s">
        <v>32</v>
      </c>
      <c r="R1286" s="1" t="s">
        <v>32</v>
      </c>
      <c r="S1286" s="1" t="s">
        <v>33</v>
      </c>
      <c r="T1286" s="1" t="s">
        <v>103</v>
      </c>
      <c r="U1286" s="1">
        <v>1.00611284E8</v>
      </c>
      <c r="X1286" s="1" t="s">
        <v>305</v>
      </c>
      <c r="Y1286" s="1" t="s">
        <v>2237</v>
      </c>
      <c r="Z1286" s="1" t="s">
        <v>37</v>
      </c>
    </row>
    <row r="1287" hidden="1">
      <c r="A1287" s="1" t="s">
        <v>4404</v>
      </c>
      <c r="B1287" s="1" t="s">
        <v>784</v>
      </c>
      <c r="C1287" s="1" t="s">
        <v>4405</v>
      </c>
      <c r="D1287" s="1" t="s">
        <v>122</v>
      </c>
      <c r="E1287" s="1" t="s">
        <v>28</v>
      </c>
      <c r="F1287" s="2">
        <v>920000.0</v>
      </c>
      <c r="G1287" s="1" t="s">
        <v>1244</v>
      </c>
      <c r="H1287" s="4">
        <f>IFERROR(__xludf.DUMMYFUNCTION("DATE(INDEX(SPLIT(G1287,""/""),,3),INDEX(SPLIT(G1287,""/""),,2),INDEX(SPLIT(G1287,""/""),,1))"),44742.0)</f>
        <v>44742</v>
      </c>
      <c r="I1287" s="4">
        <v>44601.0</v>
      </c>
      <c r="J1287" s="4">
        <f>IFERROR(__xludf.DUMMYFUNCTION("DATE(INDEX(SPLIT(I1287,""/""),,3),INDEX(SPLIT(I1287,""/""),,2),INDEX(SPLIT(I1287,""/""),,1))"),44806.0)</f>
        <v>44806</v>
      </c>
      <c r="L1287" s="1">
        <v>0.0</v>
      </c>
      <c r="M1287" s="1" t="s">
        <v>1398</v>
      </c>
      <c r="N1287" s="1"/>
      <c r="O1287" s="1" t="s">
        <v>30</v>
      </c>
      <c r="P1287" s="1" t="s">
        <v>31</v>
      </c>
      <c r="Q1287" s="1" t="s">
        <v>95</v>
      </c>
      <c r="R1287" s="1" t="s">
        <v>95</v>
      </c>
      <c r="S1287" s="1" t="s">
        <v>96</v>
      </c>
      <c r="T1287" s="1" t="s">
        <v>111</v>
      </c>
      <c r="U1287" s="1">
        <v>1.0061941E8</v>
      </c>
      <c r="X1287" s="1" t="s">
        <v>63</v>
      </c>
      <c r="Y1287" s="1" t="s">
        <v>1399</v>
      </c>
      <c r="Z1287" s="1" t="s">
        <v>37</v>
      </c>
    </row>
    <row r="1288">
      <c r="A1288" s="1" t="s">
        <v>4406</v>
      </c>
      <c r="B1288" s="1" t="s">
        <v>4407</v>
      </c>
      <c r="C1288" s="1" t="s">
        <v>4408</v>
      </c>
      <c r="D1288" s="1" t="s">
        <v>27</v>
      </c>
      <c r="E1288" s="1" t="s">
        <v>28</v>
      </c>
      <c r="F1288" s="2">
        <v>910000.0</v>
      </c>
      <c r="G1288" s="4">
        <v>43226.0</v>
      </c>
      <c r="H1288" s="4">
        <f>IFERROR(__xludf.DUMMYFUNCTION("DATE(INDEX(SPLIT(G1288,""/""),,3),INDEX(SPLIT(G1288,""/""),,2),INDEX(SPLIT(G1288,""/""),,1))"),43256.0)</f>
        <v>43256</v>
      </c>
      <c r="I1288" s="1" t="s">
        <v>69</v>
      </c>
      <c r="J1288" s="4">
        <f>IFERROR(__xludf.DUMMYFUNCTION("DATE(INDEX(SPLIT(I1288,""/""),,3),INDEX(SPLIT(I1288,""/""),,2),INDEX(SPLIT(I1288,""/""),,1))"),44773.0)</f>
        <v>44773</v>
      </c>
      <c r="L1288" s="1">
        <v>0.0</v>
      </c>
      <c r="M1288" s="1" t="s">
        <v>524</v>
      </c>
      <c r="N1288" s="1"/>
      <c r="O1288" s="1" t="s">
        <v>30</v>
      </c>
      <c r="P1288" s="1" t="s">
        <v>31</v>
      </c>
      <c r="Q1288" s="1" t="s">
        <v>32</v>
      </c>
      <c r="R1288" s="1" t="s">
        <v>32</v>
      </c>
      <c r="S1288" s="1" t="s">
        <v>33</v>
      </c>
      <c r="U1288" s="1">
        <v>1.00627768E8</v>
      </c>
      <c r="X1288" s="1" t="s">
        <v>81</v>
      </c>
      <c r="Y1288" s="1" t="s">
        <v>4409</v>
      </c>
      <c r="Z1288" s="1" t="s">
        <v>527</v>
      </c>
    </row>
    <row r="1289">
      <c r="A1289" s="1" t="s">
        <v>4410</v>
      </c>
      <c r="B1289" s="1" t="s">
        <v>4411</v>
      </c>
      <c r="C1289" s="1" t="s">
        <v>4412</v>
      </c>
      <c r="D1289" s="1" t="s">
        <v>122</v>
      </c>
      <c r="E1289" s="1" t="s">
        <v>28</v>
      </c>
      <c r="F1289" s="2">
        <v>910000.0</v>
      </c>
      <c r="G1289" s="1" t="s">
        <v>1244</v>
      </c>
      <c r="H1289" s="4">
        <f>IFERROR(__xludf.DUMMYFUNCTION("DATE(INDEX(SPLIT(G1289,""/""),,3),INDEX(SPLIT(G1289,""/""),,2),INDEX(SPLIT(G1289,""/""),,1))"),44742.0)</f>
        <v>44742</v>
      </c>
      <c r="I1289" s="1" t="s">
        <v>472</v>
      </c>
      <c r="J1289" s="4">
        <f>IFERROR(__xludf.DUMMYFUNCTION("DATE(INDEX(SPLIT(I1289,""/""),,3),INDEX(SPLIT(I1289,""/""),,2),INDEX(SPLIT(I1289,""/""),,1))"),44760.0)</f>
        <v>44760</v>
      </c>
      <c r="L1289" s="1">
        <v>0.0</v>
      </c>
      <c r="M1289" s="1" t="s">
        <v>2600</v>
      </c>
      <c r="N1289" s="1"/>
      <c r="O1289" s="1" t="s">
        <v>30</v>
      </c>
      <c r="P1289" s="1" t="s">
        <v>31</v>
      </c>
      <c r="Q1289" s="1" t="s">
        <v>32</v>
      </c>
      <c r="R1289" s="1" t="s">
        <v>32</v>
      </c>
      <c r="S1289" s="1" t="s">
        <v>33</v>
      </c>
      <c r="U1289" s="1">
        <v>1.00642238E8</v>
      </c>
      <c r="X1289" s="1" t="s">
        <v>609</v>
      </c>
      <c r="Y1289" s="1" t="s">
        <v>4413</v>
      </c>
      <c r="Z1289" s="1" t="s">
        <v>37</v>
      </c>
    </row>
    <row r="1290" hidden="1">
      <c r="A1290" s="1" t="s">
        <v>4414</v>
      </c>
      <c r="B1290" s="1" t="s">
        <v>546</v>
      </c>
      <c r="C1290" s="1" t="s">
        <v>4415</v>
      </c>
      <c r="D1290" s="1" t="s">
        <v>122</v>
      </c>
      <c r="E1290" s="1" t="s">
        <v>28</v>
      </c>
      <c r="F1290" s="2">
        <v>900000.0</v>
      </c>
      <c r="G1290" s="4">
        <v>44477.0</v>
      </c>
      <c r="H1290" s="4">
        <f>IFERROR(__xludf.DUMMYFUNCTION("DATE(INDEX(SPLIT(G1290,""/""),,3),INDEX(SPLIT(G1290,""/""),,2),INDEX(SPLIT(G1290,""/""),,1))"),44418.0)</f>
        <v>44418</v>
      </c>
      <c r="I1290" s="1" t="s">
        <v>1799</v>
      </c>
      <c r="J1290" s="4">
        <f>IFERROR(__xludf.DUMMYFUNCTION("DATE(INDEX(SPLIT(I1290,""/""),,3),INDEX(SPLIT(I1290,""/""),,2),INDEX(SPLIT(I1290,""/""),,1))"),44788.0)</f>
        <v>44788</v>
      </c>
      <c r="L1290" s="1">
        <v>0.0</v>
      </c>
      <c r="M1290" s="1" t="s">
        <v>318</v>
      </c>
      <c r="N1290" s="1"/>
      <c r="O1290" s="1" t="s">
        <v>30</v>
      </c>
      <c r="P1290" s="1" t="s">
        <v>31</v>
      </c>
      <c r="Q1290" s="1" t="s">
        <v>71</v>
      </c>
      <c r="R1290" s="1" t="s">
        <v>71</v>
      </c>
      <c r="S1290" s="1" t="s">
        <v>72</v>
      </c>
      <c r="T1290" s="1" t="s">
        <v>73</v>
      </c>
      <c r="U1290" s="1">
        <v>1.00654705E8</v>
      </c>
      <c r="X1290" s="1" t="s">
        <v>74</v>
      </c>
      <c r="Y1290" s="1" t="s">
        <v>318</v>
      </c>
      <c r="Z1290" s="1" t="s">
        <v>37</v>
      </c>
    </row>
    <row r="1291">
      <c r="A1291" s="1" t="s">
        <v>4416</v>
      </c>
      <c r="B1291" s="1" t="s">
        <v>2186</v>
      </c>
      <c r="C1291" s="1" t="s">
        <v>4417</v>
      </c>
      <c r="D1291" s="1" t="s">
        <v>78</v>
      </c>
      <c r="E1291" s="1" t="s">
        <v>28</v>
      </c>
      <c r="F1291" s="2">
        <v>900000.0</v>
      </c>
      <c r="G1291" s="1" t="s">
        <v>164</v>
      </c>
      <c r="H1291" s="4">
        <f>IFERROR(__xludf.DUMMYFUNCTION("DATE(INDEX(SPLIT(G1291,""/""),,3),INDEX(SPLIT(G1291,""/""),,2),INDEX(SPLIT(G1291,""/""),,1))"),44706.0)</f>
        <v>44706</v>
      </c>
      <c r="I1291" s="1" t="s">
        <v>226</v>
      </c>
      <c r="J1291" s="4">
        <f>IFERROR(__xludf.DUMMYFUNCTION("DATE(INDEX(SPLIT(I1291,""/""),,3),INDEX(SPLIT(I1291,""/""),,2),INDEX(SPLIT(I1291,""/""),,1))"),44771.0)</f>
        <v>44771</v>
      </c>
      <c r="L1291" s="1">
        <v>0.0</v>
      </c>
      <c r="M1291" s="1" t="s">
        <v>4418</v>
      </c>
      <c r="N1291" s="1"/>
      <c r="O1291" s="1" t="s">
        <v>30</v>
      </c>
      <c r="P1291" s="1" t="s">
        <v>31</v>
      </c>
      <c r="Q1291" s="1" t="s">
        <v>188</v>
      </c>
      <c r="R1291" s="1" t="s">
        <v>188</v>
      </c>
      <c r="S1291" s="1" t="s">
        <v>189</v>
      </c>
      <c r="U1291" s="1">
        <v>1.0066064E8</v>
      </c>
      <c r="X1291" s="1" t="s">
        <v>190</v>
      </c>
      <c r="Y1291" s="1" t="s">
        <v>4419</v>
      </c>
      <c r="Z1291" s="1" t="s">
        <v>37</v>
      </c>
    </row>
    <row r="1292" hidden="1">
      <c r="A1292" s="1" t="s">
        <v>4420</v>
      </c>
      <c r="B1292" s="1" t="s">
        <v>4421</v>
      </c>
      <c r="C1292" s="1" t="s">
        <v>4422</v>
      </c>
      <c r="D1292" s="1" t="s">
        <v>68</v>
      </c>
      <c r="E1292" s="1" t="s">
        <v>28</v>
      </c>
      <c r="F1292" s="2">
        <v>900000.0</v>
      </c>
      <c r="G1292" s="1" t="s">
        <v>4423</v>
      </c>
      <c r="H1292" s="4">
        <f>IFERROR(__xludf.DUMMYFUNCTION("DATE(INDEX(SPLIT(G1292,""/""),,3),INDEX(SPLIT(G1292,""/""),,2),INDEX(SPLIT(G1292,""/""),,1))"),44337.0)</f>
        <v>44337</v>
      </c>
      <c r="I1292" s="4">
        <v>44781.0</v>
      </c>
      <c r="J1292" s="4">
        <f>IFERROR(__xludf.DUMMYFUNCTION("DATE(INDEX(SPLIT(I1292,""/""),,3),INDEX(SPLIT(I1292,""/""),,2),INDEX(SPLIT(I1292,""/""),,1))"),44781.0)</f>
        <v>44781</v>
      </c>
      <c r="K1292" s="1" t="s">
        <v>4424</v>
      </c>
      <c r="L1292" s="1">
        <v>0.0</v>
      </c>
      <c r="M1292" s="1" t="s">
        <v>819</v>
      </c>
      <c r="N1292" s="1"/>
      <c r="O1292" s="1" t="s">
        <v>30</v>
      </c>
      <c r="P1292" s="1" t="s">
        <v>31</v>
      </c>
      <c r="Q1292" s="1" t="s">
        <v>53</v>
      </c>
      <c r="R1292" s="1" t="s">
        <v>53</v>
      </c>
      <c r="S1292" s="1" t="s">
        <v>54</v>
      </c>
      <c r="T1292" s="1" t="s">
        <v>634</v>
      </c>
      <c r="U1292" s="1">
        <v>1.00661738E8</v>
      </c>
      <c r="X1292" s="1" t="s">
        <v>490</v>
      </c>
      <c r="Y1292" s="1" t="s">
        <v>819</v>
      </c>
      <c r="Z1292" s="1" t="s">
        <v>37</v>
      </c>
    </row>
    <row r="1293" hidden="1">
      <c r="A1293" s="1" t="s">
        <v>4425</v>
      </c>
      <c r="B1293" s="1" t="s">
        <v>4426</v>
      </c>
      <c r="C1293" s="1" t="s">
        <v>4427</v>
      </c>
      <c r="D1293" s="1" t="s">
        <v>27</v>
      </c>
      <c r="E1293" s="1" t="s">
        <v>28</v>
      </c>
      <c r="F1293" s="2">
        <v>900000.0</v>
      </c>
      <c r="G1293" s="4">
        <v>44810.0</v>
      </c>
      <c r="H1293" s="4">
        <f>IFERROR(__xludf.DUMMYFUNCTION("DATE(INDEX(SPLIT(G1293,""/""),,3),INDEX(SPLIT(G1293,""/""),,2),INDEX(SPLIT(G1293,""/""),,1))"),44721.0)</f>
        <v>44721</v>
      </c>
      <c r="I1293" s="1" t="s">
        <v>42</v>
      </c>
      <c r="J1293" s="4">
        <f>IFERROR(__xludf.DUMMYFUNCTION("DATE(INDEX(SPLIT(I1293,""/""),,3),INDEX(SPLIT(I1293,""/""),,2),INDEX(SPLIT(I1293,""/""),,1))"),44926.0)</f>
        <v>44926</v>
      </c>
      <c r="L1293" s="1">
        <v>0.0</v>
      </c>
      <c r="M1293" s="1" t="s">
        <v>3099</v>
      </c>
      <c r="N1293" s="1"/>
      <c r="O1293" s="1" t="s">
        <v>30</v>
      </c>
      <c r="P1293" s="1" t="s">
        <v>31</v>
      </c>
      <c r="Q1293" s="1" t="s">
        <v>95</v>
      </c>
      <c r="R1293" s="1" t="s">
        <v>95</v>
      </c>
      <c r="S1293" s="1" t="s">
        <v>96</v>
      </c>
      <c r="T1293" s="1" t="s">
        <v>111</v>
      </c>
      <c r="U1293" s="1">
        <v>1.00589299E8</v>
      </c>
      <c r="X1293" s="1" t="s">
        <v>63</v>
      </c>
      <c r="Y1293" s="1" t="s">
        <v>4428</v>
      </c>
      <c r="Z1293" s="1" t="s">
        <v>37</v>
      </c>
    </row>
    <row r="1294" hidden="1">
      <c r="A1294" s="1" t="s">
        <v>4429</v>
      </c>
      <c r="B1294" s="1" t="s">
        <v>4430</v>
      </c>
      <c r="C1294" s="1" t="s">
        <v>4431</v>
      </c>
      <c r="D1294" s="1" t="s">
        <v>78</v>
      </c>
      <c r="E1294" s="1" t="s">
        <v>28</v>
      </c>
      <c r="F1294" s="2">
        <v>900000.0</v>
      </c>
      <c r="G1294" s="4">
        <v>44746.0</v>
      </c>
      <c r="H1294" s="4">
        <f>IFERROR(__xludf.DUMMYFUNCTION("DATE(INDEX(SPLIT(G1294,""/""),,3),INDEX(SPLIT(G1294,""/""),,2),INDEX(SPLIT(G1294,""/""),,1))"),44658.0)</f>
        <v>44658</v>
      </c>
      <c r="I1294" s="1" t="s">
        <v>109</v>
      </c>
      <c r="J1294" s="4">
        <f>IFERROR(__xludf.DUMMYFUNCTION("DATE(INDEX(SPLIT(I1294,""/""),,3),INDEX(SPLIT(I1294,""/""),,2),INDEX(SPLIT(I1294,""/""),,1))"),44834.0)</f>
        <v>44834</v>
      </c>
      <c r="L1294" s="1">
        <v>0.0</v>
      </c>
      <c r="M1294" s="1" t="s">
        <v>4432</v>
      </c>
      <c r="N1294" s="1"/>
      <c r="O1294" s="1" t="s">
        <v>30</v>
      </c>
      <c r="P1294" s="1" t="s">
        <v>31</v>
      </c>
      <c r="Q1294" s="1" t="s">
        <v>32</v>
      </c>
      <c r="R1294" s="1" t="s">
        <v>32</v>
      </c>
      <c r="S1294" s="1" t="s">
        <v>33</v>
      </c>
      <c r="U1294" s="1">
        <v>1.00584558E8</v>
      </c>
      <c r="X1294" s="1" t="s">
        <v>117</v>
      </c>
      <c r="Y1294" s="1" t="s">
        <v>1857</v>
      </c>
      <c r="Z1294" s="1" t="s">
        <v>37</v>
      </c>
    </row>
    <row r="1295" hidden="1">
      <c r="A1295" s="1" t="s">
        <v>4433</v>
      </c>
      <c r="B1295" s="1" t="s">
        <v>4434</v>
      </c>
      <c r="C1295" s="1" t="s">
        <v>4435</v>
      </c>
      <c r="D1295" s="1" t="s">
        <v>27</v>
      </c>
      <c r="E1295" s="1" t="s">
        <v>28</v>
      </c>
      <c r="F1295" s="2">
        <v>900000.0</v>
      </c>
      <c r="G1295" s="4">
        <v>44319.0</v>
      </c>
      <c r="H1295" s="4">
        <f>IFERROR(__xludf.DUMMYFUNCTION("DATE(INDEX(SPLIT(G1295,""/""),,3),INDEX(SPLIT(G1295,""/""),,2),INDEX(SPLIT(G1295,""/""),,1))"),44260.0)</f>
        <v>44260</v>
      </c>
      <c r="I1295" s="1" t="s">
        <v>109</v>
      </c>
      <c r="J1295" s="4">
        <f>IFERROR(__xludf.DUMMYFUNCTION("DATE(INDEX(SPLIT(I1295,""/""),,3),INDEX(SPLIT(I1295,""/""),,2),INDEX(SPLIT(I1295,""/""),,1))"),44834.0)</f>
        <v>44834</v>
      </c>
      <c r="L1295" s="1">
        <v>0.0</v>
      </c>
      <c r="M1295" s="1" t="s">
        <v>878</v>
      </c>
      <c r="N1295" s="1"/>
      <c r="O1295" s="1" t="s">
        <v>30</v>
      </c>
      <c r="P1295" s="1" t="s">
        <v>31</v>
      </c>
      <c r="Q1295" s="1" t="s">
        <v>32</v>
      </c>
      <c r="R1295" s="1" t="s">
        <v>32</v>
      </c>
      <c r="S1295" s="1" t="s">
        <v>33</v>
      </c>
      <c r="T1295" s="1" t="s">
        <v>159</v>
      </c>
      <c r="U1295" s="1">
        <v>1.00686761E8</v>
      </c>
      <c r="X1295" s="1" t="s">
        <v>81</v>
      </c>
      <c r="Y1295" s="1" t="s">
        <v>740</v>
      </c>
      <c r="Z1295" s="1" t="s">
        <v>527</v>
      </c>
    </row>
    <row r="1296" hidden="1">
      <c r="A1296" s="1" t="s">
        <v>4436</v>
      </c>
      <c r="B1296" s="1" t="s">
        <v>120</v>
      </c>
      <c r="C1296" s="1" t="s">
        <v>4437</v>
      </c>
      <c r="D1296" s="1" t="s">
        <v>122</v>
      </c>
      <c r="E1296" s="1" t="s">
        <v>28</v>
      </c>
      <c r="F1296" s="2">
        <v>900000.0</v>
      </c>
      <c r="G1296" s="4">
        <v>44447.0</v>
      </c>
      <c r="H1296" s="4">
        <f>IFERROR(__xludf.DUMMYFUNCTION("DATE(INDEX(SPLIT(G1296,""/""),,3),INDEX(SPLIT(G1296,""/""),,2),INDEX(SPLIT(G1296,""/""),,1))"),44417.0)</f>
        <v>44417</v>
      </c>
      <c r="I1296" s="1" t="s">
        <v>85</v>
      </c>
      <c r="J1296" s="4">
        <f>IFERROR(__xludf.DUMMYFUNCTION("DATE(INDEX(SPLIT(I1296,""/""),,3),INDEX(SPLIT(I1296,""/""),,2),INDEX(SPLIT(I1296,""/""),,1))"),44799.0)</f>
        <v>44799</v>
      </c>
      <c r="L1296" s="1">
        <v>0.0</v>
      </c>
      <c r="M1296" s="1" t="s">
        <v>1643</v>
      </c>
      <c r="N1296" s="1"/>
      <c r="O1296" s="1" t="s">
        <v>30</v>
      </c>
      <c r="P1296" s="1" t="s">
        <v>31</v>
      </c>
      <c r="Q1296" s="1" t="s">
        <v>53</v>
      </c>
      <c r="R1296" s="1" t="s">
        <v>53</v>
      </c>
      <c r="S1296" s="1" t="s">
        <v>54</v>
      </c>
      <c r="T1296" s="1" t="s">
        <v>55</v>
      </c>
      <c r="U1296" s="1">
        <v>1.00653977E8</v>
      </c>
      <c r="X1296" s="1" t="s">
        <v>125</v>
      </c>
      <c r="Y1296" s="1" t="s">
        <v>2579</v>
      </c>
      <c r="Z1296" s="1" t="s">
        <v>37</v>
      </c>
    </row>
    <row r="1297">
      <c r="A1297" s="1" t="s">
        <v>4438</v>
      </c>
      <c r="B1297" s="1" t="s">
        <v>658</v>
      </c>
      <c r="C1297" s="1" t="s">
        <v>4439</v>
      </c>
      <c r="D1297" s="1" t="s">
        <v>78</v>
      </c>
      <c r="E1297" s="1" t="s">
        <v>28</v>
      </c>
      <c r="F1297" s="2">
        <v>900000.0</v>
      </c>
      <c r="G1297" s="4">
        <v>44810.0</v>
      </c>
      <c r="H1297" s="4">
        <f>IFERROR(__xludf.DUMMYFUNCTION("DATE(INDEX(SPLIT(G1297,""/""),,3),INDEX(SPLIT(G1297,""/""),,2),INDEX(SPLIT(G1297,""/""),,1))"),44721.0)</f>
        <v>44721</v>
      </c>
      <c r="I1297" s="1" t="s">
        <v>226</v>
      </c>
      <c r="J1297" s="4">
        <f>IFERROR(__xludf.DUMMYFUNCTION("DATE(INDEX(SPLIT(I1297,""/""),,3),INDEX(SPLIT(I1297,""/""),,2),INDEX(SPLIT(I1297,""/""),,1))"),44771.0)</f>
        <v>44771</v>
      </c>
      <c r="L1297" s="1">
        <v>0.0</v>
      </c>
      <c r="M1297" s="1" t="s">
        <v>211</v>
      </c>
      <c r="N1297" s="1"/>
      <c r="O1297" s="1" t="s">
        <v>30</v>
      </c>
      <c r="P1297" s="1" t="s">
        <v>31</v>
      </c>
      <c r="Q1297" s="1" t="s">
        <v>71</v>
      </c>
      <c r="R1297" s="1" t="s">
        <v>71</v>
      </c>
      <c r="S1297" s="1" t="s">
        <v>72</v>
      </c>
      <c r="T1297" s="1" t="s">
        <v>136</v>
      </c>
      <c r="U1297" s="1">
        <v>1.00590896E8</v>
      </c>
      <c r="X1297" s="1" t="s">
        <v>74</v>
      </c>
      <c r="Y1297" s="1" t="s">
        <v>2036</v>
      </c>
      <c r="Z1297" s="1" t="s">
        <v>37</v>
      </c>
    </row>
    <row r="1298" hidden="1">
      <c r="A1298" s="1" t="s">
        <v>4440</v>
      </c>
      <c r="B1298" s="1" t="s">
        <v>83</v>
      </c>
      <c r="C1298" s="1" t="s">
        <v>4441</v>
      </c>
      <c r="D1298" s="1" t="s">
        <v>27</v>
      </c>
      <c r="E1298" s="1" t="s">
        <v>28</v>
      </c>
      <c r="F1298" s="2">
        <v>900000.0</v>
      </c>
      <c r="G1298" s="1" t="s">
        <v>940</v>
      </c>
      <c r="H1298" s="4">
        <f>IFERROR(__xludf.DUMMYFUNCTION("DATE(INDEX(SPLIT(G1298,""/""),,3),INDEX(SPLIT(G1298,""/""),,2),INDEX(SPLIT(G1298,""/""),,1))"),44574.0)</f>
        <v>44574</v>
      </c>
      <c r="I1298" s="1" t="s">
        <v>317</v>
      </c>
      <c r="J1298" s="4">
        <f>IFERROR(__xludf.DUMMYFUNCTION("DATE(INDEX(SPLIT(I1298,""/""),,3),INDEX(SPLIT(I1298,""/""),,2),INDEX(SPLIT(I1298,""/""),,1))"),44862.0)</f>
        <v>44862</v>
      </c>
      <c r="L1298" s="1">
        <v>0.0</v>
      </c>
      <c r="M1298" s="1" t="s">
        <v>146</v>
      </c>
      <c r="N1298" s="1"/>
      <c r="O1298" s="1" t="s">
        <v>30</v>
      </c>
      <c r="P1298" s="1" t="s">
        <v>31</v>
      </c>
      <c r="Q1298" s="1" t="s">
        <v>53</v>
      </c>
      <c r="R1298" s="1" t="s">
        <v>53</v>
      </c>
      <c r="S1298" s="1" t="s">
        <v>54</v>
      </c>
      <c r="T1298" s="1" t="s">
        <v>442</v>
      </c>
      <c r="U1298" s="1">
        <v>1.00652489E8</v>
      </c>
      <c r="X1298" s="1" t="s">
        <v>88</v>
      </c>
      <c r="Y1298" s="1" t="s">
        <v>146</v>
      </c>
      <c r="Z1298" s="1" t="s">
        <v>37</v>
      </c>
    </row>
    <row r="1299" hidden="1">
      <c r="A1299" s="1" t="s">
        <v>4442</v>
      </c>
      <c r="B1299" s="1" t="s">
        <v>1820</v>
      </c>
      <c r="C1299" s="1" t="s">
        <v>4443</v>
      </c>
      <c r="D1299" s="1" t="s">
        <v>27</v>
      </c>
      <c r="E1299" s="1" t="s">
        <v>28</v>
      </c>
      <c r="F1299" s="2">
        <v>900000.0</v>
      </c>
      <c r="G1299" s="4">
        <v>44567.0</v>
      </c>
      <c r="H1299" s="4">
        <f>IFERROR(__xludf.DUMMYFUNCTION("DATE(INDEX(SPLIT(G1299,""/""),,3),INDEX(SPLIT(G1299,""/""),,2),INDEX(SPLIT(G1299,""/""),,1))"),44713.0)</f>
        <v>44713</v>
      </c>
      <c r="I1299" s="1" t="s">
        <v>171</v>
      </c>
      <c r="J1299" s="4">
        <f>IFERROR(__xludf.DUMMYFUNCTION("DATE(INDEX(SPLIT(I1299,""/""),,3),INDEX(SPLIT(I1299,""/""),,2),INDEX(SPLIT(I1299,""/""),,1))"),45077.0)</f>
        <v>45077</v>
      </c>
      <c r="L1299" s="1">
        <v>0.0</v>
      </c>
      <c r="M1299" s="1" t="s">
        <v>299</v>
      </c>
      <c r="N1299" s="1"/>
      <c r="O1299" s="1" t="s">
        <v>30</v>
      </c>
      <c r="P1299" s="1" t="s">
        <v>31</v>
      </c>
      <c r="Q1299" s="1" t="s">
        <v>71</v>
      </c>
      <c r="R1299" s="1" t="s">
        <v>71</v>
      </c>
      <c r="S1299" s="1" t="s">
        <v>72</v>
      </c>
      <c r="T1299" s="1" t="s">
        <v>136</v>
      </c>
      <c r="U1299" s="1">
        <v>1.00610483E8</v>
      </c>
      <c r="X1299" s="1" t="s">
        <v>74</v>
      </c>
      <c r="Y1299" s="1" t="s">
        <v>4444</v>
      </c>
      <c r="Z1299" s="1" t="s">
        <v>37</v>
      </c>
    </row>
    <row r="1300" hidden="1">
      <c r="A1300" s="1" t="s">
        <v>4445</v>
      </c>
      <c r="B1300" s="1" t="s">
        <v>3802</v>
      </c>
      <c r="C1300" s="1" t="s">
        <v>4446</v>
      </c>
      <c r="D1300" s="1" t="s">
        <v>122</v>
      </c>
      <c r="E1300" s="1" t="s">
        <v>28</v>
      </c>
      <c r="F1300" s="2">
        <v>900000.0</v>
      </c>
      <c r="G1300" s="4">
        <v>44451.0</v>
      </c>
      <c r="H1300" s="4">
        <f>IFERROR(__xludf.DUMMYFUNCTION("DATE(INDEX(SPLIT(G1300,""/""),,3),INDEX(SPLIT(G1300,""/""),,2),INDEX(SPLIT(G1300,""/""),,1))"),44539.0)</f>
        <v>44539</v>
      </c>
      <c r="I1300" s="4">
        <v>44812.0</v>
      </c>
      <c r="J1300" s="4">
        <f>IFERROR(__xludf.DUMMYFUNCTION("DATE(INDEX(SPLIT(I1300,""/""),,3),INDEX(SPLIT(I1300,""/""),,2),INDEX(SPLIT(I1300,""/""),,1))"),44782.0)</f>
        <v>44782</v>
      </c>
      <c r="L1300" s="1">
        <v>0.0</v>
      </c>
      <c r="M1300" s="1" t="s">
        <v>4447</v>
      </c>
      <c r="N1300" s="1"/>
      <c r="O1300" s="1" t="s">
        <v>30</v>
      </c>
      <c r="P1300" s="1" t="s">
        <v>31</v>
      </c>
      <c r="Q1300" s="1" t="s">
        <v>53</v>
      </c>
      <c r="R1300" s="1" t="s">
        <v>53</v>
      </c>
      <c r="S1300" s="1" t="s">
        <v>54</v>
      </c>
      <c r="T1300" s="1" t="s">
        <v>2372</v>
      </c>
      <c r="U1300" s="1">
        <v>1.00661817E8</v>
      </c>
      <c r="X1300" s="1" t="s">
        <v>239</v>
      </c>
      <c r="Y1300" s="1" t="s">
        <v>2373</v>
      </c>
      <c r="Z1300" s="1" t="s">
        <v>37</v>
      </c>
    </row>
    <row r="1301" hidden="1">
      <c r="A1301" s="1" t="s">
        <v>4448</v>
      </c>
      <c r="B1301" s="1" t="s">
        <v>4449</v>
      </c>
      <c r="C1301" s="1" t="s">
        <v>4450</v>
      </c>
      <c r="D1301" s="1" t="s">
        <v>122</v>
      </c>
      <c r="E1301" s="1" t="s">
        <v>28</v>
      </c>
      <c r="F1301" s="2">
        <v>900000.0</v>
      </c>
      <c r="G1301" s="1" t="s">
        <v>3158</v>
      </c>
      <c r="H1301" s="4">
        <f>IFERROR(__xludf.DUMMYFUNCTION("DATE(INDEX(SPLIT(G1301,""/""),,3),INDEX(SPLIT(G1301,""/""),,2),INDEX(SPLIT(G1301,""/""),,1))"),44468.0)</f>
        <v>44468</v>
      </c>
      <c r="I1301" s="4">
        <v>44689.0</v>
      </c>
      <c r="J1301" s="4">
        <f>IFERROR(__xludf.DUMMYFUNCTION("DATE(INDEX(SPLIT(I1301,""/""),,3),INDEX(SPLIT(I1301,""/""),,2),INDEX(SPLIT(I1301,""/""),,1))"),44778.0)</f>
        <v>44778</v>
      </c>
      <c r="L1301" s="1">
        <v>0.0</v>
      </c>
      <c r="M1301" s="1" t="s">
        <v>4451</v>
      </c>
      <c r="N1301" s="1"/>
      <c r="O1301" s="1" t="s">
        <v>30</v>
      </c>
      <c r="P1301" s="1" t="s">
        <v>31</v>
      </c>
      <c r="Q1301" s="1" t="s">
        <v>235</v>
      </c>
      <c r="R1301" s="1" t="s">
        <v>235</v>
      </c>
      <c r="S1301" s="1" t="s">
        <v>236</v>
      </c>
      <c r="T1301" s="1" t="s">
        <v>1349</v>
      </c>
      <c r="U1301" s="1">
        <v>1.00945646E8</v>
      </c>
      <c r="X1301" s="1" t="s">
        <v>375</v>
      </c>
      <c r="Y1301" s="1" t="s">
        <v>4452</v>
      </c>
      <c r="Z1301" s="1" t="s">
        <v>37</v>
      </c>
    </row>
    <row r="1302" hidden="1">
      <c r="A1302" s="1" t="s">
        <v>4453</v>
      </c>
      <c r="B1302" s="1" t="s">
        <v>612</v>
      </c>
      <c r="C1302" s="1" t="s">
        <v>4454</v>
      </c>
      <c r="D1302" s="1" t="s">
        <v>122</v>
      </c>
      <c r="E1302" s="1" t="s">
        <v>28</v>
      </c>
      <c r="F1302" s="2">
        <v>900000.0</v>
      </c>
      <c r="G1302" s="4">
        <v>44868.0</v>
      </c>
      <c r="H1302" s="4">
        <f>IFERROR(__xludf.DUMMYFUNCTION("DATE(INDEX(SPLIT(G1302,""/""),,3),INDEX(SPLIT(G1302,""/""),,2),INDEX(SPLIT(G1302,""/""),,1))"),44631.0)</f>
        <v>44631</v>
      </c>
      <c r="I1302" s="1" t="s">
        <v>42</v>
      </c>
      <c r="J1302" s="4">
        <f>IFERROR(__xludf.DUMMYFUNCTION("DATE(INDEX(SPLIT(I1302,""/""),,3),INDEX(SPLIT(I1302,""/""),,2),INDEX(SPLIT(I1302,""/""),,1))"),44926.0)</f>
        <v>44926</v>
      </c>
      <c r="L1302" s="1">
        <v>0.0</v>
      </c>
      <c r="M1302" s="1" t="s">
        <v>4455</v>
      </c>
      <c r="N1302" s="1"/>
      <c r="O1302" s="1" t="s">
        <v>30</v>
      </c>
      <c r="P1302" s="1" t="s">
        <v>31</v>
      </c>
      <c r="Q1302" s="1" t="s">
        <v>157</v>
      </c>
      <c r="R1302" s="1" t="s">
        <v>157</v>
      </c>
      <c r="S1302" s="1" t="s">
        <v>158</v>
      </c>
      <c r="U1302" s="1">
        <v>1.00910245E8</v>
      </c>
      <c r="X1302" s="1" t="s">
        <v>490</v>
      </c>
      <c r="Y1302" s="1" t="s">
        <v>4456</v>
      </c>
      <c r="Z1302" s="1" t="s">
        <v>37</v>
      </c>
    </row>
    <row r="1303">
      <c r="A1303" s="1" t="s">
        <v>4457</v>
      </c>
      <c r="B1303" s="1" t="s">
        <v>4458</v>
      </c>
      <c r="C1303" s="1" t="s">
        <v>4459</v>
      </c>
      <c r="D1303" s="1" t="s">
        <v>68</v>
      </c>
      <c r="E1303" s="1" t="s">
        <v>28</v>
      </c>
      <c r="F1303" s="2">
        <v>900000.0</v>
      </c>
      <c r="G1303" s="1" t="s">
        <v>1244</v>
      </c>
      <c r="H1303" s="4">
        <f>IFERROR(__xludf.DUMMYFUNCTION("DATE(INDEX(SPLIT(G1303,""/""),,3),INDEX(SPLIT(G1303,""/""),,2),INDEX(SPLIT(G1303,""/""),,1))"),44742.0)</f>
        <v>44742</v>
      </c>
      <c r="I1303" s="1" t="s">
        <v>226</v>
      </c>
      <c r="J1303" s="4">
        <f>IFERROR(__xludf.DUMMYFUNCTION("DATE(INDEX(SPLIT(I1303,""/""),,3),INDEX(SPLIT(I1303,""/""),,2),INDEX(SPLIT(I1303,""/""),,1))"),44771.0)</f>
        <v>44771</v>
      </c>
      <c r="L1303" s="1">
        <v>0.0</v>
      </c>
      <c r="M1303" s="1" t="s">
        <v>4460</v>
      </c>
      <c r="N1303" s="1"/>
      <c r="O1303" s="1" t="s">
        <v>30</v>
      </c>
      <c r="P1303" s="1" t="s">
        <v>31</v>
      </c>
      <c r="Q1303" s="1" t="s">
        <v>188</v>
      </c>
      <c r="R1303" s="1" t="s">
        <v>188</v>
      </c>
      <c r="S1303" s="1" t="s">
        <v>189</v>
      </c>
      <c r="U1303" s="1">
        <v>1.00632514E8</v>
      </c>
      <c r="X1303" s="1" t="s">
        <v>63</v>
      </c>
      <c r="Y1303" s="1" t="s">
        <v>4460</v>
      </c>
      <c r="Z1303" s="1" t="s">
        <v>37</v>
      </c>
    </row>
    <row r="1304" hidden="1">
      <c r="A1304" s="1" t="s">
        <v>4461</v>
      </c>
      <c r="B1304" s="1" t="s">
        <v>1286</v>
      </c>
      <c r="C1304" s="1" t="s">
        <v>4462</v>
      </c>
      <c r="D1304" s="1" t="s">
        <v>78</v>
      </c>
      <c r="E1304" s="1" t="s">
        <v>28</v>
      </c>
      <c r="F1304" s="2">
        <v>900000.0</v>
      </c>
      <c r="G1304" s="1" t="s">
        <v>4463</v>
      </c>
      <c r="H1304" s="4">
        <f>IFERROR(__xludf.DUMMYFUNCTION("DATE(INDEX(SPLIT(G1304,""/""),,3),INDEX(SPLIT(G1304,""/""),,2),INDEX(SPLIT(G1304,""/""),,1))"),44042.0)</f>
        <v>44042</v>
      </c>
      <c r="I1304" s="1" t="s">
        <v>4464</v>
      </c>
      <c r="J1304" s="4">
        <f>IFERROR(__xludf.DUMMYFUNCTION("DATE(INDEX(SPLIT(I1304,""/""),,3),INDEX(SPLIT(I1304,""/""),,2),INDEX(SPLIT(I1304,""/""),,1))"),44849.0)</f>
        <v>44849</v>
      </c>
      <c r="L1304" s="1">
        <v>0.0</v>
      </c>
      <c r="M1304" s="1" t="s">
        <v>1443</v>
      </c>
      <c r="N1304" s="1"/>
      <c r="O1304" s="1" t="s">
        <v>30</v>
      </c>
      <c r="P1304" s="1" t="s">
        <v>31</v>
      </c>
      <c r="Q1304" s="1" t="s">
        <v>53</v>
      </c>
      <c r="R1304" s="1" t="s">
        <v>53</v>
      </c>
      <c r="S1304" s="1" t="s">
        <v>54</v>
      </c>
      <c r="T1304" s="1" t="s">
        <v>103</v>
      </c>
      <c r="U1304" s="1">
        <v>1.0059033E8</v>
      </c>
      <c r="X1304" s="1" t="s">
        <v>312</v>
      </c>
      <c r="Y1304" s="1" t="s">
        <v>313</v>
      </c>
      <c r="Z1304" s="1" t="s">
        <v>37</v>
      </c>
    </row>
    <row r="1305" hidden="1">
      <c r="A1305" s="1" t="s">
        <v>4465</v>
      </c>
      <c r="B1305" s="1" t="s">
        <v>4466</v>
      </c>
      <c r="C1305" s="1" t="s">
        <v>4467</v>
      </c>
      <c r="D1305" s="1" t="s">
        <v>78</v>
      </c>
      <c r="E1305" s="1" t="s">
        <v>28</v>
      </c>
      <c r="F1305" s="2">
        <v>900000.0</v>
      </c>
      <c r="G1305" s="1" t="s">
        <v>2387</v>
      </c>
      <c r="H1305" s="4">
        <f>IFERROR(__xludf.DUMMYFUNCTION("DATE(INDEX(SPLIT(G1305,""/""),,3),INDEX(SPLIT(G1305,""/""),,2),INDEX(SPLIT(G1305,""/""),,1))"),44274.0)</f>
        <v>44274</v>
      </c>
      <c r="I1305" s="1" t="s">
        <v>109</v>
      </c>
      <c r="J1305" s="4">
        <f>IFERROR(__xludf.DUMMYFUNCTION("DATE(INDEX(SPLIT(I1305,""/""),,3),INDEX(SPLIT(I1305,""/""),,2),INDEX(SPLIT(I1305,""/""),,1))"),44834.0)</f>
        <v>44834</v>
      </c>
      <c r="K1305" s="1" t="s">
        <v>4468</v>
      </c>
      <c r="L1305" s="1">
        <v>0.0</v>
      </c>
      <c r="M1305" s="1" t="s">
        <v>1303</v>
      </c>
      <c r="N1305" s="1"/>
      <c r="O1305" s="1" t="s">
        <v>30</v>
      </c>
      <c r="P1305" s="1" t="s">
        <v>31</v>
      </c>
      <c r="Q1305" s="1" t="s">
        <v>235</v>
      </c>
      <c r="R1305" s="1" t="s">
        <v>235</v>
      </c>
      <c r="S1305" s="1" t="s">
        <v>236</v>
      </c>
      <c r="T1305" s="1" t="s">
        <v>438</v>
      </c>
      <c r="U1305" s="1">
        <v>1.00609073E8</v>
      </c>
      <c r="X1305" s="1" t="s">
        <v>63</v>
      </c>
      <c r="Y1305" s="1" t="s">
        <v>1303</v>
      </c>
      <c r="Z1305" s="1" t="s">
        <v>37</v>
      </c>
    </row>
    <row r="1306" hidden="1">
      <c r="A1306" s="1" t="s">
        <v>4469</v>
      </c>
      <c r="B1306" s="1" t="s">
        <v>3556</v>
      </c>
      <c r="C1306" s="1" t="s">
        <v>4470</v>
      </c>
      <c r="D1306" s="1" t="s">
        <v>27</v>
      </c>
      <c r="E1306" s="1" t="s">
        <v>28</v>
      </c>
      <c r="F1306" s="2">
        <v>900000.0</v>
      </c>
      <c r="G1306" s="1" t="s">
        <v>1521</v>
      </c>
      <c r="H1306" s="4">
        <f>IFERROR(__xludf.DUMMYFUNCTION("DATE(INDEX(SPLIT(G1306,""/""),,3),INDEX(SPLIT(G1306,""/""),,2),INDEX(SPLIT(G1306,""/""),,1))"),44756.0)</f>
        <v>44756</v>
      </c>
      <c r="I1306" s="4">
        <v>44752.0</v>
      </c>
      <c r="J1306" s="4">
        <f>IFERROR(__xludf.DUMMYFUNCTION("DATE(INDEX(SPLIT(I1306,""/""),,3),INDEX(SPLIT(I1306,""/""),,2),INDEX(SPLIT(I1306,""/""),,1))"),44841.0)</f>
        <v>44841</v>
      </c>
      <c r="L1306" s="1">
        <v>0.0</v>
      </c>
      <c r="M1306" s="1" t="s">
        <v>2787</v>
      </c>
      <c r="N1306" s="1"/>
      <c r="O1306" s="1" t="s">
        <v>30</v>
      </c>
      <c r="P1306" s="1" t="s">
        <v>31</v>
      </c>
      <c r="Q1306" s="1" t="s">
        <v>157</v>
      </c>
      <c r="R1306" s="1" t="s">
        <v>157</v>
      </c>
      <c r="S1306" s="1" t="s">
        <v>158</v>
      </c>
      <c r="T1306" s="1" t="s">
        <v>442</v>
      </c>
      <c r="U1306" s="1">
        <v>1.00708984E8</v>
      </c>
      <c r="X1306" s="1" t="s">
        <v>117</v>
      </c>
      <c r="Y1306" s="1" t="s">
        <v>1969</v>
      </c>
      <c r="Z1306" s="1" t="s">
        <v>37</v>
      </c>
    </row>
    <row r="1307" hidden="1">
      <c r="A1307" s="1" t="s">
        <v>4471</v>
      </c>
      <c r="B1307" s="1" t="s">
        <v>4472</v>
      </c>
      <c r="C1307" s="1" t="s">
        <v>4473</v>
      </c>
      <c r="D1307" s="1" t="s">
        <v>78</v>
      </c>
      <c r="E1307" s="1" t="s">
        <v>28</v>
      </c>
      <c r="F1307" s="2">
        <v>900000.0</v>
      </c>
      <c r="G1307" s="4">
        <v>44481.0</v>
      </c>
      <c r="H1307" s="4">
        <f>IFERROR(__xludf.DUMMYFUNCTION("DATE(INDEX(SPLIT(G1307,""/""),,3),INDEX(SPLIT(G1307,""/""),,2),INDEX(SPLIT(G1307,""/""),,1))"),44540.0)</f>
        <v>44540</v>
      </c>
      <c r="I1307" s="4">
        <v>45078.0</v>
      </c>
      <c r="J1307" s="4">
        <f>IFERROR(__xludf.DUMMYFUNCTION("DATE(INDEX(SPLIT(I1307,""/""),,3),INDEX(SPLIT(I1307,""/""),,2),INDEX(SPLIT(I1307,""/""),,1))"),44932.0)</f>
        <v>44932</v>
      </c>
      <c r="L1307" s="1">
        <v>0.0</v>
      </c>
      <c r="M1307" s="1" t="s">
        <v>2623</v>
      </c>
      <c r="N1307" s="1"/>
      <c r="O1307" s="1" t="s">
        <v>30</v>
      </c>
      <c r="P1307" s="1" t="s">
        <v>31</v>
      </c>
      <c r="Q1307" s="1" t="s">
        <v>71</v>
      </c>
      <c r="R1307" s="1" t="s">
        <v>71</v>
      </c>
      <c r="S1307" s="1" t="s">
        <v>72</v>
      </c>
      <c r="T1307" s="1" t="s">
        <v>73</v>
      </c>
      <c r="U1307" s="1">
        <v>1.00618842E8</v>
      </c>
      <c r="X1307" s="1" t="s">
        <v>74</v>
      </c>
      <c r="Y1307" s="1" t="s">
        <v>2623</v>
      </c>
      <c r="Z1307" s="1" t="s">
        <v>37</v>
      </c>
    </row>
    <row r="1308" hidden="1">
      <c r="A1308" s="1" t="s">
        <v>4474</v>
      </c>
      <c r="B1308" s="1" t="s">
        <v>4475</v>
      </c>
      <c r="C1308" s="1" t="s">
        <v>4476</v>
      </c>
      <c r="D1308" s="1" t="s">
        <v>27</v>
      </c>
      <c r="E1308" s="1" t="s">
        <v>28</v>
      </c>
      <c r="F1308" s="2">
        <v>900000.0</v>
      </c>
      <c r="G1308" s="1" t="s">
        <v>1259</v>
      </c>
      <c r="H1308" s="4">
        <f>IFERROR(__xludf.DUMMYFUNCTION("DATE(INDEX(SPLIT(G1308,""/""),,3),INDEX(SPLIT(G1308,""/""),,2),INDEX(SPLIT(G1308,""/""),,1))"),44763.0)</f>
        <v>44763</v>
      </c>
      <c r="I1308" s="1" t="s">
        <v>1097</v>
      </c>
      <c r="J1308" s="4">
        <f>IFERROR(__xludf.DUMMYFUNCTION("DATE(INDEX(SPLIT(I1308,""/""),,3),INDEX(SPLIT(I1308,""/""),,2),INDEX(SPLIT(I1308,""/""),,1))"),45107.0)</f>
        <v>45107</v>
      </c>
      <c r="L1308" s="1">
        <v>0.0</v>
      </c>
      <c r="M1308" s="1" t="s">
        <v>4477</v>
      </c>
      <c r="N1308" s="1"/>
      <c r="O1308" s="1" t="s">
        <v>30</v>
      </c>
      <c r="P1308" s="1" t="s">
        <v>31</v>
      </c>
      <c r="Q1308" s="1" t="s">
        <v>228</v>
      </c>
      <c r="R1308" s="1" t="s">
        <v>228</v>
      </c>
      <c r="S1308" s="1" t="s">
        <v>229</v>
      </c>
      <c r="T1308" s="1" t="s">
        <v>513</v>
      </c>
      <c r="U1308" s="1">
        <v>1.00592715E8</v>
      </c>
      <c r="X1308" s="1" t="s">
        <v>98</v>
      </c>
      <c r="Y1308" s="1" t="s">
        <v>4477</v>
      </c>
      <c r="Z1308" s="1" t="s">
        <v>37</v>
      </c>
    </row>
    <row r="1309" hidden="1">
      <c r="A1309" s="1" t="s">
        <v>4478</v>
      </c>
      <c r="B1309" s="1" t="s">
        <v>1233</v>
      </c>
      <c r="C1309" s="1" t="s">
        <v>4479</v>
      </c>
      <c r="D1309" s="1" t="s">
        <v>122</v>
      </c>
      <c r="E1309" s="1" t="s">
        <v>28</v>
      </c>
      <c r="F1309" s="2">
        <v>900000.0</v>
      </c>
      <c r="G1309" s="1" t="s">
        <v>935</v>
      </c>
      <c r="H1309" s="4">
        <f>IFERROR(__xludf.DUMMYFUNCTION("DATE(INDEX(SPLIT(G1309,""/""),,3),INDEX(SPLIT(G1309,""/""),,2),INDEX(SPLIT(G1309,""/""),,1))"),44764.0)</f>
        <v>44764</v>
      </c>
      <c r="I1309" s="1" t="s">
        <v>281</v>
      </c>
      <c r="J1309" s="4">
        <f>IFERROR(__xludf.DUMMYFUNCTION("DATE(INDEX(SPLIT(I1309,""/""),,3),INDEX(SPLIT(I1309,""/""),,2),INDEX(SPLIT(I1309,""/""),,1))"),44865.0)</f>
        <v>44865</v>
      </c>
      <c r="L1309" s="1">
        <v>0.0</v>
      </c>
      <c r="M1309" s="1" t="s">
        <v>2592</v>
      </c>
      <c r="N1309" s="1"/>
      <c r="O1309" s="1" t="s">
        <v>30</v>
      </c>
      <c r="P1309" s="1" t="s">
        <v>31</v>
      </c>
      <c r="Q1309" s="1" t="s">
        <v>71</v>
      </c>
      <c r="R1309" s="1" t="s">
        <v>71</v>
      </c>
      <c r="S1309" s="1" t="s">
        <v>72</v>
      </c>
      <c r="T1309" s="1" t="s">
        <v>136</v>
      </c>
      <c r="U1309" s="1">
        <v>1.00586452E8</v>
      </c>
      <c r="X1309" s="1" t="s">
        <v>74</v>
      </c>
      <c r="Y1309" s="1" t="s">
        <v>2593</v>
      </c>
      <c r="Z1309" s="1" t="s">
        <v>37</v>
      </c>
    </row>
    <row r="1310" hidden="1">
      <c r="A1310" s="1" t="s">
        <v>4480</v>
      </c>
      <c r="B1310" s="1" t="s">
        <v>4481</v>
      </c>
      <c r="C1310" s="1" t="s">
        <v>4482</v>
      </c>
      <c r="D1310" s="1" t="s">
        <v>78</v>
      </c>
      <c r="E1310" s="1" t="s">
        <v>28</v>
      </c>
      <c r="F1310" s="2">
        <v>900000.0</v>
      </c>
      <c r="G1310" s="1" t="s">
        <v>418</v>
      </c>
      <c r="H1310" s="4">
        <f>IFERROR(__xludf.DUMMYFUNCTION("DATE(INDEX(SPLIT(G1310,""/""),,3),INDEX(SPLIT(G1310,""/""),,2),INDEX(SPLIT(G1310,""/""),,1))"),44755.0)</f>
        <v>44755</v>
      </c>
      <c r="I1310" s="4">
        <v>44569.0</v>
      </c>
      <c r="J1310" s="4">
        <f>IFERROR(__xludf.DUMMYFUNCTION("DATE(INDEX(SPLIT(I1310,""/""),,3),INDEX(SPLIT(I1310,""/""),,2),INDEX(SPLIT(I1310,""/""),,1))"),44774.0)</f>
        <v>44774</v>
      </c>
      <c r="L1310" s="1">
        <v>0.0</v>
      </c>
      <c r="M1310" s="1" t="s">
        <v>1814</v>
      </c>
      <c r="N1310" s="1"/>
      <c r="O1310" s="1" t="s">
        <v>30</v>
      </c>
      <c r="P1310" s="1" t="s">
        <v>31</v>
      </c>
      <c r="Q1310" s="1" t="s">
        <v>95</v>
      </c>
      <c r="R1310" s="1" t="s">
        <v>95</v>
      </c>
      <c r="S1310" s="1" t="s">
        <v>96</v>
      </c>
      <c r="T1310" s="1" t="s">
        <v>602</v>
      </c>
      <c r="U1310" s="1">
        <v>1.00597983E8</v>
      </c>
      <c r="X1310" s="1" t="s">
        <v>88</v>
      </c>
      <c r="Y1310" s="1" t="s">
        <v>2133</v>
      </c>
      <c r="Z1310" s="1" t="s">
        <v>206</v>
      </c>
    </row>
    <row r="1311" hidden="1">
      <c r="A1311" s="1" t="s">
        <v>4483</v>
      </c>
      <c r="B1311" s="1" t="s">
        <v>4066</v>
      </c>
      <c r="C1311" s="1" t="s">
        <v>4484</v>
      </c>
      <c r="D1311" s="1" t="s">
        <v>27</v>
      </c>
      <c r="E1311" s="1" t="s">
        <v>28</v>
      </c>
      <c r="F1311" s="2">
        <v>900000.0</v>
      </c>
      <c r="G1311" s="1" t="s">
        <v>1244</v>
      </c>
      <c r="H1311" s="4">
        <f>IFERROR(__xludf.DUMMYFUNCTION("DATE(INDEX(SPLIT(G1311,""/""),,3),INDEX(SPLIT(G1311,""/""),,2),INDEX(SPLIT(G1311,""/""),,1))"),44742.0)</f>
        <v>44742</v>
      </c>
      <c r="I1311" s="4">
        <v>44601.0</v>
      </c>
      <c r="J1311" s="4">
        <f>IFERROR(__xludf.DUMMYFUNCTION("DATE(INDEX(SPLIT(I1311,""/""),,3),INDEX(SPLIT(I1311,""/""),,2),INDEX(SPLIT(I1311,""/""),,1))"),44806.0)</f>
        <v>44806</v>
      </c>
      <c r="L1311" s="1">
        <v>0.0</v>
      </c>
      <c r="M1311" s="1" t="s">
        <v>2623</v>
      </c>
      <c r="N1311" s="1"/>
      <c r="O1311" s="1" t="s">
        <v>30</v>
      </c>
      <c r="P1311" s="1" t="s">
        <v>31</v>
      </c>
      <c r="Q1311" s="1" t="s">
        <v>71</v>
      </c>
      <c r="R1311" s="1" t="s">
        <v>71</v>
      </c>
      <c r="S1311" s="1" t="s">
        <v>72</v>
      </c>
      <c r="T1311" s="1" t="s">
        <v>73</v>
      </c>
      <c r="U1311" s="1">
        <v>1.00618842E8</v>
      </c>
      <c r="X1311" s="1" t="s">
        <v>74</v>
      </c>
      <c r="Y1311" s="1" t="s">
        <v>2623</v>
      </c>
      <c r="Z1311" s="1" t="s">
        <v>37</v>
      </c>
    </row>
    <row r="1312">
      <c r="A1312" s="1" t="s">
        <v>4485</v>
      </c>
      <c r="B1312" s="1" t="s">
        <v>4486</v>
      </c>
      <c r="C1312" s="1" t="s">
        <v>4487</v>
      </c>
      <c r="D1312" s="1" t="s">
        <v>78</v>
      </c>
      <c r="E1312" s="1" t="s">
        <v>28</v>
      </c>
      <c r="F1312" s="2">
        <v>900000.0</v>
      </c>
      <c r="G1312" s="4">
        <v>44682.0</v>
      </c>
      <c r="H1312" s="4">
        <f>IFERROR(__xludf.DUMMYFUNCTION("DATE(INDEX(SPLIT(G1312,""/""),,3),INDEX(SPLIT(G1312,""/""),,2),INDEX(SPLIT(G1312,""/""),,1))"),44566.0)</f>
        <v>44566</v>
      </c>
      <c r="I1312" s="1" t="s">
        <v>226</v>
      </c>
      <c r="J1312" s="4">
        <f>IFERROR(__xludf.DUMMYFUNCTION("DATE(INDEX(SPLIT(I1312,""/""),,3),INDEX(SPLIT(I1312,""/""),,2),INDEX(SPLIT(I1312,""/""),,1))"),44771.0)</f>
        <v>44771</v>
      </c>
      <c r="L1312" s="1">
        <v>0.0</v>
      </c>
      <c r="M1312" s="1" t="s">
        <v>730</v>
      </c>
      <c r="N1312" s="1"/>
      <c r="O1312" s="1" t="s">
        <v>30</v>
      </c>
      <c r="P1312" s="1" t="s">
        <v>31</v>
      </c>
      <c r="Q1312" s="1" t="s">
        <v>95</v>
      </c>
      <c r="R1312" s="1" t="s">
        <v>95</v>
      </c>
      <c r="S1312" s="1" t="s">
        <v>96</v>
      </c>
      <c r="T1312" s="1" t="s">
        <v>311</v>
      </c>
      <c r="U1312" s="1">
        <v>1.00629293E8</v>
      </c>
      <c r="X1312" s="1" t="s">
        <v>312</v>
      </c>
      <c r="Y1312" s="1" t="s">
        <v>4488</v>
      </c>
      <c r="Z1312" s="1" t="s">
        <v>37</v>
      </c>
    </row>
    <row r="1313" hidden="1">
      <c r="A1313" s="1" t="s">
        <v>4489</v>
      </c>
      <c r="B1313" s="1" t="s">
        <v>1042</v>
      </c>
      <c r="C1313" s="1" t="s">
        <v>4490</v>
      </c>
      <c r="D1313" s="1" t="s">
        <v>27</v>
      </c>
      <c r="E1313" s="1" t="s">
        <v>28</v>
      </c>
      <c r="F1313" s="2">
        <v>900000.0</v>
      </c>
      <c r="G1313" s="1" t="s">
        <v>41</v>
      </c>
      <c r="H1313" s="4">
        <f>IFERROR(__xludf.DUMMYFUNCTION("DATE(INDEX(SPLIT(G1313,""/""),,3),INDEX(SPLIT(G1313,""/""),,2),INDEX(SPLIT(G1313,""/""),,1))"),44607.0)</f>
        <v>44607</v>
      </c>
      <c r="I1313" s="1" t="s">
        <v>42</v>
      </c>
      <c r="J1313" s="4">
        <f>IFERROR(__xludf.DUMMYFUNCTION("DATE(INDEX(SPLIT(I1313,""/""),,3),INDEX(SPLIT(I1313,""/""),,2),INDEX(SPLIT(I1313,""/""),,1))"),44926.0)</f>
        <v>44926</v>
      </c>
      <c r="L1313" s="1">
        <v>0.0</v>
      </c>
      <c r="M1313" s="1" t="s">
        <v>1918</v>
      </c>
      <c r="N1313" s="1"/>
      <c r="O1313" s="1" t="s">
        <v>30</v>
      </c>
      <c r="P1313" s="1" t="s">
        <v>31</v>
      </c>
      <c r="Q1313" s="1" t="s">
        <v>53</v>
      </c>
      <c r="R1313" s="1" t="s">
        <v>53</v>
      </c>
      <c r="S1313" s="1" t="s">
        <v>54</v>
      </c>
      <c r="T1313" s="1" t="s">
        <v>1386</v>
      </c>
      <c r="U1313" s="1">
        <v>1.00638639E8</v>
      </c>
      <c r="X1313" s="1" t="s">
        <v>88</v>
      </c>
      <c r="Y1313" s="1" t="s">
        <v>1387</v>
      </c>
      <c r="Z1313" s="1" t="s">
        <v>206</v>
      </c>
    </row>
    <row r="1314">
      <c r="A1314" s="1" t="s">
        <v>4491</v>
      </c>
      <c r="B1314" s="1" t="s">
        <v>3494</v>
      </c>
      <c r="C1314" s="1" t="s">
        <v>4492</v>
      </c>
      <c r="D1314" s="1" t="s">
        <v>27</v>
      </c>
      <c r="E1314" s="1" t="s">
        <v>28</v>
      </c>
      <c r="F1314" s="2">
        <v>900000.0</v>
      </c>
      <c r="G1314" s="1" t="s">
        <v>862</v>
      </c>
      <c r="H1314" s="4">
        <f>IFERROR(__xludf.DUMMYFUNCTION("DATE(INDEX(SPLIT(G1314,""/""),,3),INDEX(SPLIT(G1314,""/""),,2),INDEX(SPLIT(G1314,""/""),,1))"),44699.0)</f>
        <v>44699</v>
      </c>
      <c r="I1314" s="1" t="s">
        <v>935</v>
      </c>
      <c r="J1314" s="4">
        <f>IFERROR(__xludf.DUMMYFUNCTION("DATE(INDEX(SPLIT(I1314,""/""),,3),INDEX(SPLIT(I1314,""/""),,2),INDEX(SPLIT(I1314,""/""),,1))"),44764.0)</f>
        <v>44764</v>
      </c>
      <c r="L1314" s="1">
        <v>0.0</v>
      </c>
      <c r="M1314" s="1" t="s">
        <v>4493</v>
      </c>
      <c r="N1314" s="1"/>
      <c r="O1314" s="1" t="s">
        <v>30</v>
      </c>
      <c r="P1314" s="1" t="s">
        <v>31</v>
      </c>
      <c r="Q1314" s="1" t="s">
        <v>188</v>
      </c>
      <c r="R1314" s="1" t="s">
        <v>188</v>
      </c>
      <c r="S1314" s="1" t="s">
        <v>189</v>
      </c>
      <c r="T1314" s="1" t="s">
        <v>1344</v>
      </c>
      <c r="U1314" s="1">
        <v>1.00647536E8</v>
      </c>
      <c r="X1314" s="1" t="s">
        <v>254</v>
      </c>
      <c r="Y1314" s="1" t="s">
        <v>4494</v>
      </c>
      <c r="Z1314" s="1" t="s">
        <v>37</v>
      </c>
    </row>
    <row r="1315">
      <c r="A1315" s="1" t="s">
        <v>4495</v>
      </c>
      <c r="B1315" s="1" t="s">
        <v>4496</v>
      </c>
      <c r="C1315" s="1" t="s">
        <v>4497</v>
      </c>
      <c r="D1315" s="1" t="s">
        <v>122</v>
      </c>
      <c r="E1315" s="1" t="s">
        <v>28</v>
      </c>
      <c r="F1315" s="2">
        <v>895000.0</v>
      </c>
      <c r="G1315" s="1" t="s">
        <v>624</v>
      </c>
      <c r="H1315" s="4">
        <f>IFERROR(__xludf.DUMMYFUNCTION("DATE(INDEX(SPLIT(G1315,""/""),,3),INDEX(SPLIT(G1315,""/""),,2),INDEX(SPLIT(G1315,""/""),,1))"),44642.0)</f>
        <v>44642</v>
      </c>
      <c r="I1315" s="1" t="s">
        <v>226</v>
      </c>
      <c r="J1315" s="4">
        <f>IFERROR(__xludf.DUMMYFUNCTION("DATE(INDEX(SPLIT(I1315,""/""),,3),INDEX(SPLIT(I1315,""/""),,2),INDEX(SPLIT(I1315,""/""),,1))"),44771.0)</f>
        <v>44771</v>
      </c>
      <c r="L1315" s="1">
        <v>0.0</v>
      </c>
      <c r="M1315" s="1" t="s">
        <v>4498</v>
      </c>
      <c r="N1315" s="1"/>
      <c r="O1315" s="1" t="s">
        <v>30</v>
      </c>
      <c r="P1315" s="1" t="s">
        <v>31</v>
      </c>
      <c r="Q1315" s="1" t="s">
        <v>157</v>
      </c>
      <c r="R1315" s="1" t="s">
        <v>157</v>
      </c>
      <c r="S1315" s="1" t="s">
        <v>158</v>
      </c>
      <c r="T1315" s="1" t="s">
        <v>4499</v>
      </c>
      <c r="U1315" s="1">
        <v>1.00869674E8</v>
      </c>
      <c r="X1315" s="1" t="s">
        <v>88</v>
      </c>
      <c r="Y1315" s="1" t="s">
        <v>4500</v>
      </c>
      <c r="Z1315" s="1" t="s">
        <v>37</v>
      </c>
    </row>
    <row r="1316" hidden="1">
      <c r="A1316" s="1" t="s">
        <v>4501</v>
      </c>
      <c r="B1316" s="1" t="s">
        <v>1144</v>
      </c>
      <c r="C1316" s="1" t="s">
        <v>4502</v>
      </c>
      <c r="D1316" s="1" t="s">
        <v>68</v>
      </c>
      <c r="E1316" s="1" t="s">
        <v>28</v>
      </c>
      <c r="F1316" s="2">
        <v>888000.0</v>
      </c>
      <c r="G1316" s="1" t="s">
        <v>3178</v>
      </c>
      <c r="H1316" s="4">
        <f>IFERROR(__xludf.DUMMYFUNCTION("DATE(INDEX(SPLIT(G1316,""/""),,3),INDEX(SPLIT(G1316,""/""),,2),INDEX(SPLIT(G1316,""/""),,1))"),44644.0)</f>
        <v>44644</v>
      </c>
      <c r="I1316" s="1" t="s">
        <v>42</v>
      </c>
      <c r="J1316" s="4">
        <f>IFERROR(__xludf.DUMMYFUNCTION("DATE(INDEX(SPLIT(I1316,""/""),,3),INDEX(SPLIT(I1316,""/""),,2),INDEX(SPLIT(I1316,""/""),,1))"),44926.0)</f>
        <v>44926</v>
      </c>
      <c r="L1316" s="1">
        <v>0.0</v>
      </c>
      <c r="M1316" s="1" t="s">
        <v>1146</v>
      </c>
      <c r="N1316" s="1"/>
      <c r="O1316" s="1" t="s">
        <v>30</v>
      </c>
      <c r="P1316" s="1" t="s">
        <v>31</v>
      </c>
      <c r="Q1316" s="1" t="s">
        <v>228</v>
      </c>
      <c r="R1316" s="1" t="s">
        <v>228</v>
      </c>
      <c r="S1316" s="1" t="s">
        <v>229</v>
      </c>
      <c r="T1316" s="1" t="s">
        <v>640</v>
      </c>
      <c r="U1316" s="1">
        <v>1.0061139E8</v>
      </c>
      <c r="X1316" s="1" t="s">
        <v>63</v>
      </c>
      <c r="Y1316" s="1" t="s">
        <v>1147</v>
      </c>
      <c r="Z1316" s="1" t="s">
        <v>37</v>
      </c>
    </row>
    <row r="1317" hidden="1">
      <c r="A1317" s="1" t="s">
        <v>4503</v>
      </c>
      <c r="B1317" s="1" t="s">
        <v>3429</v>
      </c>
      <c r="C1317" s="1" t="s">
        <v>4504</v>
      </c>
      <c r="D1317" s="1" t="s">
        <v>122</v>
      </c>
      <c r="E1317" s="1" t="s">
        <v>28</v>
      </c>
      <c r="F1317" s="2">
        <v>887250.0</v>
      </c>
      <c r="G1317" s="1" t="s">
        <v>3934</v>
      </c>
      <c r="H1317" s="4">
        <f>IFERROR(__xludf.DUMMYFUNCTION("DATE(INDEX(SPLIT(G1317,""/""),,3),INDEX(SPLIT(G1317,""/""),,2),INDEX(SPLIT(G1317,""/""),,1))"),44428.0)</f>
        <v>44428</v>
      </c>
      <c r="I1317" s="1" t="s">
        <v>130</v>
      </c>
      <c r="J1317" s="4">
        <f>IFERROR(__xludf.DUMMYFUNCTION("DATE(INDEX(SPLIT(I1317,""/""),,3),INDEX(SPLIT(I1317,""/""),,2),INDEX(SPLIT(I1317,""/""),,1))"),44804.0)</f>
        <v>44804</v>
      </c>
      <c r="K1317" s="1" t="s">
        <v>4505</v>
      </c>
      <c r="L1317" s="1">
        <v>0.0</v>
      </c>
      <c r="M1317" s="1" t="s">
        <v>61</v>
      </c>
      <c r="N1317" s="1"/>
      <c r="O1317" s="1" t="s">
        <v>30</v>
      </c>
      <c r="P1317" s="1" t="s">
        <v>31</v>
      </c>
      <c r="Q1317" s="1" t="s">
        <v>32</v>
      </c>
      <c r="R1317" s="1" t="s">
        <v>32</v>
      </c>
      <c r="S1317" s="1" t="s">
        <v>33</v>
      </c>
      <c r="T1317" s="1" t="s">
        <v>111</v>
      </c>
      <c r="U1317" s="1">
        <v>1.0060843E8</v>
      </c>
      <c r="X1317" s="1" t="s">
        <v>63</v>
      </c>
      <c r="Y1317" s="1" t="s">
        <v>61</v>
      </c>
      <c r="Z1317" s="1" t="s">
        <v>37</v>
      </c>
    </row>
    <row r="1318" hidden="1">
      <c r="A1318" s="1" t="s">
        <v>4506</v>
      </c>
      <c r="B1318" s="1" t="s">
        <v>637</v>
      </c>
      <c r="C1318" s="1" t="s">
        <v>4507</v>
      </c>
      <c r="D1318" s="1" t="s">
        <v>68</v>
      </c>
      <c r="E1318" s="1" t="s">
        <v>28</v>
      </c>
      <c r="F1318" s="2">
        <v>879000.0</v>
      </c>
      <c r="G1318" s="1" t="s">
        <v>714</v>
      </c>
      <c r="H1318" s="4">
        <f>IFERROR(__xludf.DUMMYFUNCTION("DATE(INDEX(SPLIT(G1318,""/""),,3),INDEX(SPLIT(G1318,""/""),,2),INDEX(SPLIT(G1318,""/""),,1))"),44546.0)</f>
        <v>44546</v>
      </c>
      <c r="I1318" s="1" t="s">
        <v>281</v>
      </c>
      <c r="J1318" s="4">
        <f>IFERROR(__xludf.DUMMYFUNCTION("DATE(INDEX(SPLIT(I1318,""/""),,3),INDEX(SPLIT(I1318,""/""),,2),INDEX(SPLIT(I1318,""/""),,1))"),44865.0)</f>
        <v>44865</v>
      </c>
      <c r="L1318" s="1">
        <v>0.0</v>
      </c>
      <c r="M1318" s="1" t="s">
        <v>4508</v>
      </c>
      <c r="N1318" s="1"/>
      <c r="O1318" s="1" t="s">
        <v>30</v>
      </c>
      <c r="P1318" s="1" t="s">
        <v>31</v>
      </c>
      <c r="Q1318" s="1" t="s">
        <v>228</v>
      </c>
      <c r="R1318" s="1" t="s">
        <v>228</v>
      </c>
      <c r="S1318" s="1" t="s">
        <v>229</v>
      </c>
      <c r="T1318" s="1" t="s">
        <v>159</v>
      </c>
      <c r="U1318" s="1">
        <v>1.00657185E8</v>
      </c>
      <c r="X1318" s="1" t="s">
        <v>35</v>
      </c>
      <c r="Y1318" s="1" t="s">
        <v>4509</v>
      </c>
      <c r="Z1318" s="1" t="s">
        <v>37</v>
      </c>
    </row>
    <row r="1319">
      <c r="A1319" s="1" t="s">
        <v>4510</v>
      </c>
      <c r="B1319" s="1" t="s">
        <v>4511</v>
      </c>
      <c r="C1319" s="1" t="s">
        <v>4512</v>
      </c>
      <c r="D1319" s="1" t="s">
        <v>122</v>
      </c>
      <c r="E1319" s="1" t="s">
        <v>28</v>
      </c>
      <c r="F1319" s="2">
        <v>875000.0</v>
      </c>
      <c r="G1319" s="1" t="s">
        <v>2684</v>
      </c>
      <c r="H1319" s="4">
        <f>IFERROR(__xludf.DUMMYFUNCTION("DATE(INDEX(SPLIT(G1319,""/""),,3),INDEX(SPLIT(G1319,""/""),,2),INDEX(SPLIT(G1319,""/""),,1))"),44333.0)</f>
        <v>44333</v>
      </c>
      <c r="I1319" s="1" t="s">
        <v>226</v>
      </c>
      <c r="J1319" s="4">
        <f>IFERROR(__xludf.DUMMYFUNCTION("DATE(INDEX(SPLIT(I1319,""/""),,3),INDEX(SPLIT(I1319,""/""),,2),INDEX(SPLIT(I1319,""/""),,1))"),44771.0)</f>
        <v>44771</v>
      </c>
      <c r="L1319" s="1">
        <v>0.0</v>
      </c>
      <c r="M1319" s="1" t="s">
        <v>4513</v>
      </c>
      <c r="N1319" s="1"/>
      <c r="O1319" s="1" t="s">
        <v>30</v>
      </c>
      <c r="P1319" s="1" t="s">
        <v>31</v>
      </c>
      <c r="Q1319" s="1" t="s">
        <v>157</v>
      </c>
      <c r="R1319" s="1" t="s">
        <v>157</v>
      </c>
      <c r="S1319" s="1" t="s">
        <v>158</v>
      </c>
      <c r="T1319" s="1" t="s">
        <v>159</v>
      </c>
      <c r="U1319" s="1">
        <v>1.00914325E8</v>
      </c>
      <c r="X1319" s="1" t="s">
        <v>490</v>
      </c>
      <c r="Y1319" s="1" t="s">
        <v>4513</v>
      </c>
      <c r="Z1319" s="1" t="s">
        <v>206</v>
      </c>
    </row>
    <row r="1320" hidden="1">
      <c r="A1320" s="1" t="s">
        <v>4514</v>
      </c>
      <c r="B1320" s="1" t="s">
        <v>655</v>
      </c>
      <c r="C1320" s="1" t="s">
        <v>4515</v>
      </c>
      <c r="D1320" s="1" t="s">
        <v>122</v>
      </c>
      <c r="E1320" s="1" t="s">
        <v>28</v>
      </c>
      <c r="F1320" s="2">
        <v>875000.0</v>
      </c>
      <c r="G1320" s="1" t="s">
        <v>149</v>
      </c>
      <c r="H1320" s="4">
        <f>IFERROR(__xludf.DUMMYFUNCTION("DATE(INDEX(SPLIT(G1320,""/""),,3),INDEX(SPLIT(G1320,""/""),,2),INDEX(SPLIT(G1320,""/""),,1))"),44590.0)</f>
        <v>44590</v>
      </c>
      <c r="I1320" s="4">
        <v>44601.0</v>
      </c>
      <c r="J1320" s="4">
        <f>IFERROR(__xludf.DUMMYFUNCTION("DATE(INDEX(SPLIT(I1320,""/""),,3),INDEX(SPLIT(I1320,""/""),,2),INDEX(SPLIT(I1320,""/""),,1))"),44806.0)</f>
        <v>44806</v>
      </c>
      <c r="L1320" s="1">
        <v>0.0</v>
      </c>
      <c r="M1320" s="1" t="s">
        <v>401</v>
      </c>
      <c r="N1320" s="1"/>
      <c r="O1320" s="1" t="s">
        <v>30</v>
      </c>
      <c r="P1320" s="1" t="s">
        <v>31</v>
      </c>
      <c r="Q1320" s="1" t="s">
        <v>32</v>
      </c>
      <c r="R1320" s="1" t="s">
        <v>32</v>
      </c>
      <c r="S1320" s="1" t="s">
        <v>33</v>
      </c>
      <c r="T1320" s="1" t="s">
        <v>402</v>
      </c>
      <c r="U1320" s="1">
        <v>1.0059112E8</v>
      </c>
      <c r="X1320" s="1" t="s">
        <v>117</v>
      </c>
      <c r="Y1320" s="1" t="s">
        <v>401</v>
      </c>
      <c r="Z1320" s="1" t="s">
        <v>37</v>
      </c>
    </row>
    <row r="1321">
      <c r="A1321" s="1" t="s">
        <v>4516</v>
      </c>
      <c r="B1321" s="1" t="s">
        <v>2735</v>
      </c>
      <c r="C1321" s="1" t="s">
        <v>4517</v>
      </c>
      <c r="D1321" s="1" t="s">
        <v>78</v>
      </c>
      <c r="E1321" s="1" t="s">
        <v>28</v>
      </c>
      <c r="F1321" s="2">
        <v>875000.0</v>
      </c>
      <c r="G1321" s="1" t="s">
        <v>2324</v>
      </c>
      <c r="H1321" s="4">
        <f>IFERROR(__xludf.DUMMYFUNCTION("DATE(INDEX(SPLIT(G1321,""/""),,3),INDEX(SPLIT(G1321,""/""),,2),INDEX(SPLIT(G1321,""/""),,1))"),44705.0)</f>
        <v>44705</v>
      </c>
      <c r="I1321" s="1" t="s">
        <v>226</v>
      </c>
      <c r="J1321" s="4">
        <f>IFERROR(__xludf.DUMMYFUNCTION("DATE(INDEX(SPLIT(I1321,""/""),,3),INDEX(SPLIT(I1321,""/""),,2),INDEX(SPLIT(I1321,""/""),,1))"),44771.0)</f>
        <v>44771</v>
      </c>
      <c r="L1321" s="1">
        <v>0.0</v>
      </c>
      <c r="M1321" s="1" t="s">
        <v>3138</v>
      </c>
      <c r="N1321" s="1"/>
      <c r="O1321" s="1" t="s">
        <v>30</v>
      </c>
      <c r="P1321" s="1" t="s">
        <v>31</v>
      </c>
      <c r="Q1321" s="1" t="s">
        <v>157</v>
      </c>
      <c r="R1321" s="1" t="s">
        <v>157</v>
      </c>
      <c r="S1321" s="1" t="s">
        <v>158</v>
      </c>
      <c r="T1321" s="1" t="s">
        <v>442</v>
      </c>
      <c r="U1321" s="1">
        <v>1.00616377E8</v>
      </c>
      <c r="X1321" s="1" t="s">
        <v>490</v>
      </c>
      <c r="Y1321" s="1" t="s">
        <v>3392</v>
      </c>
      <c r="Z1321" s="1" t="s">
        <v>37</v>
      </c>
    </row>
    <row r="1322" hidden="1">
      <c r="A1322" s="1" t="s">
        <v>4518</v>
      </c>
      <c r="B1322" s="1" t="s">
        <v>546</v>
      </c>
      <c r="C1322" s="1" t="s">
        <v>4519</v>
      </c>
      <c r="D1322" s="1" t="s">
        <v>27</v>
      </c>
      <c r="E1322" s="1" t="s">
        <v>28</v>
      </c>
      <c r="F1322" s="2">
        <v>875000.0</v>
      </c>
      <c r="G1322" s="1" t="s">
        <v>2025</v>
      </c>
      <c r="H1322" s="4">
        <f>IFERROR(__xludf.DUMMYFUNCTION("DATE(INDEX(SPLIT(G1322,""/""),,3),INDEX(SPLIT(G1322,""/""),,2),INDEX(SPLIT(G1322,""/""),,1))"),44664.0)</f>
        <v>44664</v>
      </c>
      <c r="I1322" s="4">
        <v>44689.0</v>
      </c>
      <c r="J1322" s="4">
        <f>IFERROR(__xludf.DUMMYFUNCTION("DATE(INDEX(SPLIT(I1322,""/""),,3),INDEX(SPLIT(I1322,""/""),,2),INDEX(SPLIT(I1322,""/""),,1))"),44778.0)</f>
        <v>44778</v>
      </c>
      <c r="L1322" s="1">
        <v>0.0</v>
      </c>
      <c r="M1322" s="1" t="s">
        <v>4520</v>
      </c>
      <c r="N1322" s="1"/>
      <c r="O1322" s="1" t="s">
        <v>30</v>
      </c>
      <c r="P1322" s="1" t="s">
        <v>31</v>
      </c>
      <c r="Q1322" s="1" t="s">
        <v>53</v>
      </c>
      <c r="R1322" s="1" t="s">
        <v>53</v>
      </c>
      <c r="S1322" s="1" t="s">
        <v>54</v>
      </c>
      <c r="U1322" s="1">
        <v>1.00609187E8</v>
      </c>
      <c r="X1322" s="1" t="s">
        <v>74</v>
      </c>
      <c r="Y1322" s="1" t="s">
        <v>4520</v>
      </c>
      <c r="Z1322" s="1" t="s">
        <v>527</v>
      </c>
    </row>
    <row r="1323" hidden="1">
      <c r="A1323" s="1" t="s">
        <v>4521</v>
      </c>
      <c r="B1323" s="1" t="s">
        <v>516</v>
      </c>
      <c r="C1323" s="1" t="s">
        <v>4522</v>
      </c>
      <c r="D1323" s="1" t="s">
        <v>78</v>
      </c>
      <c r="E1323" s="1" t="s">
        <v>28</v>
      </c>
      <c r="F1323" s="2">
        <v>874000.0</v>
      </c>
      <c r="G1323" s="1" t="s">
        <v>286</v>
      </c>
      <c r="H1323" s="4">
        <f>IFERROR(__xludf.DUMMYFUNCTION("DATE(INDEX(SPLIT(G1323,""/""),,3),INDEX(SPLIT(G1323,""/""),,2),INDEX(SPLIT(G1323,""/""),,1))"),44609.0)</f>
        <v>44609</v>
      </c>
      <c r="I1323" s="1" t="s">
        <v>1068</v>
      </c>
      <c r="J1323" s="4">
        <f>IFERROR(__xludf.DUMMYFUNCTION("DATE(INDEX(SPLIT(I1323,""/""),,3),INDEX(SPLIT(I1323,""/""),,2),INDEX(SPLIT(I1323,""/""),,1))"),44974.0)</f>
        <v>44974</v>
      </c>
      <c r="L1323" s="1">
        <v>0.0</v>
      </c>
      <c r="M1323" s="1" t="s">
        <v>813</v>
      </c>
      <c r="N1323" s="1"/>
      <c r="O1323" s="1" t="s">
        <v>30</v>
      </c>
      <c r="P1323" s="1" t="s">
        <v>31</v>
      </c>
      <c r="Q1323" s="1" t="s">
        <v>188</v>
      </c>
      <c r="R1323" s="1" t="s">
        <v>188</v>
      </c>
      <c r="S1323" s="1" t="s">
        <v>189</v>
      </c>
      <c r="U1323" s="1">
        <v>1.01062258E8</v>
      </c>
      <c r="V1323" s="1" t="s">
        <v>4522</v>
      </c>
      <c r="W1323" s="1" t="s">
        <v>2556</v>
      </c>
      <c r="X1323" s="1" t="s">
        <v>254</v>
      </c>
      <c r="Y1323" s="1" t="s">
        <v>4523</v>
      </c>
      <c r="Z1323" s="1" t="s">
        <v>37</v>
      </c>
    </row>
    <row r="1324" hidden="1">
      <c r="A1324" s="1" t="s">
        <v>4524</v>
      </c>
      <c r="B1324" s="1" t="s">
        <v>1144</v>
      </c>
      <c r="C1324" s="1" t="s">
        <v>4525</v>
      </c>
      <c r="D1324" s="1" t="s">
        <v>78</v>
      </c>
      <c r="E1324" s="1" t="s">
        <v>28</v>
      </c>
      <c r="F1324" s="2">
        <v>865000.0</v>
      </c>
      <c r="G1324" s="1" t="s">
        <v>1442</v>
      </c>
      <c r="H1324" s="4">
        <f>IFERROR(__xludf.DUMMYFUNCTION("DATE(INDEX(SPLIT(G1324,""/""),,3),INDEX(SPLIT(G1324,""/""),,2),INDEX(SPLIT(G1324,""/""),,1))"),44727.0)</f>
        <v>44727</v>
      </c>
      <c r="I1324" s="1" t="s">
        <v>203</v>
      </c>
      <c r="J1324" s="4">
        <f>IFERROR(__xludf.DUMMYFUNCTION("DATE(INDEX(SPLIT(I1324,""/""),,3),INDEX(SPLIT(I1324,""/""),,2),INDEX(SPLIT(I1324,""/""),,1))"),44925.0)</f>
        <v>44925</v>
      </c>
      <c r="L1324" s="1">
        <v>0.0</v>
      </c>
      <c r="M1324" s="1" t="s">
        <v>1959</v>
      </c>
      <c r="N1324" s="1"/>
      <c r="O1324" s="1" t="s">
        <v>30</v>
      </c>
      <c r="P1324" s="1" t="s">
        <v>31</v>
      </c>
      <c r="Q1324" s="1" t="s">
        <v>228</v>
      </c>
      <c r="R1324" s="1" t="s">
        <v>228</v>
      </c>
      <c r="S1324" s="1" t="s">
        <v>229</v>
      </c>
      <c r="T1324" s="1" t="s">
        <v>640</v>
      </c>
      <c r="U1324" s="1">
        <v>1.00955805E8</v>
      </c>
      <c r="X1324" s="1" t="s">
        <v>63</v>
      </c>
      <c r="Y1324" s="1" t="s">
        <v>4526</v>
      </c>
      <c r="Z1324" s="1" t="s">
        <v>37</v>
      </c>
    </row>
    <row r="1325">
      <c r="A1325" s="1" t="s">
        <v>4527</v>
      </c>
      <c r="B1325" s="1" t="s">
        <v>4528</v>
      </c>
      <c r="C1325" s="1" t="s">
        <v>4529</v>
      </c>
      <c r="D1325" s="1" t="s">
        <v>122</v>
      </c>
      <c r="E1325" s="1" t="s">
        <v>28</v>
      </c>
      <c r="F1325" s="2">
        <v>860000.0</v>
      </c>
      <c r="G1325" s="1" t="s">
        <v>429</v>
      </c>
      <c r="H1325" s="4">
        <f>IFERROR(__xludf.DUMMYFUNCTION("DATE(INDEX(SPLIT(G1325,""/""),,3),INDEX(SPLIT(G1325,""/""),,2),INDEX(SPLIT(G1325,""/""),,1))"),44739.0)</f>
        <v>44739</v>
      </c>
      <c r="I1325" s="1" t="s">
        <v>518</v>
      </c>
      <c r="J1325" s="4">
        <f>IFERROR(__xludf.DUMMYFUNCTION("DATE(INDEX(SPLIT(I1325,""/""),,3),INDEX(SPLIT(I1325,""/""),,2),INDEX(SPLIT(I1325,""/""),,1))"),44757.0)</f>
        <v>44757</v>
      </c>
      <c r="L1325" s="1">
        <v>0.0</v>
      </c>
      <c r="M1325" s="1" t="s">
        <v>4530</v>
      </c>
      <c r="N1325" s="1"/>
      <c r="O1325" s="1" t="s">
        <v>30</v>
      </c>
      <c r="P1325" s="1" t="s">
        <v>31</v>
      </c>
      <c r="Q1325" s="1" t="s">
        <v>157</v>
      </c>
      <c r="R1325" s="1" t="s">
        <v>157</v>
      </c>
      <c r="S1325" s="1" t="s">
        <v>158</v>
      </c>
      <c r="T1325" s="1" t="s">
        <v>571</v>
      </c>
      <c r="U1325" s="1">
        <v>1.00659846E8</v>
      </c>
      <c r="X1325" s="1" t="s">
        <v>88</v>
      </c>
      <c r="Y1325" s="1" t="s">
        <v>4530</v>
      </c>
      <c r="Z1325" s="1" t="s">
        <v>37</v>
      </c>
    </row>
    <row r="1326" hidden="1">
      <c r="A1326" s="1" t="s">
        <v>4531</v>
      </c>
      <c r="B1326" s="1" t="s">
        <v>4532</v>
      </c>
      <c r="C1326" s="1" t="s">
        <v>4533</v>
      </c>
      <c r="D1326" s="1" t="s">
        <v>27</v>
      </c>
      <c r="E1326" s="1" t="s">
        <v>28</v>
      </c>
      <c r="F1326" s="2">
        <v>860000.0</v>
      </c>
      <c r="G1326" s="4">
        <v>43891.0</v>
      </c>
      <c r="H1326" s="4">
        <f>IFERROR(__xludf.DUMMYFUNCTION("DATE(INDEX(SPLIT(G1326,""/""),,3),INDEX(SPLIT(G1326,""/""),,2),INDEX(SPLIT(G1326,""/""),,1))"),43833.0)</f>
        <v>43833</v>
      </c>
      <c r="I1326" s="1" t="s">
        <v>2380</v>
      </c>
      <c r="J1326" s="4">
        <f>IFERROR(__xludf.DUMMYFUNCTION("DATE(INDEX(SPLIT(I1326,""/""),,3),INDEX(SPLIT(I1326,""/""),,2),INDEX(SPLIT(I1326,""/""),,1))"),45291.0)</f>
        <v>45291</v>
      </c>
      <c r="L1326" s="1">
        <v>0.0</v>
      </c>
      <c r="M1326" s="1" t="s">
        <v>4534</v>
      </c>
      <c r="N1326" s="1"/>
      <c r="O1326" s="1" t="s">
        <v>30</v>
      </c>
      <c r="P1326" s="1" t="s">
        <v>31</v>
      </c>
      <c r="Q1326" s="1" t="s">
        <v>228</v>
      </c>
      <c r="R1326" s="1" t="s">
        <v>228</v>
      </c>
      <c r="S1326" s="1" t="s">
        <v>229</v>
      </c>
      <c r="T1326" s="1" t="s">
        <v>513</v>
      </c>
      <c r="U1326" s="1">
        <v>1.0065605E8</v>
      </c>
      <c r="X1326" s="1" t="s">
        <v>2028</v>
      </c>
      <c r="Y1326" s="1" t="s">
        <v>4535</v>
      </c>
      <c r="Z1326" s="1" t="s">
        <v>37</v>
      </c>
    </row>
    <row r="1327">
      <c r="A1327" s="1" t="s">
        <v>4536</v>
      </c>
      <c r="B1327" s="1" t="s">
        <v>2283</v>
      </c>
      <c r="C1327" s="1" t="s">
        <v>4537</v>
      </c>
      <c r="D1327" s="1" t="s">
        <v>122</v>
      </c>
      <c r="E1327" s="1" t="s">
        <v>28</v>
      </c>
      <c r="F1327" s="2">
        <v>855000.0</v>
      </c>
      <c r="G1327" s="1" t="s">
        <v>1288</v>
      </c>
      <c r="H1327" s="4">
        <f>IFERROR(__xludf.DUMMYFUNCTION("DATE(INDEX(SPLIT(G1327,""/""),,3),INDEX(SPLIT(G1327,""/""),,2),INDEX(SPLIT(G1327,""/""),,1))"),44707.0)</f>
        <v>44707</v>
      </c>
      <c r="I1327" s="1" t="s">
        <v>226</v>
      </c>
      <c r="J1327" s="4">
        <f>IFERROR(__xludf.DUMMYFUNCTION("DATE(INDEX(SPLIT(I1327,""/""),,3),INDEX(SPLIT(I1327,""/""),,2),INDEX(SPLIT(I1327,""/""),,1))"),44771.0)</f>
        <v>44771</v>
      </c>
      <c r="L1327" s="1">
        <v>0.0</v>
      </c>
      <c r="M1327" s="1" t="s">
        <v>4538</v>
      </c>
      <c r="N1327" s="1"/>
      <c r="O1327" s="1" t="s">
        <v>30</v>
      </c>
      <c r="P1327" s="1" t="s">
        <v>31</v>
      </c>
      <c r="Q1327" s="1" t="s">
        <v>228</v>
      </c>
      <c r="R1327" s="1" t="s">
        <v>228</v>
      </c>
      <c r="S1327" s="1" t="s">
        <v>229</v>
      </c>
      <c r="U1327" s="1">
        <v>1.00707861E8</v>
      </c>
      <c r="X1327" s="1" t="s">
        <v>490</v>
      </c>
      <c r="Y1327" s="1" t="s">
        <v>4538</v>
      </c>
      <c r="Z1327" s="1" t="s">
        <v>527</v>
      </c>
    </row>
    <row r="1328" hidden="1">
      <c r="A1328" s="1" t="s">
        <v>4539</v>
      </c>
      <c r="B1328" s="1" t="s">
        <v>4540</v>
      </c>
      <c r="C1328" s="1" t="s">
        <v>4541</v>
      </c>
      <c r="D1328" s="1" t="s">
        <v>27</v>
      </c>
      <c r="E1328" s="1" t="s">
        <v>28</v>
      </c>
      <c r="F1328" s="2">
        <v>850000.0</v>
      </c>
      <c r="G1328" s="1" t="s">
        <v>935</v>
      </c>
      <c r="H1328" s="4">
        <f>IFERROR(__xludf.DUMMYFUNCTION("DATE(INDEX(SPLIT(G1328,""/""),,3),INDEX(SPLIT(G1328,""/""),,2),INDEX(SPLIT(G1328,""/""),,1))"),44764.0)</f>
        <v>44764</v>
      </c>
      <c r="I1328" s="1" t="s">
        <v>85</v>
      </c>
      <c r="J1328" s="4">
        <f>IFERROR(__xludf.DUMMYFUNCTION("DATE(INDEX(SPLIT(I1328,""/""),,3),INDEX(SPLIT(I1328,""/""),,2),INDEX(SPLIT(I1328,""/""),,1))"),44799.0)</f>
        <v>44799</v>
      </c>
      <c r="L1328" s="1">
        <v>0.0</v>
      </c>
      <c r="M1328" s="1" t="s">
        <v>4542</v>
      </c>
      <c r="N1328" s="1"/>
      <c r="O1328" s="1" t="s">
        <v>30</v>
      </c>
      <c r="P1328" s="1" t="s">
        <v>31</v>
      </c>
      <c r="Q1328" s="1" t="s">
        <v>53</v>
      </c>
      <c r="R1328" s="1" t="s">
        <v>53</v>
      </c>
      <c r="S1328" s="1" t="s">
        <v>54</v>
      </c>
      <c r="U1328" s="1">
        <v>1.00646652E8</v>
      </c>
      <c r="X1328" s="1" t="s">
        <v>74</v>
      </c>
      <c r="Y1328" s="1" t="s">
        <v>4542</v>
      </c>
      <c r="Z1328" s="1" t="s">
        <v>37</v>
      </c>
    </row>
    <row r="1329">
      <c r="A1329" s="1" t="s">
        <v>4543</v>
      </c>
      <c r="B1329" s="1" t="s">
        <v>997</v>
      </c>
      <c r="C1329" s="1" t="s">
        <v>4544</v>
      </c>
      <c r="D1329" s="1" t="s">
        <v>122</v>
      </c>
      <c r="E1329" s="1" t="s">
        <v>28</v>
      </c>
      <c r="F1329" s="2">
        <v>850000.0</v>
      </c>
      <c r="G1329" s="1" t="s">
        <v>286</v>
      </c>
      <c r="H1329" s="4">
        <f>IFERROR(__xludf.DUMMYFUNCTION("DATE(INDEX(SPLIT(G1329,""/""),,3),INDEX(SPLIT(G1329,""/""),,2),INDEX(SPLIT(G1329,""/""),,1))"),44609.0)</f>
        <v>44609</v>
      </c>
      <c r="I1329" s="1" t="s">
        <v>226</v>
      </c>
      <c r="J1329" s="4">
        <f>IFERROR(__xludf.DUMMYFUNCTION("DATE(INDEX(SPLIT(I1329,""/""),,3),INDEX(SPLIT(I1329,""/""),,2),INDEX(SPLIT(I1329,""/""),,1))"),44771.0)</f>
        <v>44771</v>
      </c>
      <c r="L1329" s="1">
        <v>0.0</v>
      </c>
      <c r="M1329" s="1" t="s">
        <v>2043</v>
      </c>
      <c r="N1329" s="1"/>
      <c r="O1329" s="1" t="s">
        <v>30</v>
      </c>
      <c r="P1329" s="1" t="s">
        <v>31</v>
      </c>
      <c r="Q1329" s="1" t="s">
        <v>53</v>
      </c>
      <c r="R1329" s="1" t="s">
        <v>53</v>
      </c>
      <c r="S1329" s="1" t="s">
        <v>54</v>
      </c>
      <c r="U1329" s="1">
        <v>1.00624533E8</v>
      </c>
      <c r="X1329" s="1" t="s">
        <v>410</v>
      </c>
      <c r="Y1329" s="1" t="s">
        <v>2061</v>
      </c>
      <c r="Z1329" s="1" t="s">
        <v>206</v>
      </c>
    </row>
    <row r="1330" hidden="1">
      <c r="A1330" s="1" t="s">
        <v>4545</v>
      </c>
      <c r="B1330" s="1" t="s">
        <v>4546</v>
      </c>
      <c r="C1330" s="1" t="s">
        <v>4547</v>
      </c>
      <c r="D1330" s="1" t="s">
        <v>122</v>
      </c>
      <c r="E1330" s="1" t="s">
        <v>28</v>
      </c>
      <c r="F1330" s="2">
        <v>850000.0</v>
      </c>
      <c r="G1330" s="4">
        <v>44743.0</v>
      </c>
      <c r="H1330" s="4">
        <f>IFERROR(__xludf.DUMMYFUNCTION("DATE(INDEX(SPLIT(G1330,""/""),,3),INDEX(SPLIT(G1330,""/""),,2),INDEX(SPLIT(G1330,""/""),,1))"),44568.0)</f>
        <v>44568</v>
      </c>
      <c r="I1330" s="4">
        <v>44929.0</v>
      </c>
      <c r="J1330" s="4">
        <f>IFERROR(__xludf.DUMMYFUNCTION("DATE(INDEX(SPLIT(I1330,""/""),,3),INDEX(SPLIT(I1330,""/""),,2),INDEX(SPLIT(I1330,""/""),,1))"),44986.0)</f>
        <v>44986</v>
      </c>
      <c r="L1330" s="1">
        <v>0.0</v>
      </c>
      <c r="M1330" s="1" t="s">
        <v>4548</v>
      </c>
      <c r="N1330" s="1"/>
      <c r="O1330" s="1" t="s">
        <v>30</v>
      </c>
      <c r="P1330" s="1" t="s">
        <v>31</v>
      </c>
      <c r="Q1330" s="1" t="s">
        <v>228</v>
      </c>
      <c r="R1330" s="1" t="s">
        <v>228</v>
      </c>
      <c r="S1330" s="1" t="s">
        <v>229</v>
      </c>
      <c r="T1330" s="1" t="s">
        <v>513</v>
      </c>
      <c r="U1330" s="1">
        <v>1.00579873E8</v>
      </c>
      <c r="X1330" s="1" t="s">
        <v>98</v>
      </c>
      <c r="Y1330" s="1" t="s">
        <v>4549</v>
      </c>
      <c r="Z1330" s="1" t="s">
        <v>527</v>
      </c>
    </row>
    <row r="1331" hidden="1">
      <c r="A1331" s="1" t="s">
        <v>4550</v>
      </c>
      <c r="B1331" s="1" t="s">
        <v>2186</v>
      </c>
      <c r="C1331" s="1" t="s">
        <v>4551</v>
      </c>
      <c r="D1331" s="1" t="s">
        <v>27</v>
      </c>
      <c r="E1331" s="1" t="s">
        <v>28</v>
      </c>
      <c r="F1331" s="2">
        <v>850000.0</v>
      </c>
      <c r="G1331" s="1" t="s">
        <v>2441</v>
      </c>
      <c r="H1331" s="4">
        <f>IFERROR(__xludf.DUMMYFUNCTION("DATE(INDEX(SPLIT(G1331,""/""),,3),INDEX(SPLIT(G1331,""/""),,2),INDEX(SPLIT(G1331,""/""),,1))"),44550.0)</f>
        <v>44550</v>
      </c>
      <c r="I1331" s="1" t="s">
        <v>317</v>
      </c>
      <c r="J1331" s="4">
        <f>IFERROR(__xludf.DUMMYFUNCTION("DATE(INDEX(SPLIT(I1331,""/""),,3),INDEX(SPLIT(I1331,""/""),,2),INDEX(SPLIT(I1331,""/""),,1))"),44862.0)</f>
        <v>44862</v>
      </c>
      <c r="L1331" s="1">
        <v>0.0</v>
      </c>
      <c r="M1331" s="1" t="s">
        <v>3112</v>
      </c>
      <c r="N1331" s="1"/>
      <c r="O1331" s="1" t="s">
        <v>30</v>
      </c>
      <c r="P1331" s="1" t="s">
        <v>31</v>
      </c>
      <c r="Q1331" s="1" t="s">
        <v>157</v>
      </c>
      <c r="R1331" s="1" t="s">
        <v>157</v>
      </c>
      <c r="S1331" s="1" t="s">
        <v>158</v>
      </c>
      <c r="T1331" s="1" t="s">
        <v>442</v>
      </c>
      <c r="U1331" s="1">
        <v>1.01141463E8</v>
      </c>
      <c r="X1331" s="1" t="s">
        <v>190</v>
      </c>
      <c r="Y1331" s="1" t="s">
        <v>1969</v>
      </c>
      <c r="Z1331" s="1" t="s">
        <v>37</v>
      </c>
    </row>
    <row r="1332" hidden="1">
      <c r="A1332" s="1" t="s">
        <v>4552</v>
      </c>
      <c r="B1332" s="1" t="s">
        <v>363</v>
      </c>
      <c r="C1332" s="1" t="s">
        <v>4553</v>
      </c>
      <c r="D1332" s="1" t="s">
        <v>68</v>
      </c>
      <c r="E1332" s="1" t="s">
        <v>28</v>
      </c>
      <c r="F1332" s="2">
        <v>850000.0</v>
      </c>
      <c r="G1332" s="1" t="s">
        <v>2988</v>
      </c>
      <c r="H1332" s="4">
        <f>IFERROR(__xludf.DUMMYFUNCTION("DATE(INDEX(SPLIT(G1332,""/""),,3),INDEX(SPLIT(G1332,""/""),,2),INDEX(SPLIT(G1332,""/""),,1))"),44523.0)</f>
        <v>44523</v>
      </c>
      <c r="I1332" s="4">
        <v>44628.0</v>
      </c>
      <c r="J1332" s="4">
        <f>IFERROR(__xludf.DUMMYFUNCTION("DATE(INDEX(SPLIT(I1332,""/""),,3),INDEX(SPLIT(I1332,""/""),,2),INDEX(SPLIT(I1332,""/""),,1))"),44776.0)</f>
        <v>44776</v>
      </c>
      <c r="L1332" s="1">
        <v>0.0</v>
      </c>
      <c r="M1332" s="1" t="s">
        <v>367</v>
      </c>
      <c r="N1332" s="1"/>
      <c r="O1332" s="1" t="s">
        <v>30</v>
      </c>
      <c r="P1332" s="1" t="s">
        <v>31</v>
      </c>
      <c r="Q1332" s="1" t="s">
        <v>235</v>
      </c>
      <c r="R1332" s="1" t="s">
        <v>235</v>
      </c>
      <c r="S1332" s="1" t="s">
        <v>236</v>
      </c>
      <c r="T1332" s="1" t="s">
        <v>237</v>
      </c>
      <c r="U1332" s="1">
        <v>1.01072617E8</v>
      </c>
      <c r="X1332" s="1" t="s">
        <v>239</v>
      </c>
      <c r="Y1332" s="1" t="s">
        <v>367</v>
      </c>
      <c r="Z1332" s="1" t="s">
        <v>206</v>
      </c>
    </row>
    <row r="1333" hidden="1">
      <c r="A1333" s="1" t="s">
        <v>4554</v>
      </c>
      <c r="B1333" s="1" t="s">
        <v>1931</v>
      </c>
      <c r="C1333" s="1" t="s">
        <v>4555</v>
      </c>
      <c r="D1333" s="1" t="s">
        <v>122</v>
      </c>
      <c r="E1333" s="1" t="s">
        <v>28</v>
      </c>
      <c r="F1333" s="2">
        <v>850000.0</v>
      </c>
      <c r="G1333" s="1" t="s">
        <v>41</v>
      </c>
      <c r="H1333" s="4">
        <f>IFERROR(__xludf.DUMMYFUNCTION("DATE(INDEX(SPLIT(G1333,""/""),,3),INDEX(SPLIT(G1333,""/""),,2),INDEX(SPLIT(G1333,""/""),,1))"),44607.0)</f>
        <v>44607</v>
      </c>
      <c r="I1333" s="1" t="s">
        <v>130</v>
      </c>
      <c r="J1333" s="4">
        <f>IFERROR(__xludf.DUMMYFUNCTION("DATE(INDEX(SPLIT(I1333,""/""),,3),INDEX(SPLIT(I1333,""/""),,2),INDEX(SPLIT(I1333,""/""),,1))"),44804.0)</f>
        <v>44804</v>
      </c>
      <c r="L1333" s="1">
        <v>0.0</v>
      </c>
      <c r="M1333" s="1" t="s">
        <v>211</v>
      </c>
      <c r="N1333" s="1"/>
      <c r="O1333" s="1" t="s">
        <v>30</v>
      </c>
      <c r="P1333" s="1" t="s">
        <v>31</v>
      </c>
      <c r="Q1333" s="1" t="s">
        <v>71</v>
      </c>
      <c r="R1333" s="1" t="s">
        <v>71</v>
      </c>
      <c r="S1333" s="1" t="s">
        <v>72</v>
      </c>
      <c r="T1333" s="1" t="s">
        <v>136</v>
      </c>
      <c r="U1333" s="1">
        <v>1.00590896E8</v>
      </c>
      <c r="X1333" s="1" t="s">
        <v>74</v>
      </c>
      <c r="Y1333" s="1" t="s">
        <v>4556</v>
      </c>
      <c r="Z1333" s="1" t="s">
        <v>37</v>
      </c>
    </row>
    <row r="1334">
      <c r="A1334" s="1" t="s">
        <v>4557</v>
      </c>
      <c r="B1334" s="1" t="s">
        <v>1790</v>
      </c>
      <c r="C1334" s="1" t="s">
        <v>4558</v>
      </c>
      <c r="D1334" s="1" t="s">
        <v>78</v>
      </c>
      <c r="E1334" s="1" t="s">
        <v>28</v>
      </c>
      <c r="F1334" s="2">
        <v>850000.0</v>
      </c>
      <c r="G1334" s="1" t="s">
        <v>586</v>
      </c>
      <c r="H1334" s="4">
        <f>IFERROR(__xludf.DUMMYFUNCTION("DATE(INDEX(SPLIT(G1334,""/""),,3),INDEX(SPLIT(G1334,""/""),,2),INDEX(SPLIT(G1334,""/""),,1))"),44726.0)</f>
        <v>44726</v>
      </c>
      <c r="I1334" s="1" t="s">
        <v>226</v>
      </c>
      <c r="J1334" s="4">
        <f>IFERROR(__xludf.DUMMYFUNCTION("DATE(INDEX(SPLIT(I1334,""/""),,3),INDEX(SPLIT(I1334,""/""),,2),INDEX(SPLIT(I1334,""/""),,1))"),44771.0)</f>
        <v>44771</v>
      </c>
      <c r="L1334" s="1">
        <v>0.0</v>
      </c>
      <c r="M1334" s="1" t="s">
        <v>1792</v>
      </c>
      <c r="N1334" s="1"/>
      <c r="O1334" s="1" t="s">
        <v>30</v>
      </c>
      <c r="P1334" s="1" t="s">
        <v>31</v>
      </c>
      <c r="Q1334" s="1" t="s">
        <v>235</v>
      </c>
      <c r="R1334" s="1" t="s">
        <v>235</v>
      </c>
      <c r="S1334" s="1" t="s">
        <v>236</v>
      </c>
      <c r="T1334" s="1" t="s">
        <v>438</v>
      </c>
      <c r="U1334" s="1">
        <v>1.00964362E8</v>
      </c>
      <c r="X1334" s="1" t="s">
        <v>88</v>
      </c>
      <c r="Y1334" s="1" t="s">
        <v>2865</v>
      </c>
      <c r="Z1334" s="1" t="s">
        <v>37</v>
      </c>
    </row>
    <row r="1335" hidden="1">
      <c r="A1335" s="1" t="s">
        <v>4559</v>
      </c>
      <c r="B1335" s="1" t="s">
        <v>3820</v>
      </c>
      <c r="C1335" s="1" t="s">
        <v>4560</v>
      </c>
      <c r="D1335" s="1" t="s">
        <v>78</v>
      </c>
      <c r="E1335" s="1" t="s">
        <v>28</v>
      </c>
      <c r="F1335" s="2">
        <v>850000.0</v>
      </c>
      <c r="G1335" s="1" t="s">
        <v>41</v>
      </c>
      <c r="H1335" s="4">
        <f>IFERROR(__xludf.DUMMYFUNCTION("DATE(INDEX(SPLIT(G1335,""/""),,3),INDEX(SPLIT(G1335,""/""),,2),INDEX(SPLIT(G1335,""/""),,1))"),44607.0)</f>
        <v>44607</v>
      </c>
      <c r="I1335" s="1" t="s">
        <v>130</v>
      </c>
      <c r="J1335" s="4">
        <f>IFERROR(__xludf.DUMMYFUNCTION("DATE(INDEX(SPLIT(I1335,""/""),,3),INDEX(SPLIT(I1335,""/""),,2),INDEX(SPLIT(I1335,""/""),,1))"),44804.0)</f>
        <v>44804</v>
      </c>
      <c r="L1335" s="1">
        <v>0.0</v>
      </c>
      <c r="M1335" s="1" t="s">
        <v>1792</v>
      </c>
      <c r="N1335" s="1"/>
      <c r="O1335" s="1" t="s">
        <v>30</v>
      </c>
      <c r="P1335" s="1" t="s">
        <v>31</v>
      </c>
      <c r="Q1335" s="1" t="s">
        <v>235</v>
      </c>
      <c r="R1335" s="1" t="s">
        <v>235</v>
      </c>
      <c r="S1335" s="1" t="s">
        <v>236</v>
      </c>
      <c r="T1335" s="1" t="s">
        <v>438</v>
      </c>
      <c r="U1335" s="1">
        <v>1.00964362E8</v>
      </c>
      <c r="X1335" s="1" t="s">
        <v>88</v>
      </c>
      <c r="Y1335" s="1" t="s">
        <v>4154</v>
      </c>
      <c r="Z1335" s="1" t="s">
        <v>37</v>
      </c>
    </row>
    <row r="1336">
      <c r="A1336" s="1" t="s">
        <v>4561</v>
      </c>
      <c r="B1336" s="1" t="s">
        <v>39</v>
      </c>
      <c r="C1336" s="1" t="s">
        <v>4562</v>
      </c>
      <c r="D1336" s="1" t="s">
        <v>78</v>
      </c>
      <c r="E1336" s="1" t="s">
        <v>28</v>
      </c>
      <c r="F1336" s="2">
        <v>850000.0</v>
      </c>
      <c r="G1336" s="1" t="s">
        <v>3853</v>
      </c>
      <c r="H1336" s="4">
        <f>IFERROR(__xludf.DUMMYFUNCTION("DATE(INDEX(SPLIT(G1336,""/""),,3),INDEX(SPLIT(G1336,""/""),,2),INDEX(SPLIT(G1336,""/""),,1))"),44679.0)</f>
        <v>44679</v>
      </c>
      <c r="I1336" s="1" t="s">
        <v>226</v>
      </c>
      <c r="J1336" s="4">
        <f>IFERROR(__xludf.DUMMYFUNCTION("DATE(INDEX(SPLIT(I1336,""/""),,3),INDEX(SPLIT(I1336,""/""),,2),INDEX(SPLIT(I1336,""/""),,1))"),44771.0)</f>
        <v>44771</v>
      </c>
      <c r="L1336" s="1">
        <v>0.0</v>
      </c>
      <c r="M1336" s="1" t="s">
        <v>4563</v>
      </c>
      <c r="N1336" s="1"/>
      <c r="O1336" s="1" t="s">
        <v>30</v>
      </c>
      <c r="P1336" s="1" t="s">
        <v>31</v>
      </c>
      <c r="Q1336" s="1" t="s">
        <v>53</v>
      </c>
      <c r="R1336" s="1" t="s">
        <v>53</v>
      </c>
      <c r="S1336" s="1" t="s">
        <v>54</v>
      </c>
      <c r="T1336" s="1" t="s">
        <v>103</v>
      </c>
      <c r="U1336" s="1">
        <v>1.00651638E8</v>
      </c>
      <c r="X1336" s="1" t="s">
        <v>46</v>
      </c>
      <c r="Y1336" s="1" t="s">
        <v>4564</v>
      </c>
      <c r="Z1336" s="1" t="s">
        <v>37</v>
      </c>
    </row>
    <row r="1337" hidden="1">
      <c r="A1337" s="1" t="s">
        <v>4565</v>
      </c>
      <c r="B1337" s="1" t="s">
        <v>39</v>
      </c>
      <c r="C1337" s="1" t="s">
        <v>4566</v>
      </c>
      <c r="D1337" s="1" t="s">
        <v>122</v>
      </c>
      <c r="E1337" s="1" t="s">
        <v>28</v>
      </c>
      <c r="F1337" s="2">
        <v>850000.0</v>
      </c>
      <c r="G1337" s="4">
        <v>44349.0</v>
      </c>
      <c r="H1337" s="4">
        <f>IFERROR(__xludf.DUMMYFUNCTION("DATE(INDEX(SPLIT(G1337,""/""),,3),INDEX(SPLIT(G1337,""/""),,2),INDEX(SPLIT(G1337,""/""),,1))"),44233.0)</f>
        <v>44233</v>
      </c>
      <c r="I1337" s="1" t="s">
        <v>4567</v>
      </c>
      <c r="J1337" s="4">
        <f>IFERROR(__xludf.DUMMYFUNCTION("DATE(INDEX(SPLIT(I1337,""/""),,3),INDEX(SPLIT(I1337,""/""),,2),INDEX(SPLIT(I1337,""/""),,1))"),45013.0)</f>
        <v>45013</v>
      </c>
      <c r="L1337" s="1">
        <v>0.0</v>
      </c>
      <c r="M1337" s="1" t="s">
        <v>1741</v>
      </c>
      <c r="N1337" s="1"/>
      <c r="O1337" s="1" t="s">
        <v>30</v>
      </c>
      <c r="P1337" s="1" t="s">
        <v>31</v>
      </c>
      <c r="Q1337" s="1" t="s">
        <v>32</v>
      </c>
      <c r="R1337" s="1" t="s">
        <v>32</v>
      </c>
      <c r="S1337" s="1" t="s">
        <v>33</v>
      </c>
      <c r="T1337" s="1" t="s">
        <v>103</v>
      </c>
      <c r="U1337" s="1">
        <v>1.00645852E8</v>
      </c>
      <c r="X1337" s="1" t="s">
        <v>46</v>
      </c>
      <c r="Y1337" s="1" t="s">
        <v>104</v>
      </c>
      <c r="Z1337" s="1" t="s">
        <v>37</v>
      </c>
    </row>
    <row r="1338" hidden="1">
      <c r="A1338" s="1" t="s">
        <v>4568</v>
      </c>
      <c r="B1338" s="1" t="s">
        <v>2000</v>
      </c>
      <c r="C1338" s="1" t="s">
        <v>4569</v>
      </c>
      <c r="D1338" s="1" t="s">
        <v>78</v>
      </c>
      <c r="E1338" s="1" t="s">
        <v>28</v>
      </c>
      <c r="F1338" s="2">
        <v>850000.0</v>
      </c>
      <c r="G1338" s="1" t="s">
        <v>523</v>
      </c>
      <c r="H1338" s="4">
        <f>IFERROR(__xludf.DUMMYFUNCTION("DATE(INDEX(SPLIT(G1338,""/""),,3),INDEX(SPLIT(G1338,""/""),,2),INDEX(SPLIT(G1338,""/""),,1))"),44517.0)</f>
        <v>44517</v>
      </c>
      <c r="I1338" s="1" t="s">
        <v>109</v>
      </c>
      <c r="J1338" s="4">
        <f>IFERROR(__xludf.DUMMYFUNCTION("DATE(INDEX(SPLIT(I1338,""/""),,3),INDEX(SPLIT(I1338,""/""),,2),INDEX(SPLIT(I1338,""/""),,1))"),44834.0)</f>
        <v>44834</v>
      </c>
      <c r="L1338" s="1">
        <v>0.0</v>
      </c>
      <c r="M1338" s="1" t="s">
        <v>4274</v>
      </c>
      <c r="N1338" s="1"/>
      <c r="O1338" s="1" t="s">
        <v>30</v>
      </c>
      <c r="P1338" s="1" t="s">
        <v>31</v>
      </c>
      <c r="Q1338" s="1" t="s">
        <v>235</v>
      </c>
      <c r="R1338" s="1" t="s">
        <v>235</v>
      </c>
      <c r="S1338" s="1" t="s">
        <v>236</v>
      </c>
      <c r="T1338" s="1" t="s">
        <v>1349</v>
      </c>
      <c r="U1338" s="1">
        <v>1.00628891E8</v>
      </c>
      <c r="X1338" s="1" t="s">
        <v>609</v>
      </c>
      <c r="Y1338" s="1" t="s">
        <v>4570</v>
      </c>
      <c r="Z1338" s="1" t="s">
        <v>37</v>
      </c>
    </row>
    <row r="1339" hidden="1">
      <c r="A1339" s="1" t="s">
        <v>4571</v>
      </c>
      <c r="B1339" s="1" t="s">
        <v>4572</v>
      </c>
      <c r="C1339" s="1" t="s">
        <v>4573</v>
      </c>
      <c r="D1339" s="1" t="s">
        <v>78</v>
      </c>
      <c r="E1339" s="1" t="s">
        <v>28</v>
      </c>
      <c r="F1339" s="2">
        <v>850000.0</v>
      </c>
      <c r="G1339" s="1" t="s">
        <v>3934</v>
      </c>
      <c r="H1339" s="4">
        <f>IFERROR(__xludf.DUMMYFUNCTION("DATE(INDEX(SPLIT(G1339,""/""),,3),INDEX(SPLIT(G1339,""/""),,2),INDEX(SPLIT(G1339,""/""),,1))"),44428.0)</f>
        <v>44428</v>
      </c>
      <c r="I1339" s="1" t="s">
        <v>85</v>
      </c>
      <c r="J1339" s="4">
        <f>IFERROR(__xludf.DUMMYFUNCTION("DATE(INDEX(SPLIT(I1339,""/""),,3),INDEX(SPLIT(I1339,""/""),,2),INDEX(SPLIT(I1339,""/""),,1))"),44799.0)</f>
        <v>44799</v>
      </c>
      <c r="L1339" s="1">
        <v>0.0</v>
      </c>
      <c r="M1339" s="1" t="s">
        <v>4574</v>
      </c>
      <c r="N1339" s="1"/>
      <c r="O1339" s="1" t="s">
        <v>30</v>
      </c>
      <c r="P1339" s="1" t="s">
        <v>31</v>
      </c>
      <c r="Q1339" s="1" t="s">
        <v>235</v>
      </c>
      <c r="R1339" s="1" t="s">
        <v>235</v>
      </c>
      <c r="S1339" s="1" t="s">
        <v>236</v>
      </c>
      <c r="T1339" s="1" t="s">
        <v>1386</v>
      </c>
      <c r="U1339" s="1">
        <v>1.00625459E8</v>
      </c>
      <c r="X1339" s="1" t="s">
        <v>375</v>
      </c>
      <c r="Y1339" s="1" t="s">
        <v>3861</v>
      </c>
      <c r="Z1339" s="1" t="s">
        <v>37</v>
      </c>
    </row>
    <row r="1340">
      <c r="A1340" s="1" t="s">
        <v>4575</v>
      </c>
      <c r="B1340" s="1" t="s">
        <v>144</v>
      </c>
      <c r="C1340" s="1" t="s">
        <v>4576</v>
      </c>
      <c r="D1340" s="1" t="s">
        <v>78</v>
      </c>
      <c r="E1340" s="1" t="s">
        <v>28</v>
      </c>
      <c r="F1340" s="2">
        <v>850000.0</v>
      </c>
      <c r="G1340" s="4">
        <v>43839.0</v>
      </c>
      <c r="H1340" s="4">
        <f>IFERROR(__xludf.DUMMYFUNCTION("DATE(INDEX(SPLIT(G1340,""/""),,3),INDEX(SPLIT(G1340,""/""),,2),INDEX(SPLIT(G1340,""/""),,1))"),44075.0)</f>
        <v>44075</v>
      </c>
      <c r="I1340" s="1" t="s">
        <v>2300</v>
      </c>
      <c r="J1340" s="4">
        <f>IFERROR(__xludf.DUMMYFUNCTION("DATE(INDEX(SPLIT(I1340,""/""),,3),INDEX(SPLIT(I1340,""/""),,2),INDEX(SPLIT(I1340,""/""),,1))"),44712.0)</f>
        <v>44712</v>
      </c>
      <c r="L1340" s="1">
        <v>0.0</v>
      </c>
      <c r="M1340" s="1" t="s">
        <v>601</v>
      </c>
      <c r="N1340" s="1"/>
      <c r="O1340" s="1" t="s">
        <v>30</v>
      </c>
      <c r="P1340" s="1" t="s">
        <v>31</v>
      </c>
      <c r="Q1340" s="1" t="s">
        <v>95</v>
      </c>
      <c r="R1340" s="1" t="s">
        <v>95</v>
      </c>
      <c r="S1340" s="1" t="s">
        <v>96</v>
      </c>
      <c r="T1340" s="1" t="s">
        <v>602</v>
      </c>
      <c r="U1340" s="1">
        <v>1.00625415E8</v>
      </c>
      <c r="X1340" s="1" t="s">
        <v>88</v>
      </c>
      <c r="Y1340" s="1" t="s">
        <v>4577</v>
      </c>
      <c r="Z1340" s="1" t="s">
        <v>37</v>
      </c>
    </row>
    <row r="1341" hidden="1">
      <c r="A1341" s="1" t="s">
        <v>4578</v>
      </c>
      <c r="B1341" s="1" t="s">
        <v>896</v>
      </c>
      <c r="C1341" s="1" t="s">
        <v>4579</v>
      </c>
      <c r="D1341" s="1" t="s">
        <v>122</v>
      </c>
      <c r="E1341" s="1" t="s">
        <v>28</v>
      </c>
      <c r="F1341" s="2">
        <v>850000.0</v>
      </c>
      <c r="G1341" s="1" t="s">
        <v>1244</v>
      </c>
      <c r="H1341" s="4">
        <f>IFERROR(__xludf.DUMMYFUNCTION("DATE(INDEX(SPLIT(G1341,""/""),,3),INDEX(SPLIT(G1341,""/""),,2),INDEX(SPLIT(G1341,""/""),,1))"),44742.0)</f>
        <v>44742</v>
      </c>
      <c r="I1341" s="4">
        <v>44601.0</v>
      </c>
      <c r="J1341" s="4">
        <f>IFERROR(__xludf.DUMMYFUNCTION("DATE(INDEX(SPLIT(I1341,""/""),,3),INDEX(SPLIT(I1341,""/""),,2),INDEX(SPLIT(I1341,""/""),,1))"),44806.0)</f>
        <v>44806</v>
      </c>
      <c r="L1341" s="1">
        <v>0.0</v>
      </c>
      <c r="M1341" s="1" t="s">
        <v>2984</v>
      </c>
      <c r="N1341" s="1"/>
      <c r="O1341" s="1" t="s">
        <v>30</v>
      </c>
      <c r="P1341" s="1" t="s">
        <v>31</v>
      </c>
      <c r="Q1341" s="1" t="s">
        <v>228</v>
      </c>
      <c r="R1341" s="1" t="s">
        <v>228</v>
      </c>
      <c r="S1341" s="1" t="s">
        <v>229</v>
      </c>
      <c r="T1341" s="1" t="s">
        <v>537</v>
      </c>
      <c r="U1341" s="1">
        <v>1.00630016E8</v>
      </c>
      <c r="X1341" s="1" t="s">
        <v>490</v>
      </c>
      <c r="Y1341" s="1" t="s">
        <v>4580</v>
      </c>
      <c r="Z1341" s="1" t="s">
        <v>37</v>
      </c>
    </row>
    <row r="1342" hidden="1">
      <c r="A1342" s="1" t="s">
        <v>4581</v>
      </c>
      <c r="B1342" s="1" t="s">
        <v>4582</v>
      </c>
      <c r="C1342" s="1" t="s">
        <v>4583</v>
      </c>
      <c r="D1342" s="1" t="s">
        <v>27</v>
      </c>
      <c r="E1342" s="1" t="s">
        <v>28</v>
      </c>
      <c r="F1342" s="2">
        <v>848000.0</v>
      </c>
      <c r="G1342" s="1" t="s">
        <v>935</v>
      </c>
      <c r="H1342" s="4">
        <f>IFERROR(__xludf.DUMMYFUNCTION("DATE(INDEX(SPLIT(G1342,""/""),,3),INDEX(SPLIT(G1342,""/""),,2),INDEX(SPLIT(G1342,""/""),,1))"),44764.0)</f>
        <v>44764</v>
      </c>
      <c r="I1342" s="1" t="s">
        <v>203</v>
      </c>
      <c r="J1342" s="4">
        <f>IFERROR(__xludf.DUMMYFUNCTION("DATE(INDEX(SPLIT(I1342,""/""),,3),INDEX(SPLIT(I1342,""/""),,2),INDEX(SPLIT(I1342,""/""),,1))"),44925.0)</f>
        <v>44925</v>
      </c>
      <c r="L1342" s="1">
        <v>0.0</v>
      </c>
      <c r="M1342" s="1" t="s">
        <v>2592</v>
      </c>
      <c r="N1342" s="1"/>
      <c r="O1342" s="1" t="s">
        <v>30</v>
      </c>
      <c r="P1342" s="1" t="s">
        <v>31</v>
      </c>
      <c r="Q1342" s="1" t="s">
        <v>71</v>
      </c>
      <c r="R1342" s="1" t="s">
        <v>71</v>
      </c>
      <c r="S1342" s="1" t="s">
        <v>72</v>
      </c>
      <c r="T1342" s="1" t="s">
        <v>136</v>
      </c>
      <c r="U1342" s="1">
        <v>1.00586452E8</v>
      </c>
      <c r="X1342" s="1" t="s">
        <v>74</v>
      </c>
      <c r="Y1342" s="1" t="s">
        <v>2593</v>
      </c>
      <c r="Z1342" s="1" t="s">
        <v>37</v>
      </c>
    </row>
    <row r="1343" hidden="1">
      <c r="A1343" s="1" t="s">
        <v>4584</v>
      </c>
      <c r="B1343" s="1" t="s">
        <v>954</v>
      </c>
      <c r="C1343" s="1" t="s">
        <v>4585</v>
      </c>
      <c r="D1343" s="1" t="s">
        <v>122</v>
      </c>
      <c r="E1343" s="1" t="s">
        <v>28</v>
      </c>
      <c r="F1343" s="2">
        <v>842851.0</v>
      </c>
      <c r="G1343" s="4">
        <v>44206.0</v>
      </c>
      <c r="H1343" s="4">
        <f>IFERROR(__xludf.DUMMYFUNCTION("DATE(INDEX(SPLIT(G1343,""/""),,3),INDEX(SPLIT(G1343,""/""),,2),INDEX(SPLIT(G1343,""/""),,1))"),44470.0)</f>
        <v>44470</v>
      </c>
      <c r="I1343" s="1" t="s">
        <v>130</v>
      </c>
      <c r="J1343" s="4">
        <f>IFERROR(__xludf.DUMMYFUNCTION("DATE(INDEX(SPLIT(I1343,""/""),,3),INDEX(SPLIT(I1343,""/""),,2),INDEX(SPLIT(I1343,""/""),,1))"),44804.0)</f>
        <v>44804</v>
      </c>
      <c r="L1343" s="1">
        <v>0.0</v>
      </c>
      <c r="M1343" s="1" t="s">
        <v>956</v>
      </c>
      <c r="N1343" s="1"/>
      <c r="O1343" s="1" t="s">
        <v>30</v>
      </c>
      <c r="P1343" s="1" t="s">
        <v>31</v>
      </c>
      <c r="Q1343" s="1" t="s">
        <v>71</v>
      </c>
      <c r="R1343" s="1" t="s">
        <v>71</v>
      </c>
      <c r="S1343" s="1" t="s">
        <v>72</v>
      </c>
      <c r="T1343" s="1" t="s">
        <v>73</v>
      </c>
      <c r="U1343" s="1">
        <v>1.00653499E8</v>
      </c>
      <c r="X1343" s="1" t="s">
        <v>74</v>
      </c>
      <c r="Y1343" s="1" t="s">
        <v>4586</v>
      </c>
      <c r="Z1343" s="1" t="s">
        <v>37</v>
      </c>
    </row>
    <row r="1344" hidden="1">
      <c r="A1344" s="1" t="s">
        <v>4587</v>
      </c>
      <c r="B1344" s="1" t="s">
        <v>927</v>
      </c>
      <c r="C1344" s="1" t="s">
        <v>4588</v>
      </c>
      <c r="D1344" s="1" t="s">
        <v>122</v>
      </c>
      <c r="E1344" s="1" t="s">
        <v>28</v>
      </c>
      <c r="F1344" s="2">
        <v>840000.0</v>
      </c>
      <c r="G1344" s="4">
        <v>44176.0</v>
      </c>
      <c r="H1344" s="4">
        <f>IFERROR(__xludf.DUMMYFUNCTION("DATE(INDEX(SPLIT(G1344,""/""),,3),INDEX(SPLIT(G1344,""/""),,2),INDEX(SPLIT(G1344,""/""),,1))"),44147.0)</f>
        <v>44147</v>
      </c>
      <c r="I1344" s="1" t="s">
        <v>317</v>
      </c>
      <c r="J1344" s="4">
        <f>IFERROR(__xludf.DUMMYFUNCTION("DATE(INDEX(SPLIT(I1344,""/""),,3),INDEX(SPLIT(I1344,""/""),,2),INDEX(SPLIT(I1344,""/""),,1))"),44862.0)</f>
        <v>44862</v>
      </c>
      <c r="L1344" s="1">
        <v>0.0</v>
      </c>
      <c r="M1344" s="1" t="s">
        <v>863</v>
      </c>
      <c r="N1344" s="1"/>
      <c r="O1344" s="1" t="s">
        <v>30</v>
      </c>
      <c r="P1344" s="1" t="s">
        <v>31</v>
      </c>
      <c r="Q1344" s="1" t="s">
        <v>32</v>
      </c>
      <c r="R1344" s="1" t="s">
        <v>32</v>
      </c>
      <c r="S1344" s="1" t="s">
        <v>33</v>
      </c>
      <c r="T1344" s="1" t="s">
        <v>402</v>
      </c>
      <c r="U1344" s="1">
        <v>1.00650568E8</v>
      </c>
      <c r="X1344" s="1" t="s">
        <v>117</v>
      </c>
      <c r="Y1344" s="1" t="s">
        <v>3626</v>
      </c>
      <c r="Z1344" s="1" t="s">
        <v>37</v>
      </c>
    </row>
    <row r="1345" hidden="1">
      <c r="A1345" s="1" t="s">
        <v>4589</v>
      </c>
      <c r="B1345" s="1" t="s">
        <v>3359</v>
      </c>
      <c r="C1345" s="1" t="s">
        <v>4590</v>
      </c>
      <c r="D1345" s="1" t="s">
        <v>27</v>
      </c>
      <c r="E1345" s="1" t="s">
        <v>28</v>
      </c>
      <c r="F1345" s="2">
        <v>835000.0</v>
      </c>
      <c r="G1345" s="1" t="s">
        <v>330</v>
      </c>
      <c r="H1345" s="4">
        <f>IFERROR(__xludf.DUMMYFUNCTION("DATE(INDEX(SPLIT(G1345,""/""),,3),INDEX(SPLIT(G1345,""/""),,2),INDEX(SPLIT(G1345,""/""),,1))"),44728.0)</f>
        <v>44728</v>
      </c>
      <c r="I1345" s="1" t="s">
        <v>1799</v>
      </c>
      <c r="J1345" s="4">
        <f>IFERROR(__xludf.DUMMYFUNCTION("DATE(INDEX(SPLIT(I1345,""/""),,3),INDEX(SPLIT(I1345,""/""),,2),INDEX(SPLIT(I1345,""/""),,1))"),44788.0)</f>
        <v>44788</v>
      </c>
      <c r="L1345" s="1">
        <v>0.0</v>
      </c>
      <c r="M1345" s="1" t="s">
        <v>4591</v>
      </c>
      <c r="N1345" s="1"/>
      <c r="O1345" s="1" t="s">
        <v>30</v>
      </c>
      <c r="P1345" s="1" t="s">
        <v>31</v>
      </c>
      <c r="Q1345" s="1" t="s">
        <v>157</v>
      </c>
      <c r="R1345" s="1" t="s">
        <v>157</v>
      </c>
      <c r="S1345" s="1" t="s">
        <v>158</v>
      </c>
      <c r="U1345" s="1">
        <v>1.01056026E8</v>
      </c>
      <c r="X1345" s="1" t="s">
        <v>88</v>
      </c>
      <c r="Y1345" s="1" t="s">
        <v>4592</v>
      </c>
      <c r="Z1345" s="1" t="s">
        <v>37</v>
      </c>
    </row>
    <row r="1346">
      <c r="A1346" s="1" t="s">
        <v>4593</v>
      </c>
      <c r="B1346" s="1" t="s">
        <v>4594</v>
      </c>
      <c r="C1346" s="1" t="s">
        <v>4595</v>
      </c>
      <c r="D1346" s="1" t="s">
        <v>68</v>
      </c>
      <c r="E1346" s="1" t="s">
        <v>28</v>
      </c>
      <c r="F1346" s="2">
        <v>813550.0</v>
      </c>
      <c r="G1346" s="4">
        <v>44419.0</v>
      </c>
      <c r="H1346" s="4">
        <f>IFERROR(__xludf.DUMMYFUNCTION("DATE(INDEX(SPLIT(G1346,""/""),,3),INDEX(SPLIT(G1346,""/""),,2),INDEX(SPLIT(G1346,""/""),,1))"),44508.0)</f>
        <v>44508</v>
      </c>
      <c r="I1346" s="1" t="s">
        <v>226</v>
      </c>
      <c r="J1346" s="4">
        <f>IFERROR(__xludf.DUMMYFUNCTION("DATE(INDEX(SPLIT(I1346,""/""),,3),INDEX(SPLIT(I1346,""/""),,2),INDEX(SPLIT(I1346,""/""),,1))"),44771.0)</f>
        <v>44771</v>
      </c>
      <c r="L1346" s="1">
        <v>0.0</v>
      </c>
      <c r="M1346" s="1" t="s">
        <v>2980</v>
      </c>
      <c r="N1346" s="1"/>
      <c r="O1346" s="1" t="s">
        <v>30</v>
      </c>
      <c r="P1346" s="1" t="s">
        <v>31</v>
      </c>
      <c r="Q1346" s="1" t="s">
        <v>157</v>
      </c>
      <c r="R1346" s="1" t="s">
        <v>157</v>
      </c>
      <c r="S1346" s="1" t="s">
        <v>158</v>
      </c>
      <c r="T1346" s="1" t="s">
        <v>615</v>
      </c>
      <c r="U1346" s="1">
        <v>1.00608521E8</v>
      </c>
      <c r="X1346" s="1" t="s">
        <v>490</v>
      </c>
      <c r="Y1346" s="1" t="s">
        <v>2980</v>
      </c>
      <c r="Z1346" s="1" t="s">
        <v>37</v>
      </c>
    </row>
    <row r="1347" hidden="1">
      <c r="A1347" s="1" t="s">
        <v>4596</v>
      </c>
      <c r="B1347" s="1" t="s">
        <v>2131</v>
      </c>
      <c r="C1347" s="1" t="s">
        <v>4597</v>
      </c>
      <c r="D1347" s="1" t="s">
        <v>78</v>
      </c>
      <c r="E1347" s="1" t="s">
        <v>28</v>
      </c>
      <c r="F1347" s="2">
        <v>800000.0</v>
      </c>
      <c r="G1347" s="1" t="s">
        <v>2110</v>
      </c>
      <c r="H1347" s="4">
        <f>IFERROR(__xludf.DUMMYFUNCTION("DATE(INDEX(SPLIT(G1347,""/""),,3),INDEX(SPLIT(G1347,""/""),,2),INDEX(SPLIT(G1347,""/""),,1))"),44650.0)</f>
        <v>44650</v>
      </c>
      <c r="I1347" s="1" t="s">
        <v>535</v>
      </c>
      <c r="J1347" s="4">
        <f>IFERROR(__xludf.DUMMYFUNCTION("DATE(INDEX(SPLIT(I1347,""/""),,3),INDEX(SPLIT(I1347,""/""),,2),INDEX(SPLIT(I1347,""/""),,1))"),44957.0)</f>
        <v>44957</v>
      </c>
      <c r="L1347" s="1">
        <v>0.0</v>
      </c>
      <c r="M1347" s="1" t="s">
        <v>4598</v>
      </c>
      <c r="N1347" s="1"/>
      <c r="O1347" s="1" t="s">
        <v>30</v>
      </c>
      <c r="P1347" s="1" t="s">
        <v>31</v>
      </c>
      <c r="Q1347" s="1" t="s">
        <v>157</v>
      </c>
      <c r="R1347" s="1" t="s">
        <v>157</v>
      </c>
      <c r="S1347" s="1" t="s">
        <v>158</v>
      </c>
      <c r="U1347" s="1">
        <v>1.00650304E8</v>
      </c>
      <c r="X1347" s="1" t="s">
        <v>239</v>
      </c>
      <c r="Y1347" s="1" t="s">
        <v>3994</v>
      </c>
      <c r="Z1347" s="1" t="s">
        <v>37</v>
      </c>
    </row>
    <row r="1348" hidden="1">
      <c r="A1348" s="1" t="s">
        <v>4599</v>
      </c>
      <c r="B1348" s="1" t="s">
        <v>2217</v>
      </c>
      <c r="C1348" s="1" t="s">
        <v>4600</v>
      </c>
      <c r="D1348" s="1" t="s">
        <v>78</v>
      </c>
      <c r="E1348" s="1" t="s">
        <v>28</v>
      </c>
      <c r="F1348" s="2">
        <v>800000.0</v>
      </c>
      <c r="G1348" s="1" t="s">
        <v>1475</v>
      </c>
      <c r="H1348" s="4">
        <f>IFERROR(__xludf.DUMMYFUNCTION("DATE(INDEX(SPLIT(G1348,""/""),,3),INDEX(SPLIT(G1348,""/""),,2),INDEX(SPLIT(G1348,""/""),,1))"),44425.0)</f>
        <v>44425</v>
      </c>
      <c r="I1348" s="1" t="s">
        <v>4601</v>
      </c>
      <c r="J1348" s="4">
        <f>IFERROR(__xludf.DUMMYFUNCTION("DATE(INDEX(SPLIT(I1348,""/""),,3),INDEX(SPLIT(I1348,""/""),,2),INDEX(SPLIT(I1348,""/""),,1))"),44797.0)</f>
        <v>44797</v>
      </c>
      <c r="L1348" s="1">
        <v>0.0</v>
      </c>
      <c r="M1348" s="1" t="s">
        <v>318</v>
      </c>
      <c r="N1348" s="1"/>
      <c r="O1348" s="1" t="s">
        <v>30</v>
      </c>
      <c r="P1348" s="1" t="s">
        <v>31</v>
      </c>
      <c r="Q1348" s="1" t="s">
        <v>71</v>
      </c>
      <c r="R1348" s="1" t="s">
        <v>71</v>
      </c>
      <c r="S1348" s="1" t="s">
        <v>72</v>
      </c>
      <c r="T1348" s="1" t="s">
        <v>73</v>
      </c>
      <c r="U1348" s="1">
        <v>1.00654705E8</v>
      </c>
      <c r="X1348" s="1" t="s">
        <v>74</v>
      </c>
      <c r="Y1348" s="1" t="s">
        <v>318</v>
      </c>
      <c r="Z1348" s="1" t="s">
        <v>37</v>
      </c>
    </row>
    <row r="1349">
      <c r="A1349" s="1" t="s">
        <v>4602</v>
      </c>
      <c r="B1349" s="1" t="s">
        <v>4603</v>
      </c>
      <c r="C1349" s="1" t="s">
        <v>4604</v>
      </c>
      <c r="D1349" s="1" t="s">
        <v>78</v>
      </c>
      <c r="E1349" s="1" t="s">
        <v>28</v>
      </c>
      <c r="F1349" s="2">
        <v>800000.0</v>
      </c>
      <c r="G1349" s="1" t="s">
        <v>4605</v>
      </c>
      <c r="H1349" s="4">
        <f>IFERROR(__xludf.DUMMYFUNCTION("DATE(INDEX(SPLIT(G1349,""/""),,3),INDEX(SPLIT(G1349,""/""),,2),INDEX(SPLIT(G1349,""/""),,1))"),44179.0)</f>
        <v>44179</v>
      </c>
      <c r="I1349" s="1" t="s">
        <v>233</v>
      </c>
      <c r="J1349" s="4">
        <f>IFERROR(__xludf.DUMMYFUNCTION("DATE(INDEX(SPLIT(I1349,""/""),,3),INDEX(SPLIT(I1349,""/""),,2),INDEX(SPLIT(I1349,""/""),,1))"),44729.0)</f>
        <v>44729</v>
      </c>
      <c r="L1349" s="1">
        <v>0.0</v>
      </c>
      <c r="M1349" s="1" t="s">
        <v>1303</v>
      </c>
      <c r="N1349" s="1"/>
      <c r="O1349" s="1" t="s">
        <v>30</v>
      </c>
      <c r="P1349" s="1" t="s">
        <v>31</v>
      </c>
      <c r="Q1349" s="1" t="s">
        <v>235</v>
      </c>
      <c r="R1349" s="1" t="s">
        <v>235</v>
      </c>
      <c r="S1349" s="1" t="s">
        <v>236</v>
      </c>
      <c r="T1349" s="1" t="s">
        <v>438</v>
      </c>
      <c r="U1349" s="1">
        <v>1.00609073E8</v>
      </c>
      <c r="X1349" s="1" t="s">
        <v>88</v>
      </c>
      <c r="Y1349" s="1" t="s">
        <v>4606</v>
      </c>
      <c r="Z1349" s="1" t="s">
        <v>37</v>
      </c>
    </row>
    <row r="1350" hidden="1">
      <c r="A1350" s="1" t="s">
        <v>4607</v>
      </c>
      <c r="B1350" s="1" t="s">
        <v>666</v>
      </c>
      <c r="C1350" s="1" t="s">
        <v>4608</v>
      </c>
      <c r="D1350" s="1" t="s">
        <v>27</v>
      </c>
      <c r="E1350" s="1" t="s">
        <v>28</v>
      </c>
      <c r="F1350" s="2">
        <v>800000.0</v>
      </c>
      <c r="G1350" s="1" t="s">
        <v>2105</v>
      </c>
      <c r="H1350" s="4">
        <f>IFERROR(__xludf.DUMMYFUNCTION("DATE(INDEX(SPLIT(G1350,""/""),,3),INDEX(SPLIT(G1350,""/""),,2),INDEX(SPLIT(G1350,""/""),,1))"),44340.0)</f>
        <v>44340</v>
      </c>
      <c r="I1350" s="1" t="s">
        <v>85</v>
      </c>
      <c r="J1350" s="4">
        <f>IFERROR(__xludf.DUMMYFUNCTION("DATE(INDEX(SPLIT(I1350,""/""),,3),INDEX(SPLIT(I1350,""/""),,2),INDEX(SPLIT(I1350,""/""),,1))"),44799.0)</f>
        <v>44799</v>
      </c>
      <c r="L1350" s="1">
        <v>0.0</v>
      </c>
      <c r="M1350" s="1" t="s">
        <v>4609</v>
      </c>
      <c r="N1350" s="1"/>
      <c r="O1350" s="1" t="s">
        <v>30</v>
      </c>
      <c r="P1350" s="1" t="s">
        <v>31</v>
      </c>
      <c r="Q1350" s="1" t="s">
        <v>157</v>
      </c>
      <c r="R1350" s="1" t="s">
        <v>157</v>
      </c>
      <c r="S1350" s="1" t="s">
        <v>158</v>
      </c>
      <c r="T1350" s="1" t="s">
        <v>103</v>
      </c>
      <c r="U1350" s="1">
        <v>1.00660061E8</v>
      </c>
      <c r="X1350" s="1" t="s">
        <v>35</v>
      </c>
      <c r="Y1350" s="1" t="s">
        <v>4609</v>
      </c>
      <c r="Z1350" s="1" t="s">
        <v>206</v>
      </c>
    </row>
    <row r="1351" hidden="1">
      <c r="A1351" s="1" t="s">
        <v>4610</v>
      </c>
      <c r="B1351" s="1" t="s">
        <v>315</v>
      </c>
      <c r="C1351" s="1" t="s">
        <v>4611</v>
      </c>
      <c r="D1351" s="1" t="s">
        <v>68</v>
      </c>
      <c r="E1351" s="1" t="s">
        <v>28</v>
      </c>
      <c r="F1351" s="2">
        <v>800000.0</v>
      </c>
      <c r="G1351" s="4">
        <v>44900.0</v>
      </c>
      <c r="H1351" s="4">
        <f>IFERROR(__xludf.DUMMYFUNCTION("DATE(INDEX(SPLIT(G1351,""/""),,3),INDEX(SPLIT(G1351,""/""),,2),INDEX(SPLIT(G1351,""/""),,1))"),44693.0)</f>
        <v>44693</v>
      </c>
      <c r="I1351" s="1" t="s">
        <v>134</v>
      </c>
      <c r="J1351" s="4">
        <f>IFERROR(__xludf.DUMMYFUNCTION("DATE(INDEX(SPLIT(I1351,""/""),,3),INDEX(SPLIT(I1351,""/""),,2),INDEX(SPLIT(I1351,""/""),,1))"),44792.0)</f>
        <v>44792</v>
      </c>
      <c r="L1351" s="1">
        <v>0.0</v>
      </c>
      <c r="M1351" s="1" t="s">
        <v>318</v>
      </c>
      <c r="N1351" s="1"/>
      <c r="O1351" s="1" t="s">
        <v>30</v>
      </c>
      <c r="P1351" s="1" t="s">
        <v>31</v>
      </c>
      <c r="Q1351" s="1" t="s">
        <v>71</v>
      </c>
      <c r="R1351" s="1" t="s">
        <v>71</v>
      </c>
      <c r="S1351" s="1" t="s">
        <v>72</v>
      </c>
      <c r="T1351" s="1" t="s">
        <v>73</v>
      </c>
      <c r="U1351" s="1">
        <v>1.00654705E8</v>
      </c>
      <c r="X1351" s="1" t="s">
        <v>74</v>
      </c>
      <c r="Y1351" s="1" t="s">
        <v>318</v>
      </c>
      <c r="Z1351" s="1" t="s">
        <v>37</v>
      </c>
    </row>
    <row r="1352">
      <c r="A1352" s="1" t="s">
        <v>4612</v>
      </c>
      <c r="B1352" s="1" t="s">
        <v>2295</v>
      </c>
      <c r="C1352" s="1" t="s">
        <v>4613</v>
      </c>
      <c r="D1352" s="1" t="s">
        <v>122</v>
      </c>
      <c r="E1352" s="1" t="s">
        <v>28</v>
      </c>
      <c r="F1352" s="2">
        <v>800000.0</v>
      </c>
      <c r="G1352" s="1" t="s">
        <v>2116</v>
      </c>
      <c r="H1352" s="4">
        <f>IFERROR(__xludf.DUMMYFUNCTION("DATE(INDEX(SPLIT(G1352,""/""),,3),INDEX(SPLIT(G1352,""/""),,2),INDEX(SPLIT(G1352,""/""),,1))"),44620.0)</f>
        <v>44620</v>
      </c>
      <c r="I1352" s="1" t="s">
        <v>1244</v>
      </c>
      <c r="J1352" s="4">
        <f>IFERROR(__xludf.DUMMYFUNCTION("DATE(INDEX(SPLIT(I1352,""/""),,3),INDEX(SPLIT(I1352,""/""),,2),INDEX(SPLIT(I1352,""/""),,1))"),44742.0)</f>
        <v>44742</v>
      </c>
      <c r="L1352" s="1">
        <v>0.0</v>
      </c>
      <c r="M1352" s="1" t="s">
        <v>577</v>
      </c>
      <c r="N1352" s="1"/>
      <c r="O1352" s="1" t="s">
        <v>30</v>
      </c>
      <c r="P1352" s="1" t="s">
        <v>31</v>
      </c>
      <c r="Q1352" s="1" t="s">
        <v>53</v>
      </c>
      <c r="R1352" s="1" t="s">
        <v>53</v>
      </c>
      <c r="S1352" s="1" t="s">
        <v>54</v>
      </c>
      <c r="U1352" s="1">
        <v>1.00579505E8</v>
      </c>
      <c r="X1352" s="1" t="s">
        <v>74</v>
      </c>
      <c r="Y1352" s="1" t="s">
        <v>2476</v>
      </c>
      <c r="Z1352" s="1" t="s">
        <v>37</v>
      </c>
    </row>
    <row r="1353" hidden="1">
      <c r="A1353" s="1" t="s">
        <v>4614</v>
      </c>
      <c r="B1353" s="1" t="s">
        <v>1748</v>
      </c>
      <c r="C1353" s="1" t="s">
        <v>4615</v>
      </c>
      <c r="D1353" s="1" t="s">
        <v>27</v>
      </c>
      <c r="E1353" s="1" t="s">
        <v>28</v>
      </c>
      <c r="F1353" s="2">
        <v>800000.0</v>
      </c>
      <c r="G1353" s="4">
        <v>44384.0</v>
      </c>
      <c r="H1353" s="4">
        <f>IFERROR(__xludf.DUMMYFUNCTION("DATE(INDEX(SPLIT(G1353,""/""),,3),INDEX(SPLIT(G1353,""/""),,2),INDEX(SPLIT(G1353,""/""),,1))"),44384.0)</f>
        <v>44384</v>
      </c>
      <c r="I1353" s="4">
        <v>44781.0</v>
      </c>
      <c r="J1353" s="4">
        <f>IFERROR(__xludf.DUMMYFUNCTION("DATE(INDEX(SPLIT(I1353,""/""),,3),INDEX(SPLIT(I1353,""/""),,2),INDEX(SPLIT(I1353,""/""),,1))"),44781.0)</f>
        <v>44781</v>
      </c>
      <c r="L1353" s="1">
        <v>0.0</v>
      </c>
      <c r="M1353" s="1" t="s">
        <v>437</v>
      </c>
      <c r="N1353" s="1"/>
      <c r="O1353" s="1" t="s">
        <v>30</v>
      </c>
      <c r="P1353" s="1" t="s">
        <v>31</v>
      </c>
      <c r="Q1353" s="1" t="s">
        <v>235</v>
      </c>
      <c r="R1353" s="1" t="s">
        <v>235</v>
      </c>
      <c r="S1353" s="1" t="s">
        <v>236</v>
      </c>
      <c r="T1353" s="1" t="s">
        <v>1349</v>
      </c>
      <c r="U1353" s="1">
        <v>1.00650375E8</v>
      </c>
      <c r="X1353" s="1" t="s">
        <v>88</v>
      </c>
      <c r="Y1353" s="1" t="s">
        <v>437</v>
      </c>
      <c r="Z1353" s="1" t="s">
        <v>37</v>
      </c>
    </row>
    <row r="1354" hidden="1">
      <c r="A1354" s="1" t="s">
        <v>4616</v>
      </c>
      <c r="B1354" s="1" t="s">
        <v>4511</v>
      </c>
      <c r="C1354" s="1" t="s">
        <v>4617</v>
      </c>
      <c r="D1354" s="1" t="s">
        <v>122</v>
      </c>
      <c r="E1354" s="1" t="s">
        <v>28</v>
      </c>
      <c r="F1354" s="2">
        <v>800000.0</v>
      </c>
      <c r="G1354" s="4">
        <v>44684.0</v>
      </c>
      <c r="H1354" s="4">
        <f>IFERROR(__xludf.DUMMYFUNCTION("DATE(INDEX(SPLIT(G1354,""/""),,3),INDEX(SPLIT(G1354,""/""),,2),INDEX(SPLIT(G1354,""/""),,1))"),44625.0)</f>
        <v>44625</v>
      </c>
      <c r="I1354" s="1" t="s">
        <v>134</v>
      </c>
      <c r="J1354" s="4">
        <f>IFERROR(__xludf.DUMMYFUNCTION("DATE(INDEX(SPLIT(I1354,""/""),,3),INDEX(SPLIT(I1354,""/""),,2),INDEX(SPLIT(I1354,""/""),,1))"),44792.0)</f>
        <v>44792</v>
      </c>
      <c r="L1354" s="1">
        <v>0.0</v>
      </c>
      <c r="M1354" s="1" t="s">
        <v>1194</v>
      </c>
      <c r="N1354" s="1"/>
      <c r="O1354" s="1" t="s">
        <v>30</v>
      </c>
      <c r="P1354" s="1" t="s">
        <v>31</v>
      </c>
      <c r="Q1354" s="1" t="s">
        <v>32</v>
      </c>
      <c r="R1354" s="1" t="s">
        <v>32</v>
      </c>
      <c r="S1354" s="1" t="s">
        <v>33</v>
      </c>
      <c r="T1354" s="1" t="s">
        <v>1195</v>
      </c>
      <c r="U1354" s="1">
        <v>1.00586863E8</v>
      </c>
      <c r="X1354" s="1" t="s">
        <v>490</v>
      </c>
      <c r="Y1354" s="1" t="s">
        <v>1196</v>
      </c>
      <c r="Z1354" s="1" t="s">
        <v>37</v>
      </c>
    </row>
    <row r="1355">
      <c r="A1355" s="1" t="s">
        <v>4618</v>
      </c>
      <c r="B1355" s="1" t="s">
        <v>690</v>
      </c>
      <c r="C1355" s="1" t="s">
        <v>4619</v>
      </c>
      <c r="D1355" s="1" t="s">
        <v>78</v>
      </c>
      <c r="E1355" s="1" t="s">
        <v>28</v>
      </c>
      <c r="F1355" s="2">
        <v>800000.0</v>
      </c>
      <c r="G1355" s="1" t="s">
        <v>271</v>
      </c>
      <c r="H1355" s="4">
        <f>IFERROR(__xludf.DUMMYFUNCTION("DATE(INDEX(SPLIT(G1355,""/""),,3),INDEX(SPLIT(G1355,""/""),,2),INDEX(SPLIT(G1355,""/""),,1))"),44680.0)</f>
        <v>44680</v>
      </c>
      <c r="I1355" s="1" t="s">
        <v>226</v>
      </c>
      <c r="J1355" s="4">
        <f>IFERROR(__xludf.DUMMYFUNCTION("DATE(INDEX(SPLIT(I1355,""/""),,3),INDEX(SPLIT(I1355,""/""),,2),INDEX(SPLIT(I1355,""/""),,1))"),44771.0)</f>
        <v>44771</v>
      </c>
      <c r="L1355" s="1">
        <v>0.0</v>
      </c>
      <c r="M1355" s="1" t="s">
        <v>692</v>
      </c>
      <c r="N1355" s="1"/>
      <c r="O1355" s="1" t="s">
        <v>30</v>
      </c>
      <c r="P1355" s="1" t="s">
        <v>31</v>
      </c>
      <c r="Q1355" s="1" t="s">
        <v>188</v>
      </c>
      <c r="R1355" s="1" t="s">
        <v>188</v>
      </c>
      <c r="S1355" s="1" t="s">
        <v>189</v>
      </c>
      <c r="T1355" s="1" t="s">
        <v>345</v>
      </c>
      <c r="U1355" s="1">
        <v>1.00904602E8</v>
      </c>
      <c r="X1355" s="1" t="s">
        <v>88</v>
      </c>
      <c r="Y1355" s="1" t="s">
        <v>693</v>
      </c>
      <c r="Z1355" s="1" t="s">
        <v>37</v>
      </c>
    </row>
    <row r="1356" hidden="1">
      <c r="A1356" s="1" t="s">
        <v>4620</v>
      </c>
      <c r="B1356" s="1" t="s">
        <v>4621</v>
      </c>
      <c r="C1356" s="1" t="s">
        <v>4622</v>
      </c>
      <c r="D1356" s="1" t="s">
        <v>78</v>
      </c>
      <c r="E1356" s="1" t="s">
        <v>28</v>
      </c>
      <c r="F1356" s="2">
        <v>800000.0</v>
      </c>
      <c r="G1356" s="1" t="s">
        <v>737</v>
      </c>
      <c r="H1356" s="4">
        <f>IFERROR(__xludf.DUMMYFUNCTION("DATE(INDEX(SPLIT(G1356,""/""),,3),INDEX(SPLIT(G1356,""/""),,2),INDEX(SPLIT(G1356,""/""),,1))"),44544.0)</f>
        <v>44544</v>
      </c>
      <c r="I1356" s="1" t="s">
        <v>1750</v>
      </c>
      <c r="J1356" s="4">
        <f>IFERROR(__xludf.DUMMYFUNCTION("DATE(INDEX(SPLIT(I1356,""/""),,3),INDEX(SPLIT(I1356,""/""),,2),INDEX(SPLIT(I1356,""/""),,1))"),44802.0)</f>
        <v>44802</v>
      </c>
      <c r="L1356" s="1">
        <v>0.0</v>
      </c>
      <c r="M1356" s="1" t="s">
        <v>431</v>
      </c>
      <c r="N1356" s="1"/>
      <c r="O1356" s="1" t="s">
        <v>30</v>
      </c>
      <c r="P1356" s="1" t="s">
        <v>31</v>
      </c>
      <c r="Q1356" s="1" t="s">
        <v>157</v>
      </c>
      <c r="R1356" s="1" t="s">
        <v>157</v>
      </c>
      <c r="S1356" s="1" t="s">
        <v>158</v>
      </c>
      <c r="T1356" s="1" t="s">
        <v>442</v>
      </c>
      <c r="U1356" s="1">
        <v>1.00650064E8</v>
      </c>
      <c r="X1356" s="1" t="s">
        <v>125</v>
      </c>
      <c r="Y1356" s="1" t="s">
        <v>4623</v>
      </c>
      <c r="Z1356" s="1" t="s">
        <v>37</v>
      </c>
    </row>
    <row r="1357" hidden="1">
      <c r="A1357" s="1" t="s">
        <v>4624</v>
      </c>
      <c r="B1357" s="1" t="s">
        <v>4625</v>
      </c>
      <c r="C1357" s="1" t="s">
        <v>4626</v>
      </c>
      <c r="D1357" s="1" t="s">
        <v>122</v>
      </c>
      <c r="E1357" s="1" t="s">
        <v>28</v>
      </c>
      <c r="F1357" s="2">
        <v>800000.0</v>
      </c>
      <c r="G1357" s="1" t="s">
        <v>418</v>
      </c>
      <c r="H1357" s="4">
        <f>IFERROR(__xludf.DUMMYFUNCTION("DATE(INDEX(SPLIT(G1357,""/""),,3),INDEX(SPLIT(G1357,""/""),,2),INDEX(SPLIT(G1357,""/""),,1))"),44755.0)</f>
        <v>44755</v>
      </c>
      <c r="I1357" s="4">
        <v>44689.0</v>
      </c>
      <c r="J1357" s="4">
        <f>IFERROR(__xludf.DUMMYFUNCTION("DATE(INDEX(SPLIT(I1357,""/""),,3),INDEX(SPLIT(I1357,""/""),,2),INDEX(SPLIT(I1357,""/""),,1))"),44778.0)</f>
        <v>44778</v>
      </c>
      <c r="L1357" s="1">
        <v>0.0</v>
      </c>
      <c r="M1357" s="1" t="s">
        <v>803</v>
      </c>
      <c r="N1357" s="1"/>
      <c r="O1357" s="1" t="s">
        <v>30</v>
      </c>
      <c r="P1357" s="1" t="s">
        <v>31</v>
      </c>
      <c r="Q1357" s="1" t="s">
        <v>53</v>
      </c>
      <c r="R1357" s="1" t="s">
        <v>53</v>
      </c>
      <c r="S1357" s="1" t="s">
        <v>54</v>
      </c>
      <c r="T1357" s="1" t="s">
        <v>634</v>
      </c>
      <c r="U1357" s="1">
        <v>1.00650901E8</v>
      </c>
      <c r="X1357" s="1" t="s">
        <v>490</v>
      </c>
      <c r="Y1357" s="1" t="s">
        <v>803</v>
      </c>
      <c r="Z1357" s="1" t="s">
        <v>37</v>
      </c>
    </row>
    <row r="1358" hidden="1">
      <c r="A1358" s="1" t="s">
        <v>4627</v>
      </c>
      <c r="B1358" s="1" t="s">
        <v>3757</v>
      </c>
      <c r="C1358" s="1" t="s">
        <v>4628</v>
      </c>
      <c r="D1358" s="1" t="s">
        <v>122</v>
      </c>
      <c r="E1358" s="1" t="s">
        <v>28</v>
      </c>
      <c r="F1358" s="2">
        <v>800000.0</v>
      </c>
      <c r="G1358" s="4">
        <v>44870.0</v>
      </c>
      <c r="H1358" s="4">
        <f>IFERROR(__xludf.DUMMYFUNCTION("DATE(INDEX(SPLIT(G1358,""/""),,3),INDEX(SPLIT(G1358,""/""),,2),INDEX(SPLIT(G1358,""/""),,1))"),44692.0)</f>
        <v>44692</v>
      </c>
      <c r="I1358" s="1" t="s">
        <v>134</v>
      </c>
      <c r="J1358" s="4">
        <f>IFERROR(__xludf.DUMMYFUNCTION("DATE(INDEX(SPLIT(I1358,""/""),,3),INDEX(SPLIT(I1358,""/""),,2),INDEX(SPLIT(I1358,""/""),,1))"),44792.0)</f>
        <v>44792</v>
      </c>
      <c r="L1358" s="1">
        <v>0.0</v>
      </c>
      <c r="M1358" s="1" t="s">
        <v>406</v>
      </c>
      <c r="N1358" s="1"/>
      <c r="O1358" s="1" t="s">
        <v>30</v>
      </c>
      <c r="P1358" s="1" t="s">
        <v>31</v>
      </c>
      <c r="Q1358" s="1" t="s">
        <v>32</v>
      </c>
      <c r="R1358" s="1" t="s">
        <v>32</v>
      </c>
      <c r="S1358" s="1" t="s">
        <v>33</v>
      </c>
      <c r="U1358" s="1">
        <v>1.00642129E8</v>
      </c>
      <c r="X1358" s="1" t="s">
        <v>289</v>
      </c>
      <c r="Y1358" s="1" t="s">
        <v>406</v>
      </c>
      <c r="Z1358" s="1" t="s">
        <v>37</v>
      </c>
    </row>
    <row r="1359">
      <c r="A1359" s="1" t="s">
        <v>4629</v>
      </c>
      <c r="B1359" s="1" t="s">
        <v>1275</v>
      </c>
      <c r="C1359" s="1" t="s">
        <v>4630</v>
      </c>
      <c r="D1359" s="1" t="s">
        <v>122</v>
      </c>
      <c r="E1359" s="1" t="s">
        <v>28</v>
      </c>
      <c r="F1359" s="2">
        <v>800000.0</v>
      </c>
      <c r="G1359" s="1" t="s">
        <v>2309</v>
      </c>
      <c r="H1359" s="4">
        <f>IFERROR(__xludf.DUMMYFUNCTION("DATE(INDEX(SPLIT(G1359,""/""),,3),INDEX(SPLIT(G1359,""/""),,2),INDEX(SPLIT(G1359,""/""),,1))"),44672.0)</f>
        <v>44672</v>
      </c>
      <c r="I1359" s="1" t="s">
        <v>69</v>
      </c>
      <c r="J1359" s="4">
        <f>IFERROR(__xludf.DUMMYFUNCTION("DATE(INDEX(SPLIT(I1359,""/""),,3),INDEX(SPLIT(I1359,""/""),,2),INDEX(SPLIT(I1359,""/""),,1))"),44773.0)</f>
        <v>44773</v>
      </c>
      <c r="L1359" s="1">
        <v>0.0</v>
      </c>
      <c r="M1359" s="1" t="s">
        <v>4631</v>
      </c>
      <c r="N1359" s="1"/>
      <c r="O1359" s="1" t="s">
        <v>30</v>
      </c>
      <c r="P1359" s="1" t="s">
        <v>31</v>
      </c>
      <c r="Q1359" s="1" t="s">
        <v>71</v>
      </c>
      <c r="R1359" s="1" t="s">
        <v>71</v>
      </c>
      <c r="S1359" s="1" t="s">
        <v>72</v>
      </c>
      <c r="T1359" s="1" t="s">
        <v>136</v>
      </c>
      <c r="U1359" s="1">
        <v>1.01025735E8</v>
      </c>
      <c r="X1359" s="1" t="s">
        <v>74</v>
      </c>
      <c r="Y1359" s="1" t="s">
        <v>1746</v>
      </c>
      <c r="Z1359" s="1" t="s">
        <v>37</v>
      </c>
    </row>
    <row r="1360" hidden="1">
      <c r="A1360" s="1" t="s">
        <v>4632</v>
      </c>
      <c r="B1360" s="1" t="s">
        <v>139</v>
      </c>
      <c r="C1360" s="1" t="s">
        <v>4633</v>
      </c>
      <c r="D1360" s="1" t="s">
        <v>78</v>
      </c>
      <c r="E1360" s="1" t="s">
        <v>28</v>
      </c>
      <c r="F1360" s="2">
        <v>800000.0</v>
      </c>
      <c r="G1360" s="1" t="s">
        <v>458</v>
      </c>
      <c r="H1360" s="4">
        <f>IFERROR(__xludf.DUMMYFUNCTION("DATE(INDEX(SPLIT(G1360,""/""),,3),INDEX(SPLIT(G1360,""/""),,2),INDEX(SPLIT(G1360,""/""),,1))"),44649.0)</f>
        <v>44649</v>
      </c>
      <c r="I1360" s="4">
        <v>44569.0</v>
      </c>
      <c r="J1360" s="4">
        <f>IFERROR(__xludf.DUMMYFUNCTION("DATE(INDEX(SPLIT(I1360,""/""),,3),INDEX(SPLIT(I1360,""/""),,2),INDEX(SPLIT(I1360,""/""),,1))"),44774.0)</f>
        <v>44774</v>
      </c>
      <c r="L1360" s="1">
        <v>0.0</v>
      </c>
      <c r="M1360" s="1" t="s">
        <v>3873</v>
      </c>
      <c r="N1360" s="1"/>
      <c r="O1360" s="1" t="s">
        <v>30</v>
      </c>
      <c r="P1360" s="1" t="s">
        <v>31</v>
      </c>
      <c r="Q1360" s="1" t="s">
        <v>53</v>
      </c>
      <c r="R1360" s="1" t="s">
        <v>53</v>
      </c>
      <c r="S1360" s="1" t="s">
        <v>54</v>
      </c>
      <c r="T1360" s="1" t="s">
        <v>1386</v>
      </c>
      <c r="U1360" s="1">
        <v>1.01213659E8</v>
      </c>
      <c r="X1360" s="1" t="s">
        <v>81</v>
      </c>
      <c r="Y1360" s="1" t="s">
        <v>3874</v>
      </c>
      <c r="Z1360" s="1" t="s">
        <v>206</v>
      </c>
    </row>
    <row r="1361" hidden="1">
      <c r="A1361" s="1" t="s">
        <v>4634</v>
      </c>
      <c r="B1361" s="1" t="s">
        <v>806</v>
      </c>
      <c r="C1361" s="1" t="s">
        <v>4635</v>
      </c>
      <c r="D1361" s="1" t="s">
        <v>78</v>
      </c>
      <c r="E1361" s="1" t="s">
        <v>28</v>
      </c>
      <c r="F1361" s="2">
        <v>800000.0</v>
      </c>
      <c r="G1361" s="1" t="s">
        <v>3186</v>
      </c>
      <c r="H1361" s="4">
        <f>IFERROR(__xludf.DUMMYFUNCTION("DATE(INDEX(SPLIT(G1361,""/""),,3),INDEX(SPLIT(G1361,""/""),,2),INDEX(SPLIT(G1361,""/""),,1))"),44529.0)</f>
        <v>44529</v>
      </c>
      <c r="I1361" s="1" t="s">
        <v>130</v>
      </c>
      <c r="J1361" s="4">
        <f>IFERROR(__xludf.DUMMYFUNCTION("DATE(INDEX(SPLIT(I1361,""/""),,3),INDEX(SPLIT(I1361,""/""),,2),INDEX(SPLIT(I1361,""/""),,1))"),44804.0)</f>
        <v>44804</v>
      </c>
      <c r="L1361" s="1">
        <v>0.0</v>
      </c>
      <c r="M1361" s="1" t="s">
        <v>2510</v>
      </c>
      <c r="N1361" s="1"/>
      <c r="O1361" s="1" t="s">
        <v>30</v>
      </c>
      <c r="P1361" s="1" t="s">
        <v>31</v>
      </c>
      <c r="Q1361" s="1" t="s">
        <v>157</v>
      </c>
      <c r="R1361" s="1" t="s">
        <v>157</v>
      </c>
      <c r="S1361" s="1" t="s">
        <v>158</v>
      </c>
      <c r="T1361" s="1" t="s">
        <v>442</v>
      </c>
      <c r="U1361" s="1">
        <v>1.00634919E8</v>
      </c>
      <c r="X1361" s="1" t="s">
        <v>117</v>
      </c>
      <c r="Y1361" s="1" t="s">
        <v>4636</v>
      </c>
      <c r="Z1361" s="1" t="s">
        <v>37</v>
      </c>
    </row>
    <row r="1362" hidden="1">
      <c r="A1362" s="1" t="s">
        <v>4637</v>
      </c>
      <c r="B1362" s="1" t="s">
        <v>1748</v>
      </c>
      <c r="C1362" s="1" t="s">
        <v>4638</v>
      </c>
      <c r="D1362" s="1" t="s">
        <v>78</v>
      </c>
      <c r="E1362" s="1" t="s">
        <v>28</v>
      </c>
      <c r="F1362" s="2">
        <v>800000.0</v>
      </c>
      <c r="G1362" s="4">
        <v>44870.0</v>
      </c>
      <c r="H1362" s="4">
        <f>IFERROR(__xludf.DUMMYFUNCTION("DATE(INDEX(SPLIT(G1362,""/""),,3),INDEX(SPLIT(G1362,""/""),,2),INDEX(SPLIT(G1362,""/""),,1))"),44692.0)</f>
        <v>44692</v>
      </c>
      <c r="I1362" s="1" t="s">
        <v>3941</v>
      </c>
      <c r="J1362" s="4">
        <f>IFERROR(__xludf.DUMMYFUNCTION("DATE(INDEX(SPLIT(I1362,""/""),,3),INDEX(SPLIT(I1362,""/""),,2),INDEX(SPLIT(I1362,""/""),,1))"),44823.0)</f>
        <v>44823</v>
      </c>
      <c r="L1362" s="1">
        <v>0.0</v>
      </c>
      <c r="M1362" s="1" t="s">
        <v>4639</v>
      </c>
      <c r="N1362" s="1"/>
      <c r="O1362" s="1" t="s">
        <v>30</v>
      </c>
      <c r="P1362" s="1" t="s">
        <v>31</v>
      </c>
      <c r="Q1362" s="1" t="s">
        <v>53</v>
      </c>
      <c r="R1362" s="1" t="s">
        <v>53</v>
      </c>
      <c r="S1362" s="1" t="s">
        <v>54</v>
      </c>
      <c r="U1362" s="1">
        <v>1.00660049E8</v>
      </c>
      <c r="X1362" s="1" t="s">
        <v>88</v>
      </c>
      <c r="Y1362" s="1" t="s">
        <v>4640</v>
      </c>
      <c r="Z1362" s="1" t="s">
        <v>37</v>
      </c>
    </row>
    <row r="1363" hidden="1">
      <c r="A1363" s="1" t="s">
        <v>4641</v>
      </c>
      <c r="B1363" s="1" t="s">
        <v>4642</v>
      </c>
      <c r="C1363" s="1" t="s">
        <v>4643</v>
      </c>
      <c r="D1363" s="1" t="s">
        <v>78</v>
      </c>
      <c r="E1363" s="1" t="s">
        <v>28</v>
      </c>
      <c r="F1363" s="2">
        <v>800000.0</v>
      </c>
      <c r="G1363" s="1" t="s">
        <v>4644</v>
      </c>
      <c r="H1363" s="4">
        <f>IFERROR(__xludf.DUMMYFUNCTION("DATE(INDEX(SPLIT(G1363,""/""),,3),INDEX(SPLIT(G1363,""/""),,2),INDEX(SPLIT(G1363,""/""),,1))"),44030.0)</f>
        <v>44030</v>
      </c>
      <c r="I1363" s="1" t="s">
        <v>109</v>
      </c>
      <c r="J1363" s="4">
        <f>IFERROR(__xludf.DUMMYFUNCTION("DATE(INDEX(SPLIT(I1363,""/""),,3),INDEX(SPLIT(I1363,""/""),,2),INDEX(SPLIT(I1363,""/""),,1))"),44834.0)</f>
        <v>44834</v>
      </c>
      <c r="L1363" s="1">
        <v>0.0</v>
      </c>
      <c r="M1363" s="1" t="s">
        <v>4645</v>
      </c>
      <c r="N1363" s="1"/>
      <c r="O1363" s="1" t="s">
        <v>30</v>
      </c>
      <c r="P1363" s="1" t="s">
        <v>31</v>
      </c>
      <c r="Q1363" s="1" t="s">
        <v>95</v>
      </c>
      <c r="R1363" s="1" t="s">
        <v>95</v>
      </c>
      <c r="S1363" s="1" t="s">
        <v>96</v>
      </c>
      <c r="T1363" s="1" t="s">
        <v>97</v>
      </c>
      <c r="U1363" s="1">
        <v>1.0062141E8</v>
      </c>
      <c r="X1363" s="1" t="s">
        <v>117</v>
      </c>
      <c r="Y1363" s="1" t="s">
        <v>3455</v>
      </c>
      <c r="Z1363" s="1" t="s">
        <v>37</v>
      </c>
    </row>
    <row r="1364" hidden="1">
      <c r="A1364" s="1" t="s">
        <v>4646</v>
      </c>
      <c r="B1364" s="1" t="s">
        <v>546</v>
      </c>
      <c r="C1364" s="1" t="s">
        <v>4647</v>
      </c>
      <c r="D1364" s="1" t="s">
        <v>27</v>
      </c>
      <c r="E1364" s="1" t="s">
        <v>28</v>
      </c>
      <c r="F1364" s="2">
        <v>800000.0</v>
      </c>
      <c r="G1364" s="1" t="s">
        <v>2329</v>
      </c>
      <c r="H1364" s="4">
        <f>IFERROR(__xludf.DUMMYFUNCTION("DATE(INDEX(SPLIT(G1364,""/""),,3),INDEX(SPLIT(G1364,""/""),,2),INDEX(SPLIT(G1364,""/""),,1))"),44732.0)</f>
        <v>44732</v>
      </c>
      <c r="I1364" s="4">
        <v>44876.0</v>
      </c>
      <c r="J1364" s="4">
        <f>IFERROR(__xludf.DUMMYFUNCTION("DATE(INDEX(SPLIT(I1364,""/""),,3),INDEX(SPLIT(I1364,""/""),,2),INDEX(SPLIT(I1364,""/""),,1))"),44876.0)</f>
        <v>44876</v>
      </c>
      <c r="L1364" s="1">
        <v>0.0</v>
      </c>
      <c r="M1364" s="1" t="s">
        <v>318</v>
      </c>
      <c r="N1364" s="1"/>
      <c r="O1364" s="1" t="s">
        <v>30</v>
      </c>
      <c r="P1364" s="1" t="s">
        <v>31</v>
      </c>
      <c r="Q1364" s="1" t="s">
        <v>71</v>
      </c>
      <c r="R1364" s="1" t="s">
        <v>71</v>
      </c>
      <c r="S1364" s="1" t="s">
        <v>72</v>
      </c>
      <c r="T1364" s="1" t="s">
        <v>73</v>
      </c>
      <c r="U1364" s="1">
        <v>1.00654705E8</v>
      </c>
      <c r="X1364" s="1" t="s">
        <v>74</v>
      </c>
      <c r="Y1364" s="1" t="s">
        <v>318</v>
      </c>
      <c r="Z1364" s="1" t="s">
        <v>37</v>
      </c>
    </row>
    <row r="1365" hidden="1">
      <c r="A1365" s="1" t="s">
        <v>4648</v>
      </c>
      <c r="B1365" s="1" t="s">
        <v>434</v>
      </c>
      <c r="C1365" s="1" t="s">
        <v>4649</v>
      </c>
      <c r="D1365" s="1" t="s">
        <v>78</v>
      </c>
      <c r="E1365" s="1" t="s">
        <v>28</v>
      </c>
      <c r="F1365" s="2">
        <v>800000.0</v>
      </c>
      <c r="G1365" s="1" t="s">
        <v>1581</v>
      </c>
      <c r="H1365" s="4">
        <f>IFERROR(__xludf.DUMMYFUNCTION("DATE(INDEX(SPLIT(G1365,""/""),,3),INDEX(SPLIT(G1365,""/""),,2),INDEX(SPLIT(G1365,""/""),,1))"),44453.0)</f>
        <v>44453</v>
      </c>
      <c r="I1365" s="1" t="s">
        <v>317</v>
      </c>
      <c r="J1365" s="4">
        <f>IFERROR(__xludf.DUMMYFUNCTION("DATE(INDEX(SPLIT(I1365,""/""),,3),INDEX(SPLIT(I1365,""/""),,2),INDEX(SPLIT(I1365,""/""),,1))"),44862.0)</f>
        <v>44862</v>
      </c>
      <c r="L1365" s="1">
        <v>0.0</v>
      </c>
      <c r="M1365" s="1" t="s">
        <v>4498</v>
      </c>
      <c r="N1365" s="1"/>
      <c r="O1365" s="1" t="s">
        <v>30</v>
      </c>
      <c r="P1365" s="1" t="s">
        <v>31</v>
      </c>
      <c r="Q1365" s="1" t="s">
        <v>157</v>
      </c>
      <c r="R1365" s="1" t="s">
        <v>157</v>
      </c>
      <c r="S1365" s="1" t="s">
        <v>158</v>
      </c>
      <c r="T1365" s="1" t="s">
        <v>4650</v>
      </c>
      <c r="U1365" s="1">
        <v>1.00869674E8</v>
      </c>
      <c r="V1365" s="1" t="s">
        <v>4651</v>
      </c>
      <c r="W1365" s="1" t="s">
        <v>199</v>
      </c>
      <c r="X1365" s="1" t="s">
        <v>88</v>
      </c>
      <c r="Y1365" s="1" t="s">
        <v>4500</v>
      </c>
      <c r="Z1365" s="1" t="s">
        <v>37</v>
      </c>
    </row>
    <row r="1366" hidden="1">
      <c r="A1366" s="1" t="s">
        <v>4652</v>
      </c>
      <c r="B1366" s="1" t="s">
        <v>4653</v>
      </c>
      <c r="C1366" s="1" t="s">
        <v>4654</v>
      </c>
      <c r="D1366" s="1" t="s">
        <v>122</v>
      </c>
      <c r="E1366" s="1" t="s">
        <v>28</v>
      </c>
      <c r="F1366" s="2">
        <v>800000.0</v>
      </c>
      <c r="G1366" s="1" t="s">
        <v>2900</v>
      </c>
      <c r="H1366" s="4">
        <f>IFERROR(__xludf.DUMMYFUNCTION("DATE(INDEX(SPLIT(G1366,""/""),,3),INDEX(SPLIT(G1366,""/""),,2),INDEX(SPLIT(G1366,""/""),,1))"),44678.0)</f>
        <v>44678</v>
      </c>
      <c r="I1366" s="1" t="s">
        <v>109</v>
      </c>
      <c r="J1366" s="4">
        <f>IFERROR(__xludf.DUMMYFUNCTION("DATE(INDEX(SPLIT(I1366,""/""),,3),INDEX(SPLIT(I1366,""/""),,2),INDEX(SPLIT(I1366,""/""),,1))"),44834.0)</f>
        <v>44834</v>
      </c>
      <c r="L1366" s="1">
        <v>0.0</v>
      </c>
      <c r="M1366" s="1" t="s">
        <v>61</v>
      </c>
      <c r="N1366" s="1"/>
      <c r="O1366" s="1" t="s">
        <v>30</v>
      </c>
      <c r="P1366" s="1" t="s">
        <v>31</v>
      </c>
      <c r="Q1366" s="1" t="s">
        <v>32</v>
      </c>
      <c r="R1366" s="1" t="s">
        <v>32</v>
      </c>
      <c r="S1366" s="1" t="s">
        <v>33</v>
      </c>
      <c r="T1366" s="1" t="s">
        <v>103</v>
      </c>
      <c r="U1366" s="1">
        <v>1.0060843E8</v>
      </c>
      <c r="Y1366" s="1" t="s">
        <v>61</v>
      </c>
      <c r="Z1366" s="1" t="s">
        <v>37</v>
      </c>
    </row>
    <row r="1367" hidden="1">
      <c r="A1367" s="1" t="s">
        <v>4655</v>
      </c>
      <c r="B1367" s="1" t="s">
        <v>1021</v>
      </c>
      <c r="C1367" s="1" t="s">
        <v>4656</v>
      </c>
      <c r="D1367" s="1" t="s">
        <v>78</v>
      </c>
      <c r="E1367" s="1" t="s">
        <v>28</v>
      </c>
      <c r="F1367" s="2">
        <v>800000.0</v>
      </c>
      <c r="G1367" s="1" t="s">
        <v>3245</v>
      </c>
      <c r="H1367" s="4">
        <f>IFERROR(__xludf.DUMMYFUNCTION("DATE(INDEX(SPLIT(G1367,""/""),,3),INDEX(SPLIT(G1367,""/""),,2),INDEX(SPLIT(G1367,""/""),,1))"),44452.0)</f>
        <v>44452</v>
      </c>
      <c r="I1367" s="1" t="s">
        <v>203</v>
      </c>
      <c r="J1367" s="4">
        <f>IFERROR(__xludf.DUMMYFUNCTION("DATE(INDEX(SPLIT(I1367,""/""),,3),INDEX(SPLIT(I1367,""/""),,2),INDEX(SPLIT(I1367,""/""),,1))"),44925.0)</f>
        <v>44925</v>
      </c>
      <c r="L1367" s="1">
        <v>0.0</v>
      </c>
      <c r="M1367" s="1" t="s">
        <v>4432</v>
      </c>
      <c r="N1367" s="1"/>
      <c r="O1367" s="1" t="s">
        <v>30</v>
      </c>
      <c r="P1367" s="1" t="s">
        <v>31</v>
      </c>
      <c r="Q1367" s="1" t="s">
        <v>32</v>
      </c>
      <c r="R1367" s="1" t="s">
        <v>32</v>
      </c>
      <c r="S1367" s="1" t="s">
        <v>33</v>
      </c>
      <c r="T1367" s="1" t="s">
        <v>80</v>
      </c>
      <c r="U1367" s="1">
        <v>1.00584558E8</v>
      </c>
      <c r="X1367" s="1" t="s">
        <v>46</v>
      </c>
      <c r="Y1367" s="1" t="s">
        <v>4657</v>
      </c>
      <c r="Z1367" s="1" t="s">
        <v>37</v>
      </c>
    </row>
    <row r="1368">
      <c r="A1368" s="1" t="s">
        <v>4658</v>
      </c>
      <c r="B1368" s="1" t="s">
        <v>4659</v>
      </c>
      <c r="C1368" s="1" t="s">
        <v>4660</v>
      </c>
      <c r="D1368" s="1" t="s">
        <v>122</v>
      </c>
      <c r="E1368" s="1" t="s">
        <v>28</v>
      </c>
      <c r="F1368" s="2">
        <v>800000.0</v>
      </c>
      <c r="G1368" s="1" t="s">
        <v>3934</v>
      </c>
      <c r="H1368" s="4">
        <f>IFERROR(__xludf.DUMMYFUNCTION("DATE(INDEX(SPLIT(G1368,""/""),,3),INDEX(SPLIT(G1368,""/""),,2),INDEX(SPLIT(G1368,""/""),,1))"),44428.0)</f>
        <v>44428</v>
      </c>
      <c r="I1368" s="1" t="s">
        <v>226</v>
      </c>
      <c r="J1368" s="4">
        <f>IFERROR(__xludf.DUMMYFUNCTION("DATE(INDEX(SPLIT(I1368,""/""),,3),INDEX(SPLIT(I1368,""/""),,2),INDEX(SPLIT(I1368,""/""),,1))"),44771.0)</f>
        <v>44771</v>
      </c>
      <c r="L1368" s="1">
        <v>0.0</v>
      </c>
      <c r="M1368" s="1" t="s">
        <v>2312</v>
      </c>
      <c r="N1368" s="1"/>
      <c r="O1368" s="1" t="s">
        <v>30</v>
      </c>
      <c r="P1368" s="1" t="s">
        <v>31</v>
      </c>
      <c r="Q1368" s="1" t="s">
        <v>32</v>
      </c>
      <c r="R1368" s="1" t="s">
        <v>32</v>
      </c>
      <c r="S1368" s="1" t="s">
        <v>33</v>
      </c>
      <c r="T1368" s="1" t="s">
        <v>103</v>
      </c>
      <c r="U1368" s="1">
        <v>1.00610903E8</v>
      </c>
      <c r="X1368" s="1" t="s">
        <v>98</v>
      </c>
      <c r="Y1368" s="1" t="s">
        <v>2312</v>
      </c>
      <c r="Z1368" s="1" t="s">
        <v>37</v>
      </c>
    </row>
    <row r="1369" hidden="1">
      <c r="A1369" s="1" t="s">
        <v>4661</v>
      </c>
      <c r="B1369" s="1" t="s">
        <v>4662</v>
      </c>
      <c r="C1369" s="1" t="s">
        <v>4663</v>
      </c>
      <c r="D1369" s="1" t="s">
        <v>27</v>
      </c>
      <c r="E1369" s="1" t="s">
        <v>28</v>
      </c>
      <c r="F1369" s="2">
        <v>800000.0</v>
      </c>
      <c r="G1369" s="1" t="s">
        <v>983</v>
      </c>
      <c r="H1369" s="4">
        <f>IFERROR(__xludf.DUMMYFUNCTION("DATE(INDEX(SPLIT(G1369,""/""),,3),INDEX(SPLIT(G1369,""/""),,2),INDEX(SPLIT(G1369,""/""),,1))"),44393.0)</f>
        <v>44393</v>
      </c>
      <c r="I1369" s="1" t="s">
        <v>130</v>
      </c>
      <c r="J1369" s="4">
        <f>IFERROR(__xludf.DUMMYFUNCTION("DATE(INDEX(SPLIT(I1369,""/""),,3),INDEX(SPLIT(I1369,""/""),,2),INDEX(SPLIT(I1369,""/""),,1))"),44804.0)</f>
        <v>44804</v>
      </c>
      <c r="L1369" s="1">
        <v>0.0</v>
      </c>
      <c r="M1369" s="1" t="s">
        <v>1307</v>
      </c>
      <c r="N1369" s="1"/>
      <c r="O1369" s="1" t="s">
        <v>30</v>
      </c>
      <c r="P1369" s="1" t="s">
        <v>31</v>
      </c>
      <c r="Q1369" s="1" t="s">
        <v>235</v>
      </c>
      <c r="R1369" s="1" t="s">
        <v>235</v>
      </c>
      <c r="S1369" s="1" t="s">
        <v>236</v>
      </c>
      <c r="T1369" s="1" t="s">
        <v>1349</v>
      </c>
      <c r="U1369" s="1">
        <v>1.00585952E8</v>
      </c>
      <c r="X1369" s="1" t="s">
        <v>98</v>
      </c>
      <c r="Y1369" s="1" t="s">
        <v>1307</v>
      </c>
      <c r="Z1369" s="1" t="s">
        <v>37</v>
      </c>
    </row>
    <row r="1370" hidden="1">
      <c r="A1370" s="1" t="s">
        <v>4664</v>
      </c>
      <c r="B1370" s="1" t="s">
        <v>4665</v>
      </c>
      <c r="C1370" s="1" t="s">
        <v>4666</v>
      </c>
      <c r="D1370" s="1" t="s">
        <v>27</v>
      </c>
      <c r="E1370" s="1" t="s">
        <v>28</v>
      </c>
      <c r="F1370" s="2">
        <v>800000.0</v>
      </c>
      <c r="G1370" s="1" t="s">
        <v>4667</v>
      </c>
      <c r="H1370" s="4">
        <f>IFERROR(__xludf.DUMMYFUNCTION("DATE(INDEX(SPLIT(G1370,""/""),,3),INDEX(SPLIT(G1370,""/""),,2),INDEX(SPLIT(G1370,""/""),,1))"),43763.0)</f>
        <v>43763</v>
      </c>
      <c r="I1370" s="1" t="s">
        <v>171</v>
      </c>
      <c r="J1370" s="4">
        <f>IFERROR(__xludf.DUMMYFUNCTION("DATE(INDEX(SPLIT(I1370,""/""),,3),INDEX(SPLIT(I1370,""/""),,2),INDEX(SPLIT(I1370,""/""),,1))"),45077.0)</f>
        <v>45077</v>
      </c>
      <c r="L1370" s="1">
        <v>0.0</v>
      </c>
      <c r="M1370" s="1" t="s">
        <v>3573</v>
      </c>
      <c r="N1370" s="1"/>
      <c r="O1370" s="1" t="s">
        <v>30</v>
      </c>
      <c r="P1370" s="1" t="s">
        <v>31</v>
      </c>
      <c r="Q1370" s="1" t="s">
        <v>157</v>
      </c>
      <c r="R1370" s="1" t="s">
        <v>157</v>
      </c>
      <c r="S1370" s="1" t="s">
        <v>158</v>
      </c>
      <c r="T1370" s="1" t="s">
        <v>442</v>
      </c>
      <c r="U1370" s="1">
        <v>1.00651086E8</v>
      </c>
      <c r="X1370" s="1" t="s">
        <v>125</v>
      </c>
      <c r="Y1370" s="1" t="s">
        <v>3573</v>
      </c>
      <c r="Z1370" s="1" t="s">
        <v>37</v>
      </c>
    </row>
    <row r="1371" hidden="1">
      <c r="A1371" s="1" t="s">
        <v>4668</v>
      </c>
      <c r="B1371" s="1" t="s">
        <v>4669</v>
      </c>
      <c r="C1371" s="1" t="s">
        <v>4670</v>
      </c>
      <c r="D1371" s="1" t="s">
        <v>122</v>
      </c>
      <c r="E1371" s="1" t="s">
        <v>28</v>
      </c>
      <c r="F1371" s="2">
        <v>800000.0</v>
      </c>
      <c r="G1371" s="1" t="s">
        <v>154</v>
      </c>
      <c r="H1371" s="4">
        <f>IFERROR(__xludf.DUMMYFUNCTION("DATE(INDEX(SPLIT(G1371,""/""),,3),INDEX(SPLIT(G1371,""/""),,2),INDEX(SPLIT(G1371,""/""),,1))"),44670.0)</f>
        <v>44670</v>
      </c>
      <c r="I1371" s="1" t="s">
        <v>317</v>
      </c>
      <c r="J1371" s="4">
        <f>IFERROR(__xludf.DUMMYFUNCTION("DATE(INDEX(SPLIT(I1371,""/""),,3),INDEX(SPLIT(I1371,""/""),,2),INDEX(SPLIT(I1371,""/""),,1))"),44862.0)</f>
        <v>44862</v>
      </c>
      <c r="L1371" s="1">
        <v>0.0</v>
      </c>
      <c r="M1371" s="1" t="s">
        <v>878</v>
      </c>
      <c r="N1371" s="1"/>
      <c r="O1371" s="1" t="s">
        <v>30</v>
      </c>
      <c r="P1371" s="1" t="s">
        <v>31</v>
      </c>
      <c r="Q1371" s="1" t="s">
        <v>32</v>
      </c>
      <c r="R1371" s="1" t="s">
        <v>32</v>
      </c>
      <c r="S1371" s="1" t="s">
        <v>33</v>
      </c>
      <c r="U1371" s="1">
        <v>1.00686761E8</v>
      </c>
      <c r="X1371" s="1" t="s">
        <v>35</v>
      </c>
      <c r="Y1371" s="1" t="s">
        <v>878</v>
      </c>
      <c r="Z1371" s="1" t="s">
        <v>527</v>
      </c>
    </row>
    <row r="1372" hidden="1">
      <c r="A1372" s="1" t="s">
        <v>4671</v>
      </c>
      <c r="B1372" s="1" t="s">
        <v>700</v>
      </c>
      <c r="C1372" s="1" t="s">
        <v>4672</v>
      </c>
      <c r="D1372" s="1" t="s">
        <v>27</v>
      </c>
      <c r="E1372" s="1" t="s">
        <v>28</v>
      </c>
      <c r="F1372" s="2">
        <v>800000.0</v>
      </c>
      <c r="G1372" s="1" t="s">
        <v>3142</v>
      </c>
      <c r="H1372" s="4">
        <f>IFERROR(__xludf.DUMMYFUNCTION("DATE(INDEX(SPLIT(G1372,""/""),,3),INDEX(SPLIT(G1372,""/""),,2),INDEX(SPLIT(G1372,""/""),,1))"),44611.0)</f>
        <v>44611</v>
      </c>
      <c r="I1372" s="4">
        <v>44927.0</v>
      </c>
      <c r="J1372" s="4">
        <f>IFERROR(__xludf.DUMMYFUNCTION("DATE(INDEX(SPLIT(I1372,""/""),,3),INDEX(SPLIT(I1372,""/""),,2),INDEX(SPLIT(I1372,""/""),,1))"),44927.0)</f>
        <v>44927</v>
      </c>
      <c r="L1372" s="1">
        <v>0.0</v>
      </c>
      <c r="M1372" s="1" t="s">
        <v>702</v>
      </c>
      <c r="N1372" s="1"/>
      <c r="O1372" s="1" t="s">
        <v>30</v>
      </c>
      <c r="P1372" s="1" t="s">
        <v>31</v>
      </c>
      <c r="Q1372" s="1" t="s">
        <v>95</v>
      </c>
      <c r="R1372" s="1" t="s">
        <v>95</v>
      </c>
      <c r="S1372" s="1" t="s">
        <v>96</v>
      </c>
      <c r="T1372" s="1" t="s">
        <v>311</v>
      </c>
      <c r="U1372" s="1">
        <v>1.00616804E8</v>
      </c>
      <c r="X1372" s="1" t="s">
        <v>98</v>
      </c>
      <c r="Y1372" s="1" t="s">
        <v>702</v>
      </c>
      <c r="Z1372" s="1" t="s">
        <v>37</v>
      </c>
    </row>
    <row r="1373" hidden="1">
      <c r="A1373" s="1" t="s">
        <v>4673</v>
      </c>
      <c r="B1373" s="1" t="s">
        <v>2598</v>
      </c>
      <c r="C1373" s="1" t="s">
        <v>4674</v>
      </c>
      <c r="D1373" s="1" t="s">
        <v>122</v>
      </c>
      <c r="E1373" s="1" t="s">
        <v>28</v>
      </c>
      <c r="F1373" s="2">
        <v>800000.0</v>
      </c>
      <c r="G1373" s="1" t="s">
        <v>486</v>
      </c>
      <c r="H1373" s="4">
        <f>IFERROR(__xludf.DUMMYFUNCTION("DATE(INDEX(SPLIT(G1373,""/""),,3),INDEX(SPLIT(G1373,""/""),,2),INDEX(SPLIT(G1373,""/""),,1))"),44209.0)</f>
        <v>44209</v>
      </c>
      <c r="I1373" s="4">
        <v>44569.0</v>
      </c>
      <c r="J1373" s="4">
        <f>IFERROR(__xludf.DUMMYFUNCTION("DATE(INDEX(SPLIT(I1373,""/""),,3),INDEX(SPLIT(I1373,""/""),,2),INDEX(SPLIT(I1373,""/""),,1))"),44774.0)</f>
        <v>44774</v>
      </c>
      <c r="L1373" s="1">
        <v>0.0</v>
      </c>
      <c r="M1373" s="1" t="s">
        <v>608</v>
      </c>
      <c r="N1373" s="1"/>
      <c r="O1373" s="1" t="s">
        <v>30</v>
      </c>
      <c r="P1373" s="1" t="s">
        <v>31</v>
      </c>
      <c r="Q1373" s="1" t="s">
        <v>235</v>
      </c>
      <c r="R1373" s="1" t="s">
        <v>235</v>
      </c>
      <c r="S1373" s="1" t="s">
        <v>236</v>
      </c>
      <c r="T1373" s="1" t="s">
        <v>237</v>
      </c>
      <c r="U1373" s="1">
        <v>1.00660495E8</v>
      </c>
      <c r="X1373" s="1" t="s">
        <v>239</v>
      </c>
      <c r="Y1373" s="1" t="s">
        <v>4675</v>
      </c>
      <c r="Z1373" s="1" t="s">
        <v>37</v>
      </c>
    </row>
    <row r="1374" hidden="1">
      <c r="A1374" s="1" t="s">
        <v>4676</v>
      </c>
      <c r="B1374" s="1" t="s">
        <v>301</v>
      </c>
      <c r="C1374" s="1" t="s">
        <v>4677</v>
      </c>
      <c r="D1374" s="1" t="s">
        <v>78</v>
      </c>
      <c r="E1374" s="1" t="s">
        <v>28</v>
      </c>
      <c r="F1374" s="2">
        <v>800000.0</v>
      </c>
      <c r="G1374" s="4">
        <v>44685.0</v>
      </c>
      <c r="H1374" s="4">
        <f>IFERROR(__xludf.DUMMYFUNCTION("DATE(INDEX(SPLIT(G1374,""/""),,3),INDEX(SPLIT(G1374,""/""),,2),INDEX(SPLIT(G1374,""/""),,1))"),44656.0)</f>
        <v>44656</v>
      </c>
      <c r="I1374" s="4">
        <v>44722.0</v>
      </c>
      <c r="J1374" s="4">
        <f>IFERROR(__xludf.DUMMYFUNCTION("DATE(INDEX(SPLIT(I1374,""/""),,3),INDEX(SPLIT(I1374,""/""),,2),INDEX(SPLIT(I1374,""/""),,1))"),44840.0)</f>
        <v>44840</v>
      </c>
      <c r="L1374" s="1">
        <v>0.0</v>
      </c>
      <c r="M1374" s="1" t="s">
        <v>873</v>
      </c>
      <c r="N1374" s="1"/>
      <c r="O1374" s="1" t="s">
        <v>30</v>
      </c>
      <c r="P1374" s="1" t="s">
        <v>31</v>
      </c>
      <c r="Q1374" s="1" t="s">
        <v>157</v>
      </c>
      <c r="R1374" s="1" t="s">
        <v>157</v>
      </c>
      <c r="S1374" s="1" t="s">
        <v>158</v>
      </c>
      <c r="U1374" s="1">
        <v>1.00586701E8</v>
      </c>
      <c r="X1374" s="1" t="s">
        <v>305</v>
      </c>
      <c r="Y1374" s="1" t="s">
        <v>874</v>
      </c>
      <c r="Z1374" s="1" t="s">
        <v>37</v>
      </c>
    </row>
    <row r="1375" hidden="1">
      <c r="A1375" s="1" t="s">
        <v>4678</v>
      </c>
      <c r="B1375" s="1" t="s">
        <v>4679</v>
      </c>
      <c r="C1375" s="1" t="s">
        <v>4680</v>
      </c>
      <c r="D1375" s="1" t="s">
        <v>27</v>
      </c>
      <c r="E1375" s="1" t="s">
        <v>28</v>
      </c>
      <c r="F1375" s="2">
        <v>800000.0</v>
      </c>
      <c r="G1375" s="1" t="s">
        <v>935</v>
      </c>
      <c r="H1375" s="4">
        <f>IFERROR(__xludf.DUMMYFUNCTION("DATE(INDEX(SPLIT(G1375,""/""),,3),INDEX(SPLIT(G1375,""/""),,2),INDEX(SPLIT(G1375,""/""),,1))"),44764.0)</f>
        <v>44764</v>
      </c>
      <c r="I1375" s="1" t="s">
        <v>1678</v>
      </c>
      <c r="J1375" s="4">
        <f>IFERROR(__xludf.DUMMYFUNCTION("DATE(INDEX(SPLIT(I1375,""/""),,3),INDEX(SPLIT(I1375,""/""),,2),INDEX(SPLIT(I1375,""/""),,1))"),44819.0)</f>
        <v>44819</v>
      </c>
      <c r="L1375" s="1">
        <v>0.0</v>
      </c>
      <c r="M1375" s="1" t="s">
        <v>3663</v>
      </c>
      <c r="N1375" s="1"/>
      <c r="O1375" s="1" t="s">
        <v>30</v>
      </c>
      <c r="P1375" s="1" t="s">
        <v>31</v>
      </c>
      <c r="Q1375" s="1" t="s">
        <v>95</v>
      </c>
      <c r="R1375" s="1" t="s">
        <v>95</v>
      </c>
      <c r="S1375" s="1" t="s">
        <v>96</v>
      </c>
      <c r="T1375" s="1" t="s">
        <v>489</v>
      </c>
      <c r="U1375" s="1">
        <v>1.00620159E8</v>
      </c>
      <c r="X1375" s="1" t="s">
        <v>490</v>
      </c>
      <c r="Y1375" s="1" t="s">
        <v>4681</v>
      </c>
      <c r="Z1375" s="1" t="s">
        <v>37</v>
      </c>
    </row>
    <row r="1376" hidden="1">
      <c r="A1376" s="1" t="s">
        <v>4682</v>
      </c>
      <c r="B1376" s="1" t="s">
        <v>4683</v>
      </c>
      <c r="C1376" s="1" t="s">
        <v>4684</v>
      </c>
      <c r="D1376" s="1" t="s">
        <v>27</v>
      </c>
      <c r="E1376" s="1" t="s">
        <v>28</v>
      </c>
      <c r="F1376" s="2">
        <v>800000.0</v>
      </c>
      <c r="G1376" s="1" t="s">
        <v>324</v>
      </c>
      <c r="H1376" s="4">
        <f>IFERROR(__xludf.DUMMYFUNCTION("DATE(INDEX(SPLIT(G1376,""/""),,3),INDEX(SPLIT(G1376,""/""),,2),INDEX(SPLIT(G1376,""/""),,1))"),44636.0)</f>
        <v>44636</v>
      </c>
      <c r="I1376" s="4">
        <v>45266.0</v>
      </c>
      <c r="J1376" s="4">
        <f>IFERROR(__xludf.DUMMYFUNCTION("DATE(INDEX(SPLIT(I1376,""/""),,3),INDEX(SPLIT(I1376,""/""),,2),INDEX(SPLIT(I1376,""/""),,1))"),45089.0)</f>
        <v>45089</v>
      </c>
      <c r="L1376" s="1">
        <v>0.0</v>
      </c>
      <c r="M1376" s="1" t="s">
        <v>318</v>
      </c>
      <c r="N1376" s="1"/>
      <c r="O1376" s="1" t="s">
        <v>30</v>
      </c>
      <c r="P1376" s="1" t="s">
        <v>31</v>
      </c>
      <c r="Q1376" s="1" t="s">
        <v>71</v>
      </c>
      <c r="R1376" s="1" t="s">
        <v>71</v>
      </c>
      <c r="S1376" s="1" t="s">
        <v>72</v>
      </c>
      <c r="T1376" s="1" t="s">
        <v>73</v>
      </c>
      <c r="U1376" s="1">
        <v>1.00654705E8</v>
      </c>
      <c r="X1376" s="1" t="s">
        <v>74</v>
      </c>
      <c r="Y1376" s="1" t="s">
        <v>318</v>
      </c>
      <c r="Z1376" s="1" t="s">
        <v>37</v>
      </c>
    </row>
    <row r="1377" hidden="1">
      <c r="A1377" s="1" t="s">
        <v>4685</v>
      </c>
      <c r="B1377" s="1" t="s">
        <v>2400</v>
      </c>
      <c r="C1377" s="1" t="s">
        <v>4686</v>
      </c>
      <c r="D1377" s="1" t="s">
        <v>78</v>
      </c>
      <c r="E1377" s="1" t="s">
        <v>28</v>
      </c>
      <c r="F1377" s="2">
        <v>800000.0</v>
      </c>
      <c r="G1377" s="1" t="s">
        <v>600</v>
      </c>
      <c r="H1377" s="4">
        <f>IFERROR(__xludf.DUMMYFUNCTION("DATE(INDEX(SPLIT(G1377,""/""),,3),INDEX(SPLIT(G1377,""/""),,2),INDEX(SPLIT(G1377,""/""),,1))"),44665.0)</f>
        <v>44665</v>
      </c>
      <c r="I1377" s="1" t="s">
        <v>487</v>
      </c>
      <c r="J1377" s="4">
        <f>IFERROR(__xludf.DUMMYFUNCTION("DATE(INDEX(SPLIT(I1377,""/""),,3),INDEX(SPLIT(I1377,""/""),,2),INDEX(SPLIT(I1377,""/""),,1))"),44855.0)</f>
        <v>44855</v>
      </c>
      <c r="L1377" s="1">
        <v>0.0</v>
      </c>
      <c r="M1377" s="1" t="s">
        <v>4418</v>
      </c>
      <c r="N1377" s="1"/>
      <c r="O1377" s="1" t="s">
        <v>30</v>
      </c>
      <c r="P1377" s="1" t="s">
        <v>31</v>
      </c>
      <c r="Q1377" s="1" t="s">
        <v>188</v>
      </c>
      <c r="R1377" s="1" t="s">
        <v>188</v>
      </c>
      <c r="S1377" s="1" t="s">
        <v>189</v>
      </c>
      <c r="U1377" s="1">
        <v>1.0066064E8</v>
      </c>
      <c r="X1377" s="1" t="s">
        <v>781</v>
      </c>
      <c r="Y1377" s="1" t="s">
        <v>4687</v>
      </c>
      <c r="Z1377" s="1" t="s">
        <v>37</v>
      </c>
    </row>
    <row r="1378">
      <c r="A1378" s="1" t="s">
        <v>4688</v>
      </c>
      <c r="B1378" s="1" t="s">
        <v>865</v>
      </c>
      <c r="C1378" s="1" t="s">
        <v>4689</v>
      </c>
      <c r="D1378" s="1" t="s">
        <v>78</v>
      </c>
      <c r="E1378" s="1" t="s">
        <v>28</v>
      </c>
      <c r="F1378" s="2">
        <v>800000.0</v>
      </c>
      <c r="G1378" s="1" t="s">
        <v>1694</v>
      </c>
      <c r="H1378" s="4">
        <f>IFERROR(__xludf.DUMMYFUNCTION("DATE(INDEX(SPLIT(G1378,""/""),,3),INDEX(SPLIT(G1378,""/""),,2),INDEX(SPLIT(G1378,""/""),,1))"),44516.0)</f>
        <v>44516</v>
      </c>
      <c r="I1378" s="1" t="s">
        <v>1141</v>
      </c>
      <c r="J1378" s="4">
        <f>IFERROR(__xludf.DUMMYFUNCTION("DATE(INDEX(SPLIT(I1378,""/""),,3),INDEX(SPLIT(I1378,""/""),,2),INDEX(SPLIT(I1378,""/""),,1))"),44767.0)</f>
        <v>44767</v>
      </c>
      <c r="L1378" s="1">
        <v>0.0</v>
      </c>
      <c r="M1378" s="1" t="s">
        <v>2787</v>
      </c>
      <c r="N1378" s="1"/>
      <c r="O1378" s="1" t="s">
        <v>30</v>
      </c>
      <c r="P1378" s="1" t="s">
        <v>31</v>
      </c>
      <c r="Q1378" s="1" t="s">
        <v>157</v>
      </c>
      <c r="R1378" s="1" t="s">
        <v>157</v>
      </c>
      <c r="S1378" s="1" t="s">
        <v>158</v>
      </c>
      <c r="T1378" s="1" t="s">
        <v>442</v>
      </c>
      <c r="U1378" s="1">
        <v>1.00708984E8</v>
      </c>
      <c r="X1378" s="1" t="s">
        <v>125</v>
      </c>
      <c r="Y1378" s="1" t="s">
        <v>4690</v>
      </c>
      <c r="Z1378" s="1" t="s">
        <v>37</v>
      </c>
    </row>
    <row r="1379" hidden="1">
      <c r="A1379" s="1" t="s">
        <v>4691</v>
      </c>
      <c r="B1379" s="1" t="s">
        <v>617</v>
      </c>
      <c r="C1379" s="1" t="s">
        <v>4692</v>
      </c>
      <c r="D1379" s="1" t="s">
        <v>122</v>
      </c>
      <c r="E1379" s="1" t="s">
        <v>28</v>
      </c>
      <c r="F1379" s="2">
        <v>800000.0</v>
      </c>
      <c r="G1379" s="4">
        <v>44866.0</v>
      </c>
      <c r="H1379" s="4">
        <f>IFERROR(__xludf.DUMMYFUNCTION("DATE(INDEX(SPLIT(G1379,""/""),,3),INDEX(SPLIT(G1379,""/""),,2),INDEX(SPLIT(G1379,""/""),,1))"),44572.0)</f>
        <v>44572</v>
      </c>
      <c r="I1379" s="4">
        <v>44903.0</v>
      </c>
      <c r="J1379" s="4">
        <f>IFERROR(__xludf.DUMMYFUNCTION("DATE(INDEX(SPLIT(I1379,""/""),,3),INDEX(SPLIT(I1379,""/""),,2),INDEX(SPLIT(I1379,""/""),,1))"),44785.0)</f>
        <v>44785</v>
      </c>
      <c r="L1379" s="1">
        <v>0.0</v>
      </c>
      <c r="M1379" s="1" t="s">
        <v>620</v>
      </c>
      <c r="N1379" s="1"/>
      <c r="O1379" s="1" t="s">
        <v>30</v>
      </c>
      <c r="P1379" s="1" t="s">
        <v>31</v>
      </c>
      <c r="Q1379" s="1" t="s">
        <v>32</v>
      </c>
      <c r="R1379" s="1" t="s">
        <v>32</v>
      </c>
      <c r="S1379" s="1" t="s">
        <v>33</v>
      </c>
      <c r="T1379" s="1" t="s">
        <v>159</v>
      </c>
      <c r="U1379" s="1">
        <v>1.00609607E8</v>
      </c>
      <c r="X1379" s="1" t="s">
        <v>81</v>
      </c>
      <c r="Y1379" s="1" t="s">
        <v>390</v>
      </c>
      <c r="Z1379" s="1" t="s">
        <v>37</v>
      </c>
    </row>
    <row r="1380" hidden="1">
      <c r="A1380" s="1" t="s">
        <v>4693</v>
      </c>
      <c r="B1380" s="1" t="s">
        <v>1131</v>
      </c>
      <c r="C1380" s="1" t="s">
        <v>4694</v>
      </c>
      <c r="D1380" s="1" t="s">
        <v>78</v>
      </c>
      <c r="E1380" s="1" t="s">
        <v>28</v>
      </c>
      <c r="F1380" s="2">
        <v>800000.0</v>
      </c>
      <c r="G1380" s="1" t="s">
        <v>1044</v>
      </c>
      <c r="H1380" s="4">
        <f>IFERROR(__xludf.DUMMYFUNCTION("DATE(INDEX(SPLIT(G1380,""/""),,3),INDEX(SPLIT(G1380,""/""),,2),INDEX(SPLIT(G1380,""/""),,1))"),44588.0)</f>
        <v>44588</v>
      </c>
      <c r="I1380" s="4">
        <v>44844.0</v>
      </c>
      <c r="J1380" s="4">
        <f>IFERROR(__xludf.DUMMYFUNCTION("DATE(INDEX(SPLIT(I1380,""/""),,3),INDEX(SPLIT(I1380,""/""),,2),INDEX(SPLIT(I1380,""/""),,1))"),44844.0)</f>
        <v>44844</v>
      </c>
      <c r="L1380" s="1">
        <v>0.0</v>
      </c>
      <c r="M1380" s="1" t="s">
        <v>318</v>
      </c>
      <c r="N1380" s="1"/>
      <c r="O1380" s="1" t="s">
        <v>30</v>
      </c>
      <c r="P1380" s="1" t="s">
        <v>31</v>
      </c>
      <c r="Q1380" s="1" t="s">
        <v>71</v>
      </c>
      <c r="R1380" s="1" t="s">
        <v>71</v>
      </c>
      <c r="S1380" s="1" t="s">
        <v>72</v>
      </c>
      <c r="T1380" s="1" t="s">
        <v>73</v>
      </c>
      <c r="U1380" s="1">
        <v>1.00654705E8</v>
      </c>
      <c r="X1380" s="1" t="s">
        <v>74</v>
      </c>
      <c r="Y1380" s="1" t="s">
        <v>318</v>
      </c>
      <c r="Z1380" s="1" t="s">
        <v>37</v>
      </c>
    </row>
    <row r="1381" hidden="1">
      <c r="A1381" s="1" t="s">
        <v>4695</v>
      </c>
      <c r="B1381" s="1" t="s">
        <v>555</v>
      </c>
      <c r="C1381" s="1" t="s">
        <v>4696</v>
      </c>
      <c r="D1381" s="1" t="s">
        <v>78</v>
      </c>
      <c r="E1381" s="1" t="s">
        <v>28</v>
      </c>
      <c r="F1381" s="2">
        <v>800000.0</v>
      </c>
      <c r="G1381" s="4">
        <v>44837.0</v>
      </c>
      <c r="H1381" s="4">
        <f>IFERROR(__xludf.DUMMYFUNCTION("DATE(INDEX(SPLIT(G1381,""/""),,3),INDEX(SPLIT(G1381,""/""),,2),INDEX(SPLIT(G1381,""/""),,1))"),44630.0)</f>
        <v>44630</v>
      </c>
      <c r="I1381" s="4">
        <v>44813.0</v>
      </c>
      <c r="J1381" s="4">
        <f>IFERROR(__xludf.DUMMYFUNCTION("DATE(INDEX(SPLIT(I1381,""/""),,3),INDEX(SPLIT(I1381,""/""),,2),INDEX(SPLIT(I1381,""/""),,1))"),44813.0)</f>
        <v>44813</v>
      </c>
      <c r="L1381" s="1">
        <v>0.0</v>
      </c>
      <c r="M1381" s="1" t="s">
        <v>558</v>
      </c>
      <c r="N1381" s="1"/>
      <c r="O1381" s="1" t="s">
        <v>30</v>
      </c>
      <c r="P1381" s="1" t="s">
        <v>31</v>
      </c>
      <c r="Q1381" s="1" t="s">
        <v>53</v>
      </c>
      <c r="R1381" s="1" t="s">
        <v>53</v>
      </c>
      <c r="S1381" s="1" t="s">
        <v>54</v>
      </c>
      <c r="T1381" s="1" t="s">
        <v>87</v>
      </c>
      <c r="U1381" s="1">
        <v>1.00653597E8</v>
      </c>
      <c r="X1381" s="1" t="s">
        <v>88</v>
      </c>
      <c r="Y1381" s="1" t="s">
        <v>558</v>
      </c>
      <c r="Z1381" s="1" t="s">
        <v>37</v>
      </c>
    </row>
    <row r="1382" hidden="1">
      <c r="A1382" s="1" t="s">
        <v>4697</v>
      </c>
      <c r="B1382" s="1" t="s">
        <v>630</v>
      </c>
      <c r="C1382" s="1" t="s">
        <v>4698</v>
      </c>
      <c r="D1382" s="1" t="s">
        <v>27</v>
      </c>
      <c r="E1382" s="1" t="s">
        <v>28</v>
      </c>
      <c r="F1382" s="2">
        <v>800000.0</v>
      </c>
      <c r="G1382" s="4">
        <v>44717.0</v>
      </c>
      <c r="H1382" s="4">
        <f>IFERROR(__xludf.DUMMYFUNCTION("DATE(INDEX(SPLIT(G1382,""/""),,3),INDEX(SPLIT(G1382,""/""),,2),INDEX(SPLIT(G1382,""/""),,1))"),44687.0)</f>
        <v>44687</v>
      </c>
      <c r="I1382" s="1" t="s">
        <v>625</v>
      </c>
      <c r="J1382" s="4">
        <f>IFERROR(__xludf.DUMMYFUNCTION("DATE(INDEX(SPLIT(I1382,""/""),,3),INDEX(SPLIT(I1382,""/""),,2),INDEX(SPLIT(I1382,""/""),,1))"),44848.0)</f>
        <v>44848</v>
      </c>
      <c r="L1382" s="1">
        <v>0.0</v>
      </c>
      <c r="M1382" s="1" t="s">
        <v>4699</v>
      </c>
      <c r="N1382" s="1"/>
      <c r="O1382" s="1" t="s">
        <v>30</v>
      </c>
      <c r="P1382" s="1" t="s">
        <v>31</v>
      </c>
      <c r="Q1382" s="1" t="s">
        <v>32</v>
      </c>
      <c r="R1382" s="1" t="s">
        <v>32</v>
      </c>
      <c r="S1382" s="1" t="s">
        <v>33</v>
      </c>
      <c r="T1382" s="1" t="s">
        <v>1386</v>
      </c>
      <c r="U1382" s="1">
        <v>1.00648847E8</v>
      </c>
      <c r="X1382" s="1" t="s">
        <v>490</v>
      </c>
      <c r="Y1382" s="1" t="s">
        <v>4699</v>
      </c>
      <c r="Z1382" s="1" t="s">
        <v>527</v>
      </c>
    </row>
    <row r="1383">
      <c r="A1383" s="1" t="s">
        <v>4700</v>
      </c>
      <c r="B1383" s="1" t="s">
        <v>932</v>
      </c>
      <c r="C1383" s="1" t="s">
        <v>4701</v>
      </c>
      <c r="D1383" s="1" t="s">
        <v>27</v>
      </c>
      <c r="E1383" s="1" t="s">
        <v>28</v>
      </c>
      <c r="F1383" s="2">
        <v>800000.0</v>
      </c>
      <c r="G1383" s="1" t="s">
        <v>185</v>
      </c>
      <c r="H1383" s="4">
        <f>IFERROR(__xludf.DUMMYFUNCTION("DATE(INDEX(SPLIT(G1383,""/""),,3),INDEX(SPLIT(G1383,""/""),,2),INDEX(SPLIT(G1383,""/""),,1))"),44741.0)</f>
        <v>44741</v>
      </c>
      <c r="I1383" s="1" t="s">
        <v>226</v>
      </c>
      <c r="J1383" s="4">
        <f>IFERROR(__xludf.DUMMYFUNCTION("DATE(INDEX(SPLIT(I1383,""/""),,3),INDEX(SPLIT(I1383,""/""),,2),INDEX(SPLIT(I1383,""/""),,1))"),44771.0)</f>
        <v>44771</v>
      </c>
      <c r="L1383" s="1">
        <v>0.0</v>
      </c>
      <c r="M1383" s="1" t="s">
        <v>1941</v>
      </c>
      <c r="N1383" s="1"/>
      <c r="O1383" s="1" t="s">
        <v>30</v>
      </c>
      <c r="P1383" s="1" t="s">
        <v>31</v>
      </c>
      <c r="Q1383" s="1" t="s">
        <v>71</v>
      </c>
      <c r="R1383" s="1" t="s">
        <v>71</v>
      </c>
      <c r="S1383" s="1" t="s">
        <v>72</v>
      </c>
      <c r="T1383" s="1" t="s">
        <v>73</v>
      </c>
      <c r="U1383" s="1">
        <v>1.00649673E8</v>
      </c>
      <c r="X1383" s="1" t="s">
        <v>74</v>
      </c>
      <c r="Y1383" s="1" t="s">
        <v>4702</v>
      </c>
      <c r="Z1383" s="1" t="s">
        <v>37</v>
      </c>
    </row>
    <row r="1384" hidden="1">
      <c r="A1384" s="1" t="s">
        <v>4703</v>
      </c>
      <c r="B1384" s="1" t="s">
        <v>4572</v>
      </c>
      <c r="C1384" s="1" t="s">
        <v>4704</v>
      </c>
      <c r="D1384" s="1" t="s">
        <v>27</v>
      </c>
      <c r="E1384" s="1" t="s">
        <v>28</v>
      </c>
      <c r="F1384" s="2">
        <v>800000.0</v>
      </c>
      <c r="G1384" s="1" t="s">
        <v>518</v>
      </c>
      <c r="H1384" s="4">
        <f>IFERROR(__xludf.DUMMYFUNCTION("DATE(INDEX(SPLIT(G1384,""/""),,3),INDEX(SPLIT(G1384,""/""),,2),INDEX(SPLIT(G1384,""/""),,1))"),44757.0)</f>
        <v>44757</v>
      </c>
      <c r="I1384" s="1" t="s">
        <v>476</v>
      </c>
      <c r="J1384" s="4">
        <f>IFERROR(__xludf.DUMMYFUNCTION("DATE(INDEX(SPLIT(I1384,""/""),,3),INDEX(SPLIT(I1384,""/""),,2),INDEX(SPLIT(I1384,""/""),,1))"),44833.0)</f>
        <v>44833</v>
      </c>
      <c r="L1384" s="1">
        <v>0.0</v>
      </c>
      <c r="M1384" s="1" t="s">
        <v>4705</v>
      </c>
      <c r="N1384" s="1"/>
      <c r="O1384" s="1" t="s">
        <v>30</v>
      </c>
      <c r="P1384" s="1" t="s">
        <v>31</v>
      </c>
      <c r="Q1384" s="1" t="s">
        <v>95</v>
      </c>
      <c r="R1384" s="1" t="s">
        <v>95</v>
      </c>
      <c r="S1384" s="1" t="s">
        <v>96</v>
      </c>
      <c r="U1384" s="1">
        <v>1.00615309E8</v>
      </c>
      <c r="X1384" s="1" t="s">
        <v>375</v>
      </c>
      <c r="Y1384" s="1" t="s">
        <v>3861</v>
      </c>
      <c r="Z1384" s="1" t="s">
        <v>527</v>
      </c>
    </row>
    <row r="1385" hidden="1">
      <c r="A1385" s="1" t="s">
        <v>4706</v>
      </c>
      <c r="B1385" s="1" t="s">
        <v>1291</v>
      </c>
      <c r="C1385" s="1" t="s">
        <v>4707</v>
      </c>
      <c r="D1385" s="1" t="s">
        <v>78</v>
      </c>
      <c r="E1385" s="1" t="s">
        <v>28</v>
      </c>
      <c r="F1385" s="2">
        <v>800000.0</v>
      </c>
      <c r="G1385" s="1" t="s">
        <v>836</v>
      </c>
      <c r="H1385" s="4">
        <f>IFERROR(__xludf.DUMMYFUNCTION("DATE(INDEX(SPLIT(G1385,""/""),,3),INDEX(SPLIT(G1385,""/""),,2),INDEX(SPLIT(G1385,""/""),,1))"),44610.0)</f>
        <v>44610</v>
      </c>
      <c r="I1385" s="1" t="s">
        <v>281</v>
      </c>
      <c r="J1385" s="4">
        <f>IFERROR(__xludf.DUMMYFUNCTION("DATE(INDEX(SPLIT(I1385,""/""),,3),INDEX(SPLIT(I1385,""/""),,2),INDEX(SPLIT(I1385,""/""),,1))"),44865.0)</f>
        <v>44865</v>
      </c>
      <c r="L1385" s="1">
        <v>0.0</v>
      </c>
      <c r="M1385" s="1" t="s">
        <v>494</v>
      </c>
      <c r="N1385" s="1"/>
      <c r="O1385" s="1" t="s">
        <v>30</v>
      </c>
      <c r="P1385" s="1" t="s">
        <v>31</v>
      </c>
      <c r="Q1385" s="1" t="s">
        <v>95</v>
      </c>
      <c r="R1385" s="1" t="s">
        <v>95</v>
      </c>
      <c r="S1385" s="1" t="s">
        <v>96</v>
      </c>
      <c r="T1385" s="1" t="s">
        <v>103</v>
      </c>
      <c r="U1385" s="1">
        <v>1.0062347E8</v>
      </c>
      <c r="X1385" s="1" t="s">
        <v>312</v>
      </c>
      <c r="Y1385" s="1" t="s">
        <v>1293</v>
      </c>
      <c r="Z1385" s="1" t="s">
        <v>37</v>
      </c>
    </row>
    <row r="1386">
      <c r="A1386" s="1" t="s">
        <v>4708</v>
      </c>
      <c r="B1386" s="1" t="s">
        <v>938</v>
      </c>
      <c r="C1386" s="1" t="s">
        <v>4709</v>
      </c>
      <c r="D1386" s="1" t="s">
        <v>27</v>
      </c>
      <c r="E1386" s="1" t="s">
        <v>28</v>
      </c>
      <c r="F1386" s="2">
        <v>800000.0</v>
      </c>
      <c r="G1386" s="4">
        <v>44471.0</v>
      </c>
      <c r="H1386" s="4">
        <f>IFERROR(__xludf.DUMMYFUNCTION("DATE(INDEX(SPLIT(G1386,""/""),,3),INDEX(SPLIT(G1386,""/""),,2),INDEX(SPLIT(G1386,""/""),,1))"),44237.0)</f>
        <v>44237</v>
      </c>
      <c r="I1386" s="1" t="s">
        <v>1438</v>
      </c>
      <c r="J1386" s="4">
        <f>IFERROR(__xludf.DUMMYFUNCTION("DATE(INDEX(SPLIT(I1386,""/""),,3),INDEX(SPLIT(I1386,""/""),,2),INDEX(SPLIT(I1386,""/""),,1))"),44708.0)</f>
        <v>44708</v>
      </c>
      <c r="L1386" s="1">
        <v>0.0</v>
      </c>
      <c r="M1386" s="1" t="s">
        <v>2638</v>
      </c>
      <c r="N1386" s="1"/>
      <c r="O1386" s="1" t="s">
        <v>30</v>
      </c>
      <c r="P1386" s="1" t="s">
        <v>31</v>
      </c>
      <c r="Q1386" s="1" t="s">
        <v>95</v>
      </c>
      <c r="R1386" s="1" t="s">
        <v>95</v>
      </c>
      <c r="S1386" s="1" t="s">
        <v>96</v>
      </c>
      <c r="T1386" s="1" t="s">
        <v>602</v>
      </c>
      <c r="U1386" s="1">
        <v>1.00649654E8</v>
      </c>
      <c r="X1386" s="1" t="s">
        <v>88</v>
      </c>
      <c r="Y1386" s="1" t="s">
        <v>4710</v>
      </c>
      <c r="Z1386" s="1" t="s">
        <v>206</v>
      </c>
    </row>
    <row r="1387" hidden="1">
      <c r="A1387" s="1" t="s">
        <v>4711</v>
      </c>
      <c r="B1387" s="1" t="s">
        <v>1748</v>
      </c>
      <c r="C1387" s="1" t="s">
        <v>4712</v>
      </c>
      <c r="D1387" s="1" t="s">
        <v>122</v>
      </c>
      <c r="E1387" s="1" t="s">
        <v>28</v>
      </c>
      <c r="F1387" s="2">
        <v>800000.0</v>
      </c>
      <c r="G1387" s="4">
        <v>44902.0</v>
      </c>
      <c r="H1387" s="4">
        <f>IFERROR(__xludf.DUMMYFUNCTION("DATE(INDEX(SPLIT(G1387,""/""),,3),INDEX(SPLIT(G1387,""/""),,2),INDEX(SPLIT(G1387,""/""),,1))"),44754.0)</f>
        <v>44754</v>
      </c>
      <c r="I1387" s="4">
        <v>44689.0</v>
      </c>
      <c r="J1387" s="4">
        <f>IFERROR(__xludf.DUMMYFUNCTION("DATE(INDEX(SPLIT(I1387,""/""),,3),INDEX(SPLIT(I1387,""/""),,2),INDEX(SPLIT(I1387,""/""),,1))"),44778.0)</f>
        <v>44778</v>
      </c>
      <c r="L1387" s="1">
        <v>0.0</v>
      </c>
      <c r="M1387" s="1" t="s">
        <v>437</v>
      </c>
      <c r="N1387" s="1"/>
      <c r="O1387" s="1" t="s">
        <v>30</v>
      </c>
      <c r="P1387" s="1" t="s">
        <v>31</v>
      </c>
      <c r="Q1387" s="1" t="s">
        <v>235</v>
      </c>
      <c r="R1387" s="1" t="s">
        <v>235</v>
      </c>
      <c r="S1387" s="1" t="s">
        <v>236</v>
      </c>
      <c r="U1387" s="1">
        <v>1.00650375E8</v>
      </c>
      <c r="X1387" s="1" t="s">
        <v>88</v>
      </c>
      <c r="Y1387" s="1" t="s">
        <v>4713</v>
      </c>
      <c r="Z1387" s="1" t="s">
        <v>37</v>
      </c>
    </row>
    <row r="1388">
      <c r="A1388" s="1" t="s">
        <v>4714</v>
      </c>
      <c r="B1388" s="1" t="s">
        <v>4715</v>
      </c>
      <c r="C1388" s="1" t="s">
        <v>4716</v>
      </c>
      <c r="D1388" s="1" t="s">
        <v>78</v>
      </c>
      <c r="E1388" s="1" t="s">
        <v>28</v>
      </c>
      <c r="F1388" s="2">
        <v>800000.0</v>
      </c>
      <c r="G1388" s="1" t="s">
        <v>154</v>
      </c>
      <c r="H1388" s="4">
        <f>IFERROR(__xludf.DUMMYFUNCTION("DATE(INDEX(SPLIT(G1388,""/""),,3),INDEX(SPLIT(G1388,""/""),,2),INDEX(SPLIT(G1388,""/""),,1))"),44670.0)</f>
        <v>44670</v>
      </c>
      <c r="I1388" s="1" t="s">
        <v>226</v>
      </c>
      <c r="J1388" s="4">
        <f>IFERROR(__xludf.DUMMYFUNCTION("DATE(INDEX(SPLIT(I1388,""/""),,3),INDEX(SPLIT(I1388,""/""),,2),INDEX(SPLIT(I1388,""/""),,1))"),44771.0)</f>
        <v>44771</v>
      </c>
      <c r="L1388" s="1">
        <v>0.0</v>
      </c>
      <c r="M1388" s="1" t="s">
        <v>3219</v>
      </c>
      <c r="N1388" s="1"/>
      <c r="O1388" s="1" t="s">
        <v>30</v>
      </c>
      <c r="P1388" s="1" t="s">
        <v>31</v>
      </c>
      <c r="Q1388" s="1" t="s">
        <v>71</v>
      </c>
      <c r="R1388" s="1" t="s">
        <v>71</v>
      </c>
      <c r="S1388" s="1" t="s">
        <v>72</v>
      </c>
      <c r="T1388" s="1" t="s">
        <v>136</v>
      </c>
      <c r="U1388" s="1">
        <v>1.01169845E8</v>
      </c>
      <c r="X1388" s="1" t="s">
        <v>74</v>
      </c>
      <c r="Y1388" s="1" t="s">
        <v>4717</v>
      </c>
      <c r="Z1388" s="1" t="s">
        <v>206</v>
      </c>
    </row>
    <row r="1389" hidden="1">
      <c r="A1389" s="1" t="s">
        <v>4718</v>
      </c>
      <c r="B1389" s="1" t="s">
        <v>177</v>
      </c>
      <c r="C1389" s="1" t="s">
        <v>4719</v>
      </c>
      <c r="D1389" s="1" t="s">
        <v>27</v>
      </c>
      <c r="E1389" s="1" t="s">
        <v>28</v>
      </c>
      <c r="F1389" s="2">
        <v>800000.0</v>
      </c>
      <c r="G1389" s="1" t="s">
        <v>862</v>
      </c>
      <c r="H1389" s="4">
        <f>IFERROR(__xludf.DUMMYFUNCTION("DATE(INDEX(SPLIT(G1389,""/""),,3),INDEX(SPLIT(G1389,""/""),,2),INDEX(SPLIT(G1389,""/""),,1))"),44699.0)</f>
        <v>44699</v>
      </c>
      <c r="I1389" s="1" t="s">
        <v>130</v>
      </c>
      <c r="J1389" s="4">
        <f>IFERROR(__xludf.DUMMYFUNCTION("DATE(INDEX(SPLIT(I1389,""/""),,3),INDEX(SPLIT(I1389,""/""),,2),INDEX(SPLIT(I1389,""/""),,1))"),44804.0)</f>
        <v>44804</v>
      </c>
      <c r="L1389" s="1">
        <v>0.0</v>
      </c>
      <c r="M1389" s="1" t="s">
        <v>1409</v>
      </c>
      <c r="N1389" s="1"/>
      <c r="O1389" s="1" t="s">
        <v>30</v>
      </c>
      <c r="P1389" s="1" t="s">
        <v>31</v>
      </c>
      <c r="Q1389" s="1" t="s">
        <v>71</v>
      </c>
      <c r="R1389" s="1" t="s">
        <v>71</v>
      </c>
      <c r="S1389" s="1" t="s">
        <v>72</v>
      </c>
      <c r="T1389" s="1" t="s">
        <v>73</v>
      </c>
      <c r="U1389" s="1">
        <v>1.00613761E8</v>
      </c>
      <c r="X1389" s="1" t="s">
        <v>74</v>
      </c>
      <c r="Y1389" s="1" t="s">
        <v>4720</v>
      </c>
      <c r="Z1389" s="1" t="s">
        <v>37</v>
      </c>
    </row>
    <row r="1390">
      <c r="A1390" s="1" t="s">
        <v>4721</v>
      </c>
      <c r="B1390" s="1" t="s">
        <v>1021</v>
      </c>
      <c r="C1390" s="1" t="s">
        <v>4722</v>
      </c>
      <c r="D1390" s="1" t="s">
        <v>68</v>
      </c>
      <c r="E1390" s="1" t="s">
        <v>28</v>
      </c>
      <c r="F1390" s="2">
        <v>800000.0</v>
      </c>
      <c r="G1390" s="4">
        <v>44872.0</v>
      </c>
      <c r="H1390" s="4">
        <f>IFERROR(__xludf.DUMMYFUNCTION("DATE(INDEX(SPLIT(G1390,""/""),,3),INDEX(SPLIT(G1390,""/""),,2),INDEX(SPLIT(G1390,""/""),,1))"),44753.0)</f>
        <v>44753</v>
      </c>
      <c r="I1390" s="1" t="s">
        <v>518</v>
      </c>
      <c r="J1390" s="4">
        <f>IFERROR(__xludf.DUMMYFUNCTION("DATE(INDEX(SPLIT(I1390,""/""),,3),INDEX(SPLIT(I1390,""/""),,2),INDEX(SPLIT(I1390,""/""),,1))"),44757.0)</f>
        <v>44757</v>
      </c>
      <c r="L1390" s="1">
        <v>0.0</v>
      </c>
      <c r="M1390" s="1" t="s">
        <v>1343</v>
      </c>
      <c r="N1390" s="1"/>
      <c r="O1390" s="1" t="s">
        <v>30</v>
      </c>
      <c r="P1390" s="1" t="s">
        <v>31</v>
      </c>
      <c r="Q1390" s="1" t="s">
        <v>188</v>
      </c>
      <c r="R1390" s="1" t="s">
        <v>188</v>
      </c>
      <c r="S1390" s="1" t="s">
        <v>189</v>
      </c>
      <c r="T1390" s="1" t="s">
        <v>287</v>
      </c>
      <c r="U1390" s="1">
        <v>1.01059157E8</v>
      </c>
      <c r="V1390" s="1" t="s">
        <v>1414</v>
      </c>
      <c r="W1390" s="1" t="s">
        <v>45</v>
      </c>
      <c r="X1390" s="1" t="s">
        <v>46</v>
      </c>
      <c r="Y1390" s="1" t="s">
        <v>1343</v>
      </c>
      <c r="Z1390" s="1" t="s">
        <v>37</v>
      </c>
    </row>
    <row r="1391" hidden="1">
      <c r="A1391" s="1" t="s">
        <v>4723</v>
      </c>
      <c r="B1391" s="1" t="s">
        <v>1371</v>
      </c>
      <c r="C1391" s="1" t="s">
        <v>4724</v>
      </c>
      <c r="D1391" s="1" t="s">
        <v>27</v>
      </c>
      <c r="E1391" s="1" t="s">
        <v>28</v>
      </c>
      <c r="F1391" s="2">
        <v>800000.0</v>
      </c>
      <c r="G1391" s="4">
        <v>44902.0</v>
      </c>
      <c r="H1391" s="4">
        <f>IFERROR(__xludf.DUMMYFUNCTION("DATE(INDEX(SPLIT(G1391,""/""),,3),INDEX(SPLIT(G1391,""/""),,2),INDEX(SPLIT(G1391,""/""),,1))"),44754.0)</f>
        <v>44754</v>
      </c>
      <c r="I1391" s="1" t="s">
        <v>430</v>
      </c>
      <c r="J1391" s="4">
        <f>IFERROR(__xludf.DUMMYFUNCTION("DATE(INDEX(SPLIT(I1391,""/""),,3),INDEX(SPLIT(I1391,""/""),,2),INDEX(SPLIT(I1391,""/""),,1))"),44985.0)</f>
        <v>44985</v>
      </c>
      <c r="L1391" s="1">
        <v>0.0</v>
      </c>
      <c r="M1391" s="1" t="s">
        <v>1904</v>
      </c>
      <c r="N1391" s="1"/>
      <c r="O1391" s="1" t="s">
        <v>30</v>
      </c>
      <c r="P1391" s="1" t="s">
        <v>31</v>
      </c>
      <c r="Q1391" s="1" t="s">
        <v>95</v>
      </c>
      <c r="R1391" s="1" t="s">
        <v>95</v>
      </c>
      <c r="S1391" s="1" t="s">
        <v>96</v>
      </c>
      <c r="T1391" s="1" t="s">
        <v>111</v>
      </c>
      <c r="U1391" s="1">
        <v>1.0059365E8</v>
      </c>
      <c r="X1391" s="1" t="s">
        <v>63</v>
      </c>
      <c r="Y1391" s="1" t="s">
        <v>1904</v>
      </c>
      <c r="Z1391" s="1" t="s">
        <v>37</v>
      </c>
    </row>
    <row r="1392" hidden="1">
      <c r="A1392" s="1" t="s">
        <v>4725</v>
      </c>
      <c r="B1392" s="1" t="s">
        <v>3655</v>
      </c>
      <c r="C1392" s="1" t="s">
        <v>4726</v>
      </c>
      <c r="D1392" s="1" t="s">
        <v>27</v>
      </c>
      <c r="E1392" s="1" t="s">
        <v>28</v>
      </c>
      <c r="F1392" s="2">
        <v>800000.0</v>
      </c>
      <c r="G1392" s="4">
        <v>44718.0</v>
      </c>
      <c r="H1392" s="4">
        <f>IFERROR(__xludf.DUMMYFUNCTION("DATE(INDEX(SPLIT(G1392,""/""),,3),INDEX(SPLIT(G1392,""/""),,2),INDEX(SPLIT(G1392,""/""),,1))"),44718.0)</f>
        <v>44718</v>
      </c>
      <c r="I1392" s="1" t="s">
        <v>109</v>
      </c>
      <c r="J1392" s="4">
        <f>IFERROR(__xludf.DUMMYFUNCTION("DATE(INDEX(SPLIT(I1392,""/""),,3),INDEX(SPLIT(I1392,""/""),,2),INDEX(SPLIT(I1392,""/""),,1))"),44834.0)</f>
        <v>44834</v>
      </c>
      <c r="L1392" s="1">
        <v>0.0</v>
      </c>
      <c r="M1392" s="1" t="s">
        <v>4574</v>
      </c>
      <c r="N1392" s="1"/>
      <c r="O1392" s="1" t="s">
        <v>30</v>
      </c>
      <c r="P1392" s="1" t="s">
        <v>31</v>
      </c>
      <c r="Q1392" s="1" t="s">
        <v>235</v>
      </c>
      <c r="R1392" s="1" t="s">
        <v>235</v>
      </c>
      <c r="S1392" s="1" t="s">
        <v>236</v>
      </c>
      <c r="T1392" s="1" t="s">
        <v>438</v>
      </c>
      <c r="U1392" s="1">
        <v>1.00625459E8</v>
      </c>
      <c r="X1392" s="1" t="s">
        <v>88</v>
      </c>
      <c r="Y1392" s="1" t="s">
        <v>4574</v>
      </c>
      <c r="Z1392" s="1" t="s">
        <v>37</v>
      </c>
    </row>
    <row r="1393">
      <c r="A1393" s="1" t="s">
        <v>4727</v>
      </c>
      <c r="B1393" s="1" t="s">
        <v>1152</v>
      </c>
      <c r="C1393" s="1" t="s">
        <v>4728</v>
      </c>
      <c r="D1393" s="1" t="s">
        <v>122</v>
      </c>
      <c r="E1393" s="1" t="s">
        <v>28</v>
      </c>
      <c r="F1393" s="2">
        <v>800000.0</v>
      </c>
      <c r="G1393" s="1" t="s">
        <v>2077</v>
      </c>
      <c r="H1393" s="4">
        <f>IFERROR(__xludf.DUMMYFUNCTION("DATE(INDEX(SPLIT(G1393,""/""),,3),INDEX(SPLIT(G1393,""/""),,2),INDEX(SPLIT(G1393,""/""),,1))"),44700.0)</f>
        <v>44700</v>
      </c>
      <c r="I1393" s="1" t="s">
        <v>414</v>
      </c>
      <c r="J1393" s="4">
        <f>IFERROR(__xludf.DUMMYFUNCTION("DATE(INDEX(SPLIT(I1393,""/""),,3),INDEX(SPLIT(I1393,""/""),,2),INDEX(SPLIT(I1393,""/""),,1))"),44772.0)</f>
        <v>44772</v>
      </c>
      <c r="L1393" s="1">
        <v>0.0</v>
      </c>
      <c r="M1393" s="1" t="s">
        <v>4000</v>
      </c>
      <c r="N1393" s="1"/>
      <c r="O1393" s="1" t="s">
        <v>30</v>
      </c>
      <c r="P1393" s="1" t="s">
        <v>31</v>
      </c>
      <c r="Q1393" s="1" t="s">
        <v>32</v>
      </c>
      <c r="R1393" s="1" t="s">
        <v>32</v>
      </c>
      <c r="S1393" s="1" t="s">
        <v>33</v>
      </c>
      <c r="T1393" s="1" t="s">
        <v>402</v>
      </c>
      <c r="U1393" s="1">
        <v>1.00588959E8</v>
      </c>
      <c r="X1393" s="1" t="s">
        <v>125</v>
      </c>
      <c r="Y1393" s="1" t="s">
        <v>2021</v>
      </c>
      <c r="Z1393" s="1" t="s">
        <v>37</v>
      </c>
    </row>
    <row r="1394" hidden="1">
      <c r="A1394" s="1" t="s">
        <v>4729</v>
      </c>
      <c r="B1394" s="1" t="s">
        <v>39</v>
      </c>
      <c r="C1394" s="1" t="s">
        <v>4730</v>
      </c>
      <c r="D1394" s="1" t="s">
        <v>27</v>
      </c>
      <c r="E1394" s="1" t="s">
        <v>28</v>
      </c>
      <c r="F1394" s="2">
        <v>797000.0</v>
      </c>
      <c r="G1394" s="1" t="s">
        <v>3883</v>
      </c>
      <c r="H1394" s="4">
        <f>IFERROR(__xludf.DUMMYFUNCTION("DATE(INDEX(SPLIT(G1394,""/""),,3),INDEX(SPLIT(G1394,""/""),,2),INDEX(SPLIT(G1394,""/""),,1))"),44666.0)</f>
        <v>44666</v>
      </c>
      <c r="I1394" s="1" t="s">
        <v>109</v>
      </c>
      <c r="J1394" s="4">
        <f>IFERROR(__xludf.DUMMYFUNCTION("DATE(INDEX(SPLIT(I1394,""/""),,3),INDEX(SPLIT(I1394,""/""),,2),INDEX(SPLIT(I1394,""/""),,1))"),44834.0)</f>
        <v>44834</v>
      </c>
      <c r="L1394" s="1">
        <v>0.0</v>
      </c>
      <c r="M1394" s="1" t="s">
        <v>334</v>
      </c>
      <c r="N1394" s="1"/>
      <c r="O1394" s="1" t="s">
        <v>30</v>
      </c>
      <c r="P1394" s="1" t="s">
        <v>31</v>
      </c>
      <c r="Q1394" s="1" t="s">
        <v>188</v>
      </c>
      <c r="R1394" s="1" t="s">
        <v>188</v>
      </c>
      <c r="S1394" s="1" t="s">
        <v>189</v>
      </c>
      <c r="U1394" s="1">
        <v>1.01077909E8</v>
      </c>
      <c r="V1394" s="1" t="s">
        <v>335</v>
      </c>
      <c r="W1394" s="1" t="s">
        <v>45</v>
      </c>
      <c r="X1394" s="1" t="s">
        <v>46</v>
      </c>
      <c r="Y1394" s="1" t="s">
        <v>4731</v>
      </c>
      <c r="Z1394" s="1" t="s">
        <v>37</v>
      </c>
    </row>
    <row r="1395" hidden="1">
      <c r="A1395" s="1" t="s">
        <v>4732</v>
      </c>
      <c r="B1395" s="1" t="s">
        <v>4733</v>
      </c>
      <c r="C1395" s="1" t="s">
        <v>4734</v>
      </c>
      <c r="D1395" s="1" t="s">
        <v>122</v>
      </c>
      <c r="E1395" s="1" t="s">
        <v>28</v>
      </c>
      <c r="F1395" s="2">
        <v>795000.0</v>
      </c>
      <c r="G1395" s="1" t="s">
        <v>935</v>
      </c>
      <c r="H1395" s="4">
        <f>IFERROR(__xludf.DUMMYFUNCTION("DATE(INDEX(SPLIT(G1395,""/""),,3),INDEX(SPLIT(G1395,""/""),,2),INDEX(SPLIT(G1395,""/""),,1))"),44764.0)</f>
        <v>44764</v>
      </c>
      <c r="I1395" s="1" t="s">
        <v>360</v>
      </c>
      <c r="J1395" s="4">
        <f>IFERROR(__xludf.DUMMYFUNCTION("DATE(INDEX(SPLIT(I1395,""/""),,3),INDEX(SPLIT(I1395,""/""),,2),INDEX(SPLIT(I1395,""/""),,1))"),44895.0)</f>
        <v>44895</v>
      </c>
      <c r="L1395" s="1">
        <v>0.0</v>
      </c>
      <c r="M1395" s="1" t="s">
        <v>4735</v>
      </c>
      <c r="N1395" s="1"/>
      <c r="O1395" s="1" t="s">
        <v>30</v>
      </c>
      <c r="P1395" s="1" t="s">
        <v>31</v>
      </c>
      <c r="Q1395" s="1" t="s">
        <v>71</v>
      </c>
      <c r="R1395" s="1" t="s">
        <v>71</v>
      </c>
      <c r="S1395" s="1" t="s">
        <v>72</v>
      </c>
      <c r="T1395" s="1" t="s">
        <v>136</v>
      </c>
      <c r="U1395" s="1">
        <v>1.00609615E8</v>
      </c>
      <c r="X1395" s="1" t="s">
        <v>74</v>
      </c>
      <c r="Y1395" s="1" t="s">
        <v>2593</v>
      </c>
      <c r="Z1395" s="1" t="s">
        <v>206</v>
      </c>
    </row>
    <row r="1396">
      <c r="A1396" s="1" t="s">
        <v>4736</v>
      </c>
      <c r="B1396" s="1" t="s">
        <v>2159</v>
      </c>
      <c r="C1396" s="1" t="s">
        <v>4737</v>
      </c>
      <c r="D1396" s="1" t="s">
        <v>122</v>
      </c>
      <c r="E1396" s="1" t="s">
        <v>28</v>
      </c>
      <c r="F1396" s="2">
        <v>789000.0</v>
      </c>
      <c r="G1396" s="1" t="s">
        <v>1364</v>
      </c>
      <c r="H1396" s="4">
        <f>IFERROR(__xludf.DUMMYFUNCTION("DATE(INDEX(SPLIT(G1396,""/""),,3),INDEX(SPLIT(G1396,""/""),,2),INDEX(SPLIT(G1396,""/""),,1))"),44676.0)</f>
        <v>44676</v>
      </c>
      <c r="I1396" s="1" t="s">
        <v>226</v>
      </c>
      <c r="J1396" s="4">
        <f>IFERROR(__xludf.DUMMYFUNCTION("DATE(INDEX(SPLIT(I1396,""/""),,3),INDEX(SPLIT(I1396,""/""),,2),INDEX(SPLIT(I1396,""/""),,1))"),44771.0)</f>
        <v>44771</v>
      </c>
      <c r="L1396" s="1">
        <v>0.0</v>
      </c>
      <c r="M1396" s="1" t="s">
        <v>4738</v>
      </c>
      <c r="N1396" s="1"/>
      <c r="O1396" s="1" t="s">
        <v>30</v>
      </c>
      <c r="P1396" s="1" t="s">
        <v>31</v>
      </c>
      <c r="Q1396" s="1" t="s">
        <v>228</v>
      </c>
      <c r="R1396" s="1" t="s">
        <v>228</v>
      </c>
      <c r="S1396" s="1" t="s">
        <v>229</v>
      </c>
      <c r="T1396" s="1" t="s">
        <v>513</v>
      </c>
      <c r="U1396" s="1">
        <v>1.00888587E8</v>
      </c>
      <c r="X1396" s="1" t="s">
        <v>74</v>
      </c>
      <c r="Y1396" s="1" t="s">
        <v>4739</v>
      </c>
      <c r="Z1396" s="1" t="s">
        <v>206</v>
      </c>
    </row>
    <row r="1397" hidden="1">
      <c r="A1397" s="1" t="s">
        <v>4740</v>
      </c>
      <c r="B1397" s="1" t="s">
        <v>948</v>
      </c>
      <c r="C1397" s="1" t="s">
        <v>4741</v>
      </c>
      <c r="D1397" s="1" t="s">
        <v>78</v>
      </c>
      <c r="E1397" s="1" t="s">
        <v>28</v>
      </c>
      <c r="F1397" s="2">
        <v>780000.0</v>
      </c>
      <c r="G1397" s="1" t="s">
        <v>271</v>
      </c>
      <c r="H1397" s="4">
        <f>IFERROR(__xludf.DUMMYFUNCTION("DATE(INDEX(SPLIT(G1397,""/""),,3),INDEX(SPLIT(G1397,""/""),,2),INDEX(SPLIT(G1397,""/""),,1))"),44680.0)</f>
        <v>44680</v>
      </c>
      <c r="I1397" s="1" t="s">
        <v>109</v>
      </c>
      <c r="J1397" s="4">
        <f>IFERROR(__xludf.DUMMYFUNCTION("DATE(INDEX(SPLIT(I1397,""/""),,3),INDEX(SPLIT(I1397,""/""),,2),INDEX(SPLIT(I1397,""/""),,1))"),44834.0)</f>
        <v>44834</v>
      </c>
      <c r="L1397" s="1">
        <v>0.0</v>
      </c>
      <c r="M1397" s="1" t="s">
        <v>4742</v>
      </c>
      <c r="N1397" s="1"/>
      <c r="O1397" s="1" t="s">
        <v>30</v>
      </c>
      <c r="P1397" s="1" t="s">
        <v>31</v>
      </c>
      <c r="Q1397" s="1" t="s">
        <v>228</v>
      </c>
      <c r="R1397" s="1" t="s">
        <v>228</v>
      </c>
      <c r="S1397" s="1" t="s">
        <v>229</v>
      </c>
      <c r="T1397" s="1" t="s">
        <v>513</v>
      </c>
      <c r="U1397" s="1">
        <v>1.01059844E8</v>
      </c>
      <c r="X1397" s="1" t="s">
        <v>74</v>
      </c>
      <c r="Y1397" s="1" t="s">
        <v>4742</v>
      </c>
      <c r="Z1397" s="1" t="s">
        <v>206</v>
      </c>
    </row>
    <row r="1398" hidden="1">
      <c r="A1398" s="1" t="s">
        <v>4743</v>
      </c>
      <c r="B1398" s="1" t="s">
        <v>1257</v>
      </c>
      <c r="C1398" s="1" t="s">
        <v>4744</v>
      </c>
      <c r="D1398" s="1" t="s">
        <v>122</v>
      </c>
      <c r="E1398" s="1" t="s">
        <v>28</v>
      </c>
      <c r="F1398" s="2">
        <v>775000.0</v>
      </c>
      <c r="G1398" s="4">
        <v>44872.0</v>
      </c>
      <c r="H1398" s="4">
        <f>IFERROR(__xludf.DUMMYFUNCTION("DATE(INDEX(SPLIT(G1398,""/""),,3),INDEX(SPLIT(G1398,""/""),,2),INDEX(SPLIT(G1398,""/""),,1))"),44753.0)</f>
        <v>44753</v>
      </c>
      <c r="I1398" s="1" t="s">
        <v>317</v>
      </c>
      <c r="J1398" s="4">
        <f>IFERROR(__xludf.DUMMYFUNCTION("DATE(INDEX(SPLIT(I1398,""/""),,3),INDEX(SPLIT(I1398,""/""),,2),INDEX(SPLIT(I1398,""/""),,1))"),44862.0)</f>
        <v>44862</v>
      </c>
      <c r="L1398" s="1">
        <v>0.0</v>
      </c>
      <c r="M1398" s="1" t="s">
        <v>1689</v>
      </c>
      <c r="N1398" s="1"/>
      <c r="O1398" s="1" t="s">
        <v>30</v>
      </c>
      <c r="P1398" s="1" t="s">
        <v>31</v>
      </c>
      <c r="Q1398" s="1" t="s">
        <v>53</v>
      </c>
      <c r="R1398" s="1" t="s">
        <v>53</v>
      </c>
      <c r="S1398" s="1" t="s">
        <v>54</v>
      </c>
      <c r="U1398" s="1">
        <v>1.00650657E8</v>
      </c>
      <c r="X1398" s="1" t="s">
        <v>81</v>
      </c>
      <c r="Y1398" s="1" t="s">
        <v>4745</v>
      </c>
      <c r="Z1398" s="1" t="s">
        <v>37</v>
      </c>
    </row>
    <row r="1399" hidden="1">
      <c r="A1399" s="1" t="s">
        <v>4746</v>
      </c>
      <c r="B1399" s="1" t="s">
        <v>4747</v>
      </c>
      <c r="C1399" s="1" t="s">
        <v>4748</v>
      </c>
      <c r="D1399" s="1" t="s">
        <v>122</v>
      </c>
      <c r="E1399" s="1" t="s">
        <v>28</v>
      </c>
      <c r="F1399" s="2">
        <v>765000.0</v>
      </c>
      <c r="G1399" s="1" t="s">
        <v>324</v>
      </c>
      <c r="H1399" s="4">
        <f>IFERROR(__xludf.DUMMYFUNCTION("DATE(INDEX(SPLIT(G1399,""/""),,3),INDEX(SPLIT(G1399,""/""),,2),INDEX(SPLIT(G1399,""/""),,1))"),44636.0)</f>
        <v>44636</v>
      </c>
      <c r="I1399" s="1" t="s">
        <v>85</v>
      </c>
      <c r="J1399" s="4">
        <f>IFERROR(__xludf.DUMMYFUNCTION("DATE(INDEX(SPLIT(I1399,""/""),,3),INDEX(SPLIT(I1399,""/""),,2),INDEX(SPLIT(I1399,""/""),,1))"),44799.0)</f>
        <v>44799</v>
      </c>
      <c r="L1399" s="1">
        <v>0.0</v>
      </c>
      <c r="M1399" s="1" t="s">
        <v>1230</v>
      </c>
      <c r="N1399" s="1"/>
      <c r="O1399" s="1" t="s">
        <v>30</v>
      </c>
      <c r="P1399" s="1" t="s">
        <v>31</v>
      </c>
      <c r="Q1399" s="1" t="s">
        <v>53</v>
      </c>
      <c r="R1399" s="1" t="s">
        <v>53</v>
      </c>
      <c r="S1399" s="1" t="s">
        <v>54</v>
      </c>
      <c r="U1399" s="1">
        <v>1.01127868E8</v>
      </c>
      <c r="X1399" s="1" t="s">
        <v>63</v>
      </c>
      <c r="Y1399" s="1" t="s">
        <v>4749</v>
      </c>
      <c r="Z1399" s="1" t="s">
        <v>37</v>
      </c>
    </row>
    <row r="1400">
      <c r="A1400" s="1" t="s">
        <v>4750</v>
      </c>
      <c r="B1400" s="1" t="s">
        <v>749</v>
      </c>
      <c r="C1400" s="1" t="s">
        <v>4751</v>
      </c>
      <c r="D1400" s="1" t="s">
        <v>78</v>
      </c>
      <c r="E1400" s="1" t="s">
        <v>28</v>
      </c>
      <c r="F1400" s="2">
        <v>765000.0</v>
      </c>
      <c r="G1400" s="4">
        <v>44626.0</v>
      </c>
      <c r="H1400" s="4">
        <f>IFERROR(__xludf.DUMMYFUNCTION("DATE(INDEX(SPLIT(G1400,""/""),,3),INDEX(SPLIT(G1400,""/""),,2),INDEX(SPLIT(G1400,""/""),,1))"),44715.0)</f>
        <v>44715</v>
      </c>
      <c r="I1400" s="1" t="s">
        <v>226</v>
      </c>
      <c r="J1400" s="4">
        <f>IFERROR(__xludf.DUMMYFUNCTION("DATE(INDEX(SPLIT(I1400,""/""),,3),INDEX(SPLIT(I1400,""/""),,2),INDEX(SPLIT(I1400,""/""),,1))"),44771.0)</f>
        <v>44771</v>
      </c>
      <c r="K1400" s="9">
        <v>44810.87291666667</v>
      </c>
      <c r="L1400" s="1">
        <v>0.0</v>
      </c>
      <c r="M1400" s="1" t="s">
        <v>752</v>
      </c>
      <c r="N1400" s="1"/>
      <c r="O1400" s="1" t="s">
        <v>30</v>
      </c>
      <c r="P1400" s="1" t="s">
        <v>31</v>
      </c>
      <c r="Q1400" s="1" t="s">
        <v>235</v>
      </c>
      <c r="R1400" s="1" t="s">
        <v>235</v>
      </c>
      <c r="S1400" s="1" t="s">
        <v>236</v>
      </c>
      <c r="T1400" s="1" t="s">
        <v>753</v>
      </c>
      <c r="U1400" s="1">
        <v>1.00899005E8</v>
      </c>
      <c r="X1400" s="1" t="s">
        <v>88</v>
      </c>
      <c r="Y1400" s="1" t="s">
        <v>754</v>
      </c>
      <c r="Z1400" s="1" t="s">
        <v>37</v>
      </c>
    </row>
    <row r="1401">
      <c r="A1401" s="1" t="s">
        <v>4752</v>
      </c>
      <c r="B1401" s="1" t="s">
        <v>83</v>
      </c>
      <c r="C1401" s="1" t="s">
        <v>4753</v>
      </c>
      <c r="D1401" s="1" t="s">
        <v>122</v>
      </c>
      <c r="E1401" s="1" t="s">
        <v>28</v>
      </c>
      <c r="F1401" s="2">
        <v>752000.0</v>
      </c>
      <c r="G1401" s="1" t="s">
        <v>321</v>
      </c>
      <c r="H1401" s="4">
        <f>IFERROR(__xludf.DUMMYFUNCTION("DATE(INDEX(SPLIT(G1401,""/""),,3),INDEX(SPLIT(G1401,""/""),,2),INDEX(SPLIT(G1401,""/""),,1))"),44586.0)</f>
        <v>44586</v>
      </c>
      <c r="I1401" s="1" t="s">
        <v>226</v>
      </c>
      <c r="J1401" s="4">
        <f>IFERROR(__xludf.DUMMYFUNCTION("DATE(INDEX(SPLIT(I1401,""/""),,3),INDEX(SPLIT(I1401,""/""),,2),INDEX(SPLIT(I1401,""/""),,1))"),44771.0)</f>
        <v>44771</v>
      </c>
      <c r="L1401" s="1">
        <v>0.0</v>
      </c>
      <c r="M1401" s="1" t="s">
        <v>2989</v>
      </c>
      <c r="N1401" s="1"/>
      <c r="O1401" s="1" t="s">
        <v>30</v>
      </c>
      <c r="P1401" s="1" t="s">
        <v>31</v>
      </c>
      <c r="Q1401" s="1" t="s">
        <v>235</v>
      </c>
      <c r="R1401" s="1" t="s">
        <v>235</v>
      </c>
      <c r="S1401" s="1" t="s">
        <v>236</v>
      </c>
      <c r="T1401" s="1" t="s">
        <v>438</v>
      </c>
      <c r="U1401" s="1">
        <v>1.00647463E8</v>
      </c>
      <c r="X1401" s="1" t="s">
        <v>88</v>
      </c>
      <c r="Y1401" s="1" t="s">
        <v>2989</v>
      </c>
      <c r="Z1401" s="1" t="s">
        <v>37</v>
      </c>
    </row>
    <row r="1402">
      <c r="A1402" s="1" t="s">
        <v>4754</v>
      </c>
      <c r="B1402" s="1" t="s">
        <v>876</v>
      </c>
      <c r="C1402" s="1" t="s">
        <v>4755</v>
      </c>
      <c r="D1402" s="1" t="s">
        <v>27</v>
      </c>
      <c r="E1402" s="1" t="s">
        <v>28</v>
      </c>
      <c r="F1402" s="2">
        <v>750000.0</v>
      </c>
      <c r="G1402" s="1" t="s">
        <v>1447</v>
      </c>
      <c r="H1402" s="4">
        <f>IFERROR(__xludf.DUMMYFUNCTION("DATE(INDEX(SPLIT(G1402,""/""),,3),INDEX(SPLIT(G1402,""/""),,2),INDEX(SPLIT(G1402,""/""),,1))"),44424.0)</f>
        <v>44424</v>
      </c>
      <c r="I1402" s="1" t="s">
        <v>226</v>
      </c>
      <c r="J1402" s="4">
        <f>IFERROR(__xludf.DUMMYFUNCTION("DATE(INDEX(SPLIT(I1402,""/""),,3),INDEX(SPLIT(I1402,""/""),,2),INDEX(SPLIT(I1402,""/""),,1))"),44771.0)</f>
        <v>44771</v>
      </c>
      <c r="L1402" s="1">
        <v>0.0</v>
      </c>
      <c r="M1402" s="1" t="s">
        <v>4756</v>
      </c>
      <c r="N1402" s="1"/>
      <c r="O1402" s="1" t="s">
        <v>30</v>
      </c>
      <c r="P1402" s="1" t="s">
        <v>31</v>
      </c>
      <c r="Q1402" s="1" t="s">
        <v>188</v>
      </c>
      <c r="R1402" s="1" t="s">
        <v>188</v>
      </c>
      <c r="S1402" s="1" t="s">
        <v>189</v>
      </c>
      <c r="T1402" s="1" t="s">
        <v>287</v>
      </c>
      <c r="U1402" s="1">
        <v>1.00600975E8</v>
      </c>
      <c r="X1402" s="1" t="s">
        <v>35</v>
      </c>
      <c r="Y1402" s="1" t="s">
        <v>4756</v>
      </c>
      <c r="Z1402" s="1" t="s">
        <v>37</v>
      </c>
    </row>
    <row r="1403" hidden="1">
      <c r="A1403" s="1" t="s">
        <v>4757</v>
      </c>
      <c r="B1403" s="1" t="s">
        <v>3661</v>
      </c>
      <c r="C1403" s="1" t="s">
        <v>4758</v>
      </c>
      <c r="D1403" s="1" t="s">
        <v>27</v>
      </c>
      <c r="E1403" s="1" t="s">
        <v>28</v>
      </c>
      <c r="F1403" s="2">
        <v>750000.0</v>
      </c>
      <c r="G1403" s="4">
        <v>44840.0</v>
      </c>
      <c r="H1403" s="4">
        <f>IFERROR(__xludf.DUMMYFUNCTION("DATE(INDEX(SPLIT(G1403,""/""),,3),INDEX(SPLIT(G1403,""/""),,2),INDEX(SPLIT(G1403,""/""),,1))"),44722.0)</f>
        <v>44722</v>
      </c>
      <c r="I1403" s="4">
        <v>44813.0</v>
      </c>
      <c r="J1403" s="4">
        <f>IFERROR(__xludf.DUMMYFUNCTION("DATE(INDEX(SPLIT(I1403,""/""),,3),INDEX(SPLIT(I1403,""/""),,2),INDEX(SPLIT(I1403,""/""),,1))"),44813.0)</f>
        <v>44813</v>
      </c>
      <c r="L1403" s="1">
        <v>0.0</v>
      </c>
      <c r="M1403" s="1" t="s">
        <v>3663</v>
      </c>
      <c r="N1403" s="1"/>
      <c r="O1403" s="1" t="s">
        <v>30</v>
      </c>
      <c r="P1403" s="1" t="s">
        <v>31</v>
      </c>
      <c r="Q1403" s="1" t="s">
        <v>95</v>
      </c>
      <c r="R1403" s="1" t="s">
        <v>95</v>
      </c>
      <c r="S1403" s="1" t="s">
        <v>96</v>
      </c>
      <c r="T1403" s="1" t="s">
        <v>489</v>
      </c>
      <c r="U1403" s="1">
        <v>1.00620159E8</v>
      </c>
      <c r="X1403" s="1" t="s">
        <v>74</v>
      </c>
      <c r="Y1403" s="1" t="s">
        <v>3664</v>
      </c>
      <c r="Z1403" s="1" t="s">
        <v>37</v>
      </c>
    </row>
    <row r="1404" hidden="1">
      <c r="A1404" s="1" t="s">
        <v>4759</v>
      </c>
      <c r="B1404" s="1" t="s">
        <v>132</v>
      </c>
      <c r="C1404" s="1" t="s">
        <v>4760</v>
      </c>
      <c r="D1404" s="1" t="s">
        <v>27</v>
      </c>
      <c r="E1404" s="1" t="s">
        <v>28</v>
      </c>
      <c r="F1404" s="2">
        <v>750000.0</v>
      </c>
      <c r="G1404" s="4">
        <v>44448.0</v>
      </c>
      <c r="H1404" s="4">
        <f>IFERROR(__xludf.DUMMYFUNCTION("DATE(INDEX(SPLIT(G1404,""/""),,3),INDEX(SPLIT(G1404,""/""),,2),INDEX(SPLIT(G1404,""/""),,1))"),44448.0)</f>
        <v>44448</v>
      </c>
      <c r="I1404" s="1" t="s">
        <v>203</v>
      </c>
      <c r="J1404" s="4">
        <f>IFERROR(__xludf.DUMMYFUNCTION("DATE(INDEX(SPLIT(I1404,""/""),,3),INDEX(SPLIT(I1404,""/""),,2),INDEX(SPLIT(I1404,""/""),,1))"),44925.0)</f>
        <v>44925</v>
      </c>
      <c r="L1404" s="1">
        <v>0.0</v>
      </c>
      <c r="M1404" s="1" t="s">
        <v>1088</v>
      </c>
      <c r="N1404" s="1"/>
      <c r="O1404" s="1" t="s">
        <v>30</v>
      </c>
      <c r="P1404" s="1" t="s">
        <v>31</v>
      </c>
      <c r="Q1404" s="1" t="s">
        <v>71</v>
      </c>
      <c r="R1404" s="1" t="s">
        <v>71</v>
      </c>
      <c r="S1404" s="1" t="s">
        <v>72</v>
      </c>
      <c r="T1404" s="1" t="s">
        <v>159</v>
      </c>
      <c r="U1404" s="1">
        <v>1.0090037E8</v>
      </c>
      <c r="X1404" s="1" t="s">
        <v>74</v>
      </c>
      <c r="Y1404" s="1" t="s">
        <v>4761</v>
      </c>
      <c r="Z1404" s="1" t="s">
        <v>37</v>
      </c>
    </row>
    <row r="1405">
      <c r="A1405" s="1" t="s">
        <v>4762</v>
      </c>
      <c r="B1405" s="1" t="s">
        <v>66</v>
      </c>
      <c r="C1405" s="1" t="s">
        <v>4763</v>
      </c>
      <c r="D1405" s="1" t="s">
        <v>78</v>
      </c>
      <c r="E1405" s="1" t="s">
        <v>28</v>
      </c>
      <c r="F1405" s="2">
        <v>750000.0</v>
      </c>
      <c r="G1405" s="4">
        <v>44450.0</v>
      </c>
      <c r="H1405" s="4">
        <f>IFERROR(__xludf.DUMMYFUNCTION("DATE(INDEX(SPLIT(G1405,""/""),,3),INDEX(SPLIT(G1405,""/""),,2),INDEX(SPLIT(G1405,""/""),,1))"),44509.0)</f>
        <v>44509</v>
      </c>
      <c r="I1405" s="1" t="s">
        <v>1244</v>
      </c>
      <c r="J1405" s="4">
        <f>IFERROR(__xludf.DUMMYFUNCTION("DATE(INDEX(SPLIT(I1405,""/""),,3),INDEX(SPLIT(I1405,""/""),,2),INDEX(SPLIT(I1405,""/""),,1))"),44742.0)</f>
        <v>44742</v>
      </c>
      <c r="L1405" s="1">
        <v>0.0</v>
      </c>
      <c r="M1405" s="1" t="s">
        <v>2752</v>
      </c>
      <c r="N1405" s="1"/>
      <c r="O1405" s="1" t="s">
        <v>30</v>
      </c>
      <c r="P1405" s="1" t="s">
        <v>31</v>
      </c>
      <c r="Q1405" s="1" t="s">
        <v>235</v>
      </c>
      <c r="R1405" s="1" t="s">
        <v>235</v>
      </c>
      <c r="S1405" s="1" t="s">
        <v>236</v>
      </c>
      <c r="T1405" s="1" t="s">
        <v>1349</v>
      </c>
      <c r="U1405" s="1">
        <v>1.0062606E8</v>
      </c>
      <c r="X1405" s="1" t="s">
        <v>74</v>
      </c>
      <c r="Y1405" s="1" t="s">
        <v>2752</v>
      </c>
      <c r="Z1405" s="1" t="s">
        <v>37</v>
      </c>
    </row>
    <row r="1406" hidden="1">
      <c r="A1406" s="1" t="s">
        <v>4764</v>
      </c>
      <c r="B1406" s="1" t="s">
        <v>532</v>
      </c>
      <c r="C1406" s="1" t="s">
        <v>4765</v>
      </c>
      <c r="D1406" s="1" t="s">
        <v>27</v>
      </c>
      <c r="E1406" s="1" t="s">
        <v>28</v>
      </c>
      <c r="F1406" s="2">
        <v>750000.0</v>
      </c>
      <c r="G1406" s="1" t="s">
        <v>2116</v>
      </c>
      <c r="H1406" s="4">
        <f>IFERROR(__xludf.DUMMYFUNCTION("DATE(INDEX(SPLIT(G1406,""/""),,3),INDEX(SPLIT(G1406,""/""),,2),INDEX(SPLIT(G1406,""/""),,1))"),44620.0)</f>
        <v>44620</v>
      </c>
      <c r="I1406" s="1" t="s">
        <v>487</v>
      </c>
      <c r="J1406" s="4">
        <f>IFERROR(__xludf.DUMMYFUNCTION("DATE(INDEX(SPLIT(I1406,""/""),,3),INDEX(SPLIT(I1406,""/""),,2),INDEX(SPLIT(I1406,""/""),,1))"),44855.0)</f>
        <v>44855</v>
      </c>
      <c r="L1406" s="1">
        <v>0.0</v>
      </c>
      <c r="M1406" s="1" t="s">
        <v>614</v>
      </c>
      <c r="N1406" s="1"/>
      <c r="O1406" s="1" t="s">
        <v>30</v>
      </c>
      <c r="P1406" s="1" t="s">
        <v>31</v>
      </c>
      <c r="Q1406" s="1" t="s">
        <v>71</v>
      </c>
      <c r="R1406" s="1" t="s">
        <v>71</v>
      </c>
      <c r="S1406" s="1" t="s">
        <v>72</v>
      </c>
      <c r="T1406" s="1" t="s">
        <v>615</v>
      </c>
      <c r="U1406" s="1">
        <v>1.00869732E8</v>
      </c>
      <c r="X1406" s="1" t="s">
        <v>490</v>
      </c>
      <c r="Y1406" s="1" t="s">
        <v>4766</v>
      </c>
      <c r="Z1406" s="1" t="s">
        <v>37</v>
      </c>
    </row>
    <row r="1407" hidden="1">
      <c r="A1407" s="1" t="s">
        <v>4767</v>
      </c>
      <c r="B1407" s="1" t="s">
        <v>3655</v>
      </c>
      <c r="C1407" s="1" t="s">
        <v>4768</v>
      </c>
      <c r="D1407" s="1" t="s">
        <v>122</v>
      </c>
      <c r="E1407" s="1" t="s">
        <v>28</v>
      </c>
      <c r="F1407" s="2">
        <v>750000.0</v>
      </c>
      <c r="G1407" s="1" t="s">
        <v>321</v>
      </c>
      <c r="H1407" s="4">
        <f>IFERROR(__xludf.DUMMYFUNCTION("DATE(INDEX(SPLIT(G1407,""/""),,3),INDEX(SPLIT(G1407,""/""),,2),INDEX(SPLIT(G1407,""/""),,1))"),44586.0)</f>
        <v>44586</v>
      </c>
      <c r="I1407" s="4">
        <v>44781.0</v>
      </c>
      <c r="J1407" s="4">
        <f>IFERROR(__xludf.DUMMYFUNCTION("DATE(INDEX(SPLIT(I1407,""/""),,3),INDEX(SPLIT(I1407,""/""),,2),INDEX(SPLIT(I1407,""/""),,1))"),44781.0)</f>
        <v>44781</v>
      </c>
      <c r="L1407" s="1">
        <v>0.0</v>
      </c>
      <c r="M1407" s="1" t="s">
        <v>4769</v>
      </c>
      <c r="N1407" s="1"/>
      <c r="O1407" s="1" t="s">
        <v>30</v>
      </c>
      <c r="P1407" s="1" t="s">
        <v>31</v>
      </c>
      <c r="Q1407" s="1" t="s">
        <v>235</v>
      </c>
      <c r="R1407" s="1" t="s">
        <v>235</v>
      </c>
      <c r="S1407" s="1" t="s">
        <v>236</v>
      </c>
      <c r="T1407" s="1" t="s">
        <v>438</v>
      </c>
      <c r="U1407" s="1">
        <v>1.0059557E8</v>
      </c>
      <c r="X1407" s="1" t="s">
        <v>88</v>
      </c>
      <c r="Y1407" s="1" t="s">
        <v>4769</v>
      </c>
      <c r="Z1407" s="1" t="s">
        <v>527</v>
      </c>
    </row>
    <row r="1408" hidden="1">
      <c r="A1408" s="1" t="s">
        <v>4770</v>
      </c>
      <c r="B1408" s="1" t="s">
        <v>484</v>
      </c>
      <c r="C1408" s="1" t="s">
        <v>4771</v>
      </c>
      <c r="D1408" s="1" t="s">
        <v>27</v>
      </c>
      <c r="E1408" s="1" t="s">
        <v>28</v>
      </c>
      <c r="F1408" s="2">
        <v>750000.0</v>
      </c>
      <c r="G1408" s="4">
        <v>44716.0</v>
      </c>
      <c r="H1408" s="4">
        <f>IFERROR(__xludf.DUMMYFUNCTION("DATE(INDEX(SPLIT(G1408,""/""),,3),INDEX(SPLIT(G1408,""/""),,2),INDEX(SPLIT(G1408,""/""),,1))"),44657.0)</f>
        <v>44657</v>
      </c>
      <c r="I1408" s="1" t="s">
        <v>109</v>
      </c>
      <c r="J1408" s="4">
        <f>IFERROR(__xludf.DUMMYFUNCTION("DATE(INDEX(SPLIT(I1408,""/""),,3),INDEX(SPLIT(I1408,""/""),,2),INDEX(SPLIT(I1408,""/""),,1))"),44834.0)</f>
        <v>44834</v>
      </c>
      <c r="L1408" s="1">
        <v>0.0</v>
      </c>
      <c r="M1408" s="1" t="s">
        <v>4328</v>
      </c>
      <c r="N1408" s="1"/>
      <c r="O1408" s="1" t="s">
        <v>30</v>
      </c>
      <c r="P1408" s="1" t="s">
        <v>31</v>
      </c>
      <c r="Q1408" s="1" t="s">
        <v>32</v>
      </c>
      <c r="R1408" s="1" t="s">
        <v>32</v>
      </c>
      <c r="S1408" s="1" t="s">
        <v>33</v>
      </c>
      <c r="T1408" s="1" t="s">
        <v>1195</v>
      </c>
      <c r="U1408" s="1">
        <v>1.00581763E8</v>
      </c>
      <c r="X1408" s="1" t="s">
        <v>490</v>
      </c>
      <c r="Y1408" s="1" t="s">
        <v>4328</v>
      </c>
      <c r="Z1408" s="1" t="s">
        <v>37</v>
      </c>
    </row>
    <row r="1409" hidden="1">
      <c r="A1409" s="1" t="s">
        <v>4772</v>
      </c>
      <c r="B1409" s="1" t="s">
        <v>427</v>
      </c>
      <c r="C1409" s="1" t="s">
        <v>4773</v>
      </c>
      <c r="D1409" s="1" t="s">
        <v>27</v>
      </c>
      <c r="E1409" s="1" t="s">
        <v>28</v>
      </c>
      <c r="F1409" s="2">
        <v>750000.0</v>
      </c>
      <c r="G1409" s="1" t="s">
        <v>3745</v>
      </c>
      <c r="H1409" s="4">
        <f>IFERROR(__xludf.DUMMYFUNCTION("DATE(INDEX(SPLIT(G1409,""/""),,3),INDEX(SPLIT(G1409,""/""),,2),INDEX(SPLIT(G1409,""/""),,1))"),44343.0)</f>
        <v>44343</v>
      </c>
      <c r="I1409" s="4">
        <v>44876.0</v>
      </c>
      <c r="J1409" s="4">
        <f>IFERROR(__xludf.DUMMYFUNCTION("DATE(INDEX(SPLIT(I1409,""/""),,3),INDEX(SPLIT(I1409,""/""),,2),INDEX(SPLIT(I1409,""/""),,1))"),44876.0)</f>
        <v>44876</v>
      </c>
      <c r="L1409" s="1">
        <v>0.0</v>
      </c>
      <c r="M1409" s="1" t="s">
        <v>770</v>
      </c>
      <c r="N1409" s="1"/>
      <c r="O1409" s="1" t="s">
        <v>30</v>
      </c>
      <c r="P1409" s="1" t="s">
        <v>31</v>
      </c>
      <c r="Q1409" s="1" t="s">
        <v>157</v>
      </c>
      <c r="R1409" s="1" t="s">
        <v>157</v>
      </c>
      <c r="S1409" s="1" t="s">
        <v>158</v>
      </c>
      <c r="T1409" s="1" t="s">
        <v>442</v>
      </c>
      <c r="U1409" s="1">
        <v>1.00623421E8</v>
      </c>
      <c r="X1409" s="1" t="s">
        <v>125</v>
      </c>
      <c r="Y1409" s="1" t="s">
        <v>4774</v>
      </c>
      <c r="Z1409" s="1" t="s">
        <v>37</v>
      </c>
    </row>
    <row r="1410" hidden="1">
      <c r="A1410" s="1" t="s">
        <v>4775</v>
      </c>
      <c r="B1410" s="1" t="s">
        <v>1144</v>
      </c>
      <c r="C1410" s="1" t="s">
        <v>4776</v>
      </c>
      <c r="D1410" s="1" t="s">
        <v>27</v>
      </c>
      <c r="E1410" s="1" t="s">
        <v>28</v>
      </c>
      <c r="F1410" s="2">
        <v>750000.0</v>
      </c>
      <c r="G1410" s="1" t="s">
        <v>1288</v>
      </c>
      <c r="H1410" s="4">
        <f>IFERROR(__xludf.DUMMYFUNCTION("DATE(INDEX(SPLIT(G1410,""/""),,3),INDEX(SPLIT(G1410,""/""),,2),INDEX(SPLIT(G1410,""/""),,1))"),44707.0)</f>
        <v>44707</v>
      </c>
      <c r="I1410" s="1" t="s">
        <v>203</v>
      </c>
      <c r="J1410" s="4">
        <f>IFERROR(__xludf.DUMMYFUNCTION("DATE(INDEX(SPLIT(I1410,""/""),,3),INDEX(SPLIT(I1410,""/""),,2),INDEX(SPLIT(I1410,""/""),,1))"),44925.0)</f>
        <v>44925</v>
      </c>
      <c r="L1410" s="1">
        <v>0.0</v>
      </c>
      <c r="M1410" s="1" t="s">
        <v>4526</v>
      </c>
      <c r="N1410" s="1"/>
      <c r="O1410" s="1" t="s">
        <v>30</v>
      </c>
      <c r="P1410" s="1" t="s">
        <v>31</v>
      </c>
      <c r="Q1410" s="1" t="s">
        <v>228</v>
      </c>
      <c r="R1410" s="1" t="s">
        <v>228</v>
      </c>
      <c r="S1410" s="1" t="s">
        <v>229</v>
      </c>
      <c r="U1410" s="1">
        <v>1.00935884E8</v>
      </c>
      <c r="X1410" s="1" t="s">
        <v>63</v>
      </c>
      <c r="Y1410" s="1" t="s">
        <v>4526</v>
      </c>
      <c r="Z1410" s="1" t="s">
        <v>4777</v>
      </c>
    </row>
    <row r="1411" hidden="1">
      <c r="A1411" s="1" t="s">
        <v>4778</v>
      </c>
      <c r="B1411" s="1" t="s">
        <v>4779</v>
      </c>
      <c r="C1411" s="1" t="s">
        <v>4780</v>
      </c>
      <c r="D1411" s="1" t="s">
        <v>78</v>
      </c>
      <c r="E1411" s="1" t="s">
        <v>28</v>
      </c>
      <c r="F1411" s="2">
        <v>750000.0</v>
      </c>
      <c r="G1411" s="1" t="s">
        <v>4423</v>
      </c>
      <c r="H1411" s="4">
        <f>IFERROR(__xludf.DUMMYFUNCTION("DATE(INDEX(SPLIT(G1411,""/""),,3),INDEX(SPLIT(G1411,""/""),,2),INDEX(SPLIT(G1411,""/""),,1))"),44337.0)</f>
        <v>44337</v>
      </c>
      <c r="I1411" s="1" t="s">
        <v>109</v>
      </c>
      <c r="J1411" s="4">
        <f>IFERROR(__xludf.DUMMYFUNCTION("DATE(INDEX(SPLIT(I1411,""/""),,3),INDEX(SPLIT(I1411,""/""),,2),INDEX(SPLIT(I1411,""/""),,1))"),44834.0)</f>
        <v>44834</v>
      </c>
      <c r="L1411" s="1">
        <v>0.0</v>
      </c>
      <c r="M1411" s="1" t="s">
        <v>1689</v>
      </c>
      <c r="N1411" s="1"/>
      <c r="O1411" s="1" t="s">
        <v>30</v>
      </c>
      <c r="P1411" s="1" t="s">
        <v>31</v>
      </c>
      <c r="Q1411" s="1" t="s">
        <v>53</v>
      </c>
      <c r="R1411" s="1" t="s">
        <v>53</v>
      </c>
      <c r="S1411" s="1" t="s">
        <v>54</v>
      </c>
      <c r="T1411" s="1" t="s">
        <v>55</v>
      </c>
      <c r="U1411" s="1">
        <v>1.00650657E8</v>
      </c>
      <c r="X1411" s="1" t="s">
        <v>312</v>
      </c>
      <c r="Y1411" s="1" t="s">
        <v>2367</v>
      </c>
      <c r="Z1411" s="1" t="s">
        <v>37</v>
      </c>
    </row>
    <row r="1412">
      <c r="A1412" s="1" t="s">
        <v>4781</v>
      </c>
      <c r="B1412" s="1" t="s">
        <v>4782</v>
      </c>
      <c r="C1412" s="1" t="s">
        <v>4783</v>
      </c>
      <c r="D1412" s="1" t="s">
        <v>78</v>
      </c>
      <c r="E1412" s="1" t="s">
        <v>28</v>
      </c>
      <c r="F1412" s="2">
        <v>750000.0</v>
      </c>
      <c r="G1412" s="4">
        <v>44266.0</v>
      </c>
      <c r="H1412" s="4">
        <f>IFERROR(__xludf.DUMMYFUNCTION("DATE(INDEX(SPLIT(G1412,""/""),,3),INDEX(SPLIT(G1412,""/""),,2),INDEX(SPLIT(G1412,""/""),,1))"),44503.0)</f>
        <v>44503</v>
      </c>
      <c r="I1412" s="1" t="s">
        <v>1244</v>
      </c>
      <c r="J1412" s="4">
        <f>IFERROR(__xludf.DUMMYFUNCTION("DATE(INDEX(SPLIT(I1412,""/""),,3),INDEX(SPLIT(I1412,""/""),,2),INDEX(SPLIT(I1412,""/""),,1))"),44742.0)</f>
        <v>44742</v>
      </c>
      <c r="L1412" s="1">
        <v>0.0</v>
      </c>
      <c r="M1412" s="1" t="s">
        <v>1828</v>
      </c>
      <c r="N1412" s="1"/>
      <c r="O1412" s="1" t="s">
        <v>30</v>
      </c>
      <c r="P1412" s="1" t="s">
        <v>31</v>
      </c>
      <c r="Q1412" s="1" t="s">
        <v>235</v>
      </c>
      <c r="R1412" s="1" t="s">
        <v>235</v>
      </c>
      <c r="S1412" s="1" t="s">
        <v>236</v>
      </c>
      <c r="T1412" s="1" t="s">
        <v>1349</v>
      </c>
      <c r="U1412" s="1">
        <v>1.00593918E8</v>
      </c>
      <c r="X1412" s="1" t="s">
        <v>375</v>
      </c>
      <c r="Y1412" s="1" t="s">
        <v>1828</v>
      </c>
      <c r="Z1412" s="1" t="s">
        <v>37</v>
      </c>
    </row>
    <row r="1413" hidden="1">
      <c r="A1413" s="1" t="s">
        <v>4784</v>
      </c>
      <c r="B1413" s="1" t="s">
        <v>4785</v>
      </c>
      <c r="C1413" s="1" t="s">
        <v>4786</v>
      </c>
      <c r="D1413" s="1" t="s">
        <v>122</v>
      </c>
      <c r="E1413" s="1" t="s">
        <v>28</v>
      </c>
      <c r="F1413" s="2">
        <v>750000.0</v>
      </c>
      <c r="G1413" s="1" t="s">
        <v>836</v>
      </c>
      <c r="H1413" s="4">
        <f>IFERROR(__xludf.DUMMYFUNCTION("DATE(INDEX(SPLIT(G1413,""/""),,3),INDEX(SPLIT(G1413,""/""),,2),INDEX(SPLIT(G1413,""/""),,1))"),44610.0)</f>
        <v>44610</v>
      </c>
      <c r="I1413" s="1" t="s">
        <v>569</v>
      </c>
      <c r="J1413" s="4">
        <f>IFERROR(__xludf.DUMMYFUNCTION("DATE(INDEX(SPLIT(I1413,""/""),,3),INDEX(SPLIT(I1413,""/""),,2),INDEX(SPLIT(I1413,""/""),,1))"),45016.0)</f>
        <v>45016</v>
      </c>
      <c r="L1413" s="1">
        <v>0.0</v>
      </c>
      <c r="M1413" s="1" t="s">
        <v>3099</v>
      </c>
      <c r="N1413" s="1"/>
      <c r="O1413" s="1" t="s">
        <v>30</v>
      </c>
      <c r="P1413" s="1" t="s">
        <v>31</v>
      </c>
      <c r="Q1413" s="1" t="s">
        <v>95</v>
      </c>
      <c r="R1413" s="1" t="s">
        <v>95</v>
      </c>
      <c r="S1413" s="1" t="s">
        <v>96</v>
      </c>
      <c r="T1413" s="1" t="s">
        <v>97</v>
      </c>
      <c r="U1413" s="1">
        <v>1.00589299E8</v>
      </c>
      <c r="X1413" s="1" t="s">
        <v>781</v>
      </c>
      <c r="Y1413" s="1" t="s">
        <v>3099</v>
      </c>
      <c r="Z1413" s="1" t="s">
        <v>37</v>
      </c>
    </row>
    <row r="1414">
      <c r="A1414" s="1" t="s">
        <v>4787</v>
      </c>
      <c r="B1414" s="1" t="s">
        <v>4421</v>
      </c>
      <c r="C1414" s="1" t="s">
        <v>4788</v>
      </c>
      <c r="D1414" s="1" t="s">
        <v>27</v>
      </c>
      <c r="E1414" s="1" t="s">
        <v>28</v>
      </c>
      <c r="F1414" s="2">
        <v>750000.0</v>
      </c>
      <c r="G1414" s="1" t="s">
        <v>3303</v>
      </c>
      <c r="H1414" s="4">
        <f>IFERROR(__xludf.DUMMYFUNCTION("DATE(INDEX(SPLIT(G1414,""/""),,3),INDEX(SPLIT(G1414,""/""),,2),INDEX(SPLIT(G1414,""/""),,1))"),44552.0)</f>
        <v>44552</v>
      </c>
      <c r="I1414" s="1" t="s">
        <v>2300</v>
      </c>
      <c r="J1414" s="4">
        <f>IFERROR(__xludf.DUMMYFUNCTION("DATE(INDEX(SPLIT(I1414,""/""),,3),INDEX(SPLIT(I1414,""/""),,2),INDEX(SPLIT(I1414,""/""),,1))"),44712.0)</f>
        <v>44712</v>
      </c>
      <c r="L1414" s="1">
        <v>0.0</v>
      </c>
      <c r="M1414" s="1" t="s">
        <v>1552</v>
      </c>
      <c r="N1414" s="1"/>
      <c r="O1414" s="1" t="s">
        <v>30</v>
      </c>
      <c r="P1414" s="1" t="s">
        <v>31</v>
      </c>
      <c r="Q1414" s="1" t="s">
        <v>32</v>
      </c>
      <c r="R1414" s="1" t="s">
        <v>32</v>
      </c>
      <c r="S1414" s="1" t="s">
        <v>33</v>
      </c>
      <c r="T1414" s="1" t="s">
        <v>1195</v>
      </c>
      <c r="U1414" s="1">
        <v>1.00637597E8</v>
      </c>
      <c r="X1414" s="1" t="s">
        <v>490</v>
      </c>
      <c r="Y1414" s="1" t="s">
        <v>4789</v>
      </c>
      <c r="Z1414" s="1" t="s">
        <v>37</v>
      </c>
    </row>
    <row r="1415" hidden="1">
      <c r="A1415" s="1" t="s">
        <v>4790</v>
      </c>
      <c r="B1415" s="1" t="s">
        <v>427</v>
      </c>
      <c r="C1415" s="1" t="s">
        <v>4791</v>
      </c>
      <c r="D1415" s="1" t="s">
        <v>122</v>
      </c>
      <c r="E1415" s="1" t="s">
        <v>28</v>
      </c>
      <c r="F1415" s="2">
        <v>750000.0</v>
      </c>
      <c r="G1415" s="1" t="s">
        <v>934</v>
      </c>
      <c r="H1415" s="4">
        <f>IFERROR(__xludf.DUMMYFUNCTION("DATE(INDEX(SPLIT(G1415,""/""),,3),INDEX(SPLIT(G1415,""/""),,2),INDEX(SPLIT(G1415,""/""),,1))"),44681.0)</f>
        <v>44681</v>
      </c>
      <c r="I1415" s="4">
        <v>44689.0</v>
      </c>
      <c r="J1415" s="4">
        <f>IFERROR(__xludf.DUMMYFUNCTION("DATE(INDEX(SPLIT(I1415,""/""),,3),INDEX(SPLIT(I1415,""/""),,2),INDEX(SPLIT(I1415,""/""),,1))"),44778.0)</f>
        <v>44778</v>
      </c>
      <c r="L1415" s="1">
        <v>0.0</v>
      </c>
      <c r="M1415" s="1" t="s">
        <v>116</v>
      </c>
      <c r="N1415" s="1"/>
      <c r="O1415" s="1" t="s">
        <v>30</v>
      </c>
      <c r="P1415" s="1" t="s">
        <v>31</v>
      </c>
      <c r="Q1415" s="1" t="s">
        <v>95</v>
      </c>
      <c r="R1415" s="1" t="s">
        <v>95</v>
      </c>
      <c r="S1415" s="1" t="s">
        <v>96</v>
      </c>
      <c r="T1415" s="1" t="s">
        <v>97</v>
      </c>
      <c r="U1415" s="1">
        <v>1.00592496E8</v>
      </c>
      <c r="V1415" s="1" t="s">
        <v>4792</v>
      </c>
      <c r="W1415" s="1" t="s">
        <v>717</v>
      </c>
      <c r="X1415" s="1" t="s">
        <v>125</v>
      </c>
      <c r="Y1415" s="1" t="s">
        <v>116</v>
      </c>
      <c r="Z1415" s="1" t="s">
        <v>37</v>
      </c>
    </row>
    <row r="1416">
      <c r="A1416" s="1" t="s">
        <v>4793</v>
      </c>
      <c r="B1416" s="1" t="s">
        <v>4794</v>
      </c>
      <c r="C1416" s="1" t="s">
        <v>4795</v>
      </c>
      <c r="D1416" s="1" t="s">
        <v>27</v>
      </c>
      <c r="E1416" s="1" t="s">
        <v>28</v>
      </c>
      <c r="F1416" s="2">
        <v>750000.0</v>
      </c>
      <c r="G1416" s="1" t="s">
        <v>862</v>
      </c>
      <c r="H1416" s="4">
        <f>IFERROR(__xludf.DUMMYFUNCTION("DATE(INDEX(SPLIT(G1416,""/""),,3),INDEX(SPLIT(G1416,""/""),,2),INDEX(SPLIT(G1416,""/""),,1))"),44699.0)</f>
        <v>44699</v>
      </c>
      <c r="I1416" s="1" t="s">
        <v>69</v>
      </c>
      <c r="J1416" s="4">
        <f>IFERROR(__xludf.DUMMYFUNCTION("DATE(INDEX(SPLIT(I1416,""/""),,3),INDEX(SPLIT(I1416,""/""),,2),INDEX(SPLIT(I1416,""/""),,1))"),44773.0)</f>
        <v>44773</v>
      </c>
      <c r="L1416" s="1">
        <v>0.0</v>
      </c>
      <c r="M1416" s="1" t="s">
        <v>1833</v>
      </c>
      <c r="N1416" s="1"/>
      <c r="O1416" s="1" t="s">
        <v>30</v>
      </c>
      <c r="P1416" s="1" t="s">
        <v>31</v>
      </c>
      <c r="Q1416" s="1" t="s">
        <v>53</v>
      </c>
      <c r="R1416" s="1" t="s">
        <v>53</v>
      </c>
      <c r="S1416" s="1" t="s">
        <v>54</v>
      </c>
      <c r="T1416" s="1" t="s">
        <v>634</v>
      </c>
      <c r="U1416" s="1">
        <v>1.0105484E8</v>
      </c>
      <c r="X1416" s="1" t="s">
        <v>490</v>
      </c>
      <c r="Y1416" s="1" t="s">
        <v>244</v>
      </c>
      <c r="Z1416" s="1" t="s">
        <v>37</v>
      </c>
    </row>
    <row r="1417">
      <c r="A1417" s="1" t="s">
        <v>4796</v>
      </c>
      <c r="B1417" s="1" t="s">
        <v>4797</v>
      </c>
      <c r="C1417" s="1" t="s">
        <v>4798</v>
      </c>
      <c r="D1417" s="1" t="s">
        <v>78</v>
      </c>
      <c r="E1417" s="1" t="s">
        <v>28</v>
      </c>
      <c r="F1417" s="2">
        <v>750000.0</v>
      </c>
      <c r="G1417" s="4">
        <v>44533.0</v>
      </c>
      <c r="H1417" s="4">
        <f>IFERROR(__xludf.DUMMYFUNCTION("DATE(INDEX(SPLIT(G1417,""/""),,3),INDEX(SPLIT(G1417,""/""),,2),INDEX(SPLIT(G1417,""/""),,1))"),44267.0)</f>
        <v>44267</v>
      </c>
      <c r="I1417" s="1" t="s">
        <v>1244</v>
      </c>
      <c r="J1417" s="4">
        <f>IFERROR(__xludf.DUMMYFUNCTION("DATE(INDEX(SPLIT(I1417,""/""),,3),INDEX(SPLIT(I1417,""/""),,2),INDEX(SPLIT(I1417,""/""),,1))"),44742.0)</f>
        <v>44742</v>
      </c>
      <c r="L1417" s="1">
        <v>0.0</v>
      </c>
      <c r="M1417" s="1" t="s">
        <v>277</v>
      </c>
      <c r="N1417" s="1"/>
      <c r="O1417" s="1" t="s">
        <v>30</v>
      </c>
      <c r="P1417" s="1" t="s">
        <v>31</v>
      </c>
      <c r="Q1417" s="1" t="s">
        <v>32</v>
      </c>
      <c r="R1417" s="1" t="s">
        <v>32</v>
      </c>
      <c r="S1417" s="1" t="s">
        <v>33</v>
      </c>
      <c r="T1417" s="1" t="s">
        <v>103</v>
      </c>
      <c r="U1417" s="1">
        <v>1.00608828E8</v>
      </c>
      <c r="X1417" s="1" t="s">
        <v>312</v>
      </c>
      <c r="Y1417" s="1" t="s">
        <v>4799</v>
      </c>
      <c r="Z1417" s="1" t="s">
        <v>37</v>
      </c>
    </row>
    <row r="1418" hidden="1">
      <c r="A1418" s="1" t="s">
        <v>4800</v>
      </c>
      <c r="B1418" s="1" t="s">
        <v>4801</v>
      </c>
      <c r="C1418" s="1" t="s">
        <v>4802</v>
      </c>
      <c r="D1418" s="1" t="s">
        <v>27</v>
      </c>
      <c r="E1418" s="1" t="s">
        <v>28</v>
      </c>
      <c r="F1418" s="2">
        <v>750000.0</v>
      </c>
      <c r="G1418" s="1" t="s">
        <v>3269</v>
      </c>
      <c r="H1418" s="4">
        <f>IFERROR(__xludf.DUMMYFUNCTION("DATE(INDEX(SPLIT(G1418,""/""),,3),INDEX(SPLIT(G1418,""/""),,2),INDEX(SPLIT(G1418,""/""),,1))"),44399.0)</f>
        <v>44399</v>
      </c>
      <c r="I1418" s="1" t="s">
        <v>42</v>
      </c>
      <c r="J1418" s="4">
        <f>IFERROR(__xludf.DUMMYFUNCTION("DATE(INDEX(SPLIT(I1418,""/""),,3),INDEX(SPLIT(I1418,""/""),,2),INDEX(SPLIT(I1418,""/""),,1))"),44926.0)</f>
        <v>44926</v>
      </c>
      <c r="L1418" s="1">
        <v>0.0</v>
      </c>
      <c r="M1418" s="1" t="s">
        <v>344</v>
      </c>
      <c r="N1418" s="1"/>
      <c r="O1418" s="1" t="s">
        <v>30</v>
      </c>
      <c r="P1418" s="1" t="s">
        <v>31</v>
      </c>
      <c r="Q1418" s="1" t="s">
        <v>188</v>
      </c>
      <c r="R1418" s="1" t="s">
        <v>188</v>
      </c>
      <c r="S1418" s="1" t="s">
        <v>189</v>
      </c>
      <c r="U1418" s="1">
        <v>1.00646804E8</v>
      </c>
      <c r="X1418" s="1" t="s">
        <v>375</v>
      </c>
      <c r="Y1418" s="1" t="s">
        <v>4803</v>
      </c>
      <c r="Z1418" s="1" t="s">
        <v>37</v>
      </c>
    </row>
    <row r="1419">
      <c r="A1419" s="1" t="s">
        <v>4804</v>
      </c>
      <c r="B1419" s="1" t="s">
        <v>4805</v>
      </c>
      <c r="C1419" s="1" t="s">
        <v>4806</v>
      </c>
      <c r="D1419" s="1" t="s">
        <v>27</v>
      </c>
      <c r="E1419" s="1" t="s">
        <v>28</v>
      </c>
      <c r="F1419" s="2">
        <v>750000.0</v>
      </c>
      <c r="G1419" s="1" t="s">
        <v>503</v>
      </c>
      <c r="H1419" s="4">
        <f>IFERROR(__xludf.DUMMYFUNCTION("DATE(INDEX(SPLIT(G1419,""/""),,3),INDEX(SPLIT(G1419,""/""),,2),INDEX(SPLIT(G1419,""/""),,1))"),44736.0)</f>
        <v>44736</v>
      </c>
      <c r="I1419" s="1" t="s">
        <v>226</v>
      </c>
      <c r="J1419" s="4">
        <f>IFERROR(__xludf.DUMMYFUNCTION("DATE(INDEX(SPLIT(I1419,""/""),,3),INDEX(SPLIT(I1419,""/""),,2),INDEX(SPLIT(I1419,""/""),,1))"),44771.0)</f>
        <v>44771</v>
      </c>
      <c r="L1419" s="1">
        <v>0.0</v>
      </c>
      <c r="M1419" s="1" t="s">
        <v>4807</v>
      </c>
      <c r="N1419" s="1"/>
      <c r="O1419" s="1" t="s">
        <v>30</v>
      </c>
      <c r="P1419" s="1" t="s">
        <v>31</v>
      </c>
      <c r="Q1419" s="1" t="s">
        <v>95</v>
      </c>
      <c r="R1419" s="1" t="s">
        <v>95</v>
      </c>
      <c r="S1419" s="1" t="s">
        <v>96</v>
      </c>
      <c r="U1419" s="1">
        <v>1.00569225E8</v>
      </c>
      <c r="X1419" s="1" t="s">
        <v>98</v>
      </c>
      <c r="Y1419" s="1" t="s">
        <v>4808</v>
      </c>
      <c r="Z1419" s="1" t="s">
        <v>37</v>
      </c>
    </row>
    <row r="1420" hidden="1">
      <c r="A1420" s="1" t="s">
        <v>4809</v>
      </c>
      <c r="B1420" s="1" t="s">
        <v>337</v>
      </c>
      <c r="C1420" s="1" t="s">
        <v>4810</v>
      </c>
      <c r="D1420" s="1" t="s">
        <v>78</v>
      </c>
      <c r="E1420" s="1" t="s">
        <v>28</v>
      </c>
      <c r="F1420" s="2">
        <v>750000.0</v>
      </c>
      <c r="G1420" s="1" t="s">
        <v>624</v>
      </c>
      <c r="H1420" s="4">
        <f>IFERROR(__xludf.DUMMYFUNCTION("DATE(INDEX(SPLIT(G1420,""/""),,3),INDEX(SPLIT(G1420,""/""),,2),INDEX(SPLIT(G1420,""/""),,1))"),44642.0)</f>
        <v>44642</v>
      </c>
      <c r="I1420" s="4">
        <v>44572.0</v>
      </c>
      <c r="J1420" s="4">
        <f>IFERROR(__xludf.DUMMYFUNCTION("DATE(INDEX(SPLIT(I1420,""/""),,3),INDEX(SPLIT(I1420,""/""),,2),INDEX(SPLIT(I1420,""/""),,1))"),44866.0)</f>
        <v>44866</v>
      </c>
      <c r="L1420" s="1">
        <v>0.0</v>
      </c>
      <c r="M1420" s="1" t="s">
        <v>339</v>
      </c>
      <c r="N1420" s="1"/>
      <c r="O1420" s="1" t="s">
        <v>30</v>
      </c>
      <c r="P1420" s="1" t="s">
        <v>31</v>
      </c>
      <c r="Q1420" s="1" t="s">
        <v>235</v>
      </c>
      <c r="R1420" s="1" t="s">
        <v>235</v>
      </c>
      <c r="S1420" s="1" t="s">
        <v>236</v>
      </c>
      <c r="U1420" s="1">
        <v>1.00588753E8</v>
      </c>
      <c r="X1420" s="1" t="s">
        <v>239</v>
      </c>
      <c r="Y1420" s="1" t="s">
        <v>4811</v>
      </c>
      <c r="Z1420" s="1" t="s">
        <v>37</v>
      </c>
    </row>
    <row r="1421" hidden="1">
      <c r="A1421" s="1" t="s">
        <v>4812</v>
      </c>
      <c r="B1421" s="1" t="s">
        <v>997</v>
      </c>
      <c r="C1421" s="1" t="s">
        <v>4813</v>
      </c>
      <c r="D1421" s="1" t="s">
        <v>27</v>
      </c>
      <c r="E1421" s="1" t="s">
        <v>28</v>
      </c>
      <c r="F1421" s="2">
        <v>750000.0</v>
      </c>
      <c r="G1421" s="1" t="s">
        <v>4814</v>
      </c>
      <c r="H1421" s="4">
        <f>IFERROR(__xludf.DUMMYFUNCTION("DATE(INDEX(SPLIT(G1421,""/""),,3),INDEX(SPLIT(G1421,""/""),,2),INDEX(SPLIT(G1421,""/""),,1))"),43978.0)</f>
        <v>43978</v>
      </c>
      <c r="I1421" s="1" t="s">
        <v>281</v>
      </c>
      <c r="J1421" s="4">
        <f>IFERROR(__xludf.DUMMYFUNCTION("DATE(INDEX(SPLIT(I1421,""/""),,3),INDEX(SPLIT(I1421,""/""),,2),INDEX(SPLIT(I1421,""/""),,1))"),44865.0)</f>
        <v>44865</v>
      </c>
      <c r="L1421" s="1">
        <v>0.0</v>
      </c>
      <c r="M1421" s="1" t="s">
        <v>1452</v>
      </c>
      <c r="N1421" s="1"/>
      <c r="O1421" s="1" t="s">
        <v>30</v>
      </c>
      <c r="P1421" s="1" t="s">
        <v>31</v>
      </c>
      <c r="Q1421" s="1" t="s">
        <v>32</v>
      </c>
      <c r="R1421" s="1" t="s">
        <v>32</v>
      </c>
      <c r="S1421" s="1" t="s">
        <v>33</v>
      </c>
      <c r="T1421" s="1" t="s">
        <v>103</v>
      </c>
      <c r="U1421" s="1">
        <v>1.00643044E8</v>
      </c>
      <c r="X1421" s="1" t="s">
        <v>410</v>
      </c>
      <c r="Y1421" s="1" t="s">
        <v>1452</v>
      </c>
      <c r="Z1421" s="1" t="s">
        <v>206</v>
      </c>
    </row>
    <row r="1422" hidden="1">
      <c r="A1422" s="1" t="s">
        <v>4815</v>
      </c>
      <c r="B1422" s="1" t="s">
        <v>1158</v>
      </c>
      <c r="C1422" s="1" t="s">
        <v>4816</v>
      </c>
      <c r="D1422" s="1" t="s">
        <v>122</v>
      </c>
      <c r="E1422" s="1" t="s">
        <v>28</v>
      </c>
      <c r="F1422" s="2">
        <v>750000.0</v>
      </c>
      <c r="G1422" s="1" t="s">
        <v>2309</v>
      </c>
      <c r="H1422" s="4">
        <f>IFERROR(__xludf.DUMMYFUNCTION("DATE(INDEX(SPLIT(G1422,""/""),,3),INDEX(SPLIT(G1422,""/""),,2),INDEX(SPLIT(G1422,""/""),,1))"),44672.0)</f>
        <v>44672</v>
      </c>
      <c r="I1422" s="4">
        <v>44689.0</v>
      </c>
      <c r="J1422" s="4">
        <f>IFERROR(__xludf.DUMMYFUNCTION("DATE(INDEX(SPLIT(I1422,""/""),,3),INDEX(SPLIT(I1422,""/""),,2),INDEX(SPLIT(I1422,""/""),,1))"),44778.0)</f>
        <v>44778</v>
      </c>
      <c r="L1422" s="1">
        <v>0.0</v>
      </c>
      <c r="M1422" s="1" t="s">
        <v>558</v>
      </c>
      <c r="N1422" s="1"/>
      <c r="O1422" s="1" t="s">
        <v>30</v>
      </c>
      <c r="P1422" s="1" t="s">
        <v>31</v>
      </c>
      <c r="Q1422" s="1" t="s">
        <v>53</v>
      </c>
      <c r="R1422" s="1" t="s">
        <v>53</v>
      </c>
      <c r="S1422" s="1" t="s">
        <v>54</v>
      </c>
      <c r="T1422" s="1" t="s">
        <v>87</v>
      </c>
      <c r="U1422" s="1">
        <v>1.00653597E8</v>
      </c>
      <c r="X1422" s="1" t="s">
        <v>88</v>
      </c>
      <c r="Y1422" s="1" t="s">
        <v>558</v>
      </c>
      <c r="Z1422" s="1" t="s">
        <v>37</v>
      </c>
    </row>
    <row r="1423">
      <c r="A1423" s="1" t="s">
        <v>4817</v>
      </c>
      <c r="B1423" s="1" t="s">
        <v>806</v>
      </c>
      <c r="C1423" s="1" t="s">
        <v>4818</v>
      </c>
      <c r="D1423" s="1" t="s">
        <v>27</v>
      </c>
      <c r="E1423" s="1" t="s">
        <v>28</v>
      </c>
      <c r="F1423" s="2">
        <v>750000.0</v>
      </c>
      <c r="G1423" s="1" t="s">
        <v>2110</v>
      </c>
      <c r="H1423" s="4">
        <f>IFERROR(__xludf.DUMMYFUNCTION("DATE(INDEX(SPLIT(G1423,""/""),,3),INDEX(SPLIT(G1423,""/""),,2),INDEX(SPLIT(G1423,""/""),,1))"),44650.0)</f>
        <v>44650</v>
      </c>
      <c r="I1423" s="1" t="s">
        <v>1244</v>
      </c>
      <c r="J1423" s="4">
        <f>IFERROR(__xludf.DUMMYFUNCTION("DATE(INDEX(SPLIT(I1423,""/""),,3),INDEX(SPLIT(I1423,""/""),,2),INDEX(SPLIT(I1423,""/""),,1))"),44742.0)</f>
        <v>44742</v>
      </c>
      <c r="L1423" s="1">
        <v>0.0</v>
      </c>
      <c r="M1423" s="1" t="s">
        <v>3099</v>
      </c>
      <c r="N1423" s="1"/>
      <c r="O1423" s="1" t="s">
        <v>30</v>
      </c>
      <c r="P1423" s="1" t="s">
        <v>31</v>
      </c>
      <c r="Q1423" s="1" t="s">
        <v>95</v>
      </c>
      <c r="R1423" s="1" t="s">
        <v>95</v>
      </c>
      <c r="S1423" s="1" t="s">
        <v>96</v>
      </c>
      <c r="T1423" s="1" t="s">
        <v>97</v>
      </c>
      <c r="U1423" s="1">
        <v>1.00589299E8</v>
      </c>
      <c r="X1423" s="1" t="s">
        <v>117</v>
      </c>
      <c r="Y1423" s="1" t="s">
        <v>4428</v>
      </c>
      <c r="Z1423" s="1" t="s">
        <v>37</v>
      </c>
    </row>
    <row r="1424" hidden="1">
      <c r="A1424" s="1" t="s">
        <v>4819</v>
      </c>
      <c r="B1424" s="1" t="s">
        <v>4820</v>
      </c>
      <c r="C1424" s="1" t="s">
        <v>4821</v>
      </c>
      <c r="D1424" s="1" t="s">
        <v>27</v>
      </c>
      <c r="E1424" s="1" t="s">
        <v>28</v>
      </c>
      <c r="F1424" s="2">
        <v>750000.0</v>
      </c>
      <c r="G1424" s="1" t="s">
        <v>2110</v>
      </c>
      <c r="H1424" s="4">
        <f>IFERROR(__xludf.DUMMYFUNCTION("DATE(INDEX(SPLIT(G1424,""/""),,3),INDEX(SPLIT(G1424,""/""),,2),INDEX(SPLIT(G1424,""/""),,1))"),44650.0)</f>
        <v>44650</v>
      </c>
      <c r="I1424" s="1" t="s">
        <v>109</v>
      </c>
      <c r="J1424" s="4">
        <f>IFERROR(__xludf.DUMMYFUNCTION("DATE(INDEX(SPLIT(I1424,""/""),,3),INDEX(SPLIT(I1424,""/""),,2),INDEX(SPLIT(I1424,""/""),,1))"),44834.0)</f>
        <v>44834</v>
      </c>
      <c r="L1424" s="1">
        <v>0.0</v>
      </c>
      <c r="M1424" s="1" t="s">
        <v>3099</v>
      </c>
      <c r="N1424" s="1"/>
      <c r="O1424" s="1" t="s">
        <v>30</v>
      </c>
      <c r="P1424" s="1" t="s">
        <v>31</v>
      </c>
      <c r="Q1424" s="1" t="s">
        <v>95</v>
      </c>
      <c r="R1424" s="1" t="s">
        <v>95</v>
      </c>
      <c r="S1424" s="1" t="s">
        <v>96</v>
      </c>
      <c r="T1424" s="1" t="s">
        <v>97</v>
      </c>
      <c r="U1424" s="1">
        <v>1.00589299E8</v>
      </c>
      <c r="X1424" s="1" t="s">
        <v>117</v>
      </c>
      <c r="Y1424" s="1" t="s">
        <v>4428</v>
      </c>
      <c r="Z1424" s="1" t="s">
        <v>37</v>
      </c>
    </row>
    <row r="1425">
      <c r="A1425" s="1" t="s">
        <v>4822</v>
      </c>
      <c r="B1425" s="1" t="s">
        <v>4823</v>
      </c>
      <c r="C1425" s="1" t="s">
        <v>4824</v>
      </c>
      <c r="D1425" s="1" t="s">
        <v>27</v>
      </c>
      <c r="E1425" s="1" t="s">
        <v>28</v>
      </c>
      <c r="F1425" s="2">
        <v>750000.0</v>
      </c>
      <c r="G1425" s="1" t="s">
        <v>2110</v>
      </c>
      <c r="H1425" s="4">
        <f>IFERROR(__xludf.DUMMYFUNCTION("DATE(INDEX(SPLIT(G1425,""/""),,3),INDEX(SPLIT(G1425,""/""),,2),INDEX(SPLIT(G1425,""/""),,1))"),44650.0)</f>
        <v>44650</v>
      </c>
      <c r="I1425" s="1" t="s">
        <v>1244</v>
      </c>
      <c r="J1425" s="4">
        <f>IFERROR(__xludf.DUMMYFUNCTION("DATE(INDEX(SPLIT(I1425,""/""),,3),INDEX(SPLIT(I1425,""/""),,2),INDEX(SPLIT(I1425,""/""),,1))"),44742.0)</f>
        <v>44742</v>
      </c>
      <c r="L1425" s="1">
        <v>0.0</v>
      </c>
      <c r="M1425" s="1" t="s">
        <v>3099</v>
      </c>
      <c r="N1425" s="1"/>
      <c r="O1425" s="1" t="s">
        <v>30</v>
      </c>
      <c r="P1425" s="1" t="s">
        <v>31</v>
      </c>
      <c r="Q1425" s="1" t="s">
        <v>95</v>
      </c>
      <c r="R1425" s="1" t="s">
        <v>95</v>
      </c>
      <c r="S1425" s="1" t="s">
        <v>96</v>
      </c>
      <c r="T1425" s="1" t="s">
        <v>97</v>
      </c>
      <c r="U1425" s="1">
        <v>1.00589299E8</v>
      </c>
      <c r="X1425" s="1" t="s">
        <v>781</v>
      </c>
      <c r="Y1425" s="1" t="s">
        <v>4428</v>
      </c>
      <c r="Z1425" s="1" t="s">
        <v>37</v>
      </c>
    </row>
    <row r="1426">
      <c r="A1426" s="1" t="s">
        <v>4825</v>
      </c>
      <c r="B1426" s="1" t="s">
        <v>4826</v>
      </c>
      <c r="C1426" s="1" t="s">
        <v>4827</v>
      </c>
      <c r="D1426" s="1" t="s">
        <v>27</v>
      </c>
      <c r="E1426" s="1" t="s">
        <v>28</v>
      </c>
      <c r="F1426" s="2">
        <v>750000.0</v>
      </c>
      <c r="G1426" s="1" t="s">
        <v>2110</v>
      </c>
      <c r="H1426" s="4">
        <f>IFERROR(__xludf.DUMMYFUNCTION("DATE(INDEX(SPLIT(G1426,""/""),,3),INDEX(SPLIT(G1426,""/""),,2),INDEX(SPLIT(G1426,""/""),,1))"),44650.0)</f>
        <v>44650</v>
      </c>
      <c r="I1426" s="1" t="s">
        <v>1244</v>
      </c>
      <c r="J1426" s="4">
        <f>IFERROR(__xludf.DUMMYFUNCTION("DATE(INDEX(SPLIT(I1426,""/""),,3),INDEX(SPLIT(I1426,""/""),,2),INDEX(SPLIT(I1426,""/""),,1))"),44742.0)</f>
        <v>44742</v>
      </c>
      <c r="L1426" s="1">
        <v>0.0</v>
      </c>
      <c r="M1426" s="1" t="s">
        <v>3099</v>
      </c>
      <c r="N1426" s="1"/>
      <c r="O1426" s="1" t="s">
        <v>30</v>
      </c>
      <c r="P1426" s="1" t="s">
        <v>31</v>
      </c>
      <c r="Q1426" s="1" t="s">
        <v>95</v>
      </c>
      <c r="R1426" s="1" t="s">
        <v>95</v>
      </c>
      <c r="S1426" s="1" t="s">
        <v>96</v>
      </c>
      <c r="T1426" s="1" t="s">
        <v>311</v>
      </c>
      <c r="U1426" s="1">
        <v>1.00589299E8</v>
      </c>
      <c r="X1426" s="1" t="s">
        <v>468</v>
      </c>
      <c r="Y1426" s="1" t="s">
        <v>4428</v>
      </c>
      <c r="Z1426" s="1" t="s">
        <v>37</v>
      </c>
    </row>
    <row r="1427">
      <c r="A1427" s="1" t="s">
        <v>4828</v>
      </c>
      <c r="B1427" s="1" t="s">
        <v>4829</v>
      </c>
      <c r="C1427" s="1" t="s">
        <v>4830</v>
      </c>
      <c r="D1427" s="1" t="s">
        <v>27</v>
      </c>
      <c r="E1427" s="1" t="s">
        <v>28</v>
      </c>
      <c r="F1427" s="2">
        <v>750000.0</v>
      </c>
      <c r="G1427" s="1" t="s">
        <v>2110</v>
      </c>
      <c r="H1427" s="4">
        <f>IFERROR(__xludf.DUMMYFUNCTION("DATE(INDEX(SPLIT(G1427,""/""),,3),INDEX(SPLIT(G1427,""/""),,2),INDEX(SPLIT(G1427,""/""),,1))"),44650.0)</f>
        <v>44650</v>
      </c>
      <c r="I1427" s="1" t="s">
        <v>1244</v>
      </c>
      <c r="J1427" s="4">
        <f>IFERROR(__xludf.DUMMYFUNCTION("DATE(INDEX(SPLIT(I1427,""/""),,3),INDEX(SPLIT(I1427,""/""),,2),INDEX(SPLIT(I1427,""/""),,1))"),44742.0)</f>
        <v>44742</v>
      </c>
      <c r="L1427" s="1">
        <v>0.0</v>
      </c>
      <c r="M1427" s="1" t="s">
        <v>3099</v>
      </c>
      <c r="N1427" s="1"/>
      <c r="O1427" s="1" t="s">
        <v>30</v>
      </c>
      <c r="P1427" s="1" t="s">
        <v>31</v>
      </c>
      <c r="Q1427" s="1" t="s">
        <v>95</v>
      </c>
      <c r="R1427" s="1" t="s">
        <v>95</v>
      </c>
      <c r="S1427" s="1" t="s">
        <v>96</v>
      </c>
      <c r="T1427" s="1" t="s">
        <v>111</v>
      </c>
      <c r="U1427" s="1">
        <v>1.00589299E8</v>
      </c>
      <c r="X1427" s="1" t="s">
        <v>63</v>
      </c>
      <c r="Y1427" s="1" t="s">
        <v>4428</v>
      </c>
      <c r="Z1427" s="1" t="s">
        <v>37</v>
      </c>
    </row>
    <row r="1428">
      <c r="A1428" s="1" t="s">
        <v>4831</v>
      </c>
      <c r="B1428" s="1" t="s">
        <v>3562</v>
      </c>
      <c r="C1428" s="1" t="s">
        <v>4832</v>
      </c>
      <c r="D1428" s="1" t="s">
        <v>27</v>
      </c>
      <c r="E1428" s="1" t="s">
        <v>28</v>
      </c>
      <c r="F1428" s="2">
        <v>750000.0</v>
      </c>
      <c r="G1428" s="1" t="s">
        <v>2110</v>
      </c>
      <c r="H1428" s="4">
        <f>IFERROR(__xludf.DUMMYFUNCTION("DATE(INDEX(SPLIT(G1428,""/""),,3),INDEX(SPLIT(G1428,""/""),,2),INDEX(SPLIT(G1428,""/""),,1))"),44650.0)</f>
        <v>44650</v>
      </c>
      <c r="I1428" s="1" t="s">
        <v>1244</v>
      </c>
      <c r="J1428" s="4">
        <f>IFERROR(__xludf.DUMMYFUNCTION("DATE(INDEX(SPLIT(I1428,""/""),,3),INDEX(SPLIT(I1428,""/""),,2),INDEX(SPLIT(I1428,""/""),,1))"),44742.0)</f>
        <v>44742</v>
      </c>
      <c r="L1428" s="1">
        <v>0.0</v>
      </c>
      <c r="M1428" s="1" t="s">
        <v>3099</v>
      </c>
      <c r="N1428" s="1"/>
      <c r="O1428" s="1" t="s">
        <v>30</v>
      </c>
      <c r="P1428" s="1" t="s">
        <v>31</v>
      </c>
      <c r="Q1428" s="1" t="s">
        <v>95</v>
      </c>
      <c r="R1428" s="1" t="s">
        <v>95</v>
      </c>
      <c r="S1428" s="1" t="s">
        <v>96</v>
      </c>
      <c r="T1428" s="1" t="s">
        <v>97</v>
      </c>
      <c r="U1428" s="1">
        <v>1.00589299E8</v>
      </c>
      <c r="X1428" s="1" t="s">
        <v>125</v>
      </c>
      <c r="Y1428" s="1" t="s">
        <v>4428</v>
      </c>
      <c r="Z1428" s="1" t="s">
        <v>37</v>
      </c>
    </row>
    <row r="1429" hidden="1">
      <c r="A1429" s="1" t="s">
        <v>4833</v>
      </c>
      <c r="B1429" s="1" t="s">
        <v>162</v>
      </c>
      <c r="C1429" s="1" t="s">
        <v>4834</v>
      </c>
      <c r="D1429" s="1" t="s">
        <v>27</v>
      </c>
      <c r="E1429" s="1" t="s">
        <v>28</v>
      </c>
      <c r="F1429" s="2">
        <v>750000.0</v>
      </c>
      <c r="G1429" s="1" t="s">
        <v>2110</v>
      </c>
      <c r="H1429" s="4">
        <f>IFERROR(__xludf.DUMMYFUNCTION("DATE(INDEX(SPLIT(G1429,""/""),,3),INDEX(SPLIT(G1429,""/""),,2),INDEX(SPLIT(G1429,""/""),,1))"),44650.0)</f>
        <v>44650</v>
      </c>
      <c r="I1429" s="1" t="s">
        <v>109</v>
      </c>
      <c r="J1429" s="4">
        <f>IFERROR(__xludf.DUMMYFUNCTION("DATE(INDEX(SPLIT(I1429,""/""),,3),INDEX(SPLIT(I1429,""/""),,2),INDEX(SPLIT(I1429,""/""),,1))"),44834.0)</f>
        <v>44834</v>
      </c>
      <c r="L1429" s="1">
        <v>0.0</v>
      </c>
      <c r="M1429" s="1" t="s">
        <v>3099</v>
      </c>
      <c r="N1429" s="1"/>
      <c r="O1429" s="1" t="s">
        <v>30</v>
      </c>
      <c r="P1429" s="1" t="s">
        <v>31</v>
      </c>
      <c r="Q1429" s="1" t="s">
        <v>95</v>
      </c>
      <c r="R1429" s="1" t="s">
        <v>95</v>
      </c>
      <c r="S1429" s="1" t="s">
        <v>96</v>
      </c>
      <c r="T1429" s="1" t="s">
        <v>97</v>
      </c>
      <c r="U1429" s="1">
        <v>1.00589299E8</v>
      </c>
      <c r="X1429" s="1" t="s">
        <v>117</v>
      </c>
      <c r="Y1429" s="1" t="s">
        <v>4428</v>
      </c>
      <c r="Z1429" s="1" t="s">
        <v>37</v>
      </c>
    </row>
    <row r="1430">
      <c r="A1430" s="1" t="s">
        <v>4835</v>
      </c>
      <c r="B1430" s="1" t="s">
        <v>470</v>
      </c>
      <c r="C1430" s="1" t="s">
        <v>4836</v>
      </c>
      <c r="D1430" s="1" t="s">
        <v>27</v>
      </c>
      <c r="E1430" s="1" t="s">
        <v>28</v>
      </c>
      <c r="F1430" s="2">
        <v>750000.0</v>
      </c>
      <c r="G1430" s="1" t="s">
        <v>2110</v>
      </c>
      <c r="H1430" s="4">
        <f>IFERROR(__xludf.DUMMYFUNCTION("DATE(INDEX(SPLIT(G1430,""/""),,3),INDEX(SPLIT(G1430,""/""),,2),INDEX(SPLIT(G1430,""/""),,1))"),44650.0)</f>
        <v>44650</v>
      </c>
      <c r="I1430" s="1" t="s">
        <v>1244</v>
      </c>
      <c r="J1430" s="4">
        <f>IFERROR(__xludf.DUMMYFUNCTION("DATE(INDEX(SPLIT(I1430,""/""),,3),INDEX(SPLIT(I1430,""/""),,2),INDEX(SPLIT(I1430,""/""),,1))"),44742.0)</f>
        <v>44742</v>
      </c>
      <c r="L1430" s="1">
        <v>0.0</v>
      </c>
      <c r="M1430" s="1" t="s">
        <v>3099</v>
      </c>
      <c r="N1430" s="1"/>
      <c r="O1430" s="1" t="s">
        <v>30</v>
      </c>
      <c r="P1430" s="1" t="s">
        <v>31</v>
      </c>
      <c r="Q1430" s="1" t="s">
        <v>95</v>
      </c>
      <c r="R1430" s="1" t="s">
        <v>95</v>
      </c>
      <c r="S1430" s="1" t="s">
        <v>96</v>
      </c>
      <c r="T1430" s="1" t="s">
        <v>111</v>
      </c>
      <c r="U1430" s="1">
        <v>1.00589299E8</v>
      </c>
      <c r="X1430" s="1" t="s">
        <v>254</v>
      </c>
      <c r="Y1430" s="1" t="s">
        <v>4428</v>
      </c>
      <c r="Z1430" s="1" t="s">
        <v>37</v>
      </c>
    </row>
    <row r="1431" hidden="1">
      <c r="A1431" s="1" t="s">
        <v>4837</v>
      </c>
      <c r="B1431" s="1" t="s">
        <v>66</v>
      </c>
      <c r="C1431" s="1" t="s">
        <v>4838</v>
      </c>
      <c r="D1431" s="1" t="s">
        <v>27</v>
      </c>
      <c r="E1431" s="1" t="s">
        <v>28</v>
      </c>
      <c r="F1431" s="2">
        <v>750000.0</v>
      </c>
      <c r="G1431" s="1" t="s">
        <v>1190</v>
      </c>
      <c r="H1431" s="4">
        <f>IFERROR(__xludf.DUMMYFUNCTION("DATE(INDEX(SPLIT(G1431,""/""),,3),INDEX(SPLIT(G1431,""/""),,2),INDEX(SPLIT(G1431,""/""),,1))"),44397.0)</f>
        <v>44397</v>
      </c>
      <c r="I1431" s="4">
        <v>44876.0</v>
      </c>
      <c r="J1431" s="4">
        <f>IFERROR(__xludf.DUMMYFUNCTION("DATE(INDEX(SPLIT(I1431,""/""),,3),INDEX(SPLIT(I1431,""/""),,2),INDEX(SPLIT(I1431,""/""),,1))"),44876.0)</f>
        <v>44876</v>
      </c>
      <c r="L1431" s="1">
        <v>0.0</v>
      </c>
      <c r="M1431" s="1" t="s">
        <v>318</v>
      </c>
      <c r="N1431" s="1"/>
      <c r="O1431" s="1" t="s">
        <v>30</v>
      </c>
      <c r="P1431" s="1" t="s">
        <v>31</v>
      </c>
      <c r="Q1431" s="1" t="s">
        <v>71</v>
      </c>
      <c r="R1431" s="1" t="s">
        <v>71</v>
      </c>
      <c r="S1431" s="1" t="s">
        <v>72</v>
      </c>
      <c r="T1431" s="1" t="s">
        <v>73</v>
      </c>
      <c r="U1431" s="1">
        <v>1.00654705E8</v>
      </c>
      <c r="X1431" s="1" t="s">
        <v>74</v>
      </c>
      <c r="Y1431" s="1" t="s">
        <v>318</v>
      </c>
      <c r="Z1431" s="1" t="s">
        <v>37</v>
      </c>
    </row>
    <row r="1432" hidden="1">
      <c r="A1432" s="1" t="s">
        <v>4839</v>
      </c>
      <c r="B1432" s="1" t="s">
        <v>2970</v>
      </c>
      <c r="C1432" s="1" t="s">
        <v>4840</v>
      </c>
      <c r="D1432" s="1" t="s">
        <v>27</v>
      </c>
      <c r="E1432" s="1" t="s">
        <v>28</v>
      </c>
      <c r="F1432" s="2">
        <v>750000.0</v>
      </c>
      <c r="G1432" s="4">
        <v>44810.0</v>
      </c>
      <c r="H1432" s="4">
        <f>IFERROR(__xludf.DUMMYFUNCTION("DATE(INDEX(SPLIT(G1432,""/""),,3),INDEX(SPLIT(G1432,""/""),,2),INDEX(SPLIT(G1432,""/""),,1))"),44721.0)</f>
        <v>44721</v>
      </c>
      <c r="I1432" s="1" t="s">
        <v>109</v>
      </c>
      <c r="J1432" s="4">
        <f>IFERROR(__xludf.DUMMYFUNCTION("DATE(INDEX(SPLIT(I1432,""/""),,3),INDEX(SPLIT(I1432,""/""),,2),INDEX(SPLIT(I1432,""/""),,1))"),44834.0)</f>
        <v>44834</v>
      </c>
      <c r="L1432" s="1">
        <v>0.0</v>
      </c>
      <c r="M1432" s="1" t="s">
        <v>3099</v>
      </c>
      <c r="N1432" s="1"/>
      <c r="O1432" s="1" t="s">
        <v>30</v>
      </c>
      <c r="P1432" s="1" t="s">
        <v>31</v>
      </c>
      <c r="Q1432" s="1" t="s">
        <v>95</v>
      </c>
      <c r="R1432" s="1" t="s">
        <v>95</v>
      </c>
      <c r="S1432" s="1" t="s">
        <v>96</v>
      </c>
      <c r="T1432" s="1" t="s">
        <v>489</v>
      </c>
      <c r="U1432" s="1">
        <v>1.00589299E8</v>
      </c>
      <c r="X1432" s="1" t="s">
        <v>74</v>
      </c>
      <c r="Y1432" s="1" t="s">
        <v>4428</v>
      </c>
      <c r="Z1432" s="1" t="s">
        <v>37</v>
      </c>
    </row>
    <row r="1433" hidden="1">
      <c r="A1433" s="1" t="s">
        <v>4841</v>
      </c>
      <c r="B1433" s="1" t="s">
        <v>4842</v>
      </c>
      <c r="C1433" s="1" t="s">
        <v>4843</v>
      </c>
      <c r="D1433" s="1" t="s">
        <v>78</v>
      </c>
      <c r="E1433" s="1" t="s">
        <v>28</v>
      </c>
      <c r="F1433" s="2">
        <v>750000.0</v>
      </c>
      <c r="G1433" s="4">
        <v>44716.0</v>
      </c>
      <c r="H1433" s="4">
        <f>IFERROR(__xludf.DUMMYFUNCTION("DATE(INDEX(SPLIT(G1433,""/""),,3),INDEX(SPLIT(G1433,""/""),,2),INDEX(SPLIT(G1433,""/""),,1))"),44657.0)</f>
        <v>44657</v>
      </c>
      <c r="I1433" s="1" t="s">
        <v>130</v>
      </c>
      <c r="J1433" s="4">
        <f>IFERROR(__xludf.DUMMYFUNCTION("DATE(INDEX(SPLIT(I1433,""/""),,3),INDEX(SPLIT(I1433,""/""),,2),INDEX(SPLIT(I1433,""/""),,1))"),44804.0)</f>
        <v>44804</v>
      </c>
      <c r="L1433" s="1">
        <v>0.0</v>
      </c>
      <c r="M1433" s="1" t="s">
        <v>1137</v>
      </c>
      <c r="N1433" s="1"/>
      <c r="O1433" s="1" t="s">
        <v>30</v>
      </c>
      <c r="P1433" s="1" t="s">
        <v>31</v>
      </c>
      <c r="Q1433" s="1" t="s">
        <v>71</v>
      </c>
      <c r="R1433" s="1" t="s">
        <v>71</v>
      </c>
      <c r="S1433" s="1" t="s">
        <v>72</v>
      </c>
      <c r="T1433" s="1" t="s">
        <v>73</v>
      </c>
      <c r="U1433" s="1">
        <v>1.00589728E8</v>
      </c>
      <c r="Y1433" s="1" t="s">
        <v>1138</v>
      </c>
      <c r="Z1433" s="1" t="s">
        <v>37</v>
      </c>
    </row>
    <row r="1434" hidden="1">
      <c r="A1434" s="1" t="s">
        <v>4844</v>
      </c>
      <c r="B1434" s="1" t="s">
        <v>4845</v>
      </c>
      <c r="C1434" s="1" t="s">
        <v>4846</v>
      </c>
      <c r="D1434" s="1" t="s">
        <v>27</v>
      </c>
      <c r="E1434" s="1" t="s">
        <v>28</v>
      </c>
      <c r="F1434" s="2">
        <v>750000.0</v>
      </c>
      <c r="G1434" s="4">
        <v>44810.0</v>
      </c>
      <c r="H1434" s="4">
        <f>IFERROR(__xludf.DUMMYFUNCTION("DATE(INDEX(SPLIT(G1434,""/""),,3),INDEX(SPLIT(G1434,""/""),,2),INDEX(SPLIT(G1434,""/""),,1))"),44721.0)</f>
        <v>44721</v>
      </c>
      <c r="I1434" s="1" t="s">
        <v>109</v>
      </c>
      <c r="J1434" s="4">
        <f>IFERROR(__xludf.DUMMYFUNCTION("DATE(INDEX(SPLIT(I1434,""/""),,3),INDEX(SPLIT(I1434,""/""),,2),INDEX(SPLIT(I1434,""/""),,1))"),44834.0)</f>
        <v>44834</v>
      </c>
      <c r="L1434" s="1">
        <v>0.0</v>
      </c>
      <c r="M1434" s="1" t="s">
        <v>3099</v>
      </c>
      <c r="N1434" s="1"/>
      <c r="O1434" s="1" t="s">
        <v>30</v>
      </c>
      <c r="P1434" s="1" t="s">
        <v>31</v>
      </c>
      <c r="Q1434" s="1" t="s">
        <v>95</v>
      </c>
      <c r="R1434" s="1" t="s">
        <v>95</v>
      </c>
      <c r="S1434" s="1" t="s">
        <v>96</v>
      </c>
      <c r="T1434" s="1" t="s">
        <v>311</v>
      </c>
      <c r="U1434" s="1">
        <v>1.00589299E8</v>
      </c>
      <c r="X1434" s="1" t="s">
        <v>289</v>
      </c>
      <c r="Y1434" s="1" t="s">
        <v>4428</v>
      </c>
      <c r="Z1434" s="1" t="s">
        <v>37</v>
      </c>
    </row>
    <row r="1435" hidden="1">
      <c r="A1435" s="1" t="s">
        <v>4847</v>
      </c>
      <c r="B1435" s="1" t="s">
        <v>617</v>
      </c>
      <c r="C1435" s="1" t="s">
        <v>4848</v>
      </c>
      <c r="D1435" s="1" t="s">
        <v>27</v>
      </c>
      <c r="E1435" s="1" t="s">
        <v>28</v>
      </c>
      <c r="F1435" s="2">
        <v>750000.0</v>
      </c>
      <c r="G1435" s="1" t="s">
        <v>1581</v>
      </c>
      <c r="H1435" s="4">
        <f>IFERROR(__xludf.DUMMYFUNCTION("DATE(INDEX(SPLIT(G1435,""/""),,3),INDEX(SPLIT(G1435,""/""),,2),INDEX(SPLIT(G1435,""/""),,1))"),44453.0)</f>
        <v>44453</v>
      </c>
      <c r="I1435" s="1" t="s">
        <v>425</v>
      </c>
      <c r="J1435" s="4">
        <f>IFERROR(__xludf.DUMMYFUNCTION("DATE(INDEX(SPLIT(I1435,""/""),,3),INDEX(SPLIT(I1435,""/""),,2),INDEX(SPLIT(I1435,""/""),,1))"),44911.0)</f>
        <v>44911</v>
      </c>
      <c r="L1435" s="1">
        <v>0.0</v>
      </c>
      <c r="M1435" s="1" t="s">
        <v>4849</v>
      </c>
      <c r="N1435" s="1"/>
      <c r="O1435" s="1" t="s">
        <v>30</v>
      </c>
      <c r="P1435" s="1" t="s">
        <v>31</v>
      </c>
      <c r="Q1435" s="1" t="s">
        <v>157</v>
      </c>
      <c r="R1435" s="1" t="s">
        <v>157</v>
      </c>
      <c r="S1435" s="1" t="s">
        <v>158</v>
      </c>
      <c r="T1435" s="1" t="s">
        <v>442</v>
      </c>
      <c r="U1435" s="1">
        <v>1.00620934E8</v>
      </c>
      <c r="X1435" s="1" t="s">
        <v>81</v>
      </c>
      <c r="Y1435" s="1" t="s">
        <v>4849</v>
      </c>
      <c r="Z1435" s="1" t="s">
        <v>37</v>
      </c>
    </row>
    <row r="1436" hidden="1">
      <c r="A1436" s="1" t="s">
        <v>4850</v>
      </c>
      <c r="B1436" s="1" t="s">
        <v>66</v>
      </c>
      <c r="C1436" s="1" t="s">
        <v>4851</v>
      </c>
      <c r="D1436" s="1" t="s">
        <v>27</v>
      </c>
      <c r="E1436" s="1" t="s">
        <v>28</v>
      </c>
      <c r="F1436" s="2">
        <v>750000.0</v>
      </c>
      <c r="G1436" s="1" t="s">
        <v>2324</v>
      </c>
      <c r="H1436" s="4">
        <f>IFERROR(__xludf.DUMMYFUNCTION("DATE(INDEX(SPLIT(G1436,""/""),,3),INDEX(SPLIT(G1436,""/""),,2),INDEX(SPLIT(G1436,""/""),,1))"),44705.0)</f>
        <v>44705</v>
      </c>
      <c r="I1436" s="4">
        <v>44689.0</v>
      </c>
      <c r="J1436" s="4">
        <f>IFERROR(__xludf.DUMMYFUNCTION("DATE(INDEX(SPLIT(I1436,""/""),,3),INDEX(SPLIT(I1436,""/""),,2),INDEX(SPLIT(I1436,""/""),,1))"),44778.0)</f>
        <v>44778</v>
      </c>
      <c r="L1436" s="1">
        <v>0.0</v>
      </c>
      <c r="M1436" s="1" t="s">
        <v>204</v>
      </c>
      <c r="N1436" s="1"/>
      <c r="O1436" s="1" t="s">
        <v>30</v>
      </c>
      <c r="P1436" s="1" t="s">
        <v>31</v>
      </c>
      <c r="Q1436" s="1" t="s">
        <v>71</v>
      </c>
      <c r="R1436" s="1" t="s">
        <v>71</v>
      </c>
      <c r="S1436" s="1" t="s">
        <v>72</v>
      </c>
      <c r="T1436" s="1" t="s">
        <v>73</v>
      </c>
      <c r="U1436" s="1">
        <v>1.00650575E8</v>
      </c>
      <c r="X1436" s="1" t="s">
        <v>74</v>
      </c>
      <c r="Y1436" s="1" t="s">
        <v>4852</v>
      </c>
      <c r="Z1436" s="1" t="s">
        <v>206</v>
      </c>
    </row>
    <row r="1437" hidden="1">
      <c r="A1437" s="1" t="s">
        <v>4853</v>
      </c>
      <c r="B1437" s="1" t="s">
        <v>4854</v>
      </c>
      <c r="C1437" s="1" t="s">
        <v>4855</v>
      </c>
      <c r="D1437" s="1" t="s">
        <v>27</v>
      </c>
      <c r="E1437" s="1" t="s">
        <v>28</v>
      </c>
      <c r="F1437" s="2">
        <v>750000.0</v>
      </c>
      <c r="G1437" s="4">
        <v>44234.0</v>
      </c>
      <c r="H1437" s="4">
        <f>IFERROR(__xludf.DUMMYFUNCTION("DATE(INDEX(SPLIT(G1437,""/""),,3),INDEX(SPLIT(G1437,""/""),,2),INDEX(SPLIT(G1437,""/""),,1))"),44379.0)</f>
        <v>44379</v>
      </c>
      <c r="I1437" s="1" t="s">
        <v>4856</v>
      </c>
      <c r="J1437" s="4">
        <f>IFERROR(__xludf.DUMMYFUNCTION("DATE(INDEX(SPLIT(I1437,""/""),,3),INDEX(SPLIT(I1437,""/""),,2),INDEX(SPLIT(I1437,""/""),,1))"),44787.0)</f>
        <v>44787</v>
      </c>
      <c r="L1437" s="1">
        <v>0.0</v>
      </c>
      <c r="M1437" s="1" t="s">
        <v>2237</v>
      </c>
      <c r="N1437" s="1"/>
      <c r="O1437" s="1" t="s">
        <v>30</v>
      </c>
      <c r="P1437" s="1" t="s">
        <v>31</v>
      </c>
      <c r="Q1437" s="1" t="s">
        <v>32</v>
      </c>
      <c r="R1437" s="1" t="s">
        <v>32</v>
      </c>
      <c r="S1437" s="1" t="s">
        <v>33</v>
      </c>
      <c r="T1437" s="1" t="s">
        <v>103</v>
      </c>
      <c r="U1437" s="1">
        <v>1.00611284E8</v>
      </c>
      <c r="W1437" s="1" t="s">
        <v>389</v>
      </c>
      <c r="X1437" s="1" t="s">
        <v>375</v>
      </c>
      <c r="Y1437" s="1" t="s">
        <v>4857</v>
      </c>
      <c r="Z1437" s="1" t="s">
        <v>37</v>
      </c>
    </row>
    <row r="1438" hidden="1">
      <c r="A1438" s="1" t="s">
        <v>4858</v>
      </c>
      <c r="B1438" s="1" t="s">
        <v>3126</v>
      </c>
      <c r="C1438" s="1" t="s">
        <v>4859</v>
      </c>
      <c r="D1438" s="1" t="s">
        <v>27</v>
      </c>
      <c r="E1438" s="1" t="s">
        <v>28</v>
      </c>
      <c r="F1438" s="2">
        <v>750000.0</v>
      </c>
      <c r="G1438" s="1" t="s">
        <v>418</v>
      </c>
      <c r="H1438" s="4">
        <f>IFERROR(__xludf.DUMMYFUNCTION("DATE(INDEX(SPLIT(G1438,""/""),,3),INDEX(SPLIT(G1438,""/""),,2),INDEX(SPLIT(G1438,""/""),,1))"),44755.0)</f>
        <v>44755</v>
      </c>
      <c r="I1438" s="1" t="s">
        <v>1361</v>
      </c>
      <c r="J1438" s="4">
        <f>IFERROR(__xludf.DUMMYFUNCTION("DATE(INDEX(SPLIT(I1438,""/""),,3),INDEX(SPLIT(I1438,""/""),,2),INDEX(SPLIT(I1438,""/""),,1))"),44827.0)</f>
        <v>44827</v>
      </c>
      <c r="L1438" s="1">
        <v>0.0</v>
      </c>
      <c r="M1438" s="1" t="s">
        <v>4860</v>
      </c>
      <c r="N1438" s="1"/>
      <c r="O1438" s="1" t="s">
        <v>30</v>
      </c>
      <c r="P1438" s="1" t="s">
        <v>31</v>
      </c>
      <c r="Q1438" s="1" t="s">
        <v>157</v>
      </c>
      <c r="R1438" s="1" t="s">
        <v>157</v>
      </c>
      <c r="S1438" s="1" t="s">
        <v>158</v>
      </c>
      <c r="U1438" s="1">
        <v>1.00621287E8</v>
      </c>
      <c r="X1438" s="1" t="s">
        <v>63</v>
      </c>
      <c r="Y1438" s="1" t="s">
        <v>4861</v>
      </c>
      <c r="Z1438" s="1" t="s">
        <v>37</v>
      </c>
    </row>
    <row r="1439">
      <c r="A1439" s="1" t="s">
        <v>4862</v>
      </c>
      <c r="B1439" s="1" t="s">
        <v>4209</v>
      </c>
      <c r="C1439" s="1" t="s">
        <v>4863</v>
      </c>
      <c r="D1439" s="1" t="s">
        <v>68</v>
      </c>
      <c r="E1439" s="1" t="s">
        <v>28</v>
      </c>
      <c r="F1439" s="2">
        <v>750000.0</v>
      </c>
      <c r="G1439" s="1" t="s">
        <v>3896</v>
      </c>
      <c r="H1439" s="4">
        <f>IFERROR(__xludf.DUMMYFUNCTION("DATE(INDEX(SPLIT(G1439,""/""),,3),INDEX(SPLIT(G1439,""/""),,2),INDEX(SPLIT(G1439,""/""),,1))"),44697.0)</f>
        <v>44697</v>
      </c>
      <c r="I1439" s="4">
        <v>44780.0</v>
      </c>
      <c r="J1439" s="4">
        <f>IFERROR(__xludf.DUMMYFUNCTION("DATE(INDEX(SPLIT(I1439,""/""),,3),INDEX(SPLIT(I1439,""/""),,2),INDEX(SPLIT(I1439,""/""),,1))"),44750.0)</f>
        <v>44750</v>
      </c>
      <c r="L1439" s="1">
        <v>0.0</v>
      </c>
      <c r="M1439" s="1" t="s">
        <v>3854</v>
      </c>
      <c r="N1439" s="1"/>
      <c r="O1439" s="1" t="s">
        <v>30</v>
      </c>
      <c r="P1439" s="1" t="s">
        <v>31</v>
      </c>
      <c r="Q1439" s="1" t="s">
        <v>71</v>
      </c>
      <c r="R1439" s="1" t="s">
        <v>71</v>
      </c>
      <c r="S1439" s="1" t="s">
        <v>72</v>
      </c>
      <c r="T1439" s="1" t="s">
        <v>136</v>
      </c>
      <c r="U1439" s="1">
        <v>1.00603613E8</v>
      </c>
      <c r="X1439" s="1" t="s">
        <v>63</v>
      </c>
      <c r="Y1439" s="1" t="s">
        <v>4864</v>
      </c>
      <c r="Z1439" s="1" t="s">
        <v>37</v>
      </c>
    </row>
    <row r="1440" hidden="1">
      <c r="A1440" s="1" t="s">
        <v>4865</v>
      </c>
      <c r="B1440" s="1" t="s">
        <v>1590</v>
      </c>
      <c r="C1440" s="1" t="s">
        <v>4866</v>
      </c>
      <c r="D1440" s="1" t="s">
        <v>78</v>
      </c>
      <c r="E1440" s="1" t="s">
        <v>28</v>
      </c>
      <c r="F1440" s="2">
        <v>750000.0</v>
      </c>
      <c r="G1440" s="4">
        <v>44481.0</v>
      </c>
      <c r="H1440" s="4">
        <f>IFERROR(__xludf.DUMMYFUNCTION("DATE(INDEX(SPLIT(G1440,""/""),,3),INDEX(SPLIT(G1440,""/""),,2),INDEX(SPLIT(G1440,""/""),,1))"),44540.0)</f>
        <v>44540</v>
      </c>
      <c r="I1440" s="1" t="s">
        <v>4867</v>
      </c>
      <c r="J1440" s="4">
        <f>IFERROR(__xludf.DUMMYFUNCTION("DATE(INDEX(SPLIT(I1440,""/""),,3),INDEX(SPLIT(I1440,""/""),,2),INDEX(SPLIT(I1440,""/""),,1))"),44854.0)</f>
        <v>44854</v>
      </c>
      <c r="L1440" s="1">
        <v>0.0</v>
      </c>
      <c r="M1440" s="1" t="s">
        <v>1230</v>
      </c>
      <c r="N1440" s="1"/>
      <c r="O1440" s="1" t="s">
        <v>30</v>
      </c>
      <c r="P1440" s="1" t="s">
        <v>31</v>
      </c>
      <c r="Q1440" s="1" t="s">
        <v>53</v>
      </c>
      <c r="R1440" s="1" t="s">
        <v>53</v>
      </c>
      <c r="S1440" s="1" t="s">
        <v>54</v>
      </c>
      <c r="U1440" s="1">
        <v>1.01127868E8</v>
      </c>
      <c r="X1440" s="1" t="s">
        <v>46</v>
      </c>
      <c r="Y1440" s="1" t="s">
        <v>4868</v>
      </c>
      <c r="Z1440" s="1" t="s">
        <v>37</v>
      </c>
    </row>
    <row r="1441" hidden="1">
      <c r="A1441" s="1" t="s">
        <v>4869</v>
      </c>
      <c r="B1441" s="1" t="s">
        <v>39</v>
      </c>
      <c r="C1441" s="1" t="s">
        <v>4870</v>
      </c>
      <c r="D1441" s="1" t="s">
        <v>78</v>
      </c>
      <c r="E1441" s="1" t="s">
        <v>28</v>
      </c>
      <c r="F1441" s="2">
        <v>750000.0</v>
      </c>
      <c r="G1441" s="4">
        <v>44535.0</v>
      </c>
      <c r="H1441" s="4">
        <f>IFERROR(__xludf.DUMMYFUNCTION("DATE(INDEX(SPLIT(G1441,""/""),,3),INDEX(SPLIT(G1441,""/""),,2),INDEX(SPLIT(G1441,""/""),,1))"),44328.0)</f>
        <v>44328</v>
      </c>
      <c r="I1441" s="1" t="s">
        <v>569</v>
      </c>
      <c r="J1441" s="4">
        <f>IFERROR(__xludf.DUMMYFUNCTION("DATE(INDEX(SPLIT(I1441,""/""),,3),INDEX(SPLIT(I1441,""/""),,2),INDEX(SPLIT(I1441,""/""),,1))"),45016.0)</f>
        <v>45016</v>
      </c>
      <c r="L1441" s="1">
        <v>0.0</v>
      </c>
      <c r="M1441" s="1" t="s">
        <v>277</v>
      </c>
      <c r="N1441" s="1"/>
      <c r="O1441" s="1" t="s">
        <v>30</v>
      </c>
      <c r="P1441" s="1" t="s">
        <v>31</v>
      </c>
      <c r="Q1441" s="1" t="s">
        <v>32</v>
      </c>
      <c r="R1441" s="1" t="s">
        <v>32</v>
      </c>
      <c r="S1441" s="1" t="s">
        <v>33</v>
      </c>
      <c r="T1441" s="1" t="s">
        <v>103</v>
      </c>
      <c r="U1441" s="1">
        <v>1.00608828E8</v>
      </c>
      <c r="X1441" s="1" t="s">
        <v>46</v>
      </c>
      <c r="Y1441" s="1" t="s">
        <v>3049</v>
      </c>
      <c r="Z1441" s="1" t="s">
        <v>37</v>
      </c>
    </row>
    <row r="1442" hidden="1">
      <c r="A1442" s="1" t="s">
        <v>4871</v>
      </c>
      <c r="B1442" s="1" t="s">
        <v>1192</v>
      </c>
      <c r="C1442" s="1" t="s">
        <v>4872</v>
      </c>
      <c r="D1442" s="1" t="s">
        <v>122</v>
      </c>
      <c r="E1442" s="1" t="s">
        <v>28</v>
      </c>
      <c r="F1442" s="2">
        <v>750000.0</v>
      </c>
      <c r="G1442" s="1" t="s">
        <v>446</v>
      </c>
      <c r="H1442" s="4">
        <f>IFERROR(__xludf.DUMMYFUNCTION("DATE(INDEX(SPLIT(G1442,""/""),,3),INDEX(SPLIT(G1442,""/""),,2),INDEX(SPLIT(G1442,""/""),,1))"),44210.0)</f>
        <v>44210</v>
      </c>
      <c r="I1442" s="1" t="s">
        <v>4873</v>
      </c>
      <c r="J1442" s="4">
        <f>IFERROR(__xludf.DUMMYFUNCTION("DATE(INDEX(SPLIT(I1442,""/""),,3),INDEX(SPLIT(I1442,""/""),,2),INDEX(SPLIT(I1442,""/""),,1))"),44980.0)</f>
        <v>44980</v>
      </c>
      <c r="L1442" s="1">
        <v>0.0</v>
      </c>
      <c r="M1442" s="1" t="s">
        <v>1194</v>
      </c>
      <c r="N1442" s="1"/>
      <c r="O1442" s="1" t="s">
        <v>30</v>
      </c>
      <c r="P1442" s="1" t="s">
        <v>31</v>
      </c>
      <c r="Q1442" s="1" t="s">
        <v>32</v>
      </c>
      <c r="R1442" s="1" t="s">
        <v>32</v>
      </c>
      <c r="S1442" s="1" t="s">
        <v>33</v>
      </c>
      <c r="T1442" s="1" t="s">
        <v>1195</v>
      </c>
      <c r="U1442" s="1">
        <v>1.00586863E8</v>
      </c>
      <c r="X1442" s="1" t="s">
        <v>125</v>
      </c>
      <c r="Y1442" s="1" t="s">
        <v>1194</v>
      </c>
      <c r="Z1442" s="1" t="s">
        <v>37</v>
      </c>
    </row>
    <row r="1443" hidden="1">
      <c r="A1443" s="1" t="s">
        <v>4874</v>
      </c>
      <c r="B1443" s="1" t="s">
        <v>4875</v>
      </c>
      <c r="C1443" s="1" t="s">
        <v>4876</v>
      </c>
      <c r="D1443" s="1" t="s">
        <v>27</v>
      </c>
      <c r="E1443" s="1" t="s">
        <v>28</v>
      </c>
      <c r="F1443" s="2">
        <v>750000.0</v>
      </c>
      <c r="G1443" s="1" t="s">
        <v>164</v>
      </c>
      <c r="H1443" s="4">
        <f>IFERROR(__xludf.DUMMYFUNCTION("DATE(INDEX(SPLIT(G1443,""/""),,3),INDEX(SPLIT(G1443,""/""),,2),INDEX(SPLIT(G1443,""/""),,1))"),44706.0)</f>
        <v>44706</v>
      </c>
      <c r="I1443" s="1" t="s">
        <v>109</v>
      </c>
      <c r="J1443" s="4">
        <f>IFERROR(__xludf.DUMMYFUNCTION("DATE(INDEX(SPLIT(I1443,""/""),,3),INDEX(SPLIT(I1443,""/""),,2),INDEX(SPLIT(I1443,""/""),,1))"),44834.0)</f>
        <v>44834</v>
      </c>
      <c r="L1443" s="1">
        <v>0.0</v>
      </c>
      <c r="M1443" s="1" t="s">
        <v>1704</v>
      </c>
      <c r="N1443" s="1"/>
      <c r="O1443" s="1" t="s">
        <v>30</v>
      </c>
      <c r="P1443" s="1" t="s">
        <v>31</v>
      </c>
      <c r="Q1443" s="1" t="s">
        <v>157</v>
      </c>
      <c r="R1443" s="1" t="s">
        <v>157</v>
      </c>
      <c r="S1443" s="1" t="s">
        <v>158</v>
      </c>
      <c r="T1443" s="1" t="s">
        <v>442</v>
      </c>
      <c r="U1443" s="1">
        <v>1.00654991E8</v>
      </c>
      <c r="X1443" s="1" t="s">
        <v>305</v>
      </c>
      <c r="Y1443" s="1" t="s">
        <v>1969</v>
      </c>
      <c r="Z1443" s="1" t="s">
        <v>37</v>
      </c>
    </row>
    <row r="1444" hidden="1">
      <c r="A1444" s="1" t="s">
        <v>4877</v>
      </c>
      <c r="B1444" s="1" t="s">
        <v>4878</v>
      </c>
      <c r="C1444" s="1" t="s">
        <v>4879</v>
      </c>
      <c r="D1444" s="1" t="s">
        <v>122</v>
      </c>
      <c r="E1444" s="1" t="s">
        <v>28</v>
      </c>
      <c r="F1444" s="2">
        <v>750000.0</v>
      </c>
      <c r="G1444" s="1" t="s">
        <v>940</v>
      </c>
      <c r="H1444" s="4">
        <f>IFERROR(__xludf.DUMMYFUNCTION("DATE(INDEX(SPLIT(G1444,""/""),,3),INDEX(SPLIT(G1444,""/""),,2),INDEX(SPLIT(G1444,""/""),,1))"),44574.0)</f>
        <v>44574</v>
      </c>
      <c r="I1444" s="4">
        <v>44569.0</v>
      </c>
      <c r="J1444" s="4">
        <f>IFERROR(__xludf.DUMMYFUNCTION("DATE(INDEX(SPLIT(I1444,""/""),,3),INDEX(SPLIT(I1444,""/""),,2),INDEX(SPLIT(I1444,""/""),,1))"),44774.0)</f>
        <v>44774</v>
      </c>
      <c r="K1444" s="1" t="s">
        <v>4880</v>
      </c>
      <c r="L1444" s="1">
        <v>0.0</v>
      </c>
      <c r="M1444" s="1" t="s">
        <v>1303</v>
      </c>
      <c r="N1444" s="1"/>
      <c r="O1444" s="1" t="s">
        <v>30</v>
      </c>
      <c r="P1444" s="1" t="s">
        <v>31</v>
      </c>
      <c r="Q1444" s="1" t="s">
        <v>235</v>
      </c>
      <c r="R1444" s="1" t="s">
        <v>235</v>
      </c>
      <c r="S1444" s="1" t="s">
        <v>236</v>
      </c>
      <c r="U1444" s="1">
        <v>1.00609073E8</v>
      </c>
      <c r="X1444" s="1" t="s">
        <v>88</v>
      </c>
      <c r="Y1444" s="1" t="s">
        <v>942</v>
      </c>
      <c r="Z1444" s="1" t="s">
        <v>37</v>
      </c>
    </row>
    <row r="1445">
      <c r="A1445" s="1" t="s">
        <v>4881</v>
      </c>
      <c r="B1445" s="1" t="s">
        <v>1371</v>
      </c>
      <c r="C1445" s="1" t="s">
        <v>4882</v>
      </c>
      <c r="D1445" s="1" t="s">
        <v>27</v>
      </c>
      <c r="E1445" s="1" t="s">
        <v>28</v>
      </c>
      <c r="F1445" s="2">
        <v>750000.0</v>
      </c>
      <c r="G1445" s="4">
        <v>44263.0</v>
      </c>
      <c r="H1445" s="4">
        <f>IFERROR(__xludf.DUMMYFUNCTION("DATE(INDEX(SPLIT(G1445,""/""),,3),INDEX(SPLIT(G1445,""/""),,2),INDEX(SPLIT(G1445,""/""),,1))"),44411.0)</f>
        <v>44411</v>
      </c>
      <c r="I1445" s="1" t="s">
        <v>1244</v>
      </c>
      <c r="J1445" s="4">
        <f>IFERROR(__xludf.DUMMYFUNCTION("DATE(INDEX(SPLIT(I1445,""/""),,3),INDEX(SPLIT(I1445,""/""),,2),INDEX(SPLIT(I1445,""/""),,1))"),44742.0)</f>
        <v>44742</v>
      </c>
      <c r="L1445" s="1">
        <v>0.0</v>
      </c>
      <c r="M1445" s="1" t="s">
        <v>1373</v>
      </c>
      <c r="N1445" s="1"/>
      <c r="O1445" s="1" t="s">
        <v>30</v>
      </c>
      <c r="P1445" s="1" t="s">
        <v>31</v>
      </c>
      <c r="Q1445" s="1" t="s">
        <v>95</v>
      </c>
      <c r="R1445" s="1" t="s">
        <v>95</v>
      </c>
      <c r="S1445" s="1" t="s">
        <v>96</v>
      </c>
      <c r="U1445" s="1">
        <v>1.00626753E8</v>
      </c>
      <c r="X1445" s="1" t="s">
        <v>63</v>
      </c>
      <c r="Y1445" s="1" t="s">
        <v>1373</v>
      </c>
      <c r="Z1445" s="1" t="s">
        <v>37</v>
      </c>
    </row>
    <row r="1446" hidden="1">
      <c r="A1446" s="1" t="s">
        <v>4883</v>
      </c>
      <c r="B1446" s="1" t="s">
        <v>4884</v>
      </c>
      <c r="C1446" s="1" t="s">
        <v>4885</v>
      </c>
      <c r="D1446" s="1" t="s">
        <v>27</v>
      </c>
      <c r="E1446" s="1" t="s">
        <v>28</v>
      </c>
      <c r="F1446" s="2">
        <v>750000.0</v>
      </c>
      <c r="G1446" s="4">
        <v>44779.0</v>
      </c>
      <c r="H1446" s="4">
        <f>IFERROR(__xludf.DUMMYFUNCTION("DATE(INDEX(SPLIT(G1446,""/""),,3),INDEX(SPLIT(G1446,""/""),,2),INDEX(SPLIT(G1446,""/""),,1))"),44720.0)</f>
        <v>44720</v>
      </c>
      <c r="I1446" s="4">
        <v>44816.0</v>
      </c>
      <c r="J1446" s="4">
        <f>IFERROR(__xludf.DUMMYFUNCTION("DATE(INDEX(SPLIT(I1446,""/""),,3),INDEX(SPLIT(I1446,""/""),,2),INDEX(SPLIT(I1446,""/""),,1))"),44904.0)</f>
        <v>44904</v>
      </c>
      <c r="L1446" s="1">
        <v>0.0</v>
      </c>
      <c r="M1446" s="1" t="s">
        <v>2623</v>
      </c>
      <c r="N1446" s="1"/>
      <c r="O1446" s="1" t="s">
        <v>30</v>
      </c>
      <c r="P1446" s="1" t="s">
        <v>31</v>
      </c>
      <c r="Q1446" s="1" t="s">
        <v>71</v>
      </c>
      <c r="R1446" s="1" t="s">
        <v>71</v>
      </c>
      <c r="S1446" s="1" t="s">
        <v>72</v>
      </c>
      <c r="T1446" s="1" t="s">
        <v>4886</v>
      </c>
      <c r="U1446" s="1">
        <v>1.00618842E8</v>
      </c>
      <c r="X1446" s="1" t="s">
        <v>74</v>
      </c>
      <c r="Y1446" s="1" t="s">
        <v>4887</v>
      </c>
      <c r="Z1446" s="1" t="s">
        <v>37</v>
      </c>
    </row>
    <row r="1447" hidden="1">
      <c r="A1447" s="1" t="s">
        <v>4888</v>
      </c>
      <c r="B1447" s="1" t="s">
        <v>337</v>
      </c>
      <c r="C1447" s="1" t="s">
        <v>4889</v>
      </c>
      <c r="D1447" s="1" t="s">
        <v>27</v>
      </c>
      <c r="E1447" s="1" t="s">
        <v>28</v>
      </c>
      <c r="F1447" s="2">
        <v>750000.0</v>
      </c>
      <c r="G1447" s="1" t="s">
        <v>453</v>
      </c>
      <c r="H1447" s="4">
        <f>IFERROR(__xludf.DUMMYFUNCTION("DATE(INDEX(SPLIT(G1447,""/""),,3),INDEX(SPLIT(G1447,""/""),,2),INDEX(SPLIT(G1447,""/""),,1))"),44029.0)</f>
        <v>44029</v>
      </c>
      <c r="I1447" s="1" t="s">
        <v>203</v>
      </c>
      <c r="J1447" s="4">
        <f>IFERROR(__xludf.DUMMYFUNCTION("DATE(INDEX(SPLIT(I1447,""/""),,3),INDEX(SPLIT(I1447,""/""),,2),INDEX(SPLIT(I1447,""/""),,1))"),44925.0)</f>
        <v>44925</v>
      </c>
      <c r="L1447" s="1">
        <v>0.0</v>
      </c>
      <c r="M1447" s="1" t="s">
        <v>4598</v>
      </c>
      <c r="N1447" s="1"/>
      <c r="O1447" s="1" t="s">
        <v>30</v>
      </c>
      <c r="P1447" s="1" t="s">
        <v>31</v>
      </c>
      <c r="Q1447" s="1" t="s">
        <v>157</v>
      </c>
      <c r="R1447" s="1" t="s">
        <v>157</v>
      </c>
      <c r="S1447" s="1" t="s">
        <v>158</v>
      </c>
      <c r="T1447" s="1" t="s">
        <v>237</v>
      </c>
      <c r="U1447" s="1">
        <v>1.00650304E8</v>
      </c>
      <c r="X1447" s="1" t="s">
        <v>239</v>
      </c>
      <c r="Y1447" s="1" t="s">
        <v>2373</v>
      </c>
      <c r="Z1447" s="1" t="s">
        <v>37</v>
      </c>
    </row>
    <row r="1448" hidden="1">
      <c r="A1448" s="1" t="s">
        <v>4890</v>
      </c>
      <c r="B1448" s="1" t="s">
        <v>1535</v>
      </c>
      <c r="C1448" s="1" t="s">
        <v>4891</v>
      </c>
      <c r="D1448" s="1" t="s">
        <v>27</v>
      </c>
      <c r="E1448" s="1" t="s">
        <v>28</v>
      </c>
      <c r="F1448" s="2">
        <v>750000.0</v>
      </c>
      <c r="G1448" s="1" t="s">
        <v>2988</v>
      </c>
      <c r="H1448" s="4">
        <f>IFERROR(__xludf.DUMMYFUNCTION("DATE(INDEX(SPLIT(G1448,""/""),,3),INDEX(SPLIT(G1448,""/""),,2),INDEX(SPLIT(G1448,""/""),,1))"),44523.0)</f>
        <v>44523</v>
      </c>
      <c r="I1448" s="1" t="s">
        <v>4892</v>
      </c>
      <c r="J1448" s="4">
        <f>IFERROR(__xludf.DUMMYFUNCTION("DATE(INDEX(SPLIT(I1448,""/""),,3),INDEX(SPLIT(I1448,""/""),,2),INDEX(SPLIT(I1448,""/""),,1))"),45125.0)</f>
        <v>45125</v>
      </c>
      <c r="L1448" s="1">
        <v>0.0</v>
      </c>
      <c r="M1448" s="1" t="s">
        <v>2764</v>
      </c>
      <c r="N1448" s="1"/>
      <c r="O1448" s="1" t="s">
        <v>30</v>
      </c>
      <c r="P1448" s="1" t="s">
        <v>31</v>
      </c>
      <c r="Q1448" s="1" t="s">
        <v>157</v>
      </c>
      <c r="R1448" s="1" t="s">
        <v>157</v>
      </c>
      <c r="S1448" s="1" t="s">
        <v>158</v>
      </c>
      <c r="T1448" s="1" t="s">
        <v>442</v>
      </c>
      <c r="U1448" s="1">
        <v>1.00639477E8</v>
      </c>
      <c r="X1448" s="1" t="s">
        <v>490</v>
      </c>
      <c r="Y1448" s="1" t="s">
        <v>3904</v>
      </c>
      <c r="Z1448" s="1" t="s">
        <v>37</v>
      </c>
    </row>
    <row r="1449" hidden="1">
      <c r="A1449" s="1" t="s">
        <v>4893</v>
      </c>
      <c r="B1449" s="1" t="s">
        <v>1535</v>
      </c>
      <c r="C1449" s="1" t="s">
        <v>4894</v>
      </c>
      <c r="D1449" s="1" t="s">
        <v>27</v>
      </c>
      <c r="E1449" s="1" t="s">
        <v>28</v>
      </c>
      <c r="F1449" s="2">
        <v>750000.0</v>
      </c>
      <c r="G1449" s="1" t="s">
        <v>2988</v>
      </c>
      <c r="H1449" s="4">
        <f>IFERROR(__xludf.DUMMYFUNCTION("DATE(INDEX(SPLIT(G1449,""/""),,3),INDEX(SPLIT(G1449,""/""),,2),INDEX(SPLIT(G1449,""/""),,1))"),44523.0)</f>
        <v>44523</v>
      </c>
      <c r="I1449" s="4">
        <v>45058.0</v>
      </c>
      <c r="J1449" s="4">
        <f>IFERROR(__xludf.DUMMYFUNCTION("DATE(INDEX(SPLIT(I1449,""/""),,3),INDEX(SPLIT(I1449,""/""),,2),INDEX(SPLIT(I1449,""/""),,1))"),45265.0)</f>
        <v>45265</v>
      </c>
      <c r="L1449" s="1">
        <v>0.0</v>
      </c>
      <c r="M1449" s="1" t="s">
        <v>2764</v>
      </c>
      <c r="N1449" s="1"/>
      <c r="O1449" s="1" t="s">
        <v>30</v>
      </c>
      <c r="P1449" s="1" t="s">
        <v>31</v>
      </c>
      <c r="Q1449" s="1" t="s">
        <v>157</v>
      </c>
      <c r="R1449" s="1" t="s">
        <v>157</v>
      </c>
      <c r="S1449" s="1" t="s">
        <v>158</v>
      </c>
      <c r="T1449" s="1" t="s">
        <v>442</v>
      </c>
      <c r="U1449" s="1">
        <v>1.00639477E8</v>
      </c>
      <c r="X1449" s="1" t="s">
        <v>490</v>
      </c>
      <c r="Y1449" s="1" t="s">
        <v>3904</v>
      </c>
      <c r="Z1449" s="1" t="s">
        <v>37</v>
      </c>
    </row>
    <row r="1450" hidden="1">
      <c r="A1450" s="1" t="s">
        <v>4895</v>
      </c>
      <c r="B1450" s="1" t="s">
        <v>532</v>
      </c>
      <c r="C1450" s="1" t="s">
        <v>4896</v>
      </c>
      <c r="D1450" s="1" t="s">
        <v>27</v>
      </c>
      <c r="E1450" s="1" t="s">
        <v>28</v>
      </c>
      <c r="F1450" s="2">
        <v>750000.0</v>
      </c>
      <c r="G1450" s="4">
        <v>44836.0</v>
      </c>
      <c r="H1450" s="4">
        <f>IFERROR(__xludf.DUMMYFUNCTION("DATE(INDEX(SPLIT(G1450,""/""),,3),INDEX(SPLIT(G1450,""/""),,2),INDEX(SPLIT(G1450,""/""),,1))"),44602.0)</f>
        <v>44602</v>
      </c>
      <c r="I1450" s="1" t="s">
        <v>203</v>
      </c>
      <c r="J1450" s="4">
        <f>IFERROR(__xludf.DUMMYFUNCTION("DATE(INDEX(SPLIT(I1450,""/""),,3),INDEX(SPLIT(I1450,""/""),,2),INDEX(SPLIT(I1450,""/""),,1))"),44925.0)</f>
        <v>44925</v>
      </c>
      <c r="L1450" s="1">
        <v>0.0</v>
      </c>
      <c r="M1450" s="1" t="s">
        <v>1376</v>
      </c>
      <c r="N1450" s="1"/>
      <c r="O1450" s="1" t="s">
        <v>30</v>
      </c>
      <c r="P1450" s="1" t="s">
        <v>31</v>
      </c>
      <c r="Q1450" s="1" t="s">
        <v>32</v>
      </c>
      <c r="R1450" s="1" t="s">
        <v>32</v>
      </c>
      <c r="S1450" s="1" t="s">
        <v>33</v>
      </c>
      <c r="T1450" s="1" t="s">
        <v>1195</v>
      </c>
      <c r="U1450" s="1">
        <v>1.006096E8</v>
      </c>
      <c r="X1450" s="1" t="s">
        <v>490</v>
      </c>
      <c r="Y1450" s="1" t="s">
        <v>1377</v>
      </c>
      <c r="Z1450" s="1" t="s">
        <v>37</v>
      </c>
    </row>
    <row r="1451">
      <c r="A1451" s="1" t="s">
        <v>4897</v>
      </c>
      <c r="B1451" s="1" t="s">
        <v>605</v>
      </c>
      <c r="C1451" s="1" t="s">
        <v>4898</v>
      </c>
      <c r="D1451" s="1" t="s">
        <v>27</v>
      </c>
      <c r="E1451" s="1" t="s">
        <v>28</v>
      </c>
      <c r="F1451" s="2">
        <v>750000.0</v>
      </c>
      <c r="G1451" s="1" t="s">
        <v>2025</v>
      </c>
      <c r="H1451" s="4">
        <f>IFERROR(__xludf.DUMMYFUNCTION("DATE(INDEX(SPLIT(G1451,""/""),,3),INDEX(SPLIT(G1451,""/""),,2),INDEX(SPLIT(G1451,""/""),,1))"),44664.0)</f>
        <v>44664</v>
      </c>
      <c r="I1451" s="1" t="s">
        <v>1244</v>
      </c>
      <c r="J1451" s="4">
        <f>IFERROR(__xludf.DUMMYFUNCTION("DATE(INDEX(SPLIT(I1451,""/""),,3),INDEX(SPLIT(I1451,""/""),,2),INDEX(SPLIT(I1451,""/""),,1))"),44742.0)</f>
        <v>44742</v>
      </c>
      <c r="L1451" s="1">
        <v>0.0</v>
      </c>
      <c r="M1451" s="1" t="s">
        <v>3099</v>
      </c>
      <c r="N1451" s="1"/>
      <c r="O1451" s="1" t="s">
        <v>30</v>
      </c>
      <c r="P1451" s="1" t="s">
        <v>31</v>
      </c>
      <c r="Q1451" s="1" t="s">
        <v>95</v>
      </c>
      <c r="R1451" s="1" t="s">
        <v>95</v>
      </c>
      <c r="S1451" s="1" t="s">
        <v>96</v>
      </c>
      <c r="T1451" s="1" t="s">
        <v>111</v>
      </c>
      <c r="U1451" s="1">
        <v>1.00589299E8</v>
      </c>
      <c r="X1451" s="1" t="s">
        <v>63</v>
      </c>
      <c r="Y1451" s="1" t="s">
        <v>4428</v>
      </c>
      <c r="Z1451" s="1" t="s">
        <v>37</v>
      </c>
    </row>
    <row r="1452">
      <c r="A1452" s="1" t="s">
        <v>4899</v>
      </c>
      <c r="B1452" s="1" t="s">
        <v>3429</v>
      </c>
      <c r="C1452" s="1" t="s">
        <v>4900</v>
      </c>
      <c r="D1452" s="1" t="s">
        <v>27</v>
      </c>
      <c r="E1452" s="1" t="s">
        <v>28</v>
      </c>
      <c r="F1452" s="2">
        <v>750000.0</v>
      </c>
      <c r="G1452" s="1" t="s">
        <v>4901</v>
      </c>
      <c r="H1452" s="4">
        <f>IFERROR(__xludf.DUMMYFUNCTION("DATE(INDEX(SPLIT(G1452,""/""),,3),INDEX(SPLIT(G1452,""/""),,2),INDEX(SPLIT(G1452,""/""),,1))"),44488.0)</f>
        <v>44488</v>
      </c>
      <c r="I1452" s="1" t="s">
        <v>226</v>
      </c>
      <c r="J1452" s="4">
        <f>IFERROR(__xludf.DUMMYFUNCTION("DATE(INDEX(SPLIT(I1452,""/""),,3),INDEX(SPLIT(I1452,""/""),,2),INDEX(SPLIT(I1452,""/""),,1))"),44771.0)</f>
        <v>44771</v>
      </c>
      <c r="L1452" s="1">
        <v>0.0</v>
      </c>
      <c r="M1452" s="1" t="s">
        <v>61</v>
      </c>
      <c r="N1452" s="1"/>
      <c r="O1452" s="1" t="s">
        <v>30</v>
      </c>
      <c r="P1452" s="1" t="s">
        <v>31</v>
      </c>
      <c r="Q1452" s="1" t="s">
        <v>32</v>
      </c>
      <c r="R1452" s="1" t="s">
        <v>32</v>
      </c>
      <c r="S1452" s="1" t="s">
        <v>33</v>
      </c>
      <c r="T1452" s="1" t="s">
        <v>103</v>
      </c>
      <c r="U1452" s="1">
        <v>1.0060843E8</v>
      </c>
      <c r="X1452" s="1" t="s">
        <v>63</v>
      </c>
      <c r="Y1452" s="1" t="s">
        <v>3053</v>
      </c>
      <c r="Z1452" s="1" t="s">
        <v>37</v>
      </c>
    </row>
    <row r="1453">
      <c r="A1453" s="1" t="s">
        <v>4902</v>
      </c>
      <c r="B1453" s="1" t="s">
        <v>1291</v>
      </c>
      <c r="C1453" s="1" t="s">
        <v>4903</v>
      </c>
      <c r="D1453" s="1" t="s">
        <v>27</v>
      </c>
      <c r="E1453" s="1" t="s">
        <v>28</v>
      </c>
      <c r="F1453" s="2">
        <v>750000.0</v>
      </c>
      <c r="G1453" s="1" t="s">
        <v>1128</v>
      </c>
      <c r="H1453" s="4">
        <f>IFERROR(__xludf.DUMMYFUNCTION("DATE(INDEX(SPLIT(G1453,""/""),,3),INDEX(SPLIT(G1453,""/""),,2),INDEX(SPLIT(G1453,""/""),,1))"),44737.0)</f>
        <v>44737</v>
      </c>
      <c r="I1453" s="1" t="s">
        <v>414</v>
      </c>
      <c r="J1453" s="4">
        <f>IFERROR(__xludf.DUMMYFUNCTION("DATE(INDEX(SPLIT(I1453,""/""),,3),INDEX(SPLIT(I1453,""/""),,2),INDEX(SPLIT(I1453,""/""),,1))"),44772.0)</f>
        <v>44772</v>
      </c>
      <c r="L1453" s="1">
        <v>0.0</v>
      </c>
      <c r="M1453" s="1" t="s">
        <v>494</v>
      </c>
      <c r="N1453" s="1"/>
      <c r="O1453" s="1" t="s">
        <v>30</v>
      </c>
      <c r="P1453" s="1" t="s">
        <v>31</v>
      </c>
      <c r="Q1453" s="1" t="s">
        <v>95</v>
      </c>
      <c r="R1453" s="1" t="s">
        <v>95</v>
      </c>
      <c r="S1453" s="1" t="s">
        <v>96</v>
      </c>
      <c r="T1453" s="1" t="s">
        <v>103</v>
      </c>
      <c r="U1453" s="1">
        <v>1.0062347E8</v>
      </c>
      <c r="X1453" s="1" t="s">
        <v>312</v>
      </c>
      <c r="Y1453" s="1" t="s">
        <v>1293</v>
      </c>
      <c r="Z1453" s="1" t="s">
        <v>37</v>
      </c>
    </row>
    <row r="1454" hidden="1">
      <c r="A1454" s="1" t="s">
        <v>4904</v>
      </c>
      <c r="B1454" s="1" t="s">
        <v>4905</v>
      </c>
      <c r="C1454" s="1" t="s">
        <v>4906</v>
      </c>
      <c r="D1454" s="1" t="s">
        <v>27</v>
      </c>
      <c r="E1454" s="1" t="s">
        <v>28</v>
      </c>
      <c r="F1454" s="2">
        <v>750000.0</v>
      </c>
      <c r="G1454" s="1" t="s">
        <v>4901</v>
      </c>
      <c r="H1454" s="4">
        <f>IFERROR(__xludf.DUMMYFUNCTION("DATE(INDEX(SPLIT(G1454,""/""),,3),INDEX(SPLIT(G1454,""/""),,2),INDEX(SPLIT(G1454,""/""),,1))"),44488.0)</f>
        <v>44488</v>
      </c>
      <c r="I1454" s="1" t="s">
        <v>109</v>
      </c>
      <c r="J1454" s="4">
        <f>IFERROR(__xludf.DUMMYFUNCTION("DATE(INDEX(SPLIT(I1454,""/""),,3),INDEX(SPLIT(I1454,""/""),,2),INDEX(SPLIT(I1454,""/""),,1))"),44834.0)</f>
        <v>44834</v>
      </c>
      <c r="L1454" s="1">
        <v>0.0</v>
      </c>
      <c r="M1454" s="1" t="s">
        <v>3052</v>
      </c>
      <c r="N1454" s="1"/>
      <c r="O1454" s="1" t="s">
        <v>30</v>
      </c>
      <c r="P1454" s="1" t="s">
        <v>31</v>
      </c>
      <c r="Q1454" s="1" t="s">
        <v>32</v>
      </c>
      <c r="R1454" s="1" t="s">
        <v>32</v>
      </c>
      <c r="S1454" s="1" t="s">
        <v>33</v>
      </c>
      <c r="T1454" s="1" t="s">
        <v>103</v>
      </c>
      <c r="U1454" s="1">
        <v>1.00610367E8</v>
      </c>
      <c r="X1454" s="1" t="s">
        <v>63</v>
      </c>
      <c r="Y1454" s="1" t="s">
        <v>3053</v>
      </c>
      <c r="Z1454" s="1" t="s">
        <v>37</v>
      </c>
    </row>
    <row r="1455">
      <c r="A1455" s="1" t="s">
        <v>4907</v>
      </c>
      <c r="B1455" s="1" t="s">
        <v>774</v>
      </c>
      <c r="C1455" s="1" t="s">
        <v>4908</v>
      </c>
      <c r="D1455" s="1" t="s">
        <v>78</v>
      </c>
      <c r="E1455" s="1" t="s">
        <v>28</v>
      </c>
      <c r="F1455" s="2">
        <v>750000.0</v>
      </c>
      <c r="G1455" s="4">
        <v>43507.0</v>
      </c>
      <c r="H1455" s="4">
        <f>IFERROR(__xludf.DUMMYFUNCTION("DATE(INDEX(SPLIT(G1455,""/""),,3),INDEX(SPLIT(G1455,""/""),,2),INDEX(SPLIT(G1455,""/""),,1))"),43771.0)</f>
        <v>43771</v>
      </c>
      <c r="I1455" s="1" t="s">
        <v>226</v>
      </c>
      <c r="J1455" s="4">
        <f>IFERROR(__xludf.DUMMYFUNCTION("DATE(INDEX(SPLIT(I1455,""/""),,3),INDEX(SPLIT(I1455,""/""),,2),INDEX(SPLIT(I1455,""/""),,1))"),44771.0)</f>
        <v>44771</v>
      </c>
      <c r="L1455" s="1">
        <v>0.0</v>
      </c>
      <c r="M1455" s="1" t="s">
        <v>259</v>
      </c>
      <c r="N1455" s="1"/>
      <c r="O1455" s="1" t="s">
        <v>30</v>
      </c>
      <c r="P1455" s="1" t="s">
        <v>31</v>
      </c>
      <c r="Q1455" s="1" t="s">
        <v>95</v>
      </c>
      <c r="R1455" s="1" t="s">
        <v>95</v>
      </c>
      <c r="S1455" s="1" t="s">
        <v>96</v>
      </c>
      <c r="T1455" s="1" t="s">
        <v>260</v>
      </c>
      <c r="U1455" s="1">
        <v>1.00659114E8</v>
      </c>
      <c r="W1455" s="1" t="s">
        <v>717</v>
      </c>
      <c r="X1455" s="1" t="s">
        <v>239</v>
      </c>
      <c r="Y1455" s="1" t="s">
        <v>262</v>
      </c>
      <c r="Z1455" s="1" t="s">
        <v>37</v>
      </c>
    </row>
    <row r="1456" hidden="1">
      <c r="A1456" s="1" t="s">
        <v>4909</v>
      </c>
      <c r="B1456" s="1" t="s">
        <v>2135</v>
      </c>
      <c r="C1456" s="1" t="s">
        <v>2137</v>
      </c>
      <c r="D1456" s="1" t="s">
        <v>122</v>
      </c>
      <c r="E1456" s="1" t="s">
        <v>28</v>
      </c>
      <c r="F1456" s="2">
        <v>750000.0</v>
      </c>
      <c r="G1456" s="1" t="s">
        <v>2025</v>
      </c>
      <c r="H1456" s="4">
        <f>IFERROR(__xludf.DUMMYFUNCTION("DATE(INDEX(SPLIT(G1456,""/""),,3),INDEX(SPLIT(G1456,""/""),,2),INDEX(SPLIT(G1456,""/""),,1))"),44664.0)</f>
        <v>44664</v>
      </c>
      <c r="I1456" s="1" t="s">
        <v>109</v>
      </c>
      <c r="J1456" s="4">
        <f>IFERROR(__xludf.DUMMYFUNCTION("DATE(INDEX(SPLIT(I1456,""/""),,3),INDEX(SPLIT(I1456,""/""),,2),INDEX(SPLIT(I1456,""/""),,1))"),44834.0)</f>
        <v>44834</v>
      </c>
      <c r="L1456" s="1">
        <v>0.0</v>
      </c>
      <c r="M1456" s="1" t="s">
        <v>216</v>
      </c>
      <c r="N1456" s="1"/>
      <c r="O1456" s="1" t="s">
        <v>30</v>
      </c>
      <c r="P1456" s="1" t="s">
        <v>31</v>
      </c>
      <c r="Q1456" s="1" t="s">
        <v>95</v>
      </c>
      <c r="R1456" s="1" t="s">
        <v>95</v>
      </c>
      <c r="S1456" s="1" t="s">
        <v>96</v>
      </c>
      <c r="T1456" s="1" t="s">
        <v>311</v>
      </c>
      <c r="U1456" s="1">
        <v>1.01200292E8</v>
      </c>
      <c r="W1456" s="1" t="s">
        <v>56</v>
      </c>
      <c r="X1456" s="1" t="s">
        <v>361</v>
      </c>
      <c r="Y1456" s="1" t="s">
        <v>2138</v>
      </c>
      <c r="Z1456" s="1" t="s">
        <v>37</v>
      </c>
    </row>
    <row r="1457">
      <c r="A1457" s="1" t="s">
        <v>4910</v>
      </c>
      <c r="B1457" s="1" t="s">
        <v>4911</v>
      </c>
      <c r="C1457" s="1" t="s">
        <v>4912</v>
      </c>
      <c r="D1457" s="1" t="s">
        <v>122</v>
      </c>
      <c r="E1457" s="1" t="s">
        <v>28</v>
      </c>
      <c r="F1457" s="2">
        <v>750000.0</v>
      </c>
      <c r="G1457" s="1" t="s">
        <v>1381</v>
      </c>
      <c r="H1457" s="4">
        <f>IFERROR(__xludf.DUMMYFUNCTION("DATE(INDEX(SPLIT(G1457,""/""),,3),INDEX(SPLIT(G1457,""/""),,2),INDEX(SPLIT(G1457,""/""),,1))"),44643.0)</f>
        <v>44643</v>
      </c>
      <c r="I1457" s="1" t="s">
        <v>2422</v>
      </c>
      <c r="J1457" s="4">
        <f>IFERROR(__xludf.DUMMYFUNCTION("DATE(INDEX(SPLIT(I1457,""/""),,3),INDEX(SPLIT(I1457,""/""),,2),INDEX(SPLIT(I1457,""/""),,1))"),44769.0)</f>
        <v>44769</v>
      </c>
      <c r="L1457" s="1">
        <v>0.0</v>
      </c>
      <c r="M1457" s="1" t="s">
        <v>1741</v>
      </c>
      <c r="N1457" s="1"/>
      <c r="O1457" s="1" t="s">
        <v>30</v>
      </c>
      <c r="P1457" s="1" t="s">
        <v>31</v>
      </c>
      <c r="Q1457" s="1" t="s">
        <v>32</v>
      </c>
      <c r="R1457" s="1" t="s">
        <v>32</v>
      </c>
      <c r="S1457" s="1" t="s">
        <v>33</v>
      </c>
      <c r="T1457" s="1" t="s">
        <v>103</v>
      </c>
      <c r="U1457" s="1">
        <v>1.00645852E8</v>
      </c>
      <c r="X1457" s="1" t="s">
        <v>490</v>
      </c>
      <c r="Y1457" s="1" t="s">
        <v>4913</v>
      </c>
      <c r="Z1457" s="1" t="s">
        <v>37</v>
      </c>
    </row>
    <row r="1458" hidden="1">
      <c r="A1458" s="1" t="s">
        <v>4914</v>
      </c>
      <c r="B1458" s="1" t="s">
        <v>1192</v>
      </c>
      <c r="C1458" s="1" t="s">
        <v>4915</v>
      </c>
      <c r="D1458" s="1" t="s">
        <v>122</v>
      </c>
      <c r="E1458" s="1" t="s">
        <v>28</v>
      </c>
      <c r="F1458" s="2">
        <v>750000.0</v>
      </c>
      <c r="G1458" s="1" t="s">
        <v>4916</v>
      </c>
      <c r="H1458" s="4">
        <f>IFERROR(__xludf.DUMMYFUNCTION("DATE(INDEX(SPLIT(G1458,""/""),,3),INDEX(SPLIT(G1458,""/""),,2),INDEX(SPLIT(G1458,""/""),,1))"),44370.0)</f>
        <v>44370</v>
      </c>
      <c r="I1458" s="1" t="s">
        <v>1097</v>
      </c>
      <c r="J1458" s="4">
        <f>IFERROR(__xludf.DUMMYFUNCTION("DATE(INDEX(SPLIT(I1458,""/""),,3),INDEX(SPLIT(I1458,""/""),,2),INDEX(SPLIT(I1458,""/""),,1))"),45107.0)</f>
        <v>45107</v>
      </c>
      <c r="L1458" s="1">
        <v>0.0</v>
      </c>
      <c r="M1458" s="1" t="s">
        <v>1194</v>
      </c>
      <c r="N1458" s="1"/>
      <c r="O1458" s="1" t="s">
        <v>30</v>
      </c>
      <c r="P1458" s="1" t="s">
        <v>31</v>
      </c>
      <c r="Q1458" s="1" t="s">
        <v>32</v>
      </c>
      <c r="R1458" s="1" t="s">
        <v>32</v>
      </c>
      <c r="S1458" s="1" t="s">
        <v>33</v>
      </c>
      <c r="T1458" s="1" t="s">
        <v>1195</v>
      </c>
      <c r="U1458" s="1">
        <v>1.00586863E8</v>
      </c>
      <c r="X1458" s="1" t="s">
        <v>125</v>
      </c>
      <c r="Y1458" s="1" t="s">
        <v>1194</v>
      </c>
      <c r="Z1458" s="1" t="s">
        <v>37</v>
      </c>
    </row>
    <row r="1459" hidden="1">
      <c r="A1459" s="1" t="s">
        <v>4917</v>
      </c>
      <c r="B1459" s="1" t="s">
        <v>1748</v>
      </c>
      <c r="C1459" s="1" t="s">
        <v>4918</v>
      </c>
      <c r="D1459" s="1" t="s">
        <v>27</v>
      </c>
      <c r="E1459" s="1" t="s">
        <v>28</v>
      </c>
      <c r="F1459" s="2">
        <v>750000.0</v>
      </c>
      <c r="G1459" s="4">
        <v>44140.0</v>
      </c>
      <c r="H1459" s="4">
        <f>IFERROR(__xludf.DUMMYFUNCTION("DATE(INDEX(SPLIT(G1459,""/""),,3),INDEX(SPLIT(G1459,""/""),,2),INDEX(SPLIT(G1459,""/""),,1))"),43962.0)</f>
        <v>43962</v>
      </c>
      <c r="I1459" s="4">
        <v>44904.0</v>
      </c>
      <c r="J1459" s="4">
        <f>IFERROR(__xludf.DUMMYFUNCTION("DATE(INDEX(SPLIT(I1459,""/""),,3),INDEX(SPLIT(I1459,""/""),,2),INDEX(SPLIT(I1459,""/""),,1))"),44816.0)</f>
        <v>44816</v>
      </c>
      <c r="L1459" s="1">
        <v>0.0</v>
      </c>
      <c r="M1459" s="1" t="s">
        <v>4919</v>
      </c>
      <c r="N1459" s="1"/>
      <c r="O1459" s="1" t="s">
        <v>30</v>
      </c>
      <c r="P1459" s="1" t="s">
        <v>31</v>
      </c>
      <c r="Q1459" s="1" t="s">
        <v>235</v>
      </c>
      <c r="R1459" s="1" t="s">
        <v>235</v>
      </c>
      <c r="S1459" s="1" t="s">
        <v>236</v>
      </c>
      <c r="T1459" s="1" t="s">
        <v>1349</v>
      </c>
      <c r="U1459" s="1">
        <v>1.00646809E8</v>
      </c>
      <c r="X1459" s="1" t="s">
        <v>88</v>
      </c>
      <c r="Y1459" s="1" t="s">
        <v>4920</v>
      </c>
      <c r="Z1459" s="1" t="s">
        <v>37</v>
      </c>
    </row>
    <row r="1460" hidden="1">
      <c r="A1460" s="1" t="s">
        <v>4921</v>
      </c>
      <c r="B1460" s="1" t="s">
        <v>4922</v>
      </c>
      <c r="C1460" s="1" t="s">
        <v>4923</v>
      </c>
      <c r="D1460" s="1" t="s">
        <v>78</v>
      </c>
      <c r="E1460" s="1" t="s">
        <v>28</v>
      </c>
      <c r="F1460" s="2">
        <v>750000.0</v>
      </c>
      <c r="G1460" s="1" t="s">
        <v>298</v>
      </c>
      <c r="H1460" s="4">
        <f>IFERROR(__xludf.DUMMYFUNCTION("DATE(INDEX(SPLIT(G1460,""/""),,3),INDEX(SPLIT(G1460,""/""),,2),INDEX(SPLIT(G1460,""/""),,1))"),44762.0)</f>
        <v>44762</v>
      </c>
      <c r="I1460" s="4">
        <v>44690.0</v>
      </c>
      <c r="J1460" s="4">
        <f>IFERROR(__xludf.DUMMYFUNCTION("DATE(INDEX(SPLIT(I1460,""/""),,3),INDEX(SPLIT(I1460,""/""),,2),INDEX(SPLIT(I1460,""/""),,1))"),44809.0)</f>
        <v>44809</v>
      </c>
      <c r="L1460" s="1">
        <v>0.0</v>
      </c>
      <c r="M1460" s="1" t="s">
        <v>4924</v>
      </c>
      <c r="N1460" s="1"/>
      <c r="O1460" s="1" t="s">
        <v>30</v>
      </c>
      <c r="P1460" s="1" t="s">
        <v>31</v>
      </c>
      <c r="Q1460" s="1" t="s">
        <v>53</v>
      </c>
      <c r="R1460" s="1" t="s">
        <v>53</v>
      </c>
      <c r="S1460" s="1" t="s">
        <v>54</v>
      </c>
      <c r="U1460" s="1">
        <v>1.01090224E8</v>
      </c>
      <c r="X1460" s="1" t="s">
        <v>74</v>
      </c>
      <c r="Y1460" s="1" t="s">
        <v>4925</v>
      </c>
      <c r="Z1460" s="1" t="s">
        <v>206</v>
      </c>
    </row>
    <row r="1461" hidden="1">
      <c r="A1461" s="1" t="s">
        <v>4926</v>
      </c>
      <c r="B1461" s="1" t="s">
        <v>532</v>
      </c>
      <c r="C1461" s="1" t="s">
        <v>4927</v>
      </c>
      <c r="D1461" s="1" t="s">
        <v>27</v>
      </c>
      <c r="E1461" s="1" t="s">
        <v>28</v>
      </c>
      <c r="F1461" s="2">
        <v>750000.0</v>
      </c>
      <c r="G1461" s="4">
        <v>44839.0</v>
      </c>
      <c r="H1461" s="4">
        <f>IFERROR(__xludf.DUMMYFUNCTION("DATE(INDEX(SPLIT(G1461,""/""),,3),INDEX(SPLIT(G1461,""/""),,2),INDEX(SPLIT(G1461,""/""),,1))"),44691.0)</f>
        <v>44691</v>
      </c>
      <c r="I1461" s="1" t="s">
        <v>999</v>
      </c>
      <c r="J1461" s="4">
        <f>IFERROR(__xludf.DUMMYFUNCTION("DATE(INDEX(SPLIT(I1461,""/""),,3),INDEX(SPLIT(I1461,""/""),,2),INDEX(SPLIT(I1461,""/""),,1))"),44953.0)</f>
        <v>44953</v>
      </c>
      <c r="L1461" s="1">
        <v>0.0</v>
      </c>
      <c r="M1461" s="1" t="s">
        <v>2856</v>
      </c>
      <c r="N1461" s="1"/>
      <c r="O1461" s="1" t="s">
        <v>30</v>
      </c>
      <c r="P1461" s="1" t="s">
        <v>31</v>
      </c>
      <c r="Q1461" s="1" t="s">
        <v>71</v>
      </c>
      <c r="R1461" s="1" t="s">
        <v>71</v>
      </c>
      <c r="S1461" s="1" t="s">
        <v>72</v>
      </c>
      <c r="T1461" s="1" t="s">
        <v>615</v>
      </c>
      <c r="U1461" s="1">
        <v>1.00637221E8</v>
      </c>
      <c r="X1461" s="1" t="s">
        <v>490</v>
      </c>
      <c r="Y1461" s="1" t="s">
        <v>2857</v>
      </c>
      <c r="Z1461" s="1" t="s">
        <v>37</v>
      </c>
    </row>
    <row r="1462" hidden="1">
      <c r="A1462" s="1" t="s">
        <v>4928</v>
      </c>
      <c r="B1462" s="1" t="s">
        <v>4929</v>
      </c>
      <c r="C1462" s="1" t="s">
        <v>4930</v>
      </c>
      <c r="D1462" s="1" t="s">
        <v>27</v>
      </c>
      <c r="E1462" s="1" t="s">
        <v>28</v>
      </c>
      <c r="F1462" s="2">
        <v>750000.0</v>
      </c>
      <c r="G1462" s="1" t="s">
        <v>534</v>
      </c>
      <c r="H1462" s="4">
        <f>IFERROR(__xludf.DUMMYFUNCTION("DATE(INDEX(SPLIT(G1462,""/""),,3),INDEX(SPLIT(G1462,""/""),,2),INDEX(SPLIT(G1462,""/""),,1))"),44704.0)</f>
        <v>44704</v>
      </c>
      <c r="I1462" s="4">
        <v>44601.0</v>
      </c>
      <c r="J1462" s="4">
        <f>IFERROR(__xludf.DUMMYFUNCTION("DATE(INDEX(SPLIT(I1462,""/""),,3),INDEX(SPLIT(I1462,""/""),,2),INDEX(SPLIT(I1462,""/""),,1))"),44806.0)</f>
        <v>44806</v>
      </c>
      <c r="L1462" s="1">
        <v>0.0</v>
      </c>
      <c r="M1462" s="1" t="s">
        <v>1552</v>
      </c>
      <c r="N1462" s="1"/>
      <c r="O1462" s="1" t="s">
        <v>30</v>
      </c>
      <c r="P1462" s="1" t="s">
        <v>31</v>
      </c>
      <c r="Q1462" s="1" t="s">
        <v>32</v>
      </c>
      <c r="R1462" s="1" t="s">
        <v>32</v>
      </c>
      <c r="S1462" s="1" t="s">
        <v>33</v>
      </c>
      <c r="T1462" s="1" t="s">
        <v>1195</v>
      </c>
      <c r="U1462" s="1">
        <v>1.00637597E8</v>
      </c>
      <c r="V1462" s="1" t="s">
        <v>4931</v>
      </c>
      <c r="W1462" s="1" t="s">
        <v>199</v>
      </c>
      <c r="X1462" s="1" t="s">
        <v>74</v>
      </c>
      <c r="Y1462" s="1" t="s">
        <v>1552</v>
      </c>
      <c r="Z1462" s="1" t="s">
        <v>37</v>
      </c>
    </row>
    <row r="1463" hidden="1">
      <c r="A1463" s="1" t="s">
        <v>4932</v>
      </c>
      <c r="B1463" s="1" t="s">
        <v>4933</v>
      </c>
      <c r="C1463" s="1" t="s">
        <v>4934</v>
      </c>
      <c r="D1463" s="1" t="s">
        <v>78</v>
      </c>
      <c r="E1463" s="1" t="s">
        <v>28</v>
      </c>
      <c r="F1463" s="2">
        <v>750000.0</v>
      </c>
      <c r="G1463" s="1" t="s">
        <v>4346</v>
      </c>
      <c r="H1463" s="4">
        <f>IFERROR(__xludf.DUMMYFUNCTION("DATE(INDEX(SPLIT(G1463,""/""),,3),INDEX(SPLIT(G1463,""/""),,2),INDEX(SPLIT(G1463,""/""),,1))"),44765.0)</f>
        <v>44765</v>
      </c>
      <c r="I1463" s="4">
        <v>44601.0</v>
      </c>
      <c r="J1463" s="4">
        <f>IFERROR(__xludf.DUMMYFUNCTION("DATE(INDEX(SPLIT(I1463,""/""),,3),INDEX(SPLIT(I1463,""/""),,2),INDEX(SPLIT(I1463,""/""),,1))"),44806.0)</f>
        <v>44806</v>
      </c>
      <c r="L1463" s="1">
        <v>0.0</v>
      </c>
      <c r="M1463" s="1" t="s">
        <v>4935</v>
      </c>
      <c r="N1463" s="1"/>
      <c r="O1463" s="1" t="s">
        <v>30</v>
      </c>
      <c r="P1463" s="1" t="s">
        <v>31</v>
      </c>
      <c r="Q1463" s="1" t="s">
        <v>53</v>
      </c>
      <c r="R1463" s="1" t="s">
        <v>53</v>
      </c>
      <c r="S1463" s="1" t="s">
        <v>54</v>
      </c>
      <c r="T1463" s="1" t="s">
        <v>2372</v>
      </c>
      <c r="U1463" s="1">
        <v>1.01239027E8</v>
      </c>
      <c r="X1463" s="1" t="s">
        <v>239</v>
      </c>
      <c r="Y1463" s="1" t="s">
        <v>4936</v>
      </c>
      <c r="Z1463" s="1" t="s">
        <v>206</v>
      </c>
    </row>
    <row r="1464" hidden="1">
      <c r="A1464" s="1" t="s">
        <v>4937</v>
      </c>
      <c r="B1464" s="1" t="s">
        <v>4938</v>
      </c>
      <c r="C1464" s="1" t="s">
        <v>4939</v>
      </c>
      <c r="D1464" s="1" t="s">
        <v>78</v>
      </c>
      <c r="E1464" s="1" t="s">
        <v>28</v>
      </c>
      <c r="F1464" s="2">
        <v>750000.0</v>
      </c>
      <c r="G1464" s="4">
        <v>44476.0</v>
      </c>
      <c r="H1464" s="4">
        <f>IFERROR(__xludf.DUMMYFUNCTION("DATE(INDEX(SPLIT(G1464,""/""),,3),INDEX(SPLIT(G1464,""/""),,2),INDEX(SPLIT(G1464,""/""),,1))"),44387.0)</f>
        <v>44387</v>
      </c>
      <c r="I1464" s="1" t="s">
        <v>109</v>
      </c>
      <c r="J1464" s="4">
        <f>IFERROR(__xludf.DUMMYFUNCTION("DATE(INDEX(SPLIT(I1464,""/""),,3),INDEX(SPLIT(I1464,""/""),,2),INDEX(SPLIT(I1464,""/""),,1))"),44834.0)</f>
        <v>44834</v>
      </c>
      <c r="L1464" s="1">
        <v>0.0</v>
      </c>
      <c r="M1464" s="1" t="s">
        <v>4477</v>
      </c>
      <c r="N1464" s="1"/>
      <c r="O1464" s="1" t="s">
        <v>30</v>
      </c>
      <c r="P1464" s="1" t="s">
        <v>31</v>
      </c>
      <c r="Q1464" s="1" t="s">
        <v>228</v>
      </c>
      <c r="R1464" s="1" t="s">
        <v>228</v>
      </c>
      <c r="S1464" s="1" t="s">
        <v>229</v>
      </c>
      <c r="T1464" s="1" t="s">
        <v>513</v>
      </c>
      <c r="U1464" s="1">
        <v>1.00592715E8</v>
      </c>
      <c r="X1464" s="1" t="s">
        <v>98</v>
      </c>
      <c r="Y1464" s="1" t="s">
        <v>4477</v>
      </c>
      <c r="Z1464" s="1" t="s">
        <v>37</v>
      </c>
    </row>
    <row r="1465" hidden="1">
      <c r="A1465" s="1" t="s">
        <v>4940</v>
      </c>
      <c r="B1465" s="1" t="s">
        <v>4941</v>
      </c>
      <c r="C1465" s="1" t="s">
        <v>4942</v>
      </c>
      <c r="D1465" s="1" t="s">
        <v>122</v>
      </c>
      <c r="E1465" s="1" t="s">
        <v>28</v>
      </c>
      <c r="F1465" s="2">
        <v>750000.0</v>
      </c>
      <c r="G1465" s="1" t="s">
        <v>4943</v>
      </c>
      <c r="H1465" s="4">
        <f>IFERROR(__xludf.DUMMYFUNCTION("DATE(INDEX(SPLIT(G1465,""/""),,3),INDEX(SPLIT(G1465,""/""),,2),INDEX(SPLIT(G1465,""/""),,1))"),44212.0)</f>
        <v>44212</v>
      </c>
      <c r="I1465" s="1" t="s">
        <v>109</v>
      </c>
      <c r="J1465" s="4">
        <f>IFERROR(__xludf.DUMMYFUNCTION("DATE(INDEX(SPLIT(I1465,""/""),,3),INDEX(SPLIT(I1465,""/""),,2),INDEX(SPLIT(I1465,""/""),,1))"),44834.0)</f>
        <v>44834</v>
      </c>
      <c r="L1465" s="1">
        <v>0.0</v>
      </c>
      <c r="M1465" s="1" t="s">
        <v>266</v>
      </c>
      <c r="N1465" s="1"/>
      <c r="O1465" s="1" t="s">
        <v>30</v>
      </c>
      <c r="P1465" s="1" t="s">
        <v>31</v>
      </c>
      <c r="Q1465" s="1" t="s">
        <v>32</v>
      </c>
      <c r="R1465" s="1" t="s">
        <v>32</v>
      </c>
      <c r="S1465" s="1" t="s">
        <v>33</v>
      </c>
      <c r="T1465" s="1" t="s">
        <v>402</v>
      </c>
      <c r="U1465" s="1">
        <v>1.00597826E8</v>
      </c>
      <c r="X1465" s="1" t="s">
        <v>117</v>
      </c>
      <c r="Y1465" s="1" t="s">
        <v>266</v>
      </c>
      <c r="Z1465" s="1" t="s">
        <v>37</v>
      </c>
    </row>
    <row r="1466" hidden="1">
      <c r="A1466" s="1" t="s">
        <v>4944</v>
      </c>
      <c r="B1466" s="1" t="s">
        <v>3288</v>
      </c>
      <c r="C1466" s="1" t="s">
        <v>4945</v>
      </c>
      <c r="D1466" s="1" t="s">
        <v>27</v>
      </c>
      <c r="E1466" s="1" t="s">
        <v>28</v>
      </c>
      <c r="F1466" s="2">
        <v>750000.0</v>
      </c>
      <c r="G1466" s="1" t="s">
        <v>2025</v>
      </c>
      <c r="H1466" s="4">
        <f>IFERROR(__xludf.DUMMYFUNCTION("DATE(INDEX(SPLIT(G1466,""/""),,3),INDEX(SPLIT(G1466,""/""),,2),INDEX(SPLIT(G1466,""/""),,1))"),44664.0)</f>
        <v>44664</v>
      </c>
      <c r="I1466" s="1" t="s">
        <v>109</v>
      </c>
      <c r="J1466" s="4">
        <f>IFERROR(__xludf.DUMMYFUNCTION("DATE(INDEX(SPLIT(I1466,""/""),,3),INDEX(SPLIT(I1466,""/""),,2),INDEX(SPLIT(I1466,""/""),,1))"),44834.0)</f>
        <v>44834</v>
      </c>
      <c r="L1466" s="1">
        <v>0.0</v>
      </c>
      <c r="M1466" s="1" t="s">
        <v>3099</v>
      </c>
      <c r="N1466" s="1"/>
      <c r="O1466" s="1" t="s">
        <v>30</v>
      </c>
      <c r="P1466" s="1" t="s">
        <v>31</v>
      </c>
      <c r="Q1466" s="1" t="s">
        <v>95</v>
      </c>
      <c r="R1466" s="1" t="s">
        <v>95</v>
      </c>
      <c r="S1466" s="1" t="s">
        <v>96</v>
      </c>
      <c r="T1466" s="1" t="s">
        <v>217</v>
      </c>
      <c r="U1466" s="1">
        <v>1.00589299E8</v>
      </c>
      <c r="X1466" s="1" t="s">
        <v>35</v>
      </c>
      <c r="Y1466" s="1" t="s">
        <v>4428</v>
      </c>
      <c r="Z1466" s="1" t="s">
        <v>37</v>
      </c>
    </row>
    <row r="1467">
      <c r="A1467" s="1" t="s">
        <v>4946</v>
      </c>
      <c r="B1467" s="1" t="s">
        <v>700</v>
      </c>
      <c r="C1467" s="1" t="s">
        <v>4947</v>
      </c>
      <c r="D1467" s="1" t="s">
        <v>122</v>
      </c>
      <c r="E1467" s="1" t="s">
        <v>28</v>
      </c>
      <c r="F1467" s="2">
        <v>750000.0</v>
      </c>
      <c r="G1467" s="4">
        <v>44837.0</v>
      </c>
      <c r="H1467" s="4">
        <f>IFERROR(__xludf.DUMMYFUNCTION("DATE(INDEX(SPLIT(G1467,""/""),,3),INDEX(SPLIT(G1467,""/""),,2),INDEX(SPLIT(G1467,""/""),,1))"),44630.0)</f>
        <v>44630</v>
      </c>
      <c r="I1467" s="1" t="s">
        <v>518</v>
      </c>
      <c r="J1467" s="4">
        <f>IFERROR(__xludf.DUMMYFUNCTION("DATE(INDEX(SPLIT(I1467,""/""),,3),INDEX(SPLIT(I1467,""/""),,2),INDEX(SPLIT(I1467,""/""),,1))"),44757.0)</f>
        <v>44757</v>
      </c>
      <c r="L1467" s="1">
        <v>0.0</v>
      </c>
      <c r="M1467" s="1" t="s">
        <v>702</v>
      </c>
      <c r="N1467" s="1"/>
      <c r="O1467" s="1" t="s">
        <v>30</v>
      </c>
      <c r="P1467" s="1" t="s">
        <v>31</v>
      </c>
      <c r="Q1467" s="1" t="s">
        <v>95</v>
      </c>
      <c r="R1467" s="1" t="s">
        <v>95</v>
      </c>
      <c r="S1467" s="1" t="s">
        <v>96</v>
      </c>
      <c r="T1467" s="1" t="s">
        <v>311</v>
      </c>
      <c r="U1467" s="1">
        <v>1.00616804E8</v>
      </c>
      <c r="X1467" s="1" t="s">
        <v>98</v>
      </c>
      <c r="Y1467" s="1" t="s">
        <v>702</v>
      </c>
      <c r="Z1467" s="1" t="s">
        <v>37</v>
      </c>
    </row>
    <row r="1468">
      <c r="A1468" s="1" t="s">
        <v>4948</v>
      </c>
      <c r="B1468" s="1" t="s">
        <v>4949</v>
      </c>
      <c r="C1468" s="1" t="s">
        <v>4950</v>
      </c>
      <c r="D1468" s="1" t="s">
        <v>27</v>
      </c>
      <c r="E1468" s="1" t="s">
        <v>28</v>
      </c>
      <c r="F1468" s="2">
        <v>750000.0</v>
      </c>
      <c r="G1468" s="4">
        <v>44239.0</v>
      </c>
      <c r="H1468" s="4">
        <f>IFERROR(__xludf.DUMMYFUNCTION("DATE(INDEX(SPLIT(G1468,""/""),,3),INDEX(SPLIT(G1468,""/""),,2),INDEX(SPLIT(G1468,""/""),,1))"),44532.0)</f>
        <v>44532</v>
      </c>
      <c r="I1468" s="1" t="s">
        <v>1244</v>
      </c>
      <c r="J1468" s="4">
        <f>IFERROR(__xludf.DUMMYFUNCTION("DATE(INDEX(SPLIT(I1468,""/""),,3),INDEX(SPLIT(I1468,""/""),,2),INDEX(SPLIT(I1468,""/""),,1))"),44742.0)</f>
        <v>44742</v>
      </c>
      <c r="L1468" s="1">
        <v>0.0</v>
      </c>
      <c r="M1468" s="1" t="s">
        <v>780</v>
      </c>
      <c r="N1468" s="1"/>
      <c r="O1468" s="1" t="s">
        <v>30</v>
      </c>
      <c r="P1468" s="1" t="s">
        <v>31</v>
      </c>
      <c r="Q1468" s="1" t="s">
        <v>157</v>
      </c>
      <c r="R1468" s="1" t="s">
        <v>157</v>
      </c>
      <c r="S1468" s="1" t="s">
        <v>158</v>
      </c>
      <c r="T1468" s="1" t="s">
        <v>442</v>
      </c>
      <c r="U1468" s="1">
        <v>1.00654914E8</v>
      </c>
      <c r="X1468" s="1" t="s">
        <v>117</v>
      </c>
      <c r="Y1468" s="1" t="s">
        <v>3520</v>
      </c>
      <c r="Z1468" s="1" t="s">
        <v>37</v>
      </c>
    </row>
    <row r="1469" hidden="1">
      <c r="A1469" s="1" t="s">
        <v>4951</v>
      </c>
      <c r="B1469" s="1" t="s">
        <v>784</v>
      </c>
      <c r="C1469" s="1" t="s">
        <v>4952</v>
      </c>
      <c r="D1469" s="1" t="s">
        <v>27</v>
      </c>
      <c r="E1469" s="1" t="s">
        <v>28</v>
      </c>
      <c r="F1469" s="2">
        <v>750000.0</v>
      </c>
      <c r="G1469" s="1" t="s">
        <v>1136</v>
      </c>
      <c r="H1469" s="4">
        <f>IFERROR(__xludf.DUMMYFUNCTION("DATE(INDEX(SPLIT(G1469,""/""),,3),INDEX(SPLIT(G1469,""/""),,2),INDEX(SPLIT(G1469,""/""),,1))"),44608.0)</f>
        <v>44608</v>
      </c>
      <c r="I1469" s="1" t="s">
        <v>425</v>
      </c>
      <c r="J1469" s="4">
        <f>IFERROR(__xludf.DUMMYFUNCTION("DATE(INDEX(SPLIT(I1469,""/""),,3),INDEX(SPLIT(I1469,""/""),,2),INDEX(SPLIT(I1469,""/""),,1))"),44911.0)</f>
        <v>44911</v>
      </c>
      <c r="L1469" s="1">
        <v>0.0</v>
      </c>
      <c r="M1469" s="1" t="s">
        <v>3565</v>
      </c>
      <c r="N1469" s="1"/>
      <c r="O1469" s="1" t="s">
        <v>30</v>
      </c>
      <c r="P1469" s="1" t="s">
        <v>31</v>
      </c>
      <c r="Q1469" s="1" t="s">
        <v>32</v>
      </c>
      <c r="R1469" s="1" t="s">
        <v>32</v>
      </c>
      <c r="S1469" s="1" t="s">
        <v>33</v>
      </c>
      <c r="T1469" s="1" t="s">
        <v>103</v>
      </c>
      <c r="U1469" s="1">
        <v>1.01088701E8</v>
      </c>
      <c r="X1469" s="1" t="s">
        <v>63</v>
      </c>
      <c r="Y1469" s="1" t="s">
        <v>1398</v>
      </c>
      <c r="Z1469" s="1" t="s">
        <v>37</v>
      </c>
    </row>
    <row r="1470" hidden="1">
      <c r="A1470" s="1" t="s">
        <v>4953</v>
      </c>
      <c r="B1470" s="1" t="s">
        <v>4066</v>
      </c>
      <c r="C1470" s="1" t="s">
        <v>4954</v>
      </c>
      <c r="D1470" s="1" t="s">
        <v>27</v>
      </c>
      <c r="E1470" s="1" t="s">
        <v>28</v>
      </c>
      <c r="F1470" s="2">
        <v>750000.0</v>
      </c>
      <c r="G1470" s="1" t="s">
        <v>418</v>
      </c>
      <c r="H1470" s="4">
        <f>IFERROR(__xludf.DUMMYFUNCTION("DATE(INDEX(SPLIT(G1470,""/""),,3),INDEX(SPLIT(G1470,""/""),,2),INDEX(SPLIT(G1470,""/""),,1))"),44755.0)</f>
        <v>44755</v>
      </c>
      <c r="I1470" s="1" t="s">
        <v>130</v>
      </c>
      <c r="J1470" s="4">
        <f>IFERROR(__xludf.DUMMYFUNCTION("DATE(INDEX(SPLIT(I1470,""/""),,3),INDEX(SPLIT(I1470,""/""),,2),INDEX(SPLIT(I1470,""/""),,1))"),44804.0)</f>
        <v>44804</v>
      </c>
      <c r="L1470" s="1">
        <v>0.0</v>
      </c>
      <c r="M1470" s="1" t="s">
        <v>2623</v>
      </c>
      <c r="N1470" s="1"/>
      <c r="O1470" s="1" t="s">
        <v>30</v>
      </c>
      <c r="P1470" s="1" t="s">
        <v>31</v>
      </c>
      <c r="Q1470" s="1" t="s">
        <v>71</v>
      </c>
      <c r="R1470" s="1" t="s">
        <v>71</v>
      </c>
      <c r="S1470" s="1" t="s">
        <v>72</v>
      </c>
      <c r="U1470" s="1">
        <v>1.00618842E8</v>
      </c>
      <c r="X1470" s="1" t="s">
        <v>74</v>
      </c>
      <c r="Y1470" s="1" t="s">
        <v>1941</v>
      </c>
      <c r="Z1470" s="1" t="s">
        <v>37</v>
      </c>
    </row>
    <row r="1471" hidden="1">
      <c r="A1471" s="1" t="s">
        <v>4955</v>
      </c>
      <c r="B1471" s="1" t="s">
        <v>1300</v>
      </c>
      <c r="C1471" s="1" t="s">
        <v>4956</v>
      </c>
      <c r="D1471" s="1" t="s">
        <v>27</v>
      </c>
      <c r="E1471" s="1" t="s">
        <v>28</v>
      </c>
      <c r="F1471" s="2">
        <v>750000.0</v>
      </c>
      <c r="G1471" s="1" t="s">
        <v>2324</v>
      </c>
      <c r="H1471" s="4">
        <f>IFERROR(__xludf.DUMMYFUNCTION("DATE(INDEX(SPLIT(G1471,""/""),,3),INDEX(SPLIT(G1471,""/""),,2),INDEX(SPLIT(G1471,""/""),,1))"),44705.0)</f>
        <v>44705</v>
      </c>
      <c r="I1471" s="1" t="s">
        <v>281</v>
      </c>
      <c r="J1471" s="4">
        <f>IFERROR(__xludf.DUMMYFUNCTION("DATE(INDEX(SPLIT(I1471,""/""),,3),INDEX(SPLIT(I1471,""/""),,2),INDEX(SPLIT(I1471,""/""),,1))"),44865.0)</f>
        <v>44865</v>
      </c>
      <c r="L1471" s="1">
        <v>0.0</v>
      </c>
      <c r="M1471" s="1" t="s">
        <v>856</v>
      </c>
      <c r="N1471" s="1"/>
      <c r="O1471" s="1" t="s">
        <v>30</v>
      </c>
      <c r="P1471" s="1" t="s">
        <v>31</v>
      </c>
      <c r="Q1471" s="1" t="s">
        <v>235</v>
      </c>
      <c r="R1471" s="1" t="s">
        <v>235</v>
      </c>
      <c r="S1471" s="1" t="s">
        <v>236</v>
      </c>
      <c r="T1471" s="1" t="s">
        <v>438</v>
      </c>
      <c r="U1471" s="1">
        <v>1.01017204E8</v>
      </c>
      <c r="X1471" s="1" t="s">
        <v>88</v>
      </c>
      <c r="Y1471" s="1" t="s">
        <v>856</v>
      </c>
      <c r="Z1471" s="1" t="s">
        <v>37</v>
      </c>
    </row>
    <row r="1472">
      <c r="A1472" s="1" t="s">
        <v>4957</v>
      </c>
      <c r="B1472" s="1" t="s">
        <v>4958</v>
      </c>
      <c r="C1472" s="1" t="s">
        <v>4959</v>
      </c>
      <c r="D1472" s="1" t="s">
        <v>122</v>
      </c>
      <c r="E1472" s="1" t="s">
        <v>28</v>
      </c>
      <c r="F1472" s="2">
        <v>750000.0</v>
      </c>
      <c r="G1472" s="1" t="s">
        <v>1244</v>
      </c>
      <c r="H1472" s="4">
        <f>IFERROR(__xludf.DUMMYFUNCTION("DATE(INDEX(SPLIT(G1472,""/""),,3),INDEX(SPLIT(G1472,""/""),,2),INDEX(SPLIT(G1472,""/""),,1))"),44742.0)</f>
        <v>44742</v>
      </c>
      <c r="I1472" s="1" t="s">
        <v>518</v>
      </c>
      <c r="J1472" s="4">
        <f>IFERROR(__xludf.DUMMYFUNCTION("DATE(INDEX(SPLIT(I1472,""/""),,3),INDEX(SPLIT(I1472,""/""),,2),INDEX(SPLIT(I1472,""/""),,1))"),44757.0)</f>
        <v>44757</v>
      </c>
      <c r="L1472" s="1">
        <v>0.0</v>
      </c>
      <c r="M1472" s="1" t="s">
        <v>4498</v>
      </c>
      <c r="N1472" s="1"/>
      <c r="O1472" s="1" t="s">
        <v>30</v>
      </c>
      <c r="P1472" s="1" t="s">
        <v>31</v>
      </c>
      <c r="Q1472" s="1" t="s">
        <v>157</v>
      </c>
      <c r="R1472" s="1" t="s">
        <v>157</v>
      </c>
      <c r="S1472" s="1" t="s">
        <v>158</v>
      </c>
      <c r="U1472" s="1">
        <v>1.00869674E8</v>
      </c>
      <c r="Y1472" s="1" t="s">
        <v>4960</v>
      </c>
      <c r="Z1472" s="1" t="s">
        <v>37</v>
      </c>
    </row>
    <row r="1473" hidden="1">
      <c r="A1473" s="1" t="s">
        <v>4961</v>
      </c>
      <c r="B1473" s="1" t="s">
        <v>1506</v>
      </c>
      <c r="C1473" s="1" t="s">
        <v>4962</v>
      </c>
      <c r="D1473" s="1" t="s">
        <v>78</v>
      </c>
      <c r="E1473" s="1" t="s">
        <v>28</v>
      </c>
      <c r="F1473" s="2">
        <v>750000.0</v>
      </c>
      <c r="G1473" s="1" t="s">
        <v>1012</v>
      </c>
      <c r="H1473" s="4">
        <f>IFERROR(__xludf.DUMMYFUNCTION("DATE(INDEX(SPLIT(G1473,""/""),,3),INDEX(SPLIT(G1473,""/""),,2),INDEX(SPLIT(G1473,""/""),,1))"),44496.0)</f>
        <v>44496</v>
      </c>
      <c r="I1473" s="1" t="s">
        <v>85</v>
      </c>
      <c r="J1473" s="4">
        <f>IFERROR(__xludf.DUMMYFUNCTION("DATE(INDEX(SPLIT(I1473,""/""),,3),INDEX(SPLIT(I1473,""/""),,2),INDEX(SPLIT(I1473,""/""),,1))"),44799.0)</f>
        <v>44799</v>
      </c>
      <c r="L1473" s="1">
        <v>0.0</v>
      </c>
      <c r="M1473" s="1" t="s">
        <v>303</v>
      </c>
      <c r="N1473" s="1"/>
      <c r="O1473" s="1" t="s">
        <v>30</v>
      </c>
      <c r="P1473" s="1" t="s">
        <v>31</v>
      </c>
      <c r="Q1473" s="1" t="s">
        <v>95</v>
      </c>
      <c r="R1473" s="1" t="s">
        <v>95</v>
      </c>
      <c r="S1473" s="1" t="s">
        <v>96</v>
      </c>
      <c r="T1473" s="1" t="s">
        <v>1386</v>
      </c>
      <c r="U1473" s="1">
        <v>1.00623914E8</v>
      </c>
      <c r="X1473" s="1" t="s">
        <v>35</v>
      </c>
      <c r="Y1473" s="1" t="s">
        <v>303</v>
      </c>
      <c r="Z1473" s="1" t="s">
        <v>37</v>
      </c>
    </row>
    <row r="1474" hidden="1">
      <c r="A1474" s="1" t="s">
        <v>4963</v>
      </c>
      <c r="B1474" s="1" t="s">
        <v>1371</v>
      </c>
      <c r="C1474" s="1" t="s">
        <v>4964</v>
      </c>
      <c r="D1474" s="1" t="s">
        <v>27</v>
      </c>
      <c r="E1474" s="1" t="s">
        <v>28</v>
      </c>
      <c r="F1474" s="2">
        <v>750000.0</v>
      </c>
      <c r="G1474" s="4">
        <v>44451.0</v>
      </c>
      <c r="H1474" s="4">
        <f>IFERROR(__xludf.DUMMYFUNCTION("DATE(INDEX(SPLIT(G1474,""/""),,3),INDEX(SPLIT(G1474,""/""),,2),INDEX(SPLIT(G1474,""/""),,1))"),44539.0)</f>
        <v>44539</v>
      </c>
      <c r="I1474" s="1" t="s">
        <v>1097</v>
      </c>
      <c r="J1474" s="4">
        <f>IFERROR(__xludf.DUMMYFUNCTION("DATE(INDEX(SPLIT(I1474,""/""),,3),INDEX(SPLIT(I1474,""/""),,2),INDEX(SPLIT(I1474,""/""),,1))"),45107.0)</f>
        <v>45107</v>
      </c>
      <c r="L1474" s="1">
        <v>0.0</v>
      </c>
      <c r="M1474" s="1" t="s">
        <v>1484</v>
      </c>
      <c r="N1474" s="1"/>
      <c r="O1474" s="1" t="s">
        <v>30</v>
      </c>
      <c r="P1474" s="1" t="s">
        <v>31</v>
      </c>
      <c r="Q1474" s="1" t="s">
        <v>95</v>
      </c>
      <c r="R1474" s="1" t="s">
        <v>95</v>
      </c>
      <c r="S1474" s="1" t="s">
        <v>96</v>
      </c>
      <c r="T1474" s="1" t="s">
        <v>97</v>
      </c>
      <c r="U1474" s="1">
        <v>1.00585718E8</v>
      </c>
      <c r="X1474" s="1" t="s">
        <v>117</v>
      </c>
      <c r="Y1474" s="1" t="s">
        <v>4965</v>
      </c>
      <c r="Z1474" s="1" t="s">
        <v>37</v>
      </c>
    </row>
    <row r="1475">
      <c r="A1475" s="1" t="s">
        <v>4966</v>
      </c>
      <c r="B1475" s="1" t="s">
        <v>566</v>
      </c>
      <c r="C1475" s="1" t="s">
        <v>4967</v>
      </c>
      <c r="D1475" s="1" t="s">
        <v>122</v>
      </c>
      <c r="E1475" s="1" t="s">
        <v>28</v>
      </c>
      <c r="F1475" s="2">
        <v>750000.0</v>
      </c>
      <c r="G1475" s="1" t="s">
        <v>779</v>
      </c>
      <c r="H1475" s="4">
        <f>IFERROR(__xludf.DUMMYFUNCTION("DATE(INDEX(SPLIT(G1475,""/""),,3),INDEX(SPLIT(G1475,""/""),,2),INDEX(SPLIT(G1475,""/""),,1))"),44734.0)</f>
        <v>44734</v>
      </c>
      <c r="I1475" s="1" t="s">
        <v>935</v>
      </c>
      <c r="J1475" s="4">
        <f>IFERROR(__xludf.DUMMYFUNCTION("DATE(INDEX(SPLIT(I1475,""/""),,3),INDEX(SPLIT(I1475,""/""),,2),INDEX(SPLIT(I1475,""/""),,1))"),44764.0)</f>
        <v>44764</v>
      </c>
      <c r="L1475" s="1">
        <v>0.0</v>
      </c>
      <c r="M1475" s="1" t="s">
        <v>2737</v>
      </c>
      <c r="N1475" s="1"/>
      <c r="O1475" s="1" t="s">
        <v>30</v>
      </c>
      <c r="P1475" s="1" t="s">
        <v>31</v>
      </c>
      <c r="Q1475" s="1" t="s">
        <v>53</v>
      </c>
      <c r="R1475" s="1" t="s">
        <v>53</v>
      </c>
      <c r="S1475" s="1" t="s">
        <v>54</v>
      </c>
      <c r="T1475" s="1" t="s">
        <v>197</v>
      </c>
      <c r="U1475" s="1">
        <v>1.00650713E8</v>
      </c>
      <c r="X1475" s="1" t="s">
        <v>63</v>
      </c>
      <c r="Y1475" s="1" t="s">
        <v>3071</v>
      </c>
      <c r="Z1475" s="1" t="s">
        <v>37</v>
      </c>
    </row>
    <row r="1476" hidden="1">
      <c r="A1476" s="1" t="s">
        <v>4968</v>
      </c>
      <c r="B1476" s="1" t="s">
        <v>1371</v>
      </c>
      <c r="C1476" s="1" t="s">
        <v>4969</v>
      </c>
      <c r="D1476" s="1" t="s">
        <v>27</v>
      </c>
      <c r="E1476" s="1" t="s">
        <v>28</v>
      </c>
      <c r="F1476" s="2">
        <v>750000.0</v>
      </c>
      <c r="G1476" s="4">
        <v>44451.0</v>
      </c>
      <c r="H1476" s="4">
        <f>IFERROR(__xludf.DUMMYFUNCTION("DATE(INDEX(SPLIT(G1476,""/""),,3),INDEX(SPLIT(G1476,""/""),,2),INDEX(SPLIT(G1476,""/""),,1))"),44539.0)</f>
        <v>44539</v>
      </c>
      <c r="I1476" s="1" t="s">
        <v>360</v>
      </c>
      <c r="J1476" s="4">
        <f>IFERROR(__xludf.DUMMYFUNCTION("DATE(INDEX(SPLIT(I1476,""/""),,3),INDEX(SPLIT(I1476,""/""),,2),INDEX(SPLIT(I1476,""/""),,1))"),44895.0)</f>
        <v>44895</v>
      </c>
      <c r="L1476" s="1">
        <v>0.0</v>
      </c>
      <c r="M1476" s="1" t="s">
        <v>787</v>
      </c>
      <c r="N1476" s="1"/>
      <c r="O1476" s="1" t="s">
        <v>30</v>
      </c>
      <c r="P1476" s="1" t="s">
        <v>31</v>
      </c>
      <c r="Q1476" s="1" t="s">
        <v>53</v>
      </c>
      <c r="R1476" s="1" t="s">
        <v>53</v>
      </c>
      <c r="S1476" s="1" t="s">
        <v>54</v>
      </c>
      <c r="T1476" s="1" t="s">
        <v>197</v>
      </c>
      <c r="U1476" s="1">
        <v>1.00610205E8</v>
      </c>
      <c r="X1476" s="1" t="s">
        <v>63</v>
      </c>
      <c r="Y1476" s="1" t="s">
        <v>4965</v>
      </c>
      <c r="Z1476" s="1" t="s">
        <v>37</v>
      </c>
    </row>
    <row r="1477" hidden="1">
      <c r="A1477" s="1" t="s">
        <v>4970</v>
      </c>
      <c r="B1477" s="1" t="s">
        <v>849</v>
      </c>
      <c r="C1477" s="1" t="s">
        <v>4971</v>
      </c>
      <c r="D1477" s="1" t="s">
        <v>27</v>
      </c>
      <c r="E1477" s="1" t="s">
        <v>28</v>
      </c>
      <c r="F1477" s="2">
        <v>750000.0</v>
      </c>
      <c r="G1477" s="4">
        <v>44713.0</v>
      </c>
      <c r="H1477" s="4">
        <f>IFERROR(__xludf.DUMMYFUNCTION("DATE(INDEX(SPLIT(G1477,""/""),,3),INDEX(SPLIT(G1477,""/""),,2),INDEX(SPLIT(G1477,""/""),,1))"),44567.0)</f>
        <v>44567</v>
      </c>
      <c r="I1477" s="1" t="s">
        <v>281</v>
      </c>
      <c r="J1477" s="4">
        <f>IFERROR(__xludf.DUMMYFUNCTION("DATE(INDEX(SPLIT(I1477,""/""),,3),INDEX(SPLIT(I1477,""/""),,2),INDEX(SPLIT(I1477,""/""),,1))"),44865.0)</f>
        <v>44865</v>
      </c>
      <c r="L1477" s="1">
        <v>0.0</v>
      </c>
      <c r="M1477" s="1" t="s">
        <v>303</v>
      </c>
      <c r="N1477" s="1"/>
      <c r="O1477" s="1" t="s">
        <v>30</v>
      </c>
      <c r="P1477" s="1" t="s">
        <v>31</v>
      </c>
      <c r="Q1477" s="1" t="s">
        <v>95</v>
      </c>
      <c r="R1477" s="1" t="s">
        <v>95</v>
      </c>
      <c r="S1477" s="1" t="s">
        <v>96</v>
      </c>
      <c r="T1477" s="1" t="s">
        <v>97</v>
      </c>
      <c r="U1477" s="1">
        <v>1.00623914E8</v>
      </c>
      <c r="X1477" s="1" t="s">
        <v>117</v>
      </c>
      <c r="Y1477" s="1" t="s">
        <v>303</v>
      </c>
      <c r="Z1477" s="1" t="s">
        <v>37</v>
      </c>
    </row>
    <row r="1478" hidden="1">
      <c r="A1478" s="1" t="s">
        <v>4972</v>
      </c>
      <c r="B1478" s="1" t="s">
        <v>373</v>
      </c>
      <c r="C1478" s="1" t="s">
        <v>4973</v>
      </c>
      <c r="D1478" s="1" t="s">
        <v>27</v>
      </c>
      <c r="E1478" s="1" t="s">
        <v>28</v>
      </c>
      <c r="F1478" s="2">
        <v>750000.0</v>
      </c>
      <c r="G1478" s="4">
        <v>44840.0</v>
      </c>
      <c r="H1478" s="4">
        <f>IFERROR(__xludf.DUMMYFUNCTION("DATE(INDEX(SPLIT(G1478,""/""),,3),INDEX(SPLIT(G1478,""/""),,2),INDEX(SPLIT(G1478,""/""),,1))"),44722.0)</f>
        <v>44722</v>
      </c>
      <c r="I1478" s="1" t="s">
        <v>425</v>
      </c>
      <c r="J1478" s="4">
        <f>IFERROR(__xludf.DUMMYFUNCTION("DATE(INDEX(SPLIT(I1478,""/""),,3),INDEX(SPLIT(I1478,""/""),,2),INDEX(SPLIT(I1478,""/""),,1))"),44911.0)</f>
        <v>44911</v>
      </c>
      <c r="L1478" s="1">
        <v>0.0</v>
      </c>
      <c r="M1478" s="1" t="s">
        <v>1704</v>
      </c>
      <c r="N1478" s="1"/>
      <c r="O1478" s="1" t="s">
        <v>30</v>
      </c>
      <c r="P1478" s="1" t="s">
        <v>31</v>
      </c>
      <c r="Q1478" s="1" t="s">
        <v>157</v>
      </c>
      <c r="R1478" s="1" t="s">
        <v>157</v>
      </c>
      <c r="S1478" s="1" t="s">
        <v>158</v>
      </c>
      <c r="T1478" s="1" t="s">
        <v>442</v>
      </c>
      <c r="U1478" s="1">
        <v>1.00654991E8</v>
      </c>
      <c r="X1478" s="1" t="s">
        <v>781</v>
      </c>
      <c r="Y1478" s="1" t="s">
        <v>1969</v>
      </c>
      <c r="Z1478" s="1" t="s">
        <v>37</v>
      </c>
    </row>
    <row r="1479">
      <c r="A1479" s="1" t="s">
        <v>4974</v>
      </c>
      <c r="B1479" s="1" t="s">
        <v>2016</v>
      </c>
      <c r="C1479" s="1" t="s">
        <v>4975</v>
      </c>
      <c r="D1479" s="1" t="s">
        <v>122</v>
      </c>
      <c r="E1479" s="1" t="s">
        <v>28</v>
      </c>
      <c r="F1479" s="2">
        <v>750000.0</v>
      </c>
      <c r="G1479" s="1" t="s">
        <v>1851</v>
      </c>
      <c r="H1479" s="4">
        <f>IFERROR(__xludf.DUMMYFUNCTION("DATE(INDEX(SPLIT(G1479,""/""),,3),INDEX(SPLIT(G1479,""/""),,2),INDEX(SPLIT(G1479,""/""),,1))"),44646.0)</f>
        <v>44646</v>
      </c>
      <c r="I1479" s="1" t="s">
        <v>226</v>
      </c>
      <c r="J1479" s="4">
        <f>IFERROR(__xludf.DUMMYFUNCTION("DATE(INDEX(SPLIT(I1479,""/""),,3),INDEX(SPLIT(I1479,""/""),,2),INDEX(SPLIT(I1479,""/""),,1))"),44771.0)</f>
        <v>44771</v>
      </c>
      <c r="L1479" s="1">
        <v>0.0</v>
      </c>
      <c r="M1479" s="1" t="s">
        <v>3854</v>
      </c>
      <c r="N1479" s="1"/>
      <c r="O1479" s="1" t="s">
        <v>30</v>
      </c>
      <c r="P1479" s="1" t="s">
        <v>31</v>
      </c>
      <c r="Q1479" s="1" t="s">
        <v>71</v>
      </c>
      <c r="R1479" s="1" t="s">
        <v>71</v>
      </c>
      <c r="S1479" s="1" t="s">
        <v>72</v>
      </c>
      <c r="T1479" s="1" t="s">
        <v>136</v>
      </c>
      <c r="U1479" s="1">
        <v>1.00603613E8</v>
      </c>
      <c r="X1479" s="1" t="s">
        <v>74</v>
      </c>
      <c r="Y1479" s="1" t="s">
        <v>4864</v>
      </c>
      <c r="Z1479" s="1" t="s">
        <v>37</v>
      </c>
    </row>
    <row r="1480">
      <c r="A1480" s="1" t="s">
        <v>4976</v>
      </c>
      <c r="B1480" s="1" t="s">
        <v>4977</v>
      </c>
      <c r="C1480" s="1" t="s">
        <v>4978</v>
      </c>
      <c r="D1480" s="1" t="s">
        <v>27</v>
      </c>
      <c r="E1480" s="1" t="s">
        <v>28</v>
      </c>
      <c r="F1480" s="2">
        <v>750000.0</v>
      </c>
      <c r="G1480" s="4">
        <v>43839.0</v>
      </c>
      <c r="H1480" s="4">
        <f>IFERROR(__xludf.DUMMYFUNCTION("DATE(INDEX(SPLIT(G1480,""/""),,3),INDEX(SPLIT(G1480,""/""),,2),INDEX(SPLIT(G1480,""/""),,1))"),44075.0)</f>
        <v>44075</v>
      </c>
      <c r="I1480" s="1" t="s">
        <v>503</v>
      </c>
      <c r="J1480" s="4">
        <f>IFERROR(__xludf.DUMMYFUNCTION("DATE(INDEX(SPLIT(I1480,""/""),,3),INDEX(SPLIT(I1480,""/""),,2),INDEX(SPLIT(I1480,""/""),,1))"),44736.0)</f>
        <v>44736</v>
      </c>
      <c r="L1480" s="1">
        <v>0.0</v>
      </c>
      <c r="M1480" s="1" t="s">
        <v>4979</v>
      </c>
      <c r="N1480" s="1"/>
      <c r="O1480" s="1" t="s">
        <v>30</v>
      </c>
      <c r="P1480" s="1" t="s">
        <v>31</v>
      </c>
      <c r="Q1480" s="1" t="s">
        <v>235</v>
      </c>
      <c r="R1480" s="1" t="s">
        <v>235</v>
      </c>
      <c r="S1480" s="1" t="s">
        <v>236</v>
      </c>
      <c r="T1480" s="1" t="s">
        <v>1349</v>
      </c>
      <c r="U1480" s="1">
        <v>1.00637587E8</v>
      </c>
      <c r="X1480" s="1" t="s">
        <v>375</v>
      </c>
      <c r="Y1480" s="1" t="s">
        <v>4979</v>
      </c>
      <c r="Z1480" s="1" t="s">
        <v>37</v>
      </c>
    </row>
    <row r="1481" hidden="1">
      <c r="A1481" s="1" t="s">
        <v>4980</v>
      </c>
      <c r="B1481" s="1" t="s">
        <v>39</v>
      </c>
      <c r="C1481" s="1" t="s">
        <v>4981</v>
      </c>
      <c r="D1481" s="1" t="s">
        <v>78</v>
      </c>
      <c r="E1481" s="1" t="s">
        <v>28</v>
      </c>
      <c r="F1481" s="2">
        <v>750000.0</v>
      </c>
      <c r="G1481" s="1" t="s">
        <v>458</v>
      </c>
      <c r="H1481" s="4">
        <f>IFERROR(__xludf.DUMMYFUNCTION("DATE(INDEX(SPLIT(G1481,""/""),,3),INDEX(SPLIT(G1481,""/""),,2),INDEX(SPLIT(G1481,""/""),,1))"),44649.0)</f>
        <v>44649</v>
      </c>
      <c r="I1481" s="1" t="s">
        <v>85</v>
      </c>
      <c r="J1481" s="4">
        <f>IFERROR(__xludf.DUMMYFUNCTION("DATE(INDEX(SPLIT(I1481,""/""),,3),INDEX(SPLIT(I1481,""/""),,2),INDEX(SPLIT(I1481,""/""),,1))"),44799.0)</f>
        <v>44799</v>
      </c>
      <c r="L1481" s="1">
        <v>0.0</v>
      </c>
      <c r="M1481" s="1" t="s">
        <v>3565</v>
      </c>
      <c r="N1481" s="1"/>
      <c r="O1481" s="1" t="s">
        <v>30</v>
      </c>
      <c r="P1481" s="1" t="s">
        <v>31</v>
      </c>
      <c r="Q1481" s="1" t="s">
        <v>32</v>
      </c>
      <c r="R1481" s="1" t="s">
        <v>32</v>
      </c>
      <c r="S1481" s="1" t="s">
        <v>33</v>
      </c>
      <c r="U1481" s="1">
        <v>1.01088701E8</v>
      </c>
      <c r="V1481" s="1" t="s">
        <v>553</v>
      </c>
      <c r="W1481" s="1" t="s">
        <v>45</v>
      </c>
      <c r="X1481" s="1" t="s">
        <v>46</v>
      </c>
      <c r="Y1481" s="1" t="s">
        <v>4982</v>
      </c>
      <c r="Z1481" s="1" t="s">
        <v>37</v>
      </c>
    </row>
    <row r="1482" hidden="1">
      <c r="A1482" s="1" t="s">
        <v>4983</v>
      </c>
      <c r="B1482" s="1" t="s">
        <v>1748</v>
      </c>
      <c r="C1482" s="1" t="s">
        <v>4984</v>
      </c>
      <c r="D1482" s="1" t="s">
        <v>78</v>
      </c>
      <c r="E1482" s="1" t="s">
        <v>28</v>
      </c>
      <c r="F1482" s="2">
        <v>750000.0</v>
      </c>
      <c r="G1482" s="1" t="s">
        <v>4985</v>
      </c>
      <c r="H1482" s="4">
        <f>IFERROR(__xludf.DUMMYFUNCTION("DATE(INDEX(SPLIT(G1482,""/""),,3),INDEX(SPLIT(G1482,""/""),,2),INDEX(SPLIT(G1482,""/""),,1))"),44273.0)</f>
        <v>44273</v>
      </c>
      <c r="I1482" s="1" t="s">
        <v>3202</v>
      </c>
      <c r="J1482" s="4">
        <f>IFERROR(__xludf.DUMMYFUNCTION("DATE(INDEX(SPLIT(I1482,""/""),,3),INDEX(SPLIT(I1482,""/""),,2),INDEX(SPLIT(I1482,""/""),,1))"),44830.0)</f>
        <v>44830</v>
      </c>
      <c r="L1482" s="1">
        <v>0.0</v>
      </c>
      <c r="M1482" s="1" t="s">
        <v>2488</v>
      </c>
      <c r="N1482" s="1"/>
      <c r="O1482" s="1" t="s">
        <v>30</v>
      </c>
      <c r="P1482" s="1" t="s">
        <v>31</v>
      </c>
      <c r="Q1482" s="1" t="s">
        <v>95</v>
      </c>
      <c r="R1482" s="1" t="s">
        <v>95</v>
      </c>
      <c r="S1482" s="1" t="s">
        <v>96</v>
      </c>
      <c r="T1482" s="1" t="s">
        <v>602</v>
      </c>
      <c r="U1482" s="1">
        <v>1.00646485E8</v>
      </c>
      <c r="X1482" s="1" t="s">
        <v>88</v>
      </c>
      <c r="Y1482" s="1" t="s">
        <v>4986</v>
      </c>
      <c r="Z1482" s="1" t="s">
        <v>527</v>
      </c>
    </row>
    <row r="1483" hidden="1">
      <c r="A1483" s="1" t="s">
        <v>4987</v>
      </c>
      <c r="B1483" s="1" t="s">
        <v>4988</v>
      </c>
      <c r="C1483" s="1" t="s">
        <v>4989</v>
      </c>
      <c r="D1483" s="1" t="s">
        <v>27</v>
      </c>
      <c r="E1483" s="1" t="s">
        <v>28</v>
      </c>
      <c r="F1483" s="2">
        <v>750000.0</v>
      </c>
      <c r="G1483" s="4">
        <v>44866.0</v>
      </c>
      <c r="H1483" s="4">
        <f>IFERROR(__xludf.DUMMYFUNCTION("DATE(INDEX(SPLIT(G1483,""/""),,3),INDEX(SPLIT(G1483,""/""),,2),INDEX(SPLIT(G1483,""/""),,1))"),44572.0)</f>
        <v>44572</v>
      </c>
      <c r="I1483" s="1" t="s">
        <v>109</v>
      </c>
      <c r="J1483" s="4">
        <f>IFERROR(__xludf.DUMMYFUNCTION("DATE(INDEX(SPLIT(I1483,""/""),,3),INDEX(SPLIT(I1483,""/""),,2),INDEX(SPLIT(I1483,""/""),,1))"),44834.0)</f>
        <v>44834</v>
      </c>
      <c r="L1483" s="1">
        <v>0.0</v>
      </c>
      <c r="M1483" s="1" t="s">
        <v>1904</v>
      </c>
      <c r="N1483" s="1"/>
      <c r="O1483" s="1" t="s">
        <v>30</v>
      </c>
      <c r="P1483" s="1" t="s">
        <v>31</v>
      </c>
      <c r="Q1483" s="1" t="s">
        <v>95</v>
      </c>
      <c r="R1483" s="1" t="s">
        <v>95</v>
      </c>
      <c r="S1483" s="1" t="s">
        <v>96</v>
      </c>
      <c r="T1483" s="1" t="s">
        <v>311</v>
      </c>
      <c r="U1483" s="1">
        <v>1.0059365E8</v>
      </c>
      <c r="X1483" s="1" t="s">
        <v>410</v>
      </c>
      <c r="Y1483" s="1" t="s">
        <v>1904</v>
      </c>
      <c r="Z1483" s="1" t="s">
        <v>37</v>
      </c>
    </row>
    <row r="1484" hidden="1">
      <c r="A1484" s="1" t="s">
        <v>4990</v>
      </c>
      <c r="B1484" s="1" t="s">
        <v>1629</v>
      </c>
      <c r="C1484" s="1" t="s">
        <v>4991</v>
      </c>
      <c r="D1484" s="1" t="s">
        <v>27</v>
      </c>
      <c r="E1484" s="1" t="s">
        <v>28</v>
      </c>
      <c r="F1484" s="2">
        <v>750000.0</v>
      </c>
      <c r="G1484" s="1" t="s">
        <v>4992</v>
      </c>
      <c r="H1484" s="4">
        <f>IFERROR(__xludf.DUMMYFUNCTION("DATE(INDEX(SPLIT(G1484,""/""),,3),INDEX(SPLIT(G1484,""/""),,2),INDEX(SPLIT(G1484,""/""),,1))"),44011.0)</f>
        <v>44011</v>
      </c>
      <c r="I1484" s="4">
        <v>44958.0</v>
      </c>
      <c r="J1484" s="4">
        <f>IFERROR(__xludf.DUMMYFUNCTION("DATE(INDEX(SPLIT(I1484,""/""),,3),INDEX(SPLIT(I1484,""/""),,2),INDEX(SPLIT(I1484,""/""),,1))"),44928.0)</f>
        <v>44928</v>
      </c>
      <c r="L1484" s="1">
        <v>0.0</v>
      </c>
      <c r="M1484" s="1" t="s">
        <v>4016</v>
      </c>
      <c r="N1484" s="1"/>
      <c r="O1484" s="1" t="s">
        <v>30</v>
      </c>
      <c r="P1484" s="1" t="s">
        <v>31</v>
      </c>
      <c r="Q1484" s="1" t="s">
        <v>95</v>
      </c>
      <c r="R1484" s="1" t="s">
        <v>95</v>
      </c>
      <c r="S1484" s="1" t="s">
        <v>96</v>
      </c>
      <c r="T1484" s="1" t="s">
        <v>4993</v>
      </c>
      <c r="U1484" s="1">
        <v>1.00628223E8</v>
      </c>
      <c r="X1484" s="1" t="s">
        <v>410</v>
      </c>
      <c r="Y1484" s="1" t="s">
        <v>4016</v>
      </c>
      <c r="Z1484" s="1" t="s">
        <v>206</v>
      </c>
    </row>
    <row r="1485" hidden="1">
      <c r="A1485" s="1" t="s">
        <v>4994</v>
      </c>
      <c r="B1485" s="1" t="s">
        <v>2400</v>
      </c>
      <c r="C1485" s="1" t="s">
        <v>4995</v>
      </c>
      <c r="D1485" s="1" t="s">
        <v>27</v>
      </c>
      <c r="E1485" s="1" t="s">
        <v>28</v>
      </c>
      <c r="F1485" s="2">
        <v>750000.0</v>
      </c>
      <c r="G1485" s="1" t="s">
        <v>1004</v>
      </c>
      <c r="H1485" s="4">
        <f>IFERROR(__xludf.DUMMYFUNCTION("DATE(INDEX(SPLIT(G1485,""/""),,3),INDEX(SPLIT(G1485,""/""),,2),INDEX(SPLIT(G1485,""/""),,1))"),44582.0)</f>
        <v>44582</v>
      </c>
      <c r="I1485" s="1" t="s">
        <v>569</v>
      </c>
      <c r="J1485" s="4">
        <f>IFERROR(__xludf.DUMMYFUNCTION("DATE(INDEX(SPLIT(I1485,""/""),,3),INDEX(SPLIT(I1485,""/""),,2),INDEX(SPLIT(I1485,""/""),,1))"),45016.0)</f>
        <v>45016</v>
      </c>
      <c r="L1485" s="1">
        <v>0.0</v>
      </c>
      <c r="M1485" s="1" t="s">
        <v>852</v>
      </c>
      <c r="N1485" s="1"/>
      <c r="O1485" s="1" t="s">
        <v>30</v>
      </c>
      <c r="P1485" s="1" t="s">
        <v>31</v>
      </c>
      <c r="Q1485" s="1" t="s">
        <v>157</v>
      </c>
      <c r="R1485" s="1" t="s">
        <v>157</v>
      </c>
      <c r="S1485" s="1" t="s">
        <v>158</v>
      </c>
      <c r="T1485" s="1" t="s">
        <v>442</v>
      </c>
      <c r="U1485" s="1">
        <v>1.00648457E8</v>
      </c>
      <c r="X1485" s="1" t="s">
        <v>781</v>
      </c>
      <c r="Y1485" s="1" t="s">
        <v>2402</v>
      </c>
      <c r="Z1485" s="1" t="s">
        <v>37</v>
      </c>
    </row>
    <row r="1486">
      <c r="A1486" s="1" t="s">
        <v>4996</v>
      </c>
      <c r="B1486" s="1" t="s">
        <v>1609</v>
      </c>
      <c r="C1486" s="1" t="s">
        <v>4997</v>
      </c>
      <c r="D1486" s="1" t="s">
        <v>78</v>
      </c>
      <c r="E1486" s="1" t="s">
        <v>28</v>
      </c>
      <c r="F1486" s="2">
        <v>750000.0</v>
      </c>
      <c r="G1486" s="1" t="s">
        <v>1044</v>
      </c>
      <c r="H1486" s="4">
        <f>IFERROR(__xludf.DUMMYFUNCTION("DATE(INDEX(SPLIT(G1486,""/""),,3),INDEX(SPLIT(G1486,""/""),,2),INDEX(SPLIT(G1486,""/""),,1))"),44588.0)</f>
        <v>44588</v>
      </c>
      <c r="I1486" s="1" t="s">
        <v>69</v>
      </c>
      <c r="J1486" s="4">
        <f>IFERROR(__xludf.DUMMYFUNCTION("DATE(INDEX(SPLIT(I1486,""/""),,3),INDEX(SPLIT(I1486,""/""),,2),INDEX(SPLIT(I1486,""/""),,1))"),44773.0)</f>
        <v>44773</v>
      </c>
      <c r="L1486" s="1">
        <v>0.0</v>
      </c>
      <c r="M1486" s="1" t="s">
        <v>1610</v>
      </c>
      <c r="N1486" s="1"/>
      <c r="O1486" s="1" t="s">
        <v>30</v>
      </c>
      <c r="P1486" s="1" t="s">
        <v>31</v>
      </c>
      <c r="Q1486" s="1" t="s">
        <v>53</v>
      </c>
      <c r="R1486" s="1" t="s">
        <v>53</v>
      </c>
      <c r="S1486" s="1" t="s">
        <v>54</v>
      </c>
      <c r="T1486" s="1" t="s">
        <v>1386</v>
      </c>
      <c r="U1486" s="1">
        <v>1.01141441E8</v>
      </c>
      <c r="X1486" s="1" t="s">
        <v>81</v>
      </c>
      <c r="Y1486" s="1" t="s">
        <v>1610</v>
      </c>
      <c r="Z1486" s="1" t="s">
        <v>37</v>
      </c>
    </row>
    <row r="1487" hidden="1">
      <c r="A1487" s="1" t="s">
        <v>4998</v>
      </c>
      <c r="B1487" s="1" t="s">
        <v>1780</v>
      </c>
      <c r="C1487" s="1" t="s">
        <v>4999</v>
      </c>
      <c r="D1487" s="1" t="s">
        <v>27</v>
      </c>
      <c r="E1487" s="1" t="s">
        <v>28</v>
      </c>
      <c r="F1487" s="2">
        <v>750000.0</v>
      </c>
      <c r="G1487" s="1" t="s">
        <v>472</v>
      </c>
      <c r="H1487" s="4">
        <f>IFERROR(__xludf.DUMMYFUNCTION("DATE(INDEX(SPLIT(G1487,""/""),,3),INDEX(SPLIT(G1487,""/""),,2),INDEX(SPLIT(G1487,""/""),,1))"),44760.0)</f>
        <v>44760</v>
      </c>
      <c r="I1487" s="1" t="s">
        <v>85</v>
      </c>
      <c r="J1487" s="4">
        <f>IFERROR(__xludf.DUMMYFUNCTION("DATE(INDEX(SPLIT(I1487,""/""),,3),INDEX(SPLIT(I1487,""/""),,2),INDEX(SPLIT(I1487,""/""),,1))"),44799.0)</f>
        <v>44799</v>
      </c>
      <c r="L1487" s="1">
        <v>0.0</v>
      </c>
      <c r="M1487" s="1" t="s">
        <v>1544</v>
      </c>
      <c r="N1487" s="1"/>
      <c r="O1487" s="1" t="s">
        <v>30</v>
      </c>
      <c r="P1487" s="1" t="s">
        <v>31</v>
      </c>
      <c r="Q1487" s="1" t="s">
        <v>71</v>
      </c>
      <c r="R1487" s="1" t="s">
        <v>71</v>
      </c>
      <c r="S1487" s="1" t="s">
        <v>72</v>
      </c>
      <c r="T1487" s="1" t="s">
        <v>136</v>
      </c>
      <c r="U1487" s="1">
        <v>1.00619692E8</v>
      </c>
      <c r="X1487" s="1" t="s">
        <v>74</v>
      </c>
      <c r="Y1487" s="1" t="s">
        <v>1544</v>
      </c>
      <c r="Z1487" s="1" t="s">
        <v>37</v>
      </c>
    </row>
    <row r="1488" hidden="1">
      <c r="A1488" s="1" t="s">
        <v>5000</v>
      </c>
      <c r="B1488" s="1" t="s">
        <v>2961</v>
      </c>
      <c r="C1488" s="1" t="s">
        <v>5001</v>
      </c>
      <c r="D1488" s="1" t="s">
        <v>78</v>
      </c>
      <c r="E1488" s="1" t="s">
        <v>28</v>
      </c>
      <c r="F1488" s="2">
        <v>750000.0</v>
      </c>
      <c r="G1488" s="1" t="s">
        <v>2963</v>
      </c>
      <c r="H1488" s="4">
        <f>IFERROR(__xludf.DUMMYFUNCTION("DATE(INDEX(SPLIT(G1488,""/""),,3),INDEX(SPLIT(G1488,""/""),,2),INDEX(SPLIT(G1488,""/""),,1))"),44524.0)</f>
        <v>44524</v>
      </c>
      <c r="I1488" s="1" t="s">
        <v>281</v>
      </c>
      <c r="J1488" s="4">
        <f>IFERROR(__xludf.DUMMYFUNCTION("DATE(INDEX(SPLIT(I1488,""/""),,3),INDEX(SPLIT(I1488,""/""),,2),INDEX(SPLIT(I1488,""/""),,1))"),44865.0)</f>
        <v>44865</v>
      </c>
      <c r="L1488" s="1">
        <v>0.0</v>
      </c>
      <c r="M1488" s="1" t="s">
        <v>2964</v>
      </c>
      <c r="N1488" s="1"/>
      <c r="O1488" s="1" t="s">
        <v>30</v>
      </c>
      <c r="P1488" s="1" t="s">
        <v>31</v>
      </c>
      <c r="Q1488" s="1" t="s">
        <v>95</v>
      </c>
      <c r="R1488" s="1" t="s">
        <v>95</v>
      </c>
      <c r="S1488" s="1" t="s">
        <v>96</v>
      </c>
      <c r="T1488" s="1" t="s">
        <v>97</v>
      </c>
      <c r="U1488" s="1">
        <v>1.00654835E8</v>
      </c>
      <c r="X1488" s="1" t="s">
        <v>117</v>
      </c>
      <c r="Y1488" s="1" t="s">
        <v>2964</v>
      </c>
      <c r="Z1488" s="1" t="s">
        <v>206</v>
      </c>
    </row>
    <row r="1489" hidden="1">
      <c r="A1489" s="1" t="s">
        <v>5002</v>
      </c>
      <c r="B1489" s="1" t="s">
        <v>5003</v>
      </c>
      <c r="C1489" s="1" t="s">
        <v>5004</v>
      </c>
      <c r="D1489" s="1" t="s">
        <v>27</v>
      </c>
      <c r="E1489" s="1" t="s">
        <v>28</v>
      </c>
      <c r="F1489" s="2">
        <v>750000.0</v>
      </c>
      <c r="G1489" s="1" t="s">
        <v>185</v>
      </c>
      <c r="H1489" s="4">
        <f>IFERROR(__xludf.DUMMYFUNCTION("DATE(INDEX(SPLIT(G1489,""/""),,3),INDEX(SPLIT(G1489,""/""),,2),INDEX(SPLIT(G1489,""/""),,1))"),44741.0)</f>
        <v>44741</v>
      </c>
      <c r="I1489" s="1" t="s">
        <v>625</v>
      </c>
      <c r="J1489" s="4">
        <f>IFERROR(__xludf.DUMMYFUNCTION("DATE(INDEX(SPLIT(I1489,""/""),,3),INDEX(SPLIT(I1489,""/""),,2),INDEX(SPLIT(I1489,""/""),,1))"),44848.0)</f>
        <v>44848</v>
      </c>
      <c r="L1489" s="1">
        <v>0.0</v>
      </c>
      <c r="M1489" s="1" t="s">
        <v>1439</v>
      </c>
      <c r="N1489" s="1"/>
      <c r="O1489" s="1" t="s">
        <v>30</v>
      </c>
      <c r="P1489" s="1" t="s">
        <v>31</v>
      </c>
      <c r="Q1489" s="1" t="s">
        <v>32</v>
      </c>
      <c r="R1489" s="1" t="s">
        <v>32</v>
      </c>
      <c r="S1489" s="1" t="s">
        <v>33</v>
      </c>
      <c r="T1489" s="1" t="s">
        <v>402</v>
      </c>
      <c r="U1489" s="1">
        <v>1.00585872E8</v>
      </c>
      <c r="X1489" s="1" t="s">
        <v>781</v>
      </c>
      <c r="Y1489" s="1" t="s">
        <v>1457</v>
      </c>
      <c r="Z1489" s="1" t="s">
        <v>37</v>
      </c>
    </row>
    <row r="1490" hidden="1">
      <c r="A1490" s="1" t="s">
        <v>5005</v>
      </c>
      <c r="B1490" s="1" t="s">
        <v>3429</v>
      </c>
      <c r="C1490" s="1" t="s">
        <v>5006</v>
      </c>
      <c r="D1490" s="1" t="s">
        <v>122</v>
      </c>
      <c r="E1490" s="1" t="s">
        <v>28</v>
      </c>
      <c r="F1490" s="2">
        <v>750000.0</v>
      </c>
      <c r="G1490" s="1" t="s">
        <v>711</v>
      </c>
      <c r="H1490" s="4">
        <f>IFERROR(__xludf.DUMMYFUNCTION("DATE(INDEX(SPLIT(G1490,""/""),,3),INDEX(SPLIT(G1490,""/""),,2),INDEX(SPLIT(G1490,""/""),,1))"),44279.0)</f>
        <v>44279</v>
      </c>
      <c r="I1490" s="1" t="s">
        <v>109</v>
      </c>
      <c r="J1490" s="4">
        <f>IFERROR(__xludf.DUMMYFUNCTION("DATE(INDEX(SPLIT(I1490,""/""),,3),INDEX(SPLIT(I1490,""/""),,2),INDEX(SPLIT(I1490,""/""),,1))"),44834.0)</f>
        <v>44834</v>
      </c>
      <c r="L1490" s="1">
        <v>0.0</v>
      </c>
      <c r="M1490" s="1" t="s">
        <v>61</v>
      </c>
      <c r="N1490" s="1"/>
      <c r="O1490" s="1" t="s">
        <v>30</v>
      </c>
      <c r="P1490" s="1" t="s">
        <v>31</v>
      </c>
      <c r="Q1490" s="1" t="s">
        <v>32</v>
      </c>
      <c r="R1490" s="1" t="s">
        <v>32</v>
      </c>
      <c r="S1490" s="1" t="s">
        <v>33</v>
      </c>
      <c r="T1490" s="1" t="s">
        <v>103</v>
      </c>
      <c r="U1490" s="1">
        <v>1.0060843E8</v>
      </c>
      <c r="X1490" s="1" t="s">
        <v>63</v>
      </c>
      <c r="Y1490" s="1" t="s">
        <v>61</v>
      </c>
      <c r="Z1490" s="1" t="s">
        <v>37</v>
      </c>
    </row>
    <row r="1491" hidden="1">
      <c r="A1491" s="1" t="s">
        <v>5007</v>
      </c>
      <c r="B1491" s="1" t="s">
        <v>992</v>
      </c>
      <c r="C1491" s="1" t="s">
        <v>5008</v>
      </c>
      <c r="D1491" s="1" t="s">
        <v>27</v>
      </c>
      <c r="E1491" s="1" t="s">
        <v>28</v>
      </c>
      <c r="F1491" s="2">
        <v>750000.0</v>
      </c>
      <c r="G1491" s="1" t="s">
        <v>2629</v>
      </c>
      <c r="H1491" s="4">
        <f>IFERROR(__xludf.DUMMYFUNCTION("DATE(INDEX(SPLIT(G1491,""/""),,3),INDEX(SPLIT(G1491,""/""),,2),INDEX(SPLIT(G1491,""/""),,1))"),44651.0)</f>
        <v>44651</v>
      </c>
      <c r="I1491" s="1" t="s">
        <v>130</v>
      </c>
      <c r="J1491" s="4">
        <f>IFERROR(__xludf.DUMMYFUNCTION("DATE(INDEX(SPLIT(I1491,""/""),,3),INDEX(SPLIT(I1491,""/""),,2),INDEX(SPLIT(I1491,""/""),,1))"),44804.0)</f>
        <v>44804</v>
      </c>
      <c r="L1491" s="1">
        <v>0.0</v>
      </c>
      <c r="M1491" s="1" t="s">
        <v>563</v>
      </c>
      <c r="N1491" s="1"/>
      <c r="O1491" s="1" t="s">
        <v>30</v>
      </c>
      <c r="P1491" s="1" t="s">
        <v>31</v>
      </c>
      <c r="Q1491" s="1" t="s">
        <v>95</v>
      </c>
      <c r="R1491" s="1" t="s">
        <v>95</v>
      </c>
      <c r="S1491" s="1" t="s">
        <v>96</v>
      </c>
      <c r="T1491" s="1" t="s">
        <v>217</v>
      </c>
      <c r="U1491" s="1">
        <v>1.00646702E8</v>
      </c>
      <c r="X1491" s="1" t="s">
        <v>35</v>
      </c>
      <c r="Y1491" s="1" t="s">
        <v>5009</v>
      </c>
      <c r="Z1491" s="1" t="s">
        <v>37</v>
      </c>
    </row>
    <row r="1492">
      <c r="A1492" s="1" t="s">
        <v>5010</v>
      </c>
      <c r="B1492" s="1" t="s">
        <v>5011</v>
      </c>
      <c r="C1492" s="1" t="s">
        <v>5012</v>
      </c>
      <c r="D1492" s="1" t="s">
        <v>78</v>
      </c>
      <c r="E1492" s="1" t="s">
        <v>28</v>
      </c>
      <c r="F1492" s="2">
        <v>750000.0</v>
      </c>
      <c r="G1492" s="1" t="s">
        <v>1302</v>
      </c>
      <c r="H1492" s="4">
        <f>IFERROR(__xludf.DUMMYFUNCTION("DATE(INDEX(SPLIT(G1492,""/""),,3),INDEX(SPLIT(G1492,""/""),,2),INDEX(SPLIT(G1492,""/""),,1))"),44589.0)</f>
        <v>44589</v>
      </c>
      <c r="I1492" s="1" t="s">
        <v>2300</v>
      </c>
      <c r="J1492" s="4">
        <f>IFERROR(__xludf.DUMMYFUNCTION("DATE(INDEX(SPLIT(I1492,""/""),,3),INDEX(SPLIT(I1492,""/""),,2),INDEX(SPLIT(I1492,""/""),,1))"),44712.0)</f>
        <v>44712</v>
      </c>
      <c r="L1492" s="1">
        <v>0.0</v>
      </c>
      <c r="M1492" s="1" t="s">
        <v>3052</v>
      </c>
      <c r="N1492" s="1"/>
      <c r="O1492" s="1" t="s">
        <v>30</v>
      </c>
      <c r="P1492" s="1" t="s">
        <v>31</v>
      </c>
      <c r="Q1492" s="1" t="s">
        <v>32</v>
      </c>
      <c r="R1492" s="1" t="s">
        <v>32</v>
      </c>
      <c r="S1492" s="1" t="s">
        <v>33</v>
      </c>
      <c r="T1492" s="1" t="s">
        <v>103</v>
      </c>
      <c r="U1492" s="1">
        <v>1.00610367E8</v>
      </c>
      <c r="X1492" s="1" t="s">
        <v>63</v>
      </c>
      <c r="Y1492" s="1" t="s">
        <v>5013</v>
      </c>
      <c r="Z1492" s="1" t="s">
        <v>37</v>
      </c>
    </row>
    <row r="1493">
      <c r="A1493" s="1" t="s">
        <v>5014</v>
      </c>
      <c r="B1493" s="1" t="s">
        <v>5015</v>
      </c>
      <c r="C1493" s="1" t="s">
        <v>5016</v>
      </c>
      <c r="D1493" s="1" t="s">
        <v>78</v>
      </c>
      <c r="E1493" s="1" t="s">
        <v>28</v>
      </c>
      <c r="F1493" s="2">
        <v>750000.0</v>
      </c>
      <c r="G1493" s="4">
        <v>44869.0</v>
      </c>
      <c r="H1493" s="4">
        <f>IFERROR(__xludf.DUMMYFUNCTION("DATE(INDEX(SPLIT(G1493,""/""),,3),INDEX(SPLIT(G1493,""/""),,2),INDEX(SPLIT(G1493,""/""),,1))"),44662.0)</f>
        <v>44662</v>
      </c>
      <c r="I1493" s="1" t="s">
        <v>2300</v>
      </c>
      <c r="J1493" s="4">
        <f>IFERROR(__xludf.DUMMYFUNCTION("DATE(INDEX(SPLIT(I1493,""/""),,3),INDEX(SPLIT(I1493,""/""),,2),INDEX(SPLIT(I1493,""/""),,1))"),44712.0)</f>
        <v>44712</v>
      </c>
      <c r="L1493" s="1">
        <v>0.0</v>
      </c>
      <c r="M1493" s="1" t="s">
        <v>5017</v>
      </c>
      <c r="N1493" s="1"/>
      <c r="O1493" s="1" t="s">
        <v>30</v>
      </c>
      <c r="P1493" s="1" t="s">
        <v>31</v>
      </c>
      <c r="Q1493" s="1" t="s">
        <v>228</v>
      </c>
      <c r="R1493" s="1" t="s">
        <v>228</v>
      </c>
      <c r="S1493" s="1" t="s">
        <v>229</v>
      </c>
      <c r="T1493" s="1" t="s">
        <v>513</v>
      </c>
      <c r="U1493" s="1">
        <v>1.00620023E8</v>
      </c>
      <c r="X1493" s="1" t="s">
        <v>239</v>
      </c>
      <c r="Y1493" s="1" t="s">
        <v>5017</v>
      </c>
      <c r="Z1493" s="1" t="s">
        <v>37</v>
      </c>
    </row>
    <row r="1494" hidden="1">
      <c r="A1494" s="1" t="s">
        <v>5018</v>
      </c>
      <c r="B1494" s="1" t="s">
        <v>932</v>
      </c>
      <c r="C1494" s="1" t="s">
        <v>5019</v>
      </c>
      <c r="D1494" s="1" t="s">
        <v>27</v>
      </c>
      <c r="E1494" s="1" t="s">
        <v>28</v>
      </c>
      <c r="F1494" s="2">
        <v>750000.0</v>
      </c>
      <c r="G1494" s="4">
        <v>44147.0</v>
      </c>
      <c r="H1494" s="4">
        <f>IFERROR(__xludf.DUMMYFUNCTION("DATE(INDEX(SPLIT(G1494,""/""),,3),INDEX(SPLIT(G1494,""/""),,2),INDEX(SPLIT(G1494,""/""),,1))"),44176.0)</f>
        <v>44176</v>
      </c>
      <c r="I1494" s="1" t="s">
        <v>360</v>
      </c>
      <c r="J1494" s="4">
        <f>IFERROR(__xludf.DUMMYFUNCTION("DATE(INDEX(SPLIT(I1494,""/""),,3),INDEX(SPLIT(I1494,""/""),,2),INDEX(SPLIT(I1494,""/""),,1))"),44895.0)</f>
        <v>44895</v>
      </c>
      <c r="L1494" s="1">
        <v>0.0</v>
      </c>
      <c r="M1494" s="1" t="s">
        <v>5020</v>
      </c>
      <c r="N1494" s="1"/>
      <c r="O1494" s="1" t="s">
        <v>30</v>
      </c>
      <c r="P1494" s="1" t="s">
        <v>31</v>
      </c>
      <c r="Q1494" s="1" t="s">
        <v>157</v>
      </c>
      <c r="R1494" s="1" t="s">
        <v>157</v>
      </c>
      <c r="S1494" s="1" t="s">
        <v>158</v>
      </c>
      <c r="T1494" s="1" t="s">
        <v>159</v>
      </c>
      <c r="U1494" s="1">
        <v>1.0064746E8</v>
      </c>
      <c r="X1494" s="1" t="s">
        <v>74</v>
      </c>
      <c r="Y1494" s="1" t="s">
        <v>2623</v>
      </c>
      <c r="Z1494" s="1" t="s">
        <v>37</v>
      </c>
    </row>
    <row r="1495">
      <c r="A1495" s="1" t="s">
        <v>5021</v>
      </c>
      <c r="B1495" s="1" t="s">
        <v>5022</v>
      </c>
      <c r="C1495" s="1" t="s">
        <v>5023</v>
      </c>
      <c r="D1495" s="1" t="s">
        <v>78</v>
      </c>
      <c r="E1495" s="1" t="s">
        <v>28</v>
      </c>
      <c r="F1495" s="2">
        <v>750000.0</v>
      </c>
      <c r="G1495" s="1" t="s">
        <v>1288</v>
      </c>
      <c r="H1495" s="4">
        <f>IFERROR(__xludf.DUMMYFUNCTION("DATE(INDEX(SPLIT(G1495,""/""),,3),INDEX(SPLIT(G1495,""/""),,2),INDEX(SPLIT(G1495,""/""),,1))"),44707.0)</f>
        <v>44707</v>
      </c>
      <c r="I1495" s="4">
        <v>44780.0</v>
      </c>
      <c r="J1495" s="4">
        <f>IFERROR(__xludf.DUMMYFUNCTION("DATE(INDEX(SPLIT(I1495,""/""),,3),INDEX(SPLIT(I1495,""/""),,2),INDEX(SPLIT(I1495,""/""),,1))"),44750.0)</f>
        <v>44750</v>
      </c>
      <c r="L1495" s="1">
        <v>0.0</v>
      </c>
      <c r="M1495" s="1" t="s">
        <v>1723</v>
      </c>
      <c r="N1495" s="1"/>
      <c r="O1495" s="1" t="s">
        <v>30</v>
      </c>
      <c r="P1495" s="1" t="s">
        <v>31</v>
      </c>
      <c r="Q1495" s="1" t="s">
        <v>157</v>
      </c>
      <c r="R1495" s="1" t="s">
        <v>157</v>
      </c>
      <c r="S1495" s="1" t="s">
        <v>158</v>
      </c>
      <c r="T1495" s="1" t="s">
        <v>159</v>
      </c>
      <c r="U1495" s="1">
        <v>1.00654085E8</v>
      </c>
      <c r="X1495" s="1" t="s">
        <v>74</v>
      </c>
      <c r="Y1495" s="1" t="s">
        <v>1723</v>
      </c>
      <c r="Z1495" s="1" t="s">
        <v>37</v>
      </c>
    </row>
    <row r="1496" hidden="1">
      <c r="A1496" s="1" t="s">
        <v>5024</v>
      </c>
      <c r="B1496" s="1" t="s">
        <v>5025</v>
      </c>
      <c r="C1496" s="1" t="s">
        <v>5026</v>
      </c>
      <c r="D1496" s="1" t="s">
        <v>78</v>
      </c>
      <c r="E1496" s="1" t="s">
        <v>28</v>
      </c>
      <c r="F1496" s="2">
        <v>750000.0</v>
      </c>
      <c r="G1496" s="1" t="s">
        <v>1044</v>
      </c>
      <c r="H1496" s="4">
        <f>IFERROR(__xludf.DUMMYFUNCTION("DATE(INDEX(SPLIT(G1496,""/""),,3),INDEX(SPLIT(G1496,""/""),,2),INDEX(SPLIT(G1496,""/""),,1))"),44588.0)</f>
        <v>44588</v>
      </c>
      <c r="I1496" s="4">
        <v>44569.0</v>
      </c>
      <c r="J1496" s="4">
        <f>IFERROR(__xludf.DUMMYFUNCTION("DATE(INDEX(SPLIT(I1496,""/""),,3),INDEX(SPLIT(I1496,""/""),,2),INDEX(SPLIT(I1496,""/""),,1))"),44774.0)</f>
        <v>44774</v>
      </c>
      <c r="L1496" s="1">
        <v>0.0</v>
      </c>
      <c r="M1496" s="1" t="s">
        <v>770</v>
      </c>
      <c r="N1496" s="1"/>
      <c r="O1496" s="1" t="s">
        <v>30</v>
      </c>
      <c r="P1496" s="1" t="s">
        <v>31</v>
      </c>
      <c r="Q1496" s="1" t="s">
        <v>157</v>
      </c>
      <c r="R1496" s="1" t="s">
        <v>157</v>
      </c>
      <c r="S1496" s="1" t="s">
        <v>158</v>
      </c>
      <c r="U1496" s="1">
        <v>1.00623421E8</v>
      </c>
      <c r="X1496" s="1" t="s">
        <v>1182</v>
      </c>
      <c r="Y1496" s="1" t="s">
        <v>5027</v>
      </c>
      <c r="Z1496" s="1" t="s">
        <v>37</v>
      </c>
    </row>
    <row r="1497" hidden="1">
      <c r="A1497" s="1" t="s">
        <v>5028</v>
      </c>
      <c r="B1497" s="1" t="s">
        <v>301</v>
      </c>
      <c r="C1497" s="1" t="s">
        <v>5029</v>
      </c>
      <c r="D1497" s="1" t="s">
        <v>27</v>
      </c>
      <c r="E1497" s="1" t="s">
        <v>28</v>
      </c>
      <c r="F1497" s="2">
        <v>750000.0</v>
      </c>
      <c r="G1497" s="4">
        <v>44717.0</v>
      </c>
      <c r="H1497" s="4">
        <f>IFERROR(__xludf.DUMMYFUNCTION("DATE(INDEX(SPLIT(G1497,""/""),,3),INDEX(SPLIT(G1497,""/""),,2),INDEX(SPLIT(G1497,""/""),,1))"),44687.0)</f>
        <v>44687</v>
      </c>
      <c r="I1497" s="1" t="s">
        <v>130</v>
      </c>
      <c r="J1497" s="4">
        <f>IFERROR(__xludf.DUMMYFUNCTION("DATE(INDEX(SPLIT(I1497,""/""),,3),INDEX(SPLIT(I1497,""/""),,2),INDEX(SPLIT(I1497,""/""),,1))"),44804.0)</f>
        <v>44804</v>
      </c>
      <c r="L1497" s="1">
        <v>0.0</v>
      </c>
      <c r="M1497" s="1" t="s">
        <v>5030</v>
      </c>
      <c r="N1497" s="1"/>
      <c r="O1497" s="1" t="s">
        <v>30</v>
      </c>
      <c r="P1497" s="1" t="s">
        <v>31</v>
      </c>
      <c r="Q1497" s="1" t="s">
        <v>228</v>
      </c>
      <c r="R1497" s="1" t="s">
        <v>228</v>
      </c>
      <c r="S1497" s="1" t="s">
        <v>229</v>
      </c>
      <c r="U1497" s="1">
        <v>1.00986592E8</v>
      </c>
      <c r="X1497" s="1" t="s">
        <v>305</v>
      </c>
      <c r="Y1497" s="1" t="s">
        <v>5031</v>
      </c>
      <c r="Z1497" s="1" t="s">
        <v>37</v>
      </c>
    </row>
    <row r="1498" hidden="1">
      <c r="A1498" s="1" t="s">
        <v>5032</v>
      </c>
      <c r="B1498" s="1" t="s">
        <v>5033</v>
      </c>
      <c r="C1498" s="1" t="s">
        <v>5034</v>
      </c>
      <c r="D1498" s="1" t="s">
        <v>27</v>
      </c>
      <c r="E1498" s="1" t="s">
        <v>28</v>
      </c>
      <c r="F1498" s="2">
        <v>750000.0</v>
      </c>
      <c r="G1498" s="1" t="s">
        <v>586</v>
      </c>
      <c r="H1498" s="4">
        <f>IFERROR(__xludf.DUMMYFUNCTION("DATE(INDEX(SPLIT(G1498,""/""),,3),INDEX(SPLIT(G1498,""/""),,2),INDEX(SPLIT(G1498,""/""),,1))"),44726.0)</f>
        <v>44726</v>
      </c>
      <c r="I1498" s="1" t="s">
        <v>130</v>
      </c>
      <c r="J1498" s="4">
        <f>IFERROR(__xludf.DUMMYFUNCTION("DATE(INDEX(SPLIT(I1498,""/""),,3),INDEX(SPLIT(I1498,""/""),,2),INDEX(SPLIT(I1498,""/""),,1))"),44804.0)</f>
        <v>44804</v>
      </c>
      <c r="L1498" s="1">
        <v>0.0</v>
      </c>
      <c r="M1498" s="1" t="s">
        <v>2724</v>
      </c>
      <c r="N1498" s="1"/>
      <c r="O1498" s="1" t="s">
        <v>30</v>
      </c>
      <c r="P1498" s="1" t="s">
        <v>31</v>
      </c>
      <c r="Q1498" s="1" t="s">
        <v>32</v>
      </c>
      <c r="R1498" s="1" t="s">
        <v>32</v>
      </c>
      <c r="S1498" s="1" t="s">
        <v>33</v>
      </c>
      <c r="U1498" s="1">
        <v>1.00606975E8</v>
      </c>
      <c r="X1498" s="1" t="s">
        <v>239</v>
      </c>
      <c r="Y1498" s="1" t="s">
        <v>5035</v>
      </c>
      <c r="Z1498" s="1" t="s">
        <v>37</v>
      </c>
    </row>
    <row r="1499" hidden="1">
      <c r="A1499" s="1" t="s">
        <v>5036</v>
      </c>
      <c r="B1499" s="1" t="s">
        <v>5037</v>
      </c>
      <c r="C1499" s="1" t="s">
        <v>5038</v>
      </c>
      <c r="D1499" s="1" t="s">
        <v>122</v>
      </c>
      <c r="E1499" s="1" t="s">
        <v>28</v>
      </c>
      <c r="F1499" s="2">
        <v>750000.0</v>
      </c>
      <c r="G1499" s="1" t="s">
        <v>5039</v>
      </c>
      <c r="H1499" s="4">
        <f>IFERROR(__xludf.DUMMYFUNCTION("DATE(INDEX(SPLIT(G1499,""/""),,3),INDEX(SPLIT(G1499,""/""),,2),INDEX(SPLIT(G1499,""/""),,1))"),44674.0)</f>
        <v>44674</v>
      </c>
      <c r="I1499" s="1" t="s">
        <v>130</v>
      </c>
      <c r="J1499" s="4">
        <f>IFERROR(__xludf.DUMMYFUNCTION("DATE(INDEX(SPLIT(I1499,""/""),,3),INDEX(SPLIT(I1499,""/""),,2),INDEX(SPLIT(I1499,""/""),,1))"),44804.0)</f>
        <v>44804</v>
      </c>
      <c r="L1499" s="1">
        <v>0.0</v>
      </c>
      <c r="M1499" s="1" t="s">
        <v>1565</v>
      </c>
      <c r="N1499" s="1"/>
      <c r="O1499" s="1" t="s">
        <v>30</v>
      </c>
      <c r="P1499" s="1" t="s">
        <v>31</v>
      </c>
      <c r="Q1499" s="1" t="s">
        <v>157</v>
      </c>
      <c r="R1499" s="1" t="s">
        <v>157</v>
      </c>
      <c r="S1499" s="1" t="s">
        <v>158</v>
      </c>
      <c r="T1499" s="1" t="s">
        <v>442</v>
      </c>
      <c r="U1499" s="1">
        <v>1.00646908E8</v>
      </c>
      <c r="X1499" s="1" t="s">
        <v>190</v>
      </c>
      <c r="Y1499" s="1" t="s">
        <v>5040</v>
      </c>
      <c r="Z1499" s="1" t="s">
        <v>37</v>
      </c>
    </row>
    <row r="1500">
      <c r="A1500" s="1" t="s">
        <v>5041</v>
      </c>
      <c r="B1500" s="1" t="s">
        <v>139</v>
      </c>
      <c r="C1500" s="1" t="s">
        <v>5042</v>
      </c>
      <c r="D1500" s="1" t="s">
        <v>122</v>
      </c>
      <c r="E1500" s="1" t="s">
        <v>28</v>
      </c>
      <c r="F1500" s="2">
        <v>750000.0</v>
      </c>
      <c r="G1500" s="1" t="s">
        <v>354</v>
      </c>
      <c r="H1500" s="4">
        <f>IFERROR(__xludf.DUMMYFUNCTION("DATE(INDEX(SPLIT(G1500,""/""),,3),INDEX(SPLIT(G1500,""/""),,2),INDEX(SPLIT(G1500,""/""),,1))"),44673.0)</f>
        <v>44673</v>
      </c>
      <c r="I1500" s="1" t="s">
        <v>226</v>
      </c>
      <c r="J1500" s="4">
        <f>IFERROR(__xludf.DUMMYFUNCTION("DATE(INDEX(SPLIT(I1500,""/""),,3),INDEX(SPLIT(I1500,""/""),,2),INDEX(SPLIT(I1500,""/""),,1))"),44771.0)</f>
        <v>44771</v>
      </c>
      <c r="L1500" s="1">
        <v>0.0</v>
      </c>
      <c r="M1500" s="1" t="s">
        <v>467</v>
      </c>
      <c r="N1500" s="1"/>
      <c r="O1500" s="1" t="s">
        <v>30</v>
      </c>
      <c r="P1500" s="1" t="s">
        <v>31</v>
      </c>
      <c r="Q1500" s="1" t="s">
        <v>32</v>
      </c>
      <c r="R1500" s="1" t="s">
        <v>32</v>
      </c>
      <c r="S1500" s="1" t="s">
        <v>33</v>
      </c>
      <c r="T1500" s="1" t="s">
        <v>34</v>
      </c>
      <c r="U1500" s="1">
        <v>1.00619817E8</v>
      </c>
      <c r="X1500" s="1" t="s">
        <v>81</v>
      </c>
      <c r="Y1500" s="1" t="s">
        <v>467</v>
      </c>
      <c r="Z1500" s="1" t="s">
        <v>37</v>
      </c>
    </row>
    <row r="1501">
      <c r="A1501" s="1" t="s">
        <v>5043</v>
      </c>
      <c r="B1501" s="1" t="s">
        <v>144</v>
      </c>
      <c r="C1501" s="1" t="s">
        <v>5044</v>
      </c>
      <c r="D1501" s="1" t="s">
        <v>78</v>
      </c>
      <c r="E1501" s="1" t="s">
        <v>28</v>
      </c>
      <c r="F1501" s="2">
        <v>750000.0</v>
      </c>
      <c r="G1501" s="1" t="s">
        <v>5039</v>
      </c>
      <c r="H1501" s="4">
        <f>IFERROR(__xludf.DUMMYFUNCTION("DATE(INDEX(SPLIT(G1501,""/""),,3),INDEX(SPLIT(G1501,""/""),,2),INDEX(SPLIT(G1501,""/""),,1))"),44674.0)</f>
        <v>44674</v>
      </c>
      <c r="I1501" s="1" t="s">
        <v>226</v>
      </c>
      <c r="J1501" s="4">
        <f>IFERROR(__xludf.DUMMYFUNCTION("DATE(INDEX(SPLIT(I1501,""/""),,3),INDEX(SPLIT(I1501,""/""),,2),INDEX(SPLIT(I1501,""/""),,1))"),44771.0)</f>
        <v>44771</v>
      </c>
      <c r="L1501" s="1">
        <v>0.0</v>
      </c>
      <c r="M1501" s="1" t="s">
        <v>2472</v>
      </c>
      <c r="N1501" s="1"/>
      <c r="O1501" s="1" t="s">
        <v>30</v>
      </c>
      <c r="P1501" s="1" t="s">
        <v>31</v>
      </c>
      <c r="Q1501" s="1" t="s">
        <v>228</v>
      </c>
      <c r="R1501" s="1" t="s">
        <v>228</v>
      </c>
      <c r="S1501" s="1" t="s">
        <v>229</v>
      </c>
      <c r="T1501" s="1" t="s">
        <v>640</v>
      </c>
      <c r="U1501" s="1">
        <v>1.00645232E8</v>
      </c>
      <c r="X1501" s="1" t="s">
        <v>88</v>
      </c>
      <c r="Y1501" s="1" t="s">
        <v>5045</v>
      </c>
      <c r="Z1501" s="1" t="s">
        <v>37</v>
      </c>
    </row>
    <row r="1502" hidden="1">
      <c r="A1502" s="1" t="s">
        <v>5046</v>
      </c>
      <c r="B1502" s="1" t="s">
        <v>5047</v>
      </c>
      <c r="C1502" s="1" t="s">
        <v>5048</v>
      </c>
      <c r="D1502" s="1" t="s">
        <v>27</v>
      </c>
      <c r="E1502" s="1" t="s">
        <v>28</v>
      </c>
      <c r="F1502" s="2">
        <v>750000.0</v>
      </c>
      <c r="G1502" s="1" t="s">
        <v>424</v>
      </c>
      <c r="H1502" s="4">
        <f>IFERROR(__xludf.DUMMYFUNCTION("DATE(INDEX(SPLIT(G1502,""/""),,3),INDEX(SPLIT(G1502,""/""),,2),INDEX(SPLIT(G1502,""/""),,1))"),44405.0)</f>
        <v>44405</v>
      </c>
      <c r="I1502" s="1" t="s">
        <v>569</v>
      </c>
      <c r="J1502" s="4">
        <f>IFERROR(__xludf.DUMMYFUNCTION("DATE(INDEX(SPLIT(I1502,""/""),,3),INDEX(SPLIT(I1502,""/""),,2),INDEX(SPLIT(I1502,""/""),,1))"),45016.0)</f>
        <v>45016</v>
      </c>
      <c r="L1502" s="1">
        <v>0.0</v>
      </c>
      <c r="M1502" s="1" t="s">
        <v>2869</v>
      </c>
      <c r="N1502" s="1"/>
      <c r="O1502" s="1" t="s">
        <v>30</v>
      </c>
      <c r="P1502" s="1" t="s">
        <v>31</v>
      </c>
      <c r="Q1502" s="1" t="s">
        <v>228</v>
      </c>
      <c r="R1502" s="1" t="s">
        <v>228</v>
      </c>
      <c r="S1502" s="1" t="s">
        <v>229</v>
      </c>
      <c r="T1502" s="1" t="s">
        <v>640</v>
      </c>
      <c r="U1502" s="1">
        <v>1.00641939E8</v>
      </c>
      <c r="X1502" s="1" t="s">
        <v>5049</v>
      </c>
      <c r="Y1502" s="1" t="s">
        <v>2869</v>
      </c>
      <c r="Z1502" s="1" t="s">
        <v>37</v>
      </c>
    </row>
    <row r="1503" hidden="1">
      <c r="A1503" s="1" t="s">
        <v>5050</v>
      </c>
      <c r="B1503" s="1" t="s">
        <v>5051</v>
      </c>
      <c r="C1503" s="1" t="s">
        <v>5052</v>
      </c>
      <c r="D1503" s="1" t="s">
        <v>27</v>
      </c>
      <c r="E1503" s="1" t="s">
        <v>28</v>
      </c>
      <c r="F1503" s="2">
        <v>750000.0</v>
      </c>
      <c r="G1503" s="1" t="s">
        <v>3467</v>
      </c>
      <c r="H1503" s="4">
        <f>IFERROR(__xludf.DUMMYFUNCTION("DATE(INDEX(SPLIT(G1503,""/""),,3),INDEX(SPLIT(G1503,""/""),,2),INDEX(SPLIT(G1503,""/""),,1))"),44615.0)</f>
        <v>44615</v>
      </c>
      <c r="I1503" s="1" t="s">
        <v>130</v>
      </c>
      <c r="J1503" s="4">
        <f>IFERROR(__xludf.DUMMYFUNCTION("DATE(INDEX(SPLIT(I1503,""/""),,3),INDEX(SPLIT(I1503,""/""),,2),INDEX(SPLIT(I1503,""/""),,1))"),44804.0)</f>
        <v>44804</v>
      </c>
      <c r="L1503" s="1">
        <v>0.0</v>
      </c>
      <c r="M1503" s="1" t="s">
        <v>3507</v>
      </c>
      <c r="N1503" s="1"/>
      <c r="O1503" s="1" t="s">
        <v>30</v>
      </c>
      <c r="P1503" s="1" t="s">
        <v>31</v>
      </c>
      <c r="Q1503" s="1" t="s">
        <v>235</v>
      </c>
      <c r="R1503" s="1" t="s">
        <v>235</v>
      </c>
      <c r="S1503" s="1" t="s">
        <v>236</v>
      </c>
      <c r="T1503" s="1" t="s">
        <v>1349</v>
      </c>
      <c r="U1503" s="1">
        <v>1.00585834E8</v>
      </c>
      <c r="X1503" s="1" t="s">
        <v>375</v>
      </c>
      <c r="Y1503" s="1" t="s">
        <v>3507</v>
      </c>
      <c r="Z1503" s="1" t="s">
        <v>37</v>
      </c>
    </row>
    <row r="1504" hidden="1">
      <c r="A1504" s="1" t="s">
        <v>5053</v>
      </c>
      <c r="B1504" s="1" t="s">
        <v>5054</v>
      </c>
      <c r="C1504" s="1" t="s">
        <v>5055</v>
      </c>
      <c r="D1504" s="1" t="s">
        <v>78</v>
      </c>
      <c r="E1504" s="1" t="s">
        <v>28</v>
      </c>
      <c r="F1504" s="2">
        <v>750000.0</v>
      </c>
      <c r="G1504" s="4">
        <v>44836.0</v>
      </c>
      <c r="H1504" s="4">
        <f>IFERROR(__xludf.DUMMYFUNCTION("DATE(INDEX(SPLIT(G1504,""/""),,3),INDEX(SPLIT(G1504,""/""),,2),INDEX(SPLIT(G1504,""/""),,1))"),44602.0)</f>
        <v>44602</v>
      </c>
      <c r="I1504" s="4">
        <v>44572.0</v>
      </c>
      <c r="J1504" s="4">
        <f>IFERROR(__xludf.DUMMYFUNCTION("DATE(INDEX(SPLIT(I1504,""/""),,3),INDEX(SPLIT(I1504,""/""),,2),INDEX(SPLIT(I1504,""/""),,1))"),44866.0)</f>
        <v>44866</v>
      </c>
      <c r="L1504" s="1">
        <v>0.0</v>
      </c>
      <c r="M1504" s="1" t="s">
        <v>1303</v>
      </c>
      <c r="N1504" s="1"/>
      <c r="O1504" s="1" t="s">
        <v>30</v>
      </c>
      <c r="P1504" s="1" t="s">
        <v>31</v>
      </c>
      <c r="Q1504" s="1" t="s">
        <v>235</v>
      </c>
      <c r="R1504" s="1" t="s">
        <v>235</v>
      </c>
      <c r="S1504" s="1" t="s">
        <v>236</v>
      </c>
      <c r="T1504" s="1" t="s">
        <v>438</v>
      </c>
      <c r="U1504" s="1">
        <v>1.00609073E8</v>
      </c>
      <c r="X1504" s="1" t="s">
        <v>88</v>
      </c>
      <c r="Y1504" s="1" t="s">
        <v>1304</v>
      </c>
      <c r="Z1504" s="1" t="s">
        <v>37</v>
      </c>
    </row>
    <row r="1505" hidden="1">
      <c r="A1505" s="1" t="s">
        <v>5056</v>
      </c>
      <c r="B1505" s="1" t="s">
        <v>1042</v>
      </c>
      <c r="C1505" s="1" t="s">
        <v>5057</v>
      </c>
      <c r="D1505" s="1" t="s">
        <v>122</v>
      </c>
      <c r="E1505" s="1" t="s">
        <v>28</v>
      </c>
      <c r="F1505" s="2">
        <v>750000.0</v>
      </c>
      <c r="G1505" s="4">
        <v>44625.0</v>
      </c>
      <c r="H1505" s="4">
        <f>IFERROR(__xludf.DUMMYFUNCTION("DATE(INDEX(SPLIT(G1505,""/""),,3),INDEX(SPLIT(G1505,""/""),,2),INDEX(SPLIT(G1505,""/""),,1))"),44684.0)</f>
        <v>44684</v>
      </c>
      <c r="I1505" s="1" t="s">
        <v>109</v>
      </c>
      <c r="J1505" s="4">
        <f>IFERROR(__xludf.DUMMYFUNCTION("DATE(INDEX(SPLIT(I1505,""/""),,3),INDEX(SPLIT(I1505,""/""),,2),INDEX(SPLIT(I1505,""/""),,1))"),44834.0)</f>
        <v>44834</v>
      </c>
      <c r="L1505" s="1">
        <v>0.0</v>
      </c>
      <c r="M1505" s="1" t="s">
        <v>1303</v>
      </c>
      <c r="N1505" s="1"/>
      <c r="O1505" s="1" t="s">
        <v>30</v>
      </c>
      <c r="P1505" s="1" t="s">
        <v>31</v>
      </c>
      <c r="Q1505" s="1" t="s">
        <v>235</v>
      </c>
      <c r="R1505" s="1" t="s">
        <v>235</v>
      </c>
      <c r="S1505" s="1" t="s">
        <v>236</v>
      </c>
      <c r="T1505" s="1" t="s">
        <v>438</v>
      </c>
      <c r="U1505" s="1">
        <v>1.00609073E8</v>
      </c>
      <c r="X1505" s="1" t="s">
        <v>88</v>
      </c>
      <c r="Y1505" s="1" t="s">
        <v>1303</v>
      </c>
      <c r="Z1505" s="1" t="s">
        <v>37</v>
      </c>
    </row>
    <row r="1506" hidden="1">
      <c r="A1506" s="1" t="s">
        <v>5058</v>
      </c>
      <c r="B1506" s="1" t="s">
        <v>645</v>
      </c>
      <c r="C1506" s="1" t="s">
        <v>5059</v>
      </c>
      <c r="D1506" s="1" t="s">
        <v>122</v>
      </c>
      <c r="E1506" s="1" t="s">
        <v>28</v>
      </c>
      <c r="F1506" s="2">
        <v>750000.0</v>
      </c>
      <c r="G1506" s="4">
        <v>44743.0</v>
      </c>
      <c r="H1506" s="4">
        <f>IFERROR(__xludf.DUMMYFUNCTION("DATE(INDEX(SPLIT(G1506,""/""),,3),INDEX(SPLIT(G1506,""/""),,2),INDEX(SPLIT(G1506,""/""),,1))"),44568.0)</f>
        <v>44568</v>
      </c>
      <c r="I1506" s="1" t="s">
        <v>85</v>
      </c>
      <c r="J1506" s="4">
        <f>IFERROR(__xludf.DUMMYFUNCTION("DATE(INDEX(SPLIT(I1506,""/""),,3),INDEX(SPLIT(I1506,""/""),,2),INDEX(SPLIT(I1506,""/""),,1))"),44799.0)</f>
        <v>44799</v>
      </c>
      <c r="L1506" s="1">
        <v>0.0</v>
      </c>
      <c r="M1506" s="1" t="s">
        <v>467</v>
      </c>
      <c r="N1506" s="1"/>
      <c r="O1506" s="1" t="s">
        <v>30</v>
      </c>
      <c r="P1506" s="1" t="s">
        <v>31</v>
      </c>
      <c r="Q1506" s="1" t="s">
        <v>32</v>
      </c>
      <c r="R1506" s="1" t="s">
        <v>32</v>
      </c>
      <c r="S1506" s="1" t="s">
        <v>33</v>
      </c>
      <c r="T1506" s="1" t="s">
        <v>4334</v>
      </c>
      <c r="U1506" s="1">
        <v>1.00619817E8</v>
      </c>
      <c r="X1506" s="1" t="s">
        <v>361</v>
      </c>
      <c r="Y1506" s="1" t="s">
        <v>698</v>
      </c>
      <c r="Z1506" s="1" t="s">
        <v>37</v>
      </c>
    </row>
    <row r="1507" hidden="1">
      <c r="A1507" s="1" t="s">
        <v>5060</v>
      </c>
      <c r="B1507" s="1" t="s">
        <v>645</v>
      </c>
      <c r="C1507" s="1" t="s">
        <v>5061</v>
      </c>
      <c r="D1507" s="1" t="s">
        <v>27</v>
      </c>
      <c r="E1507" s="1" t="s">
        <v>28</v>
      </c>
      <c r="F1507" s="2">
        <v>750000.0</v>
      </c>
      <c r="G1507" s="1" t="s">
        <v>382</v>
      </c>
      <c r="H1507" s="4">
        <f>IFERROR(__xludf.DUMMYFUNCTION("DATE(INDEX(SPLIT(G1507,""/""),,3),INDEX(SPLIT(G1507,""/""),,2),INDEX(SPLIT(G1507,""/""),,1))"),44758.0)</f>
        <v>44758</v>
      </c>
      <c r="I1507" s="1" t="s">
        <v>360</v>
      </c>
      <c r="J1507" s="4">
        <f>IFERROR(__xludf.DUMMYFUNCTION("DATE(INDEX(SPLIT(I1507,""/""),,3),INDEX(SPLIT(I1507,""/""),,2),INDEX(SPLIT(I1507,""/""),,1))"),44895.0)</f>
        <v>44895</v>
      </c>
      <c r="L1507" s="1">
        <v>0.0</v>
      </c>
      <c r="M1507" s="1" t="s">
        <v>467</v>
      </c>
      <c r="N1507" s="1"/>
      <c r="O1507" s="1" t="s">
        <v>30</v>
      </c>
      <c r="P1507" s="1" t="s">
        <v>31</v>
      </c>
      <c r="Q1507" s="1" t="s">
        <v>32</v>
      </c>
      <c r="R1507" s="1" t="s">
        <v>32</v>
      </c>
      <c r="S1507" s="1" t="s">
        <v>33</v>
      </c>
      <c r="T1507" s="1" t="s">
        <v>4334</v>
      </c>
      <c r="U1507" s="1">
        <v>1.00619817E8</v>
      </c>
      <c r="X1507" s="1" t="s">
        <v>361</v>
      </c>
      <c r="Y1507" s="1" t="s">
        <v>698</v>
      </c>
      <c r="Z1507" s="1" t="s">
        <v>37</v>
      </c>
    </row>
    <row r="1508" hidden="1">
      <c r="A1508" s="1" t="s">
        <v>5062</v>
      </c>
      <c r="B1508" s="1" t="s">
        <v>5063</v>
      </c>
      <c r="C1508" s="1" t="s">
        <v>5064</v>
      </c>
      <c r="D1508" s="1" t="s">
        <v>27</v>
      </c>
      <c r="E1508" s="1" t="s">
        <v>28</v>
      </c>
      <c r="F1508" s="2">
        <v>750000.0</v>
      </c>
      <c r="G1508" s="1" t="s">
        <v>5065</v>
      </c>
      <c r="H1508" s="4">
        <f>IFERROR(__xludf.DUMMYFUNCTION("DATE(INDEX(SPLIT(G1508,""/""),,3),INDEX(SPLIT(G1508,""/""),,2),INDEX(SPLIT(G1508,""/""),,1))"),44008.0)</f>
        <v>44008</v>
      </c>
      <c r="I1508" s="1" t="s">
        <v>1361</v>
      </c>
      <c r="J1508" s="4">
        <f>IFERROR(__xludf.DUMMYFUNCTION("DATE(INDEX(SPLIT(I1508,""/""),,3),INDEX(SPLIT(I1508,""/""),,2),INDEX(SPLIT(I1508,""/""),,1))"),44827.0)</f>
        <v>44827</v>
      </c>
      <c r="L1508" s="1">
        <v>0.0</v>
      </c>
      <c r="M1508" s="1" t="s">
        <v>3408</v>
      </c>
      <c r="N1508" s="1"/>
      <c r="O1508" s="1" t="s">
        <v>30</v>
      </c>
      <c r="P1508" s="1" t="s">
        <v>31</v>
      </c>
      <c r="Q1508" s="1" t="s">
        <v>95</v>
      </c>
      <c r="R1508" s="1" t="s">
        <v>95</v>
      </c>
      <c r="S1508" s="1" t="s">
        <v>96</v>
      </c>
      <c r="T1508" s="1" t="s">
        <v>3409</v>
      </c>
      <c r="U1508" s="1">
        <v>1.00953783E8</v>
      </c>
      <c r="X1508" s="1" t="s">
        <v>312</v>
      </c>
      <c r="Y1508" s="1" t="s">
        <v>2689</v>
      </c>
      <c r="Z1508" s="1" t="s">
        <v>527</v>
      </c>
    </row>
    <row r="1509" hidden="1">
      <c r="A1509" s="1" t="s">
        <v>5066</v>
      </c>
      <c r="B1509" s="1" t="s">
        <v>612</v>
      </c>
      <c r="C1509" s="1" t="s">
        <v>5067</v>
      </c>
      <c r="D1509" s="1" t="s">
        <v>78</v>
      </c>
      <c r="E1509" s="1" t="s">
        <v>28</v>
      </c>
      <c r="F1509" s="2">
        <v>750000.0</v>
      </c>
      <c r="G1509" s="1" t="s">
        <v>5068</v>
      </c>
      <c r="H1509" s="4">
        <f>IFERROR(__xludf.DUMMYFUNCTION("DATE(INDEX(SPLIT(G1509,""/""),,3),INDEX(SPLIT(G1509,""/""),,2),INDEX(SPLIT(G1509,""/""),,1))"),44315.0)</f>
        <v>44315</v>
      </c>
      <c r="I1509" s="4">
        <v>44601.0</v>
      </c>
      <c r="J1509" s="4">
        <f>IFERROR(__xludf.DUMMYFUNCTION("DATE(INDEX(SPLIT(I1509,""/""),,3),INDEX(SPLIT(I1509,""/""),,2),INDEX(SPLIT(I1509,""/""),,1))"),44806.0)</f>
        <v>44806</v>
      </c>
      <c r="L1509" s="1">
        <v>0.0</v>
      </c>
      <c r="M1509" s="1" t="s">
        <v>2596</v>
      </c>
      <c r="N1509" s="1"/>
      <c r="O1509" s="1" t="s">
        <v>30</v>
      </c>
      <c r="P1509" s="1" t="s">
        <v>31</v>
      </c>
      <c r="Q1509" s="1" t="s">
        <v>157</v>
      </c>
      <c r="R1509" s="1" t="s">
        <v>157</v>
      </c>
      <c r="S1509" s="1" t="s">
        <v>158</v>
      </c>
      <c r="T1509" s="1" t="s">
        <v>159</v>
      </c>
      <c r="U1509" s="1">
        <v>1.00653074E8</v>
      </c>
      <c r="X1509" s="1" t="s">
        <v>490</v>
      </c>
      <c r="Y1509" s="1" t="s">
        <v>2596</v>
      </c>
      <c r="Z1509" s="1" t="s">
        <v>37</v>
      </c>
    </row>
    <row r="1510" hidden="1">
      <c r="A1510" s="1" t="s">
        <v>5069</v>
      </c>
      <c r="B1510" s="1" t="s">
        <v>501</v>
      </c>
      <c r="C1510" s="1" t="s">
        <v>5070</v>
      </c>
      <c r="D1510" s="1" t="s">
        <v>68</v>
      </c>
      <c r="E1510" s="1" t="s">
        <v>28</v>
      </c>
      <c r="F1510" s="2">
        <v>750000.0</v>
      </c>
      <c r="G1510" s="4">
        <v>44717.0</v>
      </c>
      <c r="H1510" s="4">
        <f>IFERROR(__xludf.DUMMYFUNCTION("DATE(INDEX(SPLIT(G1510,""/""),,3),INDEX(SPLIT(G1510,""/""),,2),INDEX(SPLIT(G1510,""/""),,1))"),44687.0)</f>
        <v>44687</v>
      </c>
      <c r="I1510" s="4">
        <v>44903.0</v>
      </c>
      <c r="J1510" s="4">
        <f>IFERROR(__xludf.DUMMYFUNCTION("DATE(INDEX(SPLIT(I1510,""/""),,3),INDEX(SPLIT(I1510,""/""),,2),INDEX(SPLIT(I1510,""/""),,1))"),44785.0)</f>
        <v>44785</v>
      </c>
      <c r="L1510" s="1">
        <v>0.0</v>
      </c>
      <c r="M1510" s="1" t="s">
        <v>1904</v>
      </c>
      <c r="N1510" s="1"/>
      <c r="O1510" s="1" t="s">
        <v>30</v>
      </c>
      <c r="P1510" s="1" t="s">
        <v>31</v>
      </c>
      <c r="Q1510" s="1" t="s">
        <v>95</v>
      </c>
      <c r="R1510" s="1" t="s">
        <v>95</v>
      </c>
      <c r="S1510" s="1" t="s">
        <v>96</v>
      </c>
      <c r="T1510" s="1" t="s">
        <v>311</v>
      </c>
      <c r="U1510" s="1">
        <v>1.0059365E8</v>
      </c>
      <c r="X1510" s="1" t="s">
        <v>410</v>
      </c>
      <c r="Y1510" s="1" t="s">
        <v>1904</v>
      </c>
      <c r="Z1510" s="1" t="s">
        <v>37</v>
      </c>
    </row>
    <row r="1511" hidden="1">
      <c r="A1511" s="1" t="s">
        <v>5071</v>
      </c>
      <c r="B1511" s="1" t="s">
        <v>2135</v>
      </c>
      <c r="C1511" s="1" t="s">
        <v>5072</v>
      </c>
      <c r="D1511" s="1" t="s">
        <v>122</v>
      </c>
      <c r="E1511" s="1" t="s">
        <v>28</v>
      </c>
      <c r="F1511" s="2">
        <v>750000.0</v>
      </c>
      <c r="G1511" s="4">
        <v>44713.0</v>
      </c>
      <c r="H1511" s="4">
        <f>IFERROR(__xludf.DUMMYFUNCTION("DATE(INDEX(SPLIT(G1511,""/""),,3),INDEX(SPLIT(G1511,""/""),,2),INDEX(SPLIT(G1511,""/""),,1))"),44567.0)</f>
        <v>44567</v>
      </c>
      <c r="I1511" s="4">
        <v>44689.0</v>
      </c>
      <c r="J1511" s="4">
        <f>IFERROR(__xludf.DUMMYFUNCTION("DATE(INDEX(SPLIT(I1511,""/""),,3),INDEX(SPLIT(I1511,""/""),,2),INDEX(SPLIT(I1511,""/""),,1))"),44778.0)</f>
        <v>44778</v>
      </c>
      <c r="L1511" s="1">
        <v>0.0</v>
      </c>
      <c r="M1511" s="1" t="s">
        <v>277</v>
      </c>
      <c r="N1511" s="1"/>
      <c r="O1511" s="1" t="s">
        <v>30</v>
      </c>
      <c r="P1511" s="1" t="s">
        <v>31</v>
      </c>
      <c r="Q1511" s="1" t="s">
        <v>32</v>
      </c>
      <c r="R1511" s="1" t="s">
        <v>32</v>
      </c>
      <c r="S1511" s="1" t="s">
        <v>33</v>
      </c>
      <c r="T1511" s="1" t="s">
        <v>103</v>
      </c>
      <c r="U1511" s="1">
        <v>1.00608828E8</v>
      </c>
      <c r="X1511" s="1" t="s">
        <v>361</v>
      </c>
      <c r="Y1511" s="1" t="s">
        <v>467</v>
      </c>
      <c r="Z1511" s="1" t="s">
        <v>37</v>
      </c>
    </row>
    <row r="1512" hidden="1">
      <c r="A1512" s="1" t="s">
        <v>5073</v>
      </c>
      <c r="B1512" s="1" t="s">
        <v>1748</v>
      </c>
      <c r="C1512" s="1" t="s">
        <v>5074</v>
      </c>
      <c r="D1512" s="1" t="s">
        <v>27</v>
      </c>
      <c r="E1512" s="1" t="s">
        <v>28</v>
      </c>
      <c r="F1512" s="2">
        <v>750000.0</v>
      </c>
      <c r="G1512" s="4">
        <v>44471.0</v>
      </c>
      <c r="H1512" s="4">
        <f>IFERROR(__xludf.DUMMYFUNCTION("DATE(INDEX(SPLIT(G1512,""/""),,3),INDEX(SPLIT(G1512,""/""),,2),INDEX(SPLIT(G1512,""/""),,1))"),44237.0)</f>
        <v>44237</v>
      </c>
      <c r="I1512" s="1" t="s">
        <v>1750</v>
      </c>
      <c r="J1512" s="4">
        <f>IFERROR(__xludf.DUMMYFUNCTION("DATE(INDEX(SPLIT(I1512,""/""),,3),INDEX(SPLIT(I1512,""/""),,2),INDEX(SPLIT(I1512,""/""),,1))"),44802.0)</f>
        <v>44802</v>
      </c>
      <c r="L1512" s="1">
        <v>0.0</v>
      </c>
      <c r="M1512" s="1" t="s">
        <v>4919</v>
      </c>
      <c r="N1512" s="1"/>
      <c r="O1512" s="1" t="s">
        <v>30</v>
      </c>
      <c r="P1512" s="1" t="s">
        <v>31</v>
      </c>
      <c r="Q1512" s="1" t="s">
        <v>235</v>
      </c>
      <c r="R1512" s="1" t="s">
        <v>235</v>
      </c>
      <c r="S1512" s="1" t="s">
        <v>236</v>
      </c>
      <c r="T1512" s="1" t="s">
        <v>1349</v>
      </c>
      <c r="U1512" s="1">
        <v>1.00646809E8</v>
      </c>
      <c r="X1512" s="1" t="s">
        <v>88</v>
      </c>
      <c r="Y1512" s="1" t="s">
        <v>5075</v>
      </c>
      <c r="Z1512" s="1" t="s">
        <v>37</v>
      </c>
    </row>
    <row r="1513">
      <c r="A1513" s="1" t="s">
        <v>5076</v>
      </c>
      <c r="B1513" s="1" t="s">
        <v>5077</v>
      </c>
      <c r="C1513" s="1" t="s">
        <v>5078</v>
      </c>
      <c r="D1513" s="1" t="s">
        <v>78</v>
      </c>
      <c r="E1513" s="1" t="s">
        <v>28</v>
      </c>
      <c r="F1513" s="2">
        <v>750000.0</v>
      </c>
      <c r="G1513" s="1" t="s">
        <v>359</v>
      </c>
      <c r="H1513" s="4">
        <f>IFERROR(__xludf.DUMMYFUNCTION("DATE(INDEX(SPLIT(G1513,""/""),,3),INDEX(SPLIT(G1513,""/""),,2),INDEX(SPLIT(G1513,""/""),,1))"),44740.0)</f>
        <v>44740</v>
      </c>
      <c r="I1513" s="1" t="s">
        <v>69</v>
      </c>
      <c r="J1513" s="4">
        <f>IFERROR(__xludf.DUMMYFUNCTION("DATE(INDEX(SPLIT(I1513,""/""),,3),INDEX(SPLIT(I1513,""/""),,2),INDEX(SPLIT(I1513,""/""),,1))"),44773.0)</f>
        <v>44773</v>
      </c>
      <c r="L1513" s="1">
        <v>0.0</v>
      </c>
      <c r="M1513" s="1" t="s">
        <v>823</v>
      </c>
      <c r="N1513" s="1"/>
      <c r="O1513" s="1" t="s">
        <v>30</v>
      </c>
      <c r="P1513" s="1" t="s">
        <v>31</v>
      </c>
      <c r="Q1513" s="1" t="s">
        <v>95</v>
      </c>
      <c r="R1513" s="1" t="s">
        <v>95</v>
      </c>
      <c r="S1513" s="1" t="s">
        <v>96</v>
      </c>
      <c r="T1513" s="1" t="s">
        <v>489</v>
      </c>
      <c r="U1513" s="1">
        <v>1.00629729E8</v>
      </c>
      <c r="X1513" s="1" t="s">
        <v>490</v>
      </c>
      <c r="Y1513" s="1" t="s">
        <v>823</v>
      </c>
      <c r="Z1513" s="1" t="s">
        <v>37</v>
      </c>
    </row>
    <row r="1514" hidden="1">
      <c r="A1514" s="1" t="s">
        <v>5079</v>
      </c>
      <c r="B1514" s="1" t="s">
        <v>561</v>
      </c>
      <c r="C1514" s="1" t="s">
        <v>5080</v>
      </c>
      <c r="D1514" s="1" t="s">
        <v>27</v>
      </c>
      <c r="E1514" s="1" t="s">
        <v>28</v>
      </c>
      <c r="F1514" s="2">
        <v>750000.0</v>
      </c>
      <c r="G1514" s="1" t="s">
        <v>518</v>
      </c>
      <c r="H1514" s="4">
        <f>IFERROR(__xludf.DUMMYFUNCTION("DATE(INDEX(SPLIT(G1514,""/""),,3),INDEX(SPLIT(G1514,""/""),,2),INDEX(SPLIT(G1514,""/""),,1))"),44757.0)</f>
        <v>44757</v>
      </c>
      <c r="I1514" s="1" t="s">
        <v>203</v>
      </c>
      <c r="J1514" s="4">
        <f>IFERROR(__xludf.DUMMYFUNCTION("DATE(INDEX(SPLIT(I1514,""/""),,3),INDEX(SPLIT(I1514,""/""),,2),INDEX(SPLIT(I1514,""/""),,1))"),44925.0)</f>
        <v>44925</v>
      </c>
      <c r="L1514" s="1">
        <v>0.0</v>
      </c>
      <c r="M1514" s="1" t="s">
        <v>467</v>
      </c>
      <c r="N1514" s="1"/>
      <c r="O1514" s="1" t="s">
        <v>30</v>
      </c>
      <c r="P1514" s="1" t="s">
        <v>31</v>
      </c>
      <c r="Q1514" s="1" t="s">
        <v>32</v>
      </c>
      <c r="R1514" s="1" t="s">
        <v>32</v>
      </c>
      <c r="S1514" s="1" t="s">
        <v>33</v>
      </c>
      <c r="T1514" s="1" t="s">
        <v>103</v>
      </c>
      <c r="U1514" s="1">
        <v>1.00619817E8</v>
      </c>
      <c r="X1514" s="1" t="s">
        <v>361</v>
      </c>
      <c r="Y1514" s="1" t="s">
        <v>467</v>
      </c>
      <c r="Z1514" s="1" t="s">
        <v>37</v>
      </c>
    </row>
    <row r="1515" hidden="1">
      <c r="A1515" s="1" t="s">
        <v>5081</v>
      </c>
      <c r="B1515" s="1" t="s">
        <v>566</v>
      </c>
      <c r="C1515" s="1" t="s">
        <v>5082</v>
      </c>
      <c r="D1515" s="1" t="s">
        <v>122</v>
      </c>
      <c r="E1515" s="1" t="s">
        <v>28</v>
      </c>
      <c r="F1515" s="2">
        <v>750000.0</v>
      </c>
      <c r="G1515" s="1" t="s">
        <v>2891</v>
      </c>
      <c r="H1515" s="4">
        <f>IFERROR(__xludf.DUMMYFUNCTION("DATE(INDEX(SPLIT(G1515,""/""),,3),INDEX(SPLIT(G1515,""/""),,2),INDEX(SPLIT(G1515,""/""),,1))"),44455.0)</f>
        <v>44455</v>
      </c>
      <c r="I1515" s="1" t="s">
        <v>109</v>
      </c>
      <c r="J1515" s="4">
        <f>IFERROR(__xludf.DUMMYFUNCTION("DATE(INDEX(SPLIT(I1515,""/""),,3),INDEX(SPLIT(I1515,""/""),,2),INDEX(SPLIT(I1515,""/""),,1))"),44834.0)</f>
        <v>44834</v>
      </c>
      <c r="L1515" s="1">
        <v>0.0</v>
      </c>
      <c r="M1515" s="1" t="s">
        <v>401</v>
      </c>
      <c r="N1515" s="1"/>
      <c r="O1515" s="1" t="s">
        <v>30</v>
      </c>
      <c r="P1515" s="1" t="s">
        <v>31</v>
      </c>
      <c r="Q1515" s="1" t="s">
        <v>32</v>
      </c>
      <c r="R1515" s="1" t="s">
        <v>32</v>
      </c>
      <c r="S1515" s="1" t="s">
        <v>33</v>
      </c>
      <c r="U1515" s="1">
        <v>1.0059112E8</v>
      </c>
      <c r="X1515" s="1" t="s">
        <v>63</v>
      </c>
      <c r="Y1515" s="1" t="s">
        <v>5083</v>
      </c>
      <c r="Z1515" s="1" t="s">
        <v>37</v>
      </c>
    </row>
    <row r="1516" hidden="1">
      <c r="A1516" s="1" t="s">
        <v>5084</v>
      </c>
      <c r="B1516" s="1" t="s">
        <v>645</v>
      </c>
      <c r="C1516" s="1" t="s">
        <v>5085</v>
      </c>
      <c r="D1516" s="1" t="s">
        <v>122</v>
      </c>
      <c r="E1516" s="1" t="s">
        <v>28</v>
      </c>
      <c r="F1516" s="2">
        <v>750000.0</v>
      </c>
      <c r="G1516" s="4">
        <v>44746.0</v>
      </c>
      <c r="H1516" s="4">
        <f>IFERROR(__xludf.DUMMYFUNCTION("DATE(INDEX(SPLIT(G1516,""/""),,3),INDEX(SPLIT(G1516,""/""),,2),INDEX(SPLIT(G1516,""/""),,1))"),44658.0)</f>
        <v>44658</v>
      </c>
      <c r="I1516" s="1" t="s">
        <v>109</v>
      </c>
      <c r="J1516" s="4">
        <f>IFERROR(__xludf.DUMMYFUNCTION("DATE(INDEX(SPLIT(I1516,""/""),,3),INDEX(SPLIT(I1516,""/""),,2),INDEX(SPLIT(I1516,""/""),,1))"),44834.0)</f>
        <v>44834</v>
      </c>
      <c r="L1516" s="1">
        <v>0.0</v>
      </c>
      <c r="M1516" s="1" t="s">
        <v>467</v>
      </c>
      <c r="N1516" s="1"/>
      <c r="O1516" s="1" t="s">
        <v>30</v>
      </c>
      <c r="P1516" s="1" t="s">
        <v>31</v>
      </c>
      <c r="Q1516" s="1" t="s">
        <v>32</v>
      </c>
      <c r="R1516" s="1" t="s">
        <v>32</v>
      </c>
      <c r="S1516" s="1" t="s">
        <v>33</v>
      </c>
      <c r="T1516" s="1" t="s">
        <v>4334</v>
      </c>
      <c r="U1516" s="1">
        <v>1.00619817E8</v>
      </c>
      <c r="X1516" s="1" t="s">
        <v>239</v>
      </c>
      <c r="Y1516" s="1" t="s">
        <v>467</v>
      </c>
      <c r="Z1516" s="1" t="s">
        <v>37</v>
      </c>
    </row>
    <row r="1517" hidden="1">
      <c r="A1517" s="1" t="s">
        <v>5086</v>
      </c>
      <c r="B1517" s="1" t="s">
        <v>975</v>
      </c>
      <c r="C1517" s="1" t="s">
        <v>5087</v>
      </c>
      <c r="D1517" s="1" t="s">
        <v>27</v>
      </c>
      <c r="E1517" s="1" t="s">
        <v>28</v>
      </c>
      <c r="F1517" s="2">
        <v>750000.0</v>
      </c>
      <c r="G1517" s="4">
        <v>44626.0</v>
      </c>
      <c r="H1517" s="4">
        <f>IFERROR(__xludf.DUMMYFUNCTION("DATE(INDEX(SPLIT(G1517,""/""),,3),INDEX(SPLIT(G1517,""/""),,2),INDEX(SPLIT(G1517,""/""),,1))"),44715.0)</f>
        <v>44715</v>
      </c>
      <c r="I1517" s="1" t="s">
        <v>1909</v>
      </c>
      <c r="J1517" s="4">
        <f>IFERROR(__xludf.DUMMYFUNCTION("DATE(INDEX(SPLIT(I1517,""/""),,3),INDEX(SPLIT(I1517,""/""),,2),INDEX(SPLIT(I1517,""/""),,1))"),44883.0)</f>
        <v>44883</v>
      </c>
      <c r="L1517" s="1">
        <v>0.0</v>
      </c>
      <c r="M1517" s="1" t="s">
        <v>1200</v>
      </c>
      <c r="N1517" s="1"/>
      <c r="O1517" s="1" t="s">
        <v>30</v>
      </c>
      <c r="P1517" s="1" t="s">
        <v>31</v>
      </c>
      <c r="Q1517" s="1" t="s">
        <v>235</v>
      </c>
      <c r="R1517" s="1" t="s">
        <v>235</v>
      </c>
      <c r="S1517" s="1" t="s">
        <v>236</v>
      </c>
      <c r="T1517" s="1" t="s">
        <v>438</v>
      </c>
      <c r="U1517" s="1">
        <v>1.00586959E8</v>
      </c>
      <c r="X1517" s="1" t="s">
        <v>88</v>
      </c>
      <c r="Y1517" s="1" t="s">
        <v>1200</v>
      </c>
      <c r="Z1517" s="1" t="s">
        <v>37</v>
      </c>
    </row>
    <row r="1518" hidden="1">
      <c r="A1518" s="1" t="s">
        <v>5088</v>
      </c>
      <c r="B1518" s="1" t="s">
        <v>2483</v>
      </c>
      <c r="C1518" s="1" t="s">
        <v>5089</v>
      </c>
      <c r="D1518" s="1" t="s">
        <v>27</v>
      </c>
      <c r="E1518" s="1" t="s">
        <v>28</v>
      </c>
      <c r="F1518" s="2">
        <v>750000.0</v>
      </c>
      <c r="G1518" s="1" t="s">
        <v>436</v>
      </c>
      <c r="H1518" s="4">
        <f>IFERROR(__xludf.DUMMYFUNCTION("DATE(INDEX(SPLIT(G1518,""/""),,3),INDEX(SPLIT(G1518,""/""),,2),INDEX(SPLIT(G1518,""/""),,1))"),44434.0)</f>
        <v>44434</v>
      </c>
      <c r="I1518" s="1" t="s">
        <v>360</v>
      </c>
      <c r="J1518" s="4">
        <f>IFERROR(__xludf.DUMMYFUNCTION("DATE(INDEX(SPLIT(I1518,""/""),,3),INDEX(SPLIT(I1518,""/""),,2),INDEX(SPLIT(I1518,""/""),,1))"),44895.0)</f>
        <v>44895</v>
      </c>
      <c r="L1518" s="1">
        <v>0.0</v>
      </c>
      <c r="M1518" s="1" t="s">
        <v>3601</v>
      </c>
      <c r="N1518" s="1"/>
      <c r="O1518" s="1" t="s">
        <v>30</v>
      </c>
      <c r="P1518" s="1" t="s">
        <v>31</v>
      </c>
      <c r="Q1518" s="1" t="s">
        <v>71</v>
      </c>
      <c r="R1518" s="1" t="s">
        <v>71</v>
      </c>
      <c r="S1518" s="1" t="s">
        <v>72</v>
      </c>
      <c r="T1518" s="1" t="s">
        <v>136</v>
      </c>
      <c r="U1518" s="1">
        <v>1.00611547E8</v>
      </c>
      <c r="X1518" s="1" t="s">
        <v>74</v>
      </c>
      <c r="Y1518" s="1" t="s">
        <v>1334</v>
      </c>
      <c r="Z1518" s="1" t="s">
        <v>37</v>
      </c>
    </row>
    <row r="1519" hidden="1">
      <c r="A1519" s="1" t="s">
        <v>5090</v>
      </c>
      <c r="B1519" s="1" t="s">
        <v>5091</v>
      </c>
      <c r="C1519" s="1" t="s">
        <v>5092</v>
      </c>
      <c r="D1519" s="1" t="s">
        <v>27</v>
      </c>
      <c r="E1519" s="1" t="s">
        <v>28</v>
      </c>
      <c r="F1519" s="2">
        <v>750000.0</v>
      </c>
      <c r="G1519" s="4">
        <v>44625.0</v>
      </c>
      <c r="H1519" s="4">
        <f>IFERROR(__xludf.DUMMYFUNCTION("DATE(INDEX(SPLIT(G1519,""/""),,3),INDEX(SPLIT(G1519,""/""),,2),INDEX(SPLIT(G1519,""/""),,1))"),44684.0)</f>
        <v>44684</v>
      </c>
      <c r="I1519" s="1" t="s">
        <v>130</v>
      </c>
      <c r="J1519" s="4">
        <f>IFERROR(__xludf.DUMMYFUNCTION("DATE(INDEX(SPLIT(I1519,""/""),,3),INDEX(SPLIT(I1519,""/""),,2),INDEX(SPLIT(I1519,""/""),,1))"),44804.0)</f>
        <v>44804</v>
      </c>
      <c r="L1519" s="1">
        <v>0.0</v>
      </c>
      <c r="M1519" s="1" t="s">
        <v>3854</v>
      </c>
      <c r="N1519" s="1"/>
      <c r="O1519" s="1" t="s">
        <v>30</v>
      </c>
      <c r="P1519" s="1" t="s">
        <v>31</v>
      </c>
      <c r="Q1519" s="1" t="s">
        <v>71</v>
      </c>
      <c r="R1519" s="1" t="s">
        <v>71</v>
      </c>
      <c r="S1519" s="1" t="s">
        <v>72</v>
      </c>
      <c r="T1519" s="1" t="s">
        <v>136</v>
      </c>
      <c r="U1519" s="1">
        <v>1.00603613E8</v>
      </c>
      <c r="X1519" s="1" t="s">
        <v>98</v>
      </c>
      <c r="Y1519" s="1" t="s">
        <v>4864</v>
      </c>
      <c r="Z1519" s="1" t="s">
        <v>37</v>
      </c>
    </row>
    <row r="1520" hidden="1">
      <c r="A1520" s="1" t="s">
        <v>5093</v>
      </c>
      <c r="B1520" s="1" t="s">
        <v>363</v>
      </c>
      <c r="C1520" s="1" t="s">
        <v>5094</v>
      </c>
      <c r="D1520" s="1" t="s">
        <v>78</v>
      </c>
      <c r="E1520" s="1" t="s">
        <v>28</v>
      </c>
      <c r="F1520" s="2">
        <v>750000.0</v>
      </c>
      <c r="G1520" s="1" t="s">
        <v>2077</v>
      </c>
      <c r="H1520" s="4">
        <f>IFERROR(__xludf.DUMMYFUNCTION("DATE(INDEX(SPLIT(G1520,""/""),,3),INDEX(SPLIT(G1520,""/""),,2),INDEX(SPLIT(G1520,""/""),,1))"),44700.0)</f>
        <v>44700</v>
      </c>
      <c r="I1520" s="4">
        <v>44689.0</v>
      </c>
      <c r="J1520" s="4">
        <f>IFERROR(__xludf.DUMMYFUNCTION("DATE(INDEX(SPLIT(I1520,""/""),,3),INDEX(SPLIT(I1520,""/""),,2),INDEX(SPLIT(I1520,""/""),,1))"),44778.0)</f>
        <v>44778</v>
      </c>
      <c r="L1520" s="1">
        <v>0.0</v>
      </c>
      <c r="M1520" s="1" t="s">
        <v>5095</v>
      </c>
      <c r="N1520" s="1"/>
      <c r="O1520" s="1" t="s">
        <v>30</v>
      </c>
      <c r="P1520" s="1" t="s">
        <v>31</v>
      </c>
      <c r="Q1520" s="1" t="s">
        <v>235</v>
      </c>
      <c r="R1520" s="1" t="s">
        <v>235</v>
      </c>
      <c r="S1520" s="1" t="s">
        <v>236</v>
      </c>
      <c r="T1520" s="1" t="s">
        <v>237</v>
      </c>
      <c r="U1520" s="1">
        <v>1.00600653E8</v>
      </c>
      <c r="X1520" s="1" t="s">
        <v>239</v>
      </c>
      <c r="Y1520" s="1" t="s">
        <v>234</v>
      </c>
      <c r="Z1520" s="1" t="s">
        <v>37</v>
      </c>
    </row>
    <row r="1521" hidden="1">
      <c r="A1521" s="1" t="s">
        <v>5096</v>
      </c>
      <c r="B1521" s="1" t="s">
        <v>954</v>
      </c>
      <c r="C1521" s="1" t="s">
        <v>5097</v>
      </c>
      <c r="D1521" s="1" t="s">
        <v>27</v>
      </c>
      <c r="E1521" s="1" t="s">
        <v>28</v>
      </c>
      <c r="F1521" s="2">
        <v>750000.0</v>
      </c>
      <c r="G1521" s="1" t="s">
        <v>3034</v>
      </c>
      <c r="H1521" s="4">
        <f>IFERROR(__xludf.DUMMYFUNCTION("DATE(INDEX(SPLIT(G1521,""/""),,3),INDEX(SPLIT(G1521,""/""),,2),INDEX(SPLIT(G1521,""/""),,1))"),44376.0)</f>
        <v>44376</v>
      </c>
      <c r="I1521" s="1" t="s">
        <v>1678</v>
      </c>
      <c r="J1521" s="4">
        <f>IFERROR(__xludf.DUMMYFUNCTION("DATE(INDEX(SPLIT(I1521,""/""),,3),INDEX(SPLIT(I1521,""/""),,2),INDEX(SPLIT(I1521,""/""),,1))"),44819.0)</f>
        <v>44819</v>
      </c>
      <c r="L1521" s="1">
        <v>0.0</v>
      </c>
      <c r="M1521" s="1" t="s">
        <v>956</v>
      </c>
      <c r="N1521" s="1"/>
      <c r="O1521" s="1" t="s">
        <v>30</v>
      </c>
      <c r="P1521" s="1" t="s">
        <v>31</v>
      </c>
      <c r="Q1521" s="1" t="s">
        <v>71</v>
      </c>
      <c r="R1521" s="1" t="s">
        <v>71</v>
      </c>
      <c r="S1521" s="1" t="s">
        <v>72</v>
      </c>
      <c r="T1521" s="1" t="s">
        <v>73</v>
      </c>
      <c r="U1521" s="1">
        <v>1.00653499E8</v>
      </c>
      <c r="X1521" s="1" t="s">
        <v>74</v>
      </c>
      <c r="Y1521" s="1" t="s">
        <v>2107</v>
      </c>
      <c r="Z1521" s="1" t="s">
        <v>37</v>
      </c>
    </row>
    <row r="1522" hidden="1">
      <c r="A1522" s="1" t="s">
        <v>5098</v>
      </c>
      <c r="B1522" s="1" t="s">
        <v>2727</v>
      </c>
      <c r="C1522" s="1" t="s">
        <v>5099</v>
      </c>
      <c r="D1522" s="1" t="s">
        <v>27</v>
      </c>
      <c r="E1522" s="1" t="s">
        <v>28</v>
      </c>
      <c r="F1522" s="2">
        <v>750000.0</v>
      </c>
      <c r="G1522" s="1" t="s">
        <v>1288</v>
      </c>
      <c r="H1522" s="4">
        <f>IFERROR(__xludf.DUMMYFUNCTION("DATE(INDEX(SPLIT(G1522,""/""),,3),INDEX(SPLIT(G1522,""/""),,2),INDEX(SPLIT(G1522,""/""),,1))"),44707.0)</f>
        <v>44707</v>
      </c>
      <c r="I1522" s="1" t="s">
        <v>109</v>
      </c>
      <c r="J1522" s="4">
        <f>IFERROR(__xludf.DUMMYFUNCTION("DATE(INDEX(SPLIT(I1522,""/""),,3),INDEX(SPLIT(I1522,""/""),,2),INDEX(SPLIT(I1522,""/""),,1))"),44834.0)</f>
        <v>44834</v>
      </c>
      <c r="L1522" s="1">
        <v>0.0</v>
      </c>
      <c r="M1522" s="1" t="s">
        <v>1723</v>
      </c>
      <c r="N1522" s="1"/>
      <c r="O1522" s="1" t="s">
        <v>30</v>
      </c>
      <c r="P1522" s="1" t="s">
        <v>31</v>
      </c>
      <c r="Q1522" s="1" t="s">
        <v>157</v>
      </c>
      <c r="R1522" s="1" t="s">
        <v>157</v>
      </c>
      <c r="S1522" s="1" t="s">
        <v>158</v>
      </c>
      <c r="T1522" s="1" t="s">
        <v>159</v>
      </c>
      <c r="U1522" s="1">
        <v>1.00654085E8</v>
      </c>
      <c r="X1522" s="1" t="s">
        <v>74</v>
      </c>
      <c r="Y1522" s="1" t="s">
        <v>1723</v>
      </c>
      <c r="Z1522" s="1" t="s">
        <v>37</v>
      </c>
    </row>
    <row r="1523" hidden="1">
      <c r="A1523" s="1" t="s">
        <v>5100</v>
      </c>
      <c r="B1523" s="1" t="s">
        <v>2131</v>
      </c>
      <c r="C1523" s="1" t="s">
        <v>5101</v>
      </c>
      <c r="D1523" s="1" t="s">
        <v>27</v>
      </c>
      <c r="E1523" s="1" t="s">
        <v>28</v>
      </c>
      <c r="F1523" s="2">
        <v>750000.0</v>
      </c>
      <c r="G1523" s="4">
        <v>44471.0</v>
      </c>
      <c r="H1523" s="4">
        <f>IFERROR(__xludf.DUMMYFUNCTION("DATE(INDEX(SPLIT(G1523,""/""),,3),INDEX(SPLIT(G1523,""/""),,2),INDEX(SPLIT(G1523,""/""),,1))"),44237.0)</f>
        <v>44237</v>
      </c>
      <c r="I1523" s="1" t="s">
        <v>447</v>
      </c>
      <c r="J1523" s="4">
        <f>IFERROR(__xludf.DUMMYFUNCTION("DATE(INDEX(SPLIT(I1523,""/""),,3),INDEX(SPLIT(I1523,""/""),,2),INDEX(SPLIT(I1523,""/""),,1))"),44910.0)</f>
        <v>44910</v>
      </c>
      <c r="L1523" s="1">
        <v>0.0</v>
      </c>
      <c r="M1523" s="1" t="s">
        <v>2371</v>
      </c>
      <c r="N1523" s="1"/>
      <c r="O1523" s="1" t="s">
        <v>30</v>
      </c>
      <c r="P1523" s="1" t="s">
        <v>31</v>
      </c>
      <c r="Q1523" s="1" t="s">
        <v>53</v>
      </c>
      <c r="R1523" s="1" t="s">
        <v>53</v>
      </c>
      <c r="S1523" s="1" t="s">
        <v>54</v>
      </c>
      <c r="T1523" s="1" t="s">
        <v>2372</v>
      </c>
      <c r="U1523" s="1">
        <v>1.00649936E8</v>
      </c>
      <c r="X1523" s="1" t="s">
        <v>239</v>
      </c>
      <c r="Y1523" s="1" t="s">
        <v>3167</v>
      </c>
      <c r="Z1523" s="1" t="s">
        <v>37</v>
      </c>
    </row>
    <row r="1524" hidden="1">
      <c r="A1524" s="1" t="s">
        <v>5102</v>
      </c>
      <c r="B1524" s="1" t="s">
        <v>120</v>
      </c>
      <c r="C1524" s="1" t="s">
        <v>5103</v>
      </c>
      <c r="D1524" s="1" t="s">
        <v>122</v>
      </c>
      <c r="E1524" s="1" t="s">
        <v>28</v>
      </c>
      <c r="F1524" s="2">
        <v>748500.0</v>
      </c>
      <c r="G1524" s="1" t="s">
        <v>511</v>
      </c>
      <c r="H1524" s="4">
        <f>IFERROR(__xludf.DUMMYFUNCTION("DATE(INDEX(SPLIT(G1524,""/""),,3),INDEX(SPLIT(G1524,""/""),,2),INDEX(SPLIT(G1524,""/""),,1))"),44400.0)</f>
        <v>44400</v>
      </c>
      <c r="I1524" s="4">
        <v>44630.0</v>
      </c>
      <c r="J1524" s="4">
        <f>IFERROR(__xludf.DUMMYFUNCTION("DATE(INDEX(SPLIT(I1524,""/""),,3),INDEX(SPLIT(I1524,""/""),,2),INDEX(SPLIT(I1524,""/""),,1))"),44837.0)</f>
        <v>44837</v>
      </c>
      <c r="L1524" s="1">
        <v>0.0</v>
      </c>
      <c r="M1524" s="1" t="s">
        <v>1643</v>
      </c>
      <c r="N1524" s="1"/>
      <c r="O1524" s="1" t="s">
        <v>30</v>
      </c>
      <c r="P1524" s="1" t="s">
        <v>31</v>
      </c>
      <c r="Q1524" s="1" t="s">
        <v>53</v>
      </c>
      <c r="R1524" s="1" t="s">
        <v>53</v>
      </c>
      <c r="S1524" s="1" t="s">
        <v>54</v>
      </c>
      <c r="T1524" s="1" t="s">
        <v>442</v>
      </c>
      <c r="U1524" s="1">
        <v>1.00653977E8</v>
      </c>
      <c r="X1524" s="1" t="s">
        <v>125</v>
      </c>
      <c r="Y1524" s="1" t="s">
        <v>2579</v>
      </c>
      <c r="Z1524" s="1" t="s">
        <v>37</v>
      </c>
    </row>
    <row r="1525" hidden="1">
      <c r="A1525" s="1" t="s">
        <v>5104</v>
      </c>
      <c r="B1525" s="1" t="s">
        <v>1748</v>
      </c>
      <c r="C1525" s="1" t="s">
        <v>5105</v>
      </c>
      <c r="D1525" s="1" t="s">
        <v>68</v>
      </c>
      <c r="E1525" s="1" t="s">
        <v>28</v>
      </c>
      <c r="F1525" s="2">
        <v>745000.0</v>
      </c>
      <c r="G1525" s="1" t="s">
        <v>2263</v>
      </c>
      <c r="H1525" s="4">
        <f>IFERROR(__xludf.DUMMYFUNCTION("DATE(INDEX(SPLIT(G1525,""/""),,3),INDEX(SPLIT(G1525,""/""),,2),INDEX(SPLIT(G1525,""/""),,1))"),44638.0)</f>
        <v>44638</v>
      </c>
      <c r="I1525" s="4">
        <v>44781.0</v>
      </c>
      <c r="J1525" s="4">
        <f>IFERROR(__xludf.DUMMYFUNCTION("DATE(INDEX(SPLIT(I1525,""/""),,3),INDEX(SPLIT(I1525,""/""),,2),INDEX(SPLIT(I1525,""/""),,1))"),44781.0)</f>
        <v>44781</v>
      </c>
      <c r="L1525" s="1">
        <v>0.0</v>
      </c>
      <c r="M1525" s="1" t="s">
        <v>4919</v>
      </c>
      <c r="N1525" s="1"/>
      <c r="O1525" s="1" t="s">
        <v>30</v>
      </c>
      <c r="P1525" s="1" t="s">
        <v>31</v>
      </c>
      <c r="Q1525" s="1" t="s">
        <v>235</v>
      </c>
      <c r="R1525" s="1" t="s">
        <v>235</v>
      </c>
      <c r="S1525" s="1" t="s">
        <v>236</v>
      </c>
      <c r="T1525" s="1" t="s">
        <v>1349</v>
      </c>
      <c r="U1525" s="1">
        <v>1.00646809E8</v>
      </c>
      <c r="X1525" s="1" t="s">
        <v>88</v>
      </c>
      <c r="Y1525" s="1" t="s">
        <v>5106</v>
      </c>
      <c r="Z1525" s="1" t="s">
        <v>37</v>
      </c>
    </row>
    <row r="1526" hidden="1">
      <c r="A1526" s="1" t="s">
        <v>5107</v>
      </c>
      <c r="B1526" s="1" t="s">
        <v>59</v>
      </c>
      <c r="C1526" s="1" t="s">
        <v>5108</v>
      </c>
      <c r="D1526" s="1" t="s">
        <v>122</v>
      </c>
      <c r="E1526" s="1" t="s">
        <v>28</v>
      </c>
      <c r="F1526" s="2">
        <v>745000.0</v>
      </c>
      <c r="G1526" s="1" t="s">
        <v>5109</v>
      </c>
      <c r="H1526" s="4">
        <f>IFERROR(__xludf.DUMMYFUNCTION("DATE(INDEX(SPLIT(G1526,""/""),,3),INDEX(SPLIT(G1526,""/""),,2),INDEX(SPLIT(G1526,""/""),,1))"),44222.0)</f>
        <v>44222</v>
      </c>
      <c r="I1526" s="1" t="s">
        <v>179</v>
      </c>
      <c r="J1526" s="4">
        <f>IFERROR(__xludf.DUMMYFUNCTION("DATE(INDEX(SPLIT(I1526,""/""),,3),INDEX(SPLIT(I1526,""/""),,2),INDEX(SPLIT(I1526,""/""),,1))"),44890.0)</f>
        <v>44890</v>
      </c>
      <c r="L1526" s="1">
        <v>0.0</v>
      </c>
      <c r="M1526" s="1" t="s">
        <v>61</v>
      </c>
      <c r="N1526" s="1"/>
      <c r="O1526" s="1" t="s">
        <v>30</v>
      </c>
      <c r="P1526" s="1" t="s">
        <v>31</v>
      </c>
      <c r="Q1526" s="1" t="s">
        <v>32</v>
      </c>
      <c r="R1526" s="1" t="s">
        <v>32</v>
      </c>
      <c r="S1526" s="1" t="s">
        <v>33</v>
      </c>
      <c r="T1526" s="1" t="s">
        <v>103</v>
      </c>
      <c r="U1526" s="1">
        <v>1.0060843E8</v>
      </c>
      <c r="X1526" s="1" t="s">
        <v>63</v>
      </c>
      <c r="Y1526" s="1" t="s">
        <v>61</v>
      </c>
      <c r="Z1526" s="1" t="s">
        <v>37</v>
      </c>
    </row>
    <row r="1527" hidden="1">
      <c r="A1527" s="1" t="s">
        <v>5110</v>
      </c>
      <c r="B1527" s="1" t="s">
        <v>997</v>
      </c>
      <c r="C1527" s="1" t="s">
        <v>5111</v>
      </c>
      <c r="D1527" s="1" t="s">
        <v>27</v>
      </c>
      <c r="E1527" s="1" t="s">
        <v>28</v>
      </c>
      <c r="F1527" s="2">
        <v>745000.0</v>
      </c>
      <c r="G1527" s="1" t="s">
        <v>5112</v>
      </c>
      <c r="H1527" s="4">
        <f>IFERROR(__xludf.DUMMYFUNCTION("DATE(INDEX(SPLIT(G1527,""/""),,3),INDEX(SPLIT(G1527,""/""),,2),INDEX(SPLIT(G1527,""/""),,1))"),43220.0)</f>
        <v>43220</v>
      </c>
      <c r="I1527" s="1" t="s">
        <v>569</v>
      </c>
      <c r="J1527" s="4">
        <f>IFERROR(__xludf.DUMMYFUNCTION("DATE(INDEX(SPLIT(I1527,""/""),,3),INDEX(SPLIT(I1527,""/""),,2),INDEX(SPLIT(I1527,""/""),,1))"),45016.0)</f>
        <v>45016</v>
      </c>
      <c r="L1527" s="1">
        <v>0.0</v>
      </c>
      <c r="M1527" s="1" t="s">
        <v>1452</v>
      </c>
      <c r="N1527" s="1"/>
      <c r="O1527" s="1" t="s">
        <v>30</v>
      </c>
      <c r="P1527" s="1" t="s">
        <v>31</v>
      </c>
      <c r="Q1527" s="1" t="s">
        <v>32</v>
      </c>
      <c r="R1527" s="1" t="s">
        <v>32</v>
      </c>
      <c r="S1527" s="1" t="s">
        <v>33</v>
      </c>
      <c r="T1527" s="1" t="s">
        <v>103</v>
      </c>
      <c r="U1527" s="1">
        <v>1.00643044E8</v>
      </c>
      <c r="X1527" s="1" t="s">
        <v>410</v>
      </c>
      <c r="Y1527" s="1" t="s">
        <v>2043</v>
      </c>
      <c r="Z1527" s="1" t="s">
        <v>206</v>
      </c>
    </row>
    <row r="1528" hidden="1">
      <c r="A1528" s="1" t="s">
        <v>5113</v>
      </c>
      <c r="B1528" s="1" t="s">
        <v>106</v>
      </c>
      <c r="C1528" s="1" t="s">
        <v>5114</v>
      </c>
      <c r="D1528" s="1" t="s">
        <v>78</v>
      </c>
      <c r="E1528" s="1" t="s">
        <v>28</v>
      </c>
      <c r="F1528" s="2">
        <v>735000.0</v>
      </c>
      <c r="G1528" s="1" t="s">
        <v>5115</v>
      </c>
      <c r="H1528" s="4">
        <f>IFERROR(__xludf.DUMMYFUNCTION("DATE(INDEX(SPLIT(G1528,""/""),,3),INDEX(SPLIT(G1528,""/""),,2),INDEX(SPLIT(G1528,""/""),,1))"),44530.0)</f>
        <v>44530</v>
      </c>
      <c r="I1528" s="1" t="s">
        <v>281</v>
      </c>
      <c r="J1528" s="4">
        <f>IFERROR(__xludf.DUMMYFUNCTION("DATE(INDEX(SPLIT(I1528,""/""),,3),INDEX(SPLIT(I1528,""/""),,2),INDEX(SPLIT(I1528,""/""),,1))"),44865.0)</f>
        <v>44865</v>
      </c>
      <c r="L1528" s="1">
        <v>0.0</v>
      </c>
      <c r="M1528" s="1" t="s">
        <v>5116</v>
      </c>
      <c r="N1528" s="1"/>
      <c r="O1528" s="1" t="s">
        <v>30</v>
      </c>
      <c r="P1528" s="1" t="s">
        <v>31</v>
      </c>
      <c r="Q1528" s="1" t="s">
        <v>157</v>
      </c>
      <c r="R1528" s="1" t="s">
        <v>157</v>
      </c>
      <c r="S1528" s="1" t="s">
        <v>158</v>
      </c>
      <c r="U1528" s="1">
        <v>1.00609226E8</v>
      </c>
      <c r="X1528" s="1" t="s">
        <v>63</v>
      </c>
      <c r="Y1528" s="1" t="s">
        <v>5117</v>
      </c>
      <c r="Z1528" s="1" t="s">
        <v>37</v>
      </c>
    </row>
    <row r="1529" hidden="1">
      <c r="A1529" s="1" t="s">
        <v>5118</v>
      </c>
      <c r="B1529" s="1" t="s">
        <v>2483</v>
      </c>
      <c r="C1529" s="1" t="s">
        <v>5119</v>
      </c>
      <c r="D1529" s="1" t="s">
        <v>122</v>
      </c>
      <c r="E1529" s="1" t="s">
        <v>28</v>
      </c>
      <c r="F1529" s="2">
        <v>730000.0</v>
      </c>
      <c r="G1529" s="1" t="s">
        <v>1058</v>
      </c>
      <c r="H1529" s="4">
        <f>IFERROR(__xludf.DUMMYFUNCTION("DATE(INDEX(SPLIT(G1529,""/""),,3),INDEX(SPLIT(G1529,""/""),,2),INDEX(SPLIT(G1529,""/""),,1))"),44733.0)</f>
        <v>44733</v>
      </c>
      <c r="I1529" s="4">
        <v>44569.0</v>
      </c>
      <c r="J1529" s="4">
        <f>IFERROR(__xludf.DUMMYFUNCTION("DATE(INDEX(SPLIT(I1529,""/""),,3),INDEX(SPLIT(I1529,""/""),,2),INDEX(SPLIT(I1529,""/""),,1))"),44774.0)</f>
        <v>44774</v>
      </c>
      <c r="L1529" s="1">
        <v>0.0</v>
      </c>
      <c r="M1529" s="1" t="s">
        <v>5120</v>
      </c>
      <c r="N1529" s="1"/>
      <c r="O1529" s="1" t="s">
        <v>30</v>
      </c>
      <c r="P1529" s="1" t="s">
        <v>31</v>
      </c>
      <c r="Q1529" s="1" t="s">
        <v>71</v>
      </c>
      <c r="R1529" s="1" t="s">
        <v>71</v>
      </c>
      <c r="S1529" s="1" t="s">
        <v>72</v>
      </c>
      <c r="T1529" s="1" t="s">
        <v>136</v>
      </c>
      <c r="U1529" s="1">
        <v>1.0059101E8</v>
      </c>
      <c r="X1529" s="1" t="s">
        <v>2028</v>
      </c>
      <c r="Y1529" s="1" t="s">
        <v>5120</v>
      </c>
      <c r="Z1529" s="1" t="s">
        <v>37</v>
      </c>
    </row>
    <row r="1530" hidden="1">
      <c r="A1530" s="1" t="s">
        <v>5121</v>
      </c>
      <c r="B1530" s="1" t="s">
        <v>1748</v>
      </c>
      <c r="C1530" s="1" t="s">
        <v>5122</v>
      </c>
      <c r="D1530" s="1" t="s">
        <v>68</v>
      </c>
      <c r="E1530" s="1" t="s">
        <v>28</v>
      </c>
      <c r="F1530" s="2">
        <v>728000.0</v>
      </c>
      <c r="G1530" s="4">
        <v>44267.0</v>
      </c>
      <c r="H1530" s="4">
        <f>IFERROR(__xludf.DUMMYFUNCTION("DATE(INDEX(SPLIT(G1530,""/""),,3),INDEX(SPLIT(G1530,""/""),,2),INDEX(SPLIT(G1530,""/""),,1))"),44533.0)</f>
        <v>44533</v>
      </c>
      <c r="I1530" s="1" t="s">
        <v>3797</v>
      </c>
      <c r="J1530" s="4">
        <f>IFERROR(__xludf.DUMMYFUNCTION("DATE(INDEX(SPLIT(I1530,""/""),,3),INDEX(SPLIT(I1530,""/""),,2),INDEX(SPLIT(I1530,""/""),,1))"),44858.0)</f>
        <v>44858</v>
      </c>
      <c r="L1530" s="1">
        <v>0.0</v>
      </c>
      <c r="M1530" s="1" t="s">
        <v>4022</v>
      </c>
      <c r="N1530" s="1"/>
      <c r="O1530" s="1" t="s">
        <v>30</v>
      </c>
      <c r="P1530" s="1" t="s">
        <v>31</v>
      </c>
      <c r="Q1530" s="1" t="s">
        <v>235</v>
      </c>
      <c r="R1530" s="1" t="s">
        <v>235</v>
      </c>
      <c r="S1530" s="1" t="s">
        <v>236</v>
      </c>
      <c r="T1530" s="1" t="s">
        <v>753</v>
      </c>
      <c r="U1530" s="1">
        <v>1.00648421E8</v>
      </c>
      <c r="V1530" s="1" t="s">
        <v>5123</v>
      </c>
      <c r="W1530" s="1" t="s">
        <v>45</v>
      </c>
      <c r="X1530" s="1" t="s">
        <v>88</v>
      </c>
      <c r="Y1530" s="1" t="s">
        <v>5124</v>
      </c>
      <c r="Z1530" s="1" t="s">
        <v>37</v>
      </c>
    </row>
    <row r="1531" hidden="1">
      <c r="A1531" s="1" t="s">
        <v>5125</v>
      </c>
      <c r="B1531" s="1" t="s">
        <v>3278</v>
      </c>
      <c r="C1531" s="1" t="s">
        <v>5126</v>
      </c>
      <c r="D1531" s="1" t="s">
        <v>122</v>
      </c>
      <c r="E1531" s="1" t="s">
        <v>28</v>
      </c>
      <c r="F1531" s="2">
        <v>725000.0</v>
      </c>
      <c r="G1531" s="1" t="s">
        <v>1447</v>
      </c>
      <c r="H1531" s="4">
        <f>IFERROR(__xludf.DUMMYFUNCTION("DATE(INDEX(SPLIT(G1531,""/""),,3),INDEX(SPLIT(G1531,""/""),,2),INDEX(SPLIT(G1531,""/""),,1))"),44424.0)</f>
        <v>44424</v>
      </c>
      <c r="I1531" s="1" t="s">
        <v>130</v>
      </c>
      <c r="J1531" s="4">
        <f>IFERROR(__xludf.DUMMYFUNCTION("DATE(INDEX(SPLIT(I1531,""/""),,3),INDEX(SPLIT(I1531,""/""),,2),INDEX(SPLIT(I1531,""/""),,1))"),44804.0)</f>
        <v>44804</v>
      </c>
      <c r="L1531" s="1">
        <v>0.0</v>
      </c>
      <c r="M1531" s="1" t="s">
        <v>1723</v>
      </c>
      <c r="N1531" s="1"/>
      <c r="O1531" s="1" t="s">
        <v>30</v>
      </c>
      <c r="P1531" s="1" t="s">
        <v>31</v>
      </c>
      <c r="Q1531" s="1" t="s">
        <v>157</v>
      </c>
      <c r="R1531" s="1" t="s">
        <v>157</v>
      </c>
      <c r="S1531" s="1" t="s">
        <v>158</v>
      </c>
      <c r="T1531" s="1" t="s">
        <v>159</v>
      </c>
      <c r="U1531" s="1">
        <v>1.00654085E8</v>
      </c>
      <c r="X1531" s="1" t="s">
        <v>74</v>
      </c>
      <c r="Y1531" s="1" t="s">
        <v>4761</v>
      </c>
      <c r="Z1531" s="1" t="s">
        <v>37</v>
      </c>
    </row>
    <row r="1532" hidden="1">
      <c r="A1532" s="1" t="s">
        <v>5127</v>
      </c>
      <c r="B1532" s="1" t="s">
        <v>5128</v>
      </c>
      <c r="C1532" s="1" t="s">
        <v>209</v>
      </c>
      <c r="D1532" s="1" t="s">
        <v>122</v>
      </c>
      <c r="E1532" s="1" t="s">
        <v>28</v>
      </c>
      <c r="F1532" s="2">
        <v>725000.0</v>
      </c>
      <c r="G1532" s="1" t="s">
        <v>210</v>
      </c>
      <c r="H1532" s="4">
        <f>IFERROR(__xludf.DUMMYFUNCTION("DATE(INDEX(SPLIT(G1532,""/""),,3),INDEX(SPLIT(G1532,""/""),,2),INDEX(SPLIT(G1532,""/""),,1))"),44329.0)</f>
        <v>44329</v>
      </c>
      <c r="I1532" s="1" t="s">
        <v>109</v>
      </c>
      <c r="J1532" s="4">
        <f>IFERROR(__xludf.DUMMYFUNCTION("DATE(INDEX(SPLIT(I1532,""/""),,3),INDEX(SPLIT(I1532,""/""),,2),INDEX(SPLIT(I1532,""/""),,1))"),44834.0)</f>
        <v>44834</v>
      </c>
      <c r="L1532" s="1">
        <v>0.0</v>
      </c>
      <c r="M1532" s="1" t="s">
        <v>211</v>
      </c>
      <c r="N1532" s="1"/>
      <c r="O1532" s="1" t="s">
        <v>30</v>
      </c>
      <c r="P1532" s="1" t="s">
        <v>31</v>
      </c>
      <c r="Q1532" s="1" t="s">
        <v>71</v>
      </c>
      <c r="R1532" s="1" t="s">
        <v>71</v>
      </c>
      <c r="S1532" s="1" t="s">
        <v>72</v>
      </c>
      <c r="T1532" s="1" t="s">
        <v>136</v>
      </c>
      <c r="U1532" s="1">
        <v>1.00590896E8</v>
      </c>
      <c r="X1532" s="1" t="s">
        <v>2028</v>
      </c>
      <c r="Y1532" s="1" t="s">
        <v>212</v>
      </c>
      <c r="Z1532" s="1" t="s">
        <v>37</v>
      </c>
    </row>
    <row r="1533">
      <c r="A1533" s="1" t="s">
        <v>5129</v>
      </c>
      <c r="B1533" s="1" t="s">
        <v>5130</v>
      </c>
      <c r="C1533" s="1" t="s">
        <v>5131</v>
      </c>
      <c r="D1533" s="1" t="s">
        <v>27</v>
      </c>
      <c r="E1533" s="1" t="s">
        <v>28</v>
      </c>
      <c r="F1533" s="2">
        <v>725000.0</v>
      </c>
      <c r="G1533" s="1" t="s">
        <v>185</v>
      </c>
      <c r="H1533" s="4">
        <f>IFERROR(__xludf.DUMMYFUNCTION("DATE(INDEX(SPLIT(G1533,""/""),,3),INDEX(SPLIT(G1533,""/""),,2),INDEX(SPLIT(G1533,""/""),,1))"),44741.0)</f>
        <v>44741</v>
      </c>
      <c r="I1533" s="4">
        <v>44872.0</v>
      </c>
      <c r="J1533" s="4">
        <f>IFERROR(__xludf.DUMMYFUNCTION("DATE(INDEX(SPLIT(I1533,""/""),,3),INDEX(SPLIT(I1533,""/""),,2),INDEX(SPLIT(I1533,""/""),,1))"),44753.0)</f>
        <v>44753</v>
      </c>
      <c r="L1533" s="1">
        <v>0.0</v>
      </c>
      <c r="M1533" s="1" t="s">
        <v>2277</v>
      </c>
      <c r="N1533" s="1"/>
      <c r="O1533" s="1" t="s">
        <v>30</v>
      </c>
      <c r="P1533" s="1" t="s">
        <v>31</v>
      </c>
      <c r="Q1533" s="1" t="s">
        <v>71</v>
      </c>
      <c r="R1533" s="1" t="s">
        <v>71</v>
      </c>
      <c r="S1533" s="1" t="s">
        <v>72</v>
      </c>
      <c r="U1533" s="1">
        <v>1.00619607E8</v>
      </c>
      <c r="X1533" s="1" t="s">
        <v>63</v>
      </c>
      <c r="Y1533" s="1" t="s">
        <v>5132</v>
      </c>
      <c r="Z1533" s="1" t="s">
        <v>37</v>
      </c>
    </row>
    <row r="1534" hidden="1">
      <c r="A1534" s="1" t="s">
        <v>5133</v>
      </c>
      <c r="B1534" s="1" t="s">
        <v>59</v>
      </c>
      <c r="C1534" s="1" t="s">
        <v>5134</v>
      </c>
      <c r="D1534" s="1" t="s">
        <v>78</v>
      </c>
      <c r="E1534" s="1" t="s">
        <v>28</v>
      </c>
      <c r="F1534" s="2">
        <v>725000.0</v>
      </c>
      <c r="G1534" s="4">
        <v>44900.0</v>
      </c>
      <c r="H1534" s="4">
        <f>IFERROR(__xludf.DUMMYFUNCTION("DATE(INDEX(SPLIT(G1534,""/""),,3),INDEX(SPLIT(G1534,""/""),,2),INDEX(SPLIT(G1534,""/""),,1))"),44693.0)</f>
        <v>44693</v>
      </c>
      <c r="I1534" s="1" t="s">
        <v>130</v>
      </c>
      <c r="J1534" s="4">
        <f>IFERROR(__xludf.DUMMYFUNCTION("DATE(INDEX(SPLIT(I1534,""/""),,3),INDEX(SPLIT(I1534,""/""),,2),INDEX(SPLIT(I1534,""/""),,1))"),44804.0)</f>
        <v>44804</v>
      </c>
      <c r="L1534" s="1">
        <v>0.0</v>
      </c>
      <c r="M1534" s="1" t="s">
        <v>5135</v>
      </c>
      <c r="N1534" s="1"/>
      <c r="O1534" s="1" t="s">
        <v>30</v>
      </c>
      <c r="P1534" s="1" t="s">
        <v>31</v>
      </c>
      <c r="Q1534" s="1" t="s">
        <v>228</v>
      </c>
      <c r="R1534" s="1" t="s">
        <v>228</v>
      </c>
      <c r="S1534" s="1" t="s">
        <v>229</v>
      </c>
      <c r="U1534" s="1">
        <v>1.0064195E8</v>
      </c>
      <c r="X1534" s="1" t="s">
        <v>63</v>
      </c>
      <c r="Y1534" s="1" t="s">
        <v>5135</v>
      </c>
      <c r="Z1534" s="1" t="s">
        <v>37</v>
      </c>
    </row>
    <row r="1535" hidden="1">
      <c r="A1535" s="1" t="s">
        <v>5136</v>
      </c>
      <c r="B1535" s="1" t="s">
        <v>1371</v>
      </c>
      <c r="C1535" s="1" t="s">
        <v>5137</v>
      </c>
      <c r="D1535" s="1" t="s">
        <v>122</v>
      </c>
      <c r="E1535" s="1" t="s">
        <v>28</v>
      </c>
      <c r="F1535" s="2">
        <v>720000.0</v>
      </c>
      <c r="G1535" s="1" t="s">
        <v>586</v>
      </c>
      <c r="H1535" s="4">
        <f>IFERROR(__xludf.DUMMYFUNCTION("DATE(INDEX(SPLIT(G1535,""/""),,3),INDEX(SPLIT(G1535,""/""),,2),INDEX(SPLIT(G1535,""/""),,1))"),44726.0)</f>
        <v>44726</v>
      </c>
      <c r="I1535" s="1" t="s">
        <v>130</v>
      </c>
      <c r="J1535" s="4">
        <f>IFERROR(__xludf.DUMMYFUNCTION("DATE(INDEX(SPLIT(I1535,""/""),,3),INDEX(SPLIT(I1535,""/""),,2),INDEX(SPLIT(I1535,""/""),,1))"),44804.0)</f>
        <v>44804</v>
      </c>
      <c r="L1535" s="1">
        <v>0.0</v>
      </c>
      <c r="M1535" s="1" t="s">
        <v>1484</v>
      </c>
      <c r="N1535" s="1"/>
      <c r="O1535" s="1" t="s">
        <v>30</v>
      </c>
      <c r="P1535" s="1" t="s">
        <v>31</v>
      </c>
      <c r="Q1535" s="1" t="s">
        <v>95</v>
      </c>
      <c r="R1535" s="1" t="s">
        <v>95</v>
      </c>
      <c r="S1535" s="1" t="s">
        <v>96</v>
      </c>
      <c r="T1535" s="1" t="s">
        <v>111</v>
      </c>
      <c r="U1535" s="1">
        <v>1.00585718E8</v>
      </c>
      <c r="X1535" s="1" t="s">
        <v>63</v>
      </c>
      <c r="Y1535" s="1" t="s">
        <v>3541</v>
      </c>
      <c r="Z1535" s="1" t="s">
        <v>37</v>
      </c>
    </row>
    <row r="1536">
      <c r="A1536" s="1" t="s">
        <v>5138</v>
      </c>
      <c r="B1536" s="1" t="s">
        <v>1854</v>
      </c>
      <c r="C1536" s="1" t="s">
        <v>5139</v>
      </c>
      <c r="D1536" s="1" t="s">
        <v>68</v>
      </c>
      <c r="E1536" s="1" t="s">
        <v>28</v>
      </c>
      <c r="F1536" s="2">
        <v>720000.0</v>
      </c>
      <c r="G1536" s="1" t="s">
        <v>1154</v>
      </c>
      <c r="H1536" s="4">
        <f>IFERROR(__xludf.DUMMYFUNCTION("DATE(INDEX(SPLIT(G1536,""/""),,3),INDEX(SPLIT(G1536,""/""),,2),INDEX(SPLIT(G1536,""/""),,1))"),44735.0)</f>
        <v>44735</v>
      </c>
      <c r="I1536" s="1" t="s">
        <v>226</v>
      </c>
      <c r="J1536" s="4">
        <f>IFERROR(__xludf.DUMMYFUNCTION("DATE(INDEX(SPLIT(I1536,""/""),,3),INDEX(SPLIT(I1536,""/""),,2),INDEX(SPLIT(I1536,""/""),,1))"),44771.0)</f>
        <v>44771</v>
      </c>
      <c r="L1536" s="1">
        <v>0.0</v>
      </c>
      <c r="M1536" s="1" t="s">
        <v>2448</v>
      </c>
      <c r="N1536" s="1"/>
      <c r="O1536" s="1" t="s">
        <v>30</v>
      </c>
      <c r="P1536" s="1" t="s">
        <v>31</v>
      </c>
      <c r="Q1536" s="1" t="s">
        <v>53</v>
      </c>
      <c r="R1536" s="1" t="s">
        <v>53</v>
      </c>
      <c r="S1536" s="1" t="s">
        <v>54</v>
      </c>
      <c r="U1536" s="1">
        <v>1.00584032E8</v>
      </c>
      <c r="X1536" s="1" t="s">
        <v>63</v>
      </c>
      <c r="Y1536" s="1" t="s">
        <v>1857</v>
      </c>
      <c r="Z1536" s="1" t="s">
        <v>37</v>
      </c>
    </row>
    <row r="1537">
      <c r="A1537" s="1" t="s">
        <v>5140</v>
      </c>
      <c r="B1537" s="1" t="s">
        <v>83</v>
      </c>
      <c r="C1537" s="1" t="s">
        <v>5141</v>
      </c>
      <c r="D1537" s="1" t="s">
        <v>122</v>
      </c>
      <c r="E1537" s="1" t="s">
        <v>28</v>
      </c>
      <c r="F1537" s="2">
        <v>720000.0</v>
      </c>
      <c r="G1537" s="1" t="s">
        <v>185</v>
      </c>
      <c r="H1537" s="4">
        <f>IFERROR(__xludf.DUMMYFUNCTION("DATE(INDEX(SPLIT(G1537,""/""),,3),INDEX(SPLIT(G1537,""/""),,2),INDEX(SPLIT(G1537,""/""),,1))"),44741.0)</f>
        <v>44741</v>
      </c>
      <c r="I1537" s="1" t="s">
        <v>226</v>
      </c>
      <c r="J1537" s="4">
        <f>IFERROR(__xludf.DUMMYFUNCTION("DATE(INDEX(SPLIT(I1537,""/""),,3),INDEX(SPLIT(I1537,""/""),,2),INDEX(SPLIT(I1537,""/""),,1))"),44771.0)</f>
        <v>44771</v>
      </c>
      <c r="L1537" s="1">
        <v>0.0</v>
      </c>
      <c r="M1537" s="1" t="s">
        <v>1944</v>
      </c>
      <c r="N1537" s="1"/>
      <c r="O1537" s="1" t="s">
        <v>30</v>
      </c>
      <c r="P1537" s="1" t="s">
        <v>31</v>
      </c>
      <c r="Q1537" s="1" t="s">
        <v>235</v>
      </c>
      <c r="R1537" s="1" t="s">
        <v>235</v>
      </c>
      <c r="S1537" s="1" t="s">
        <v>236</v>
      </c>
      <c r="T1537" s="1" t="s">
        <v>753</v>
      </c>
      <c r="U1537" s="1">
        <v>1.00628186E8</v>
      </c>
      <c r="V1537" s="1" t="s">
        <v>5142</v>
      </c>
      <c r="W1537" s="1" t="s">
        <v>717</v>
      </c>
      <c r="X1537" s="1" t="s">
        <v>88</v>
      </c>
      <c r="Y1537" s="1" t="s">
        <v>1946</v>
      </c>
      <c r="Z1537" s="1" t="s">
        <v>37</v>
      </c>
    </row>
    <row r="1538" hidden="1">
      <c r="A1538" s="1" t="s">
        <v>5143</v>
      </c>
      <c r="B1538" s="1" t="s">
        <v>1748</v>
      </c>
      <c r="C1538" s="1" t="s">
        <v>5144</v>
      </c>
      <c r="D1538" s="1" t="s">
        <v>68</v>
      </c>
      <c r="E1538" s="1" t="s">
        <v>28</v>
      </c>
      <c r="F1538" s="2">
        <v>710000.0</v>
      </c>
      <c r="G1538" s="4">
        <v>44652.0</v>
      </c>
      <c r="H1538" s="4">
        <f>IFERROR(__xludf.DUMMYFUNCTION("DATE(INDEX(SPLIT(G1538,""/""),,3),INDEX(SPLIT(G1538,""/""),,2),INDEX(SPLIT(G1538,""/""),,1))"),44565.0)</f>
        <v>44565</v>
      </c>
      <c r="I1538" s="1" t="s">
        <v>1750</v>
      </c>
      <c r="J1538" s="4">
        <f>IFERROR(__xludf.DUMMYFUNCTION("DATE(INDEX(SPLIT(I1538,""/""),,3),INDEX(SPLIT(I1538,""/""),,2),INDEX(SPLIT(I1538,""/""),,1))"),44802.0)</f>
        <v>44802</v>
      </c>
      <c r="L1538" s="1">
        <v>0.0</v>
      </c>
      <c r="M1538" s="1" t="s">
        <v>437</v>
      </c>
      <c r="N1538" s="1"/>
      <c r="O1538" s="1" t="s">
        <v>30</v>
      </c>
      <c r="P1538" s="1" t="s">
        <v>31</v>
      </c>
      <c r="Q1538" s="1" t="s">
        <v>235</v>
      </c>
      <c r="R1538" s="1" t="s">
        <v>235</v>
      </c>
      <c r="S1538" s="1" t="s">
        <v>236</v>
      </c>
      <c r="T1538" s="1" t="s">
        <v>1349</v>
      </c>
      <c r="U1538" s="1">
        <v>1.00650375E8</v>
      </c>
      <c r="X1538" s="1" t="s">
        <v>88</v>
      </c>
      <c r="Y1538" s="1" t="s">
        <v>4713</v>
      </c>
      <c r="Z1538" s="1" t="s">
        <v>37</v>
      </c>
    </row>
    <row r="1539" hidden="1">
      <c r="A1539" s="1" t="s">
        <v>5145</v>
      </c>
      <c r="B1539" s="1" t="s">
        <v>3802</v>
      </c>
      <c r="C1539" s="1" t="s">
        <v>5146</v>
      </c>
      <c r="D1539" s="1" t="s">
        <v>27</v>
      </c>
      <c r="E1539" s="1" t="s">
        <v>28</v>
      </c>
      <c r="F1539" s="2">
        <v>705000.0</v>
      </c>
      <c r="G1539" s="1" t="s">
        <v>41</v>
      </c>
      <c r="H1539" s="4">
        <f>IFERROR(__xludf.DUMMYFUNCTION("DATE(INDEX(SPLIT(G1539,""/""),,3),INDEX(SPLIT(G1539,""/""),,2),INDEX(SPLIT(G1539,""/""),,1))"),44607.0)</f>
        <v>44607</v>
      </c>
      <c r="I1539" s="4">
        <v>44573.0</v>
      </c>
      <c r="J1539" s="4">
        <f>IFERROR(__xludf.DUMMYFUNCTION("DATE(INDEX(SPLIT(I1539,""/""),,3),INDEX(SPLIT(I1539,""/""),,2),INDEX(SPLIT(I1539,""/""),,1))"),44896.0)</f>
        <v>44896</v>
      </c>
      <c r="L1539" s="1">
        <v>0.0</v>
      </c>
      <c r="M1539" s="1" t="s">
        <v>1385</v>
      </c>
      <c r="N1539" s="1"/>
      <c r="O1539" s="1" t="s">
        <v>30</v>
      </c>
      <c r="P1539" s="1" t="s">
        <v>31</v>
      </c>
      <c r="Q1539" s="1" t="s">
        <v>235</v>
      </c>
      <c r="R1539" s="1" t="s">
        <v>235</v>
      </c>
      <c r="S1539" s="1" t="s">
        <v>236</v>
      </c>
      <c r="T1539" s="1" t="s">
        <v>1386</v>
      </c>
      <c r="U1539" s="1">
        <v>1.00594397E8</v>
      </c>
      <c r="X1539" s="1" t="s">
        <v>239</v>
      </c>
      <c r="Y1539" s="1" t="s">
        <v>1387</v>
      </c>
      <c r="Z1539" s="1" t="s">
        <v>37</v>
      </c>
    </row>
    <row r="1540" hidden="1">
      <c r="A1540" s="1" t="s">
        <v>5147</v>
      </c>
      <c r="B1540" s="1" t="s">
        <v>1634</v>
      </c>
      <c r="C1540" s="1" t="s">
        <v>5148</v>
      </c>
      <c r="D1540" s="1" t="s">
        <v>78</v>
      </c>
      <c r="E1540" s="1" t="s">
        <v>28</v>
      </c>
      <c r="F1540" s="2">
        <v>700000.0</v>
      </c>
      <c r="G1540" s="4">
        <v>44538.0</v>
      </c>
      <c r="H1540" s="4">
        <f>IFERROR(__xludf.DUMMYFUNCTION("DATE(INDEX(SPLIT(G1540,""/""),,3),INDEX(SPLIT(G1540,""/""),,2),INDEX(SPLIT(G1540,""/""),,1))"),44420.0)</f>
        <v>44420</v>
      </c>
      <c r="I1540" s="1" t="s">
        <v>109</v>
      </c>
      <c r="J1540" s="4">
        <f>IFERROR(__xludf.DUMMYFUNCTION("DATE(INDEX(SPLIT(I1540,""/""),,3),INDEX(SPLIT(I1540,""/""),,2),INDEX(SPLIT(I1540,""/""),,1))"),44834.0)</f>
        <v>44834</v>
      </c>
      <c r="L1540" s="1">
        <v>0.0</v>
      </c>
      <c r="M1540" s="1" t="s">
        <v>898</v>
      </c>
      <c r="N1540" s="1"/>
      <c r="O1540" s="1" t="s">
        <v>30</v>
      </c>
      <c r="P1540" s="1" t="s">
        <v>31</v>
      </c>
      <c r="Q1540" s="1" t="s">
        <v>71</v>
      </c>
      <c r="R1540" s="1" t="s">
        <v>71</v>
      </c>
      <c r="S1540" s="1" t="s">
        <v>72</v>
      </c>
      <c r="T1540" s="1" t="s">
        <v>615</v>
      </c>
      <c r="U1540" s="1">
        <v>1.00589481E8</v>
      </c>
      <c r="X1540" s="1" t="s">
        <v>490</v>
      </c>
      <c r="Y1540" s="1" t="s">
        <v>898</v>
      </c>
      <c r="Z1540" s="1" t="s">
        <v>37</v>
      </c>
    </row>
    <row r="1541" hidden="1">
      <c r="A1541" s="1" t="s">
        <v>5149</v>
      </c>
      <c r="B1541" s="1" t="s">
        <v>975</v>
      </c>
      <c r="C1541" s="1" t="s">
        <v>5150</v>
      </c>
      <c r="D1541" s="1" t="s">
        <v>78</v>
      </c>
      <c r="E1541" s="1" t="s">
        <v>28</v>
      </c>
      <c r="F1541" s="2">
        <v>700000.0</v>
      </c>
      <c r="G1541" s="4">
        <v>44866.0</v>
      </c>
      <c r="H1541" s="4">
        <f>IFERROR(__xludf.DUMMYFUNCTION("DATE(INDEX(SPLIT(G1541,""/""),,3),INDEX(SPLIT(G1541,""/""),,2),INDEX(SPLIT(G1541,""/""),,1))"),44572.0)</f>
        <v>44572</v>
      </c>
      <c r="I1541" s="1" t="s">
        <v>165</v>
      </c>
      <c r="J1541" s="4">
        <f>IFERROR(__xludf.DUMMYFUNCTION("DATE(INDEX(SPLIT(I1541,""/""),,3),INDEX(SPLIT(I1541,""/""),,2),INDEX(SPLIT(I1541,""/""),,1))"),44803.0)</f>
        <v>44803</v>
      </c>
      <c r="L1541" s="1">
        <v>0.0</v>
      </c>
      <c r="M1541" s="1" t="s">
        <v>4639</v>
      </c>
      <c r="N1541" s="1"/>
      <c r="O1541" s="1" t="s">
        <v>30</v>
      </c>
      <c r="P1541" s="1" t="s">
        <v>31</v>
      </c>
      <c r="Q1541" s="1" t="s">
        <v>53</v>
      </c>
      <c r="R1541" s="1" t="s">
        <v>53</v>
      </c>
      <c r="S1541" s="1" t="s">
        <v>54</v>
      </c>
      <c r="T1541" s="1" t="s">
        <v>87</v>
      </c>
      <c r="U1541" s="1">
        <v>1.00660049E8</v>
      </c>
      <c r="X1541" s="1" t="s">
        <v>88</v>
      </c>
      <c r="Y1541" s="1" t="s">
        <v>5151</v>
      </c>
      <c r="Z1541" s="1" t="s">
        <v>37</v>
      </c>
    </row>
    <row r="1542" hidden="1">
      <c r="A1542" s="1" t="s">
        <v>5152</v>
      </c>
      <c r="B1542" s="1" t="s">
        <v>540</v>
      </c>
      <c r="C1542" s="1" t="s">
        <v>543</v>
      </c>
      <c r="D1542" s="1" t="s">
        <v>122</v>
      </c>
      <c r="E1542" s="1" t="s">
        <v>28</v>
      </c>
      <c r="F1542" s="2">
        <v>700000.0</v>
      </c>
      <c r="G1542" s="4">
        <v>44653.0</v>
      </c>
      <c r="H1542" s="4">
        <f>IFERROR(__xludf.DUMMYFUNCTION("DATE(INDEX(SPLIT(G1542,""/""),,3),INDEX(SPLIT(G1542,""/""),,2),INDEX(SPLIT(G1542,""/""),,1))"),44596.0)</f>
        <v>44596</v>
      </c>
      <c r="I1542" s="1" t="s">
        <v>130</v>
      </c>
      <c r="J1542" s="4">
        <f>IFERROR(__xludf.DUMMYFUNCTION("DATE(INDEX(SPLIT(I1542,""/""),,3),INDEX(SPLIT(I1542,""/""),,2),INDEX(SPLIT(I1542,""/""),,1))"),44804.0)</f>
        <v>44804</v>
      </c>
      <c r="L1542" s="1">
        <v>0.0</v>
      </c>
      <c r="M1542" s="1" t="s">
        <v>542</v>
      </c>
      <c r="N1542" s="1"/>
      <c r="O1542" s="1" t="s">
        <v>30</v>
      </c>
      <c r="P1542" s="1" t="s">
        <v>31</v>
      </c>
      <c r="Q1542" s="1" t="s">
        <v>53</v>
      </c>
      <c r="R1542" s="1" t="s">
        <v>53</v>
      </c>
      <c r="S1542" s="1" t="s">
        <v>54</v>
      </c>
      <c r="T1542" s="1" t="s">
        <v>181</v>
      </c>
      <c r="U1542" s="1">
        <v>1.01001596E8</v>
      </c>
      <c r="W1542" s="1" t="s">
        <v>56</v>
      </c>
      <c r="X1542" s="1" t="s">
        <v>74</v>
      </c>
      <c r="Y1542" s="1" t="s">
        <v>5153</v>
      </c>
      <c r="Z1542" s="1" t="s">
        <v>37</v>
      </c>
    </row>
    <row r="1543" hidden="1">
      <c r="A1543" s="1" t="s">
        <v>5154</v>
      </c>
      <c r="B1543" s="1" t="s">
        <v>106</v>
      </c>
      <c r="C1543" s="1" t="s">
        <v>5155</v>
      </c>
      <c r="D1543" s="1" t="s">
        <v>78</v>
      </c>
      <c r="E1543" s="1" t="s">
        <v>28</v>
      </c>
      <c r="F1543" s="2">
        <v>700000.0</v>
      </c>
      <c r="G1543" s="1" t="s">
        <v>1102</v>
      </c>
      <c r="H1543" s="4">
        <f>IFERROR(__xludf.DUMMYFUNCTION("DATE(INDEX(SPLIT(G1543,""/""),,3),INDEX(SPLIT(G1543,""/""),,2),INDEX(SPLIT(G1543,""/""),,1))"),44759.0)</f>
        <v>44759</v>
      </c>
      <c r="I1543" s="4">
        <v>44689.0</v>
      </c>
      <c r="J1543" s="4">
        <f>IFERROR(__xludf.DUMMYFUNCTION("DATE(INDEX(SPLIT(I1543,""/""),,3),INDEX(SPLIT(I1543,""/""),,2),INDEX(SPLIT(I1543,""/""),,1))"),44778.0)</f>
        <v>44778</v>
      </c>
      <c r="L1543" s="1">
        <v>0.0</v>
      </c>
      <c r="M1543" s="1" t="s">
        <v>3768</v>
      </c>
      <c r="N1543" s="1"/>
      <c r="O1543" s="1" t="s">
        <v>30</v>
      </c>
      <c r="P1543" s="1" t="s">
        <v>31</v>
      </c>
      <c r="Q1543" s="1" t="s">
        <v>157</v>
      </c>
      <c r="R1543" s="1" t="s">
        <v>157</v>
      </c>
      <c r="S1543" s="1" t="s">
        <v>158</v>
      </c>
      <c r="U1543" s="1">
        <v>1.00633763E8</v>
      </c>
      <c r="X1543" s="1" t="s">
        <v>63</v>
      </c>
      <c r="Y1543" s="1" t="s">
        <v>5156</v>
      </c>
      <c r="Z1543" s="1" t="s">
        <v>37</v>
      </c>
    </row>
    <row r="1544" hidden="1">
      <c r="A1544" s="1" t="s">
        <v>5157</v>
      </c>
      <c r="B1544" s="1" t="s">
        <v>5158</v>
      </c>
      <c r="C1544" s="1" t="s">
        <v>5159</v>
      </c>
      <c r="D1544" s="1" t="s">
        <v>122</v>
      </c>
      <c r="E1544" s="1" t="s">
        <v>28</v>
      </c>
      <c r="F1544" s="2">
        <v>700000.0</v>
      </c>
      <c r="G1544" s="1" t="s">
        <v>5160</v>
      </c>
      <c r="H1544" s="4">
        <f>IFERROR(__xludf.DUMMYFUNCTION("DATE(INDEX(SPLIT(G1544,""/""),,3),INDEX(SPLIT(G1544,""/""),,2),INDEX(SPLIT(G1544,""/""),,1))"),44426.0)</f>
        <v>44426</v>
      </c>
      <c r="I1544" s="1" t="s">
        <v>1361</v>
      </c>
      <c r="J1544" s="4">
        <f>IFERROR(__xludf.DUMMYFUNCTION("DATE(INDEX(SPLIT(I1544,""/""),,3),INDEX(SPLIT(I1544,""/""),,2),INDEX(SPLIT(I1544,""/""),,1))"),44827.0)</f>
        <v>44827</v>
      </c>
      <c r="L1544" s="1">
        <v>0.0</v>
      </c>
      <c r="M1544" s="1" t="s">
        <v>936</v>
      </c>
      <c r="N1544" s="1"/>
      <c r="O1544" s="1" t="s">
        <v>30</v>
      </c>
      <c r="P1544" s="1" t="s">
        <v>31</v>
      </c>
      <c r="Q1544" s="1" t="s">
        <v>71</v>
      </c>
      <c r="R1544" s="1" t="s">
        <v>71</v>
      </c>
      <c r="S1544" s="1" t="s">
        <v>72</v>
      </c>
      <c r="T1544" s="1" t="s">
        <v>73</v>
      </c>
      <c r="U1544" s="1">
        <v>1.00941744E8</v>
      </c>
      <c r="X1544" s="1" t="s">
        <v>74</v>
      </c>
      <c r="Y1544" s="1" t="s">
        <v>936</v>
      </c>
      <c r="Z1544" s="1" t="s">
        <v>37</v>
      </c>
    </row>
    <row r="1545">
      <c r="A1545" s="1" t="s">
        <v>5161</v>
      </c>
      <c r="B1545" s="1" t="s">
        <v>3184</v>
      </c>
      <c r="C1545" s="1" t="s">
        <v>5162</v>
      </c>
      <c r="D1545" s="1" t="s">
        <v>122</v>
      </c>
      <c r="E1545" s="1" t="s">
        <v>28</v>
      </c>
      <c r="F1545" s="2">
        <v>700000.0</v>
      </c>
      <c r="G1545" s="1" t="s">
        <v>233</v>
      </c>
      <c r="H1545" s="4">
        <f>IFERROR(__xludf.DUMMYFUNCTION("DATE(INDEX(SPLIT(G1545,""/""),,3),INDEX(SPLIT(G1545,""/""),,2),INDEX(SPLIT(G1545,""/""),,1))"),44729.0)</f>
        <v>44729</v>
      </c>
      <c r="I1545" s="1" t="s">
        <v>518</v>
      </c>
      <c r="J1545" s="4">
        <f>IFERROR(__xludf.DUMMYFUNCTION("DATE(INDEX(SPLIT(I1545,""/""),,3),INDEX(SPLIT(I1545,""/""),,2),INDEX(SPLIT(I1545,""/""),,1))"),44757.0)</f>
        <v>44757</v>
      </c>
      <c r="L1545" s="1">
        <v>0.0</v>
      </c>
      <c r="M1545" s="1" t="s">
        <v>1689</v>
      </c>
      <c r="N1545" s="1"/>
      <c r="O1545" s="1" t="s">
        <v>30</v>
      </c>
      <c r="P1545" s="1" t="s">
        <v>31</v>
      </c>
      <c r="Q1545" s="1" t="s">
        <v>53</v>
      </c>
      <c r="R1545" s="1" t="s">
        <v>53</v>
      </c>
      <c r="S1545" s="1" t="s">
        <v>54</v>
      </c>
      <c r="U1545" s="1">
        <v>1.00650657E8</v>
      </c>
      <c r="X1545" s="1" t="s">
        <v>312</v>
      </c>
      <c r="Y1545" s="1" t="s">
        <v>5163</v>
      </c>
      <c r="Z1545" s="1" t="s">
        <v>37</v>
      </c>
    </row>
    <row r="1546">
      <c r="A1546" s="1" t="s">
        <v>5164</v>
      </c>
      <c r="B1546" s="1" t="s">
        <v>5165</v>
      </c>
      <c r="C1546" s="1" t="s">
        <v>5166</v>
      </c>
      <c r="D1546" s="1" t="s">
        <v>78</v>
      </c>
      <c r="E1546" s="1" t="s">
        <v>28</v>
      </c>
      <c r="F1546" s="2">
        <v>700000.0</v>
      </c>
      <c r="G1546" s="1" t="s">
        <v>2077</v>
      </c>
      <c r="H1546" s="4">
        <f>IFERROR(__xludf.DUMMYFUNCTION("DATE(INDEX(SPLIT(G1546,""/""),,3),INDEX(SPLIT(G1546,""/""),,2),INDEX(SPLIT(G1546,""/""),,1))"),44700.0)</f>
        <v>44700</v>
      </c>
      <c r="I1546" s="1" t="s">
        <v>69</v>
      </c>
      <c r="J1546" s="4">
        <f>IFERROR(__xludf.DUMMYFUNCTION("DATE(INDEX(SPLIT(I1546,""/""),,3),INDEX(SPLIT(I1546,""/""),,2),INDEX(SPLIT(I1546,""/""),,1))"),44773.0)</f>
        <v>44773</v>
      </c>
      <c r="L1546" s="1">
        <v>0.0</v>
      </c>
      <c r="M1546" s="1" t="s">
        <v>4639</v>
      </c>
      <c r="N1546" s="1"/>
      <c r="O1546" s="1" t="s">
        <v>30</v>
      </c>
      <c r="P1546" s="1" t="s">
        <v>31</v>
      </c>
      <c r="Q1546" s="1" t="s">
        <v>53</v>
      </c>
      <c r="R1546" s="1" t="s">
        <v>53</v>
      </c>
      <c r="S1546" s="1" t="s">
        <v>54</v>
      </c>
      <c r="U1546" s="1">
        <v>1.00660049E8</v>
      </c>
      <c r="X1546" s="1" t="s">
        <v>88</v>
      </c>
      <c r="Y1546" s="1" t="s">
        <v>5167</v>
      </c>
      <c r="Z1546" s="1" t="s">
        <v>37</v>
      </c>
    </row>
    <row r="1547" hidden="1">
      <c r="A1547" s="1" t="s">
        <v>5168</v>
      </c>
      <c r="B1547" s="1" t="s">
        <v>948</v>
      </c>
      <c r="C1547" s="1" t="s">
        <v>5169</v>
      </c>
      <c r="D1547" s="1" t="s">
        <v>122</v>
      </c>
      <c r="E1547" s="1" t="s">
        <v>28</v>
      </c>
      <c r="F1547" s="2">
        <v>700000.0</v>
      </c>
      <c r="G1547" s="1" t="s">
        <v>2077</v>
      </c>
      <c r="H1547" s="4">
        <f>IFERROR(__xludf.DUMMYFUNCTION("DATE(INDEX(SPLIT(G1547,""/""),,3),INDEX(SPLIT(G1547,""/""),,2),INDEX(SPLIT(G1547,""/""),,1))"),44700.0)</f>
        <v>44700</v>
      </c>
      <c r="I1547" s="4">
        <v>44570.0</v>
      </c>
      <c r="J1547" s="4">
        <f>IFERROR(__xludf.DUMMYFUNCTION("DATE(INDEX(SPLIT(I1547,""/""),,3),INDEX(SPLIT(I1547,""/""),,2),INDEX(SPLIT(I1547,""/""),,1))"),44805.0)</f>
        <v>44805</v>
      </c>
      <c r="L1547" s="1">
        <v>0.0</v>
      </c>
      <c r="M1547" s="1" t="s">
        <v>1422</v>
      </c>
      <c r="N1547" s="1"/>
      <c r="O1547" s="1" t="s">
        <v>30</v>
      </c>
      <c r="P1547" s="1" t="s">
        <v>31</v>
      </c>
      <c r="Q1547" s="1" t="s">
        <v>157</v>
      </c>
      <c r="R1547" s="1" t="s">
        <v>157</v>
      </c>
      <c r="S1547" s="1" t="s">
        <v>158</v>
      </c>
      <c r="T1547" s="1" t="s">
        <v>159</v>
      </c>
      <c r="U1547" s="1">
        <v>1.00869794E8</v>
      </c>
      <c r="X1547" s="1" t="s">
        <v>74</v>
      </c>
      <c r="Y1547" s="1" t="s">
        <v>1422</v>
      </c>
      <c r="Z1547" s="1" t="s">
        <v>37</v>
      </c>
    </row>
    <row r="1548" hidden="1">
      <c r="A1548" s="1" t="s">
        <v>5170</v>
      </c>
      <c r="B1548" s="1" t="s">
        <v>1748</v>
      </c>
      <c r="C1548" s="1" t="s">
        <v>5171</v>
      </c>
      <c r="D1548" s="1" t="s">
        <v>27</v>
      </c>
      <c r="E1548" s="1" t="s">
        <v>28</v>
      </c>
      <c r="F1548" s="2">
        <v>700000.0</v>
      </c>
      <c r="G1548" s="1" t="s">
        <v>5172</v>
      </c>
      <c r="H1548" s="4">
        <f>IFERROR(__xludf.DUMMYFUNCTION("DATE(INDEX(SPLIT(G1548,""/""),,3),INDEX(SPLIT(G1548,""/""),,2),INDEX(SPLIT(G1548,""/""),,1))"),44268.0)</f>
        <v>44268</v>
      </c>
      <c r="I1548" s="1" t="s">
        <v>5173</v>
      </c>
      <c r="J1548" s="4">
        <f>IFERROR(__xludf.DUMMYFUNCTION("DATE(INDEX(SPLIT(I1548,""/""),,3),INDEX(SPLIT(I1548,""/""),,2),INDEX(SPLIT(I1548,""/""),,1))"),44861.0)</f>
        <v>44861</v>
      </c>
      <c r="L1548" s="1">
        <v>0.0</v>
      </c>
      <c r="M1548" s="1" t="s">
        <v>437</v>
      </c>
      <c r="N1548" s="1"/>
      <c r="O1548" s="1" t="s">
        <v>30</v>
      </c>
      <c r="P1548" s="1" t="s">
        <v>31</v>
      </c>
      <c r="Q1548" s="1" t="s">
        <v>235</v>
      </c>
      <c r="R1548" s="1" t="s">
        <v>235</v>
      </c>
      <c r="S1548" s="1" t="s">
        <v>236</v>
      </c>
      <c r="T1548" s="1" t="s">
        <v>1349</v>
      </c>
      <c r="U1548" s="1">
        <v>1.00650375E8</v>
      </c>
      <c r="X1548" s="1" t="s">
        <v>88</v>
      </c>
      <c r="Y1548" s="1" t="s">
        <v>437</v>
      </c>
      <c r="Z1548" s="1" t="s">
        <v>37</v>
      </c>
    </row>
    <row r="1549" hidden="1">
      <c r="A1549" s="1" t="s">
        <v>5174</v>
      </c>
      <c r="B1549" s="1" t="s">
        <v>1748</v>
      </c>
      <c r="C1549" s="1" t="s">
        <v>5175</v>
      </c>
      <c r="D1549" s="1" t="s">
        <v>78</v>
      </c>
      <c r="E1549" s="1" t="s">
        <v>28</v>
      </c>
      <c r="F1549" s="2">
        <v>700000.0</v>
      </c>
      <c r="G1549" s="1" t="s">
        <v>5176</v>
      </c>
      <c r="H1549" s="4">
        <f>IFERROR(__xludf.DUMMYFUNCTION("DATE(INDEX(SPLIT(G1549,""/""),,3),INDEX(SPLIT(G1549,""/""),,2),INDEX(SPLIT(G1549,""/""),,1))"),44585.0)</f>
        <v>44585</v>
      </c>
      <c r="I1549" s="1" t="s">
        <v>1750</v>
      </c>
      <c r="J1549" s="4">
        <f>IFERROR(__xludf.DUMMYFUNCTION("DATE(INDEX(SPLIT(I1549,""/""),,3),INDEX(SPLIT(I1549,""/""),,2),INDEX(SPLIT(I1549,""/""),,1))"),44802.0)</f>
        <v>44802</v>
      </c>
      <c r="L1549" s="1">
        <v>0.0</v>
      </c>
      <c r="M1549" s="1" t="s">
        <v>3353</v>
      </c>
      <c r="N1549" s="1"/>
      <c r="O1549" s="1" t="s">
        <v>30</v>
      </c>
      <c r="P1549" s="1" t="s">
        <v>31</v>
      </c>
      <c r="Q1549" s="1" t="s">
        <v>235</v>
      </c>
      <c r="R1549" s="1" t="s">
        <v>235</v>
      </c>
      <c r="S1549" s="1" t="s">
        <v>236</v>
      </c>
      <c r="U1549" s="1">
        <v>1.00648252E8</v>
      </c>
      <c r="X1549" s="1" t="s">
        <v>88</v>
      </c>
      <c r="Y1549" s="1" t="s">
        <v>5177</v>
      </c>
      <c r="Z1549" s="1" t="s">
        <v>527</v>
      </c>
    </row>
    <row r="1550">
      <c r="A1550" s="1" t="s">
        <v>5178</v>
      </c>
      <c r="B1550" s="1" t="s">
        <v>4426</v>
      </c>
      <c r="C1550" s="1" t="s">
        <v>5179</v>
      </c>
      <c r="D1550" s="1" t="s">
        <v>122</v>
      </c>
      <c r="E1550" s="1" t="s">
        <v>28</v>
      </c>
      <c r="F1550" s="2">
        <v>700000.0</v>
      </c>
      <c r="G1550" s="4">
        <v>44810.0</v>
      </c>
      <c r="H1550" s="4">
        <f>IFERROR(__xludf.DUMMYFUNCTION("DATE(INDEX(SPLIT(G1550,""/""),,3),INDEX(SPLIT(G1550,""/""),,2),INDEX(SPLIT(G1550,""/""),,1))"),44721.0)</f>
        <v>44721</v>
      </c>
      <c r="I1550" s="1" t="s">
        <v>233</v>
      </c>
      <c r="J1550" s="4">
        <f>IFERROR(__xludf.DUMMYFUNCTION("DATE(INDEX(SPLIT(I1550,""/""),,3),INDEX(SPLIT(I1550,""/""),,2),INDEX(SPLIT(I1550,""/""),,1))"),44729.0)</f>
        <v>44729</v>
      </c>
      <c r="L1550" s="1">
        <v>0.0</v>
      </c>
      <c r="M1550" s="1" t="s">
        <v>1434</v>
      </c>
      <c r="N1550" s="1"/>
      <c r="O1550" s="1" t="s">
        <v>30</v>
      </c>
      <c r="P1550" s="1" t="s">
        <v>31</v>
      </c>
      <c r="Q1550" s="1" t="s">
        <v>95</v>
      </c>
      <c r="R1550" s="1" t="s">
        <v>95</v>
      </c>
      <c r="S1550" s="1" t="s">
        <v>96</v>
      </c>
      <c r="T1550" s="1" t="s">
        <v>111</v>
      </c>
      <c r="U1550" s="1">
        <v>1.00613841E8</v>
      </c>
      <c r="X1550" s="1" t="s">
        <v>63</v>
      </c>
      <c r="Y1550" s="1" t="s">
        <v>5180</v>
      </c>
      <c r="Z1550" s="1" t="s">
        <v>37</v>
      </c>
    </row>
    <row r="1551" hidden="1">
      <c r="A1551" s="1" t="s">
        <v>5181</v>
      </c>
      <c r="B1551" s="1" t="s">
        <v>162</v>
      </c>
      <c r="C1551" s="1" t="s">
        <v>5182</v>
      </c>
      <c r="D1551" s="1" t="s">
        <v>122</v>
      </c>
      <c r="E1551" s="1" t="s">
        <v>28</v>
      </c>
      <c r="F1551" s="2">
        <v>700000.0</v>
      </c>
      <c r="G1551" s="4">
        <v>44902.0</v>
      </c>
      <c r="H1551" s="4">
        <f>IFERROR(__xludf.DUMMYFUNCTION("DATE(INDEX(SPLIT(G1551,""/""),,3),INDEX(SPLIT(G1551,""/""),,2),INDEX(SPLIT(G1551,""/""),,1))"),44754.0)</f>
        <v>44754</v>
      </c>
      <c r="I1551" s="4">
        <v>44689.0</v>
      </c>
      <c r="J1551" s="4">
        <f>IFERROR(__xludf.DUMMYFUNCTION("DATE(INDEX(SPLIT(I1551,""/""),,3),INDEX(SPLIT(I1551,""/""),,2),INDEX(SPLIT(I1551,""/""),,1))"),44778.0)</f>
        <v>44778</v>
      </c>
      <c r="L1551" s="1">
        <v>0.0</v>
      </c>
      <c r="M1551" s="1" t="s">
        <v>1643</v>
      </c>
      <c r="N1551" s="1"/>
      <c r="O1551" s="1" t="s">
        <v>30</v>
      </c>
      <c r="P1551" s="1" t="s">
        <v>31</v>
      </c>
      <c r="Q1551" s="1" t="s">
        <v>53</v>
      </c>
      <c r="R1551" s="1" t="s">
        <v>53</v>
      </c>
      <c r="S1551" s="1" t="s">
        <v>54</v>
      </c>
      <c r="U1551" s="1">
        <v>1.00653977E8</v>
      </c>
      <c r="X1551" s="1" t="s">
        <v>117</v>
      </c>
      <c r="Y1551" s="1" t="s">
        <v>5183</v>
      </c>
      <c r="Z1551" s="1" t="s">
        <v>37</v>
      </c>
    </row>
    <row r="1552">
      <c r="A1552" s="1" t="s">
        <v>5184</v>
      </c>
      <c r="B1552" s="1" t="s">
        <v>2735</v>
      </c>
      <c r="C1552" s="1" t="s">
        <v>5185</v>
      </c>
      <c r="D1552" s="1" t="s">
        <v>78</v>
      </c>
      <c r="E1552" s="1" t="s">
        <v>28</v>
      </c>
      <c r="F1552" s="2">
        <v>700000.0</v>
      </c>
      <c r="G1552" s="1" t="s">
        <v>2324</v>
      </c>
      <c r="H1552" s="4">
        <f>IFERROR(__xludf.DUMMYFUNCTION("DATE(INDEX(SPLIT(G1552,""/""),,3),INDEX(SPLIT(G1552,""/""),,2),INDEX(SPLIT(G1552,""/""),,1))"),44705.0)</f>
        <v>44705</v>
      </c>
      <c r="I1552" s="1" t="s">
        <v>226</v>
      </c>
      <c r="J1552" s="4">
        <f>IFERROR(__xludf.DUMMYFUNCTION("DATE(INDEX(SPLIT(I1552,""/""),,3),INDEX(SPLIT(I1552,""/""),,2),INDEX(SPLIT(I1552,""/""),,1))"),44771.0)</f>
        <v>44771</v>
      </c>
      <c r="L1552" s="1">
        <v>0.0</v>
      </c>
      <c r="M1552" s="1" t="s">
        <v>3170</v>
      </c>
      <c r="N1552" s="1"/>
      <c r="O1552" s="1" t="s">
        <v>30</v>
      </c>
      <c r="P1552" s="1" t="s">
        <v>31</v>
      </c>
      <c r="Q1552" s="1" t="s">
        <v>157</v>
      </c>
      <c r="R1552" s="1" t="s">
        <v>157</v>
      </c>
      <c r="S1552" s="1" t="s">
        <v>158</v>
      </c>
      <c r="T1552" s="1" t="s">
        <v>442</v>
      </c>
      <c r="U1552" s="1">
        <v>1.00626436E8</v>
      </c>
      <c r="X1552" s="1" t="s">
        <v>490</v>
      </c>
      <c r="Y1552" s="1" t="s">
        <v>5186</v>
      </c>
      <c r="Z1552" s="1" t="s">
        <v>37</v>
      </c>
    </row>
    <row r="1553" hidden="1">
      <c r="A1553" s="1" t="s">
        <v>5187</v>
      </c>
      <c r="B1553" s="1" t="s">
        <v>954</v>
      </c>
      <c r="C1553" s="1" t="s">
        <v>5188</v>
      </c>
      <c r="D1553" s="1" t="s">
        <v>27</v>
      </c>
      <c r="E1553" s="1" t="s">
        <v>28</v>
      </c>
      <c r="F1553" s="2">
        <v>700000.0</v>
      </c>
      <c r="G1553" s="1" t="s">
        <v>862</v>
      </c>
      <c r="H1553" s="4">
        <f>IFERROR(__xludf.DUMMYFUNCTION("DATE(INDEX(SPLIT(G1553,""/""),,3),INDEX(SPLIT(G1553,""/""),,2),INDEX(SPLIT(G1553,""/""),,1))"),44699.0)</f>
        <v>44699</v>
      </c>
      <c r="I1553" s="1" t="s">
        <v>3202</v>
      </c>
      <c r="J1553" s="4">
        <f>IFERROR(__xludf.DUMMYFUNCTION("DATE(INDEX(SPLIT(I1553,""/""),,3),INDEX(SPLIT(I1553,""/""),,2),INDEX(SPLIT(I1553,""/""),,1))"),44830.0)</f>
        <v>44830</v>
      </c>
      <c r="L1553" s="1">
        <v>0.0</v>
      </c>
      <c r="M1553" s="1" t="s">
        <v>3170</v>
      </c>
      <c r="N1553" s="1"/>
      <c r="O1553" s="1" t="s">
        <v>30</v>
      </c>
      <c r="P1553" s="1" t="s">
        <v>31</v>
      </c>
      <c r="Q1553" s="1" t="s">
        <v>157</v>
      </c>
      <c r="R1553" s="1" t="s">
        <v>157</v>
      </c>
      <c r="S1553" s="1" t="s">
        <v>158</v>
      </c>
      <c r="U1553" s="1">
        <v>1.00626436E8</v>
      </c>
      <c r="X1553" s="1" t="s">
        <v>74</v>
      </c>
      <c r="Y1553" s="1" t="s">
        <v>957</v>
      </c>
      <c r="Z1553" s="1" t="s">
        <v>37</v>
      </c>
    </row>
    <row r="1554" hidden="1">
      <c r="A1554" s="1" t="s">
        <v>5189</v>
      </c>
      <c r="B1554" s="1" t="s">
        <v>5190</v>
      </c>
      <c r="C1554" s="1" t="s">
        <v>5191</v>
      </c>
      <c r="D1554" s="1" t="s">
        <v>78</v>
      </c>
      <c r="E1554" s="1" t="s">
        <v>28</v>
      </c>
      <c r="F1554" s="2">
        <v>700000.0</v>
      </c>
      <c r="G1554" s="1" t="s">
        <v>1806</v>
      </c>
      <c r="H1554" s="4">
        <f>IFERROR(__xludf.DUMMYFUNCTION("DATE(INDEX(SPLIT(G1554,""/""),,3),INDEX(SPLIT(G1554,""/""),,2),INDEX(SPLIT(G1554,""/""),,1))"),44694.0)</f>
        <v>44694</v>
      </c>
      <c r="I1554" s="1" t="s">
        <v>130</v>
      </c>
      <c r="J1554" s="4">
        <f>IFERROR(__xludf.DUMMYFUNCTION("DATE(INDEX(SPLIT(I1554,""/""),,3),INDEX(SPLIT(I1554,""/""),,2),INDEX(SPLIT(I1554,""/""),,1))"),44804.0)</f>
        <v>44804</v>
      </c>
      <c r="L1554" s="1">
        <v>0.0</v>
      </c>
      <c r="M1554" s="1" t="s">
        <v>1614</v>
      </c>
      <c r="N1554" s="1"/>
      <c r="O1554" s="1" t="s">
        <v>30</v>
      </c>
      <c r="P1554" s="1" t="s">
        <v>31</v>
      </c>
      <c r="Q1554" s="1" t="s">
        <v>32</v>
      </c>
      <c r="R1554" s="1" t="s">
        <v>32</v>
      </c>
      <c r="S1554" s="1" t="s">
        <v>33</v>
      </c>
      <c r="U1554" s="1">
        <v>1.00587799E8</v>
      </c>
      <c r="X1554" s="1" t="s">
        <v>117</v>
      </c>
      <c r="Y1554" s="1" t="s">
        <v>1614</v>
      </c>
      <c r="Z1554" s="1" t="s">
        <v>37</v>
      </c>
    </row>
    <row r="1555">
      <c r="A1555" s="1" t="s">
        <v>5192</v>
      </c>
      <c r="B1555" s="1" t="s">
        <v>3673</v>
      </c>
      <c r="C1555" s="1" t="s">
        <v>5193</v>
      </c>
      <c r="D1555" s="1" t="s">
        <v>78</v>
      </c>
      <c r="E1555" s="1" t="s">
        <v>28</v>
      </c>
      <c r="F1555" s="2">
        <v>700000.0</v>
      </c>
      <c r="G1555" s="1" t="s">
        <v>2297</v>
      </c>
      <c r="H1555" s="4">
        <f>IFERROR(__xludf.DUMMYFUNCTION("DATE(INDEX(SPLIT(G1555,""/""),,3),INDEX(SPLIT(G1555,""/""),,2),INDEX(SPLIT(G1555,""/""),,1))"),44730.0)</f>
        <v>44730</v>
      </c>
      <c r="I1555" s="1" t="s">
        <v>226</v>
      </c>
      <c r="J1555" s="4">
        <f>IFERROR(__xludf.DUMMYFUNCTION("DATE(INDEX(SPLIT(I1555,""/""),,3),INDEX(SPLIT(I1555,""/""),,2),INDEX(SPLIT(I1555,""/""),,1))"),44771.0)</f>
        <v>44771</v>
      </c>
      <c r="L1555" s="1">
        <v>0.0</v>
      </c>
      <c r="M1555" s="1" t="s">
        <v>3138</v>
      </c>
      <c r="N1555" s="1"/>
      <c r="O1555" s="1" t="s">
        <v>30</v>
      </c>
      <c r="P1555" s="1" t="s">
        <v>31</v>
      </c>
      <c r="Q1555" s="1" t="s">
        <v>157</v>
      </c>
      <c r="R1555" s="1" t="s">
        <v>157</v>
      </c>
      <c r="S1555" s="1" t="s">
        <v>158</v>
      </c>
      <c r="U1555" s="1">
        <v>1.00616377E8</v>
      </c>
      <c r="X1555" s="1" t="s">
        <v>490</v>
      </c>
      <c r="Y1555" s="1" t="s">
        <v>2021</v>
      </c>
      <c r="Z1555" s="1" t="s">
        <v>37</v>
      </c>
    </row>
    <row r="1556" hidden="1">
      <c r="A1556" s="1" t="s">
        <v>5194</v>
      </c>
      <c r="B1556" s="1" t="s">
        <v>66</v>
      </c>
      <c r="C1556" s="1" t="s">
        <v>5195</v>
      </c>
      <c r="D1556" s="1" t="s">
        <v>78</v>
      </c>
      <c r="E1556" s="1" t="s">
        <v>28</v>
      </c>
      <c r="F1556" s="2">
        <v>700000.0</v>
      </c>
      <c r="G1556" s="1" t="s">
        <v>2297</v>
      </c>
      <c r="H1556" s="4">
        <f>IFERROR(__xludf.DUMMYFUNCTION("DATE(INDEX(SPLIT(G1556,""/""),,3),INDEX(SPLIT(G1556,""/""),,2),INDEX(SPLIT(G1556,""/""),,1))"),44730.0)</f>
        <v>44730</v>
      </c>
      <c r="I1556" s="1" t="s">
        <v>109</v>
      </c>
      <c r="J1556" s="4">
        <f>IFERROR(__xludf.DUMMYFUNCTION("DATE(INDEX(SPLIT(I1556,""/""),,3),INDEX(SPLIT(I1556,""/""),,2),INDEX(SPLIT(I1556,""/""),,1))"),44834.0)</f>
        <v>44834</v>
      </c>
      <c r="L1556" s="1">
        <v>0.0</v>
      </c>
      <c r="M1556" s="1" t="s">
        <v>5196</v>
      </c>
      <c r="N1556" s="1"/>
      <c r="O1556" s="1" t="s">
        <v>30</v>
      </c>
      <c r="P1556" s="1" t="s">
        <v>31</v>
      </c>
      <c r="Q1556" s="1" t="s">
        <v>71</v>
      </c>
      <c r="R1556" s="1" t="s">
        <v>71</v>
      </c>
      <c r="S1556" s="1" t="s">
        <v>72</v>
      </c>
      <c r="T1556" s="1" t="s">
        <v>73</v>
      </c>
      <c r="U1556" s="1">
        <v>1.00635527E8</v>
      </c>
      <c r="X1556" s="1" t="s">
        <v>74</v>
      </c>
      <c r="Y1556" s="1" t="s">
        <v>5196</v>
      </c>
      <c r="Z1556" s="1" t="s">
        <v>37</v>
      </c>
    </row>
    <row r="1557" hidden="1">
      <c r="A1557" s="1" t="s">
        <v>5197</v>
      </c>
      <c r="B1557" s="1" t="s">
        <v>5198</v>
      </c>
      <c r="C1557" s="1" t="s">
        <v>5199</v>
      </c>
      <c r="D1557" s="1" t="s">
        <v>68</v>
      </c>
      <c r="E1557" s="1" t="s">
        <v>28</v>
      </c>
      <c r="F1557" s="2">
        <v>700000.0</v>
      </c>
      <c r="G1557" s="1" t="s">
        <v>1521</v>
      </c>
      <c r="H1557" s="4">
        <f>IFERROR(__xludf.DUMMYFUNCTION("DATE(INDEX(SPLIT(G1557,""/""),,3),INDEX(SPLIT(G1557,""/""),,2),INDEX(SPLIT(G1557,""/""),,1))"),44756.0)</f>
        <v>44756</v>
      </c>
      <c r="I1557" s="4">
        <v>44689.0</v>
      </c>
      <c r="J1557" s="4">
        <f>IFERROR(__xludf.DUMMYFUNCTION("DATE(INDEX(SPLIT(I1557,""/""),,3),INDEX(SPLIT(I1557,""/""),,2),INDEX(SPLIT(I1557,""/""),,1))"),44778.0)</f>
        <v>44778</v>
      </c>
      <c r="L1557" s="1">
        <v>0.0</v>
      </c>
      <c r="M1557" s="1" t="s">
        <v>4979</v>
      </c>
      <c r="N1557" s="1"/>
      <c r="O1557" s="1" t="s">
        <v>30</v>
      </c>
      <c r="P1557" s="1" t="s">
        <v>31</v>
      </c>
      <c r="Q1557" s="1" t="s">
        <v>235</v>
      </c>
      <c r="R1557" s="1" t="s">
        <v>235</v>
      </c>
      <c r="S1557" s="1" t="s">
        <v>236</v>
      </c>
      <c r="U1557" s="1">
        <v>1.00637587E8</v>
      </c>
      <c r="X1557" s="1" t="s">
        <v>375</v>
      </c>
      <c r="Y1557" s="1" t="s">
        <v>4979</v>
      </c>
      <c r="Z1557" s="1" t="s">
        <v>37</v>
      </c>
    </row>
    <row r="1558" hidden="1">
      <c r="A1558" s="1" t="s">
        <v>5200</v>
      </c>
      <c r="B1558" s="1" t="s">
        <v>1070</v>
      </c>
      <c r="C1558" s="1" t="s">
        <v>5201</v>
      </c>
      <c r="D1558" s="1" t="s">
        <v>122</v>
      </c>
      <c r="E1558" s="1" t="s">
        <v>28</v>
      </c>
      <c r="F1558" s="2">
        <v>700000.0</v>
      </c>
      <c r="G1558" s="1" t="s">
        <v>4288</v>
      </c>
      <c r="H1558" s="4">
        <f>IFERROR(__xludf.DUMMYFUNCTION("DATE(INDEX(SPLIT(G1558,""/""),,3),INDEX(SPLIT(G1558,""/""),,2),INDEX(SPLIT(G1558,""/""),,1))"),44254.0)</f>
        <v>44254</v>
      </c>
      <c r="I1558" s="1" t="s">
        <v>360</v>
      </c>
      <c r="J1558" s="4">
        <f>IFERROR(__xludf.DUMMYFUNCTION("DATE(INDEX(SPLIT(I1558,""/""),,3),INDEX(SPLIT(I1558,""/""),,2),INDEX(SPLIT(I1558,""/""),,1))"),44895.0)</f>
        <v>44895</v>
      </c>
      <c r="L1558" s="1">
        <v>0.0</v>
      </c>
      <c r="M1558" s="1" t="s">
        <v>1072</v>
      </c>
      <c r="N1558" s="1"/>
      <c r="O1558" s="1" t="s">
        <v>30</v>
      </c>
      <c r="P1558" s="1" t="s">
        <v>31</v>
      </c>
      <c r="Q1558" s="1" t="s">
        <v>157</v>
      </c>
      <c r="R1558" s="1" t="s">
        <v>157</v>
      </c>
      <c r="S1558" s="1" t="s">
        <v>158</v>
      </c>
      <c r="T1558" s="1" t="s">
        <v>571</v>
      </c>
      <c r="U1558" s="1">
        <v>1.00594872E8</v>
      </c>
      <c r="X1558" s="1" t="s">
        <v>305</v>
      </c>
      <c r="Y1558" s="1" t="s">
        <v>1072</v>
      </c>
      <c r="Z1558" s="1" t="s">
        <v>37</v>
      </c>
    </row>
    <row r="1559">
      <c r="A1559" s="1" t="s">
        <v>5202</v>
      </c>
      <c r="B1559" s="1" t="s">
        <v>2462</v>
      </c>
      <c r="C1559" s="1" t="s">
        <v>5203</v>
      </c>
      <c r="D1559" s="1" t="s">
        <v>78</v>
      </c>
      <c r="E1559" s="1" t="s">
        <v>28</v>
      </c>
      <c r="F1559" s="2">
        <v>700000.0</v>
      </c>
      <c r="G1559" s="1" t="s">
        <v>5204</v>
      </c>
      <c r="H1559" s="4">
        <f>IFERROR(__xludf.DUMMYFUNCTION("DATE(INDEX(SPLIT(G1559,""/""),,3),INDEX(SPLIT(G1559,""/""),,2),INDEX(SPLIT(G1559,""/""),,1))"),44485.0)</f>
        <v>44485</v>
      </c>
      <c r="I1559" s="1" t="s">
        <v>1244</v>
      </c>
      <c r="J1559" s="4">
        <f>IFERROR(__xludf.DUMMYFUNCTION("DATE(INDEX(SPLIT(I1559,""/""),,3),INDEX(SPLIT(I1559,""/""),,2),INDEX(SPLIT(I1559,""/""),,1))"),44742.0)</f>
        <v>44742</v>
      </c>
      <c r="L1559" s="1">
        <v>0.0</v>
      </c>
      <c r="M1559" s="1" t="s">
        <v>5205</v>
      </c>
      <c r="N1559" s="1"/>
      <c r="O1559" s="1" t="s">
        <v>30</v>
      </c>
      <c r="P1559" s="1" t="s">
        <v>31</v>
      </c>
      <c r="Q1559" s="1" t="s">
        <v>32</v>
      </c>
      <c r="R1559" s="1" t="s">
        <v>32</v>
      </c>
      <c r="S1559" s="1" t="s">
        <v>33</v>
      </c>
      <c r="U1559" s="1">
        <v>1.00587881E8</v>
      </c>
      <c r="Y1559" s="1" t="s">
        <v>5206</v>
      </c>
      <c r="Z1559" s="1" t="s">
        <v>37</v>
      </c>
    </row>
    <row r="1560">
      <c r="A1560" s="1" t="s">
        <v>5207</v>
      </c>
      <c r="B1560" s="1" t="s">
        <v>5208</v>
      </c>
      <c r="C1560" s="1" t="s">
        <v>5209</v>
      </c>
      <c r="D1560" s="1" t="s">
        <v>78</v>
      </c>
      <c r="E1560" s="1" t="s">
        <v>28</v>
      </c>
      <c r="F1560" s="2">
        <v>700000.0</v>
      </c>
      <c r="G1560" s="1" t="s">
        <v>1244</v>
      </c>
      <c r="H1560" s="4">
        <f>IFERROR(__xludf.DUMMYFUNCTION("DATE(INDEX(SPLIT(G1560,""/""),,3),INDEX(SPLIT(G1560,""/""),,2),INDEX(SPLIT(G1560,""/""),,1))"),44742.0)</f>
        <v>44742</v>
      </c>
      <c r="I1560" s="4">
        <v>44872.0</v>
      </c>
      <c r="J1560" s="4">
        <f>IFERROR(__xludf.DUMMYFUNCTION("DATE(INDEX(SPLIT(I1560,""/""),,3),INDEX(SPLIT(I1560,""/""),,2),INDEX(SPLIT(I1560,""/""),,1))"),44753.0)</f>
        <v>44753</v>
      </c>
      <c r="L1560" s="1">
        <v>0.0</v>
      </c>
      <c r="M1560" s="1" t="s">
        <v>3625</v>
      </c>
      <c r="N1560" s="1"/>
      <c r="O1560" s="1" t="s">
        <v>30</v>
      </c>
      <c r="P1560" s="1" t="s">
        <v>31</v>
      </c>
      <c r="Q1560" s="1" t="s">
        <v>32</v>
      </c>
      <c r="R1560" s="1" t="s">
        <v>32</v>
      </c>
      <c r="S1560" s="1" t="s">
        <v>33</v>
      </c>
      <c r="U1560" s="1">
        <v>1.00642379E8</v>
      </c>
      <c r="X1560" s="1" t="s">
        <v>117</v>
      </c>
      <c r="Y1560" s="1" t="s">
        <v>4413</v>
      </c>
      <c r="Z1560" s="1" t="s">
        <v>37</v>
      </c>
    </row>
    <row r="1561">
      <c r="A1561" s="1" t="s">
        <v>5210</v>
      </c>
      <c r="B1561" s="1" t="s">
        <v>784</v>
      </c>
      <c r="C1561" s="1" t="s">
        <v>5211</v>
      </c>
      <c r="D1561" s="1" t="s">
        <v>122</v>
      </c>
      <c r="E1561" s="1" t="s">
        <v>28</v>
      </c>
      <c r="F1561" s="2">
        <v>698790.0</v>
      </c>
      <c r="G1561" s="1" t="s">
        <v>586</v>
      </c>
      <c r="H1561" s="4">
        <f>IFERROR(__xludf.DUMMYFUNCTION("DATE(INDEX(SPLIT(G1561,""/""),,3),INDEX(SPLIT(G1561,""/""),,2),INDEX(SPLIT(G1561,""/""),,1))"),44726.0)</f>
        <v>44726</v>
      </c>
      <c r="I1561" s="1" t="s">
        <v>226</v>
      </c>
      <c r="J1561" s="4">
        <f>IFERROR(__xludf.DUMMYFUNCTION("DATE(INDEX(SPLIT(I1561,""/""),,3),INDEX(SPLIT(I1561,""/""),,2),INDEX(SPLIT(I1561,""/""),,1))"),44771.0)</f>
        <v>44771</v>
      </c>
      <c r="L1561" s="1">
        <v>0.0</v>
      </c>
      <c r="M1561" s="1" t="s">
        <v>787</v>
      </c>
      <c r="N1561" s="1"/>
      <c r="O1561" s="1" t="s">
        <v>30</v>
      </c>
      <c r="P1561" s="1" t="s">
        <v>31</v>
      </c>
      <c r="Q1561" s="1" t="s">
        <v>53</v>
      </c>
      <c r="R1561" s="1" t="s">
        <v>53</v>
      </c>
      <c r="S1561" s="1" t="s">
        <v>54</v>
      </c>
      <c r="T1561" s="1" t="s">
        <v>197</v>
      </c>
      <c r="U1561" s="1">
        <v>1.00610205E8</v>
      </c>
      <c r="V1561" s="1" t="s">
        <v>5212</v>
      </c>
      <c r="W1561" s="1" t="s">
        <v>717</v>
      </c>
      <c r="X1561" s="1" t="s">
        <v>63</v>
      </c>
      <c r="Y1561" s="1" t="s">
        <v>3839</v>
      </c>
      <c r="Z1561" s="1" t="s">
        <v>37</v>
      </c>
    </row>
    <row r="1562" hidden="1">
      <c r="A1562" s="1" t="s">
        <v>5213</v>
      </c>
      <c r="B1562" s="1" t="s">
        <v>416</v>
      </c>
      <c r="C1562" s="1" t="s">
        <v>5214</v>
      </c>
      <c r="D1562" s="1" t="s">
        <v>122</v>
      </c>
      <c r="E1562" s="1" t="s">
        <v>28</v>
      </c>
      <c r="F1562" s="2">
        <v>695000.0</v>
      </c>
      <c r="G1562" s="1" t="s">
        <v>1136</v>
      </c>
      <c r="H1562" s="4">
        <f>IFERROR(__xludf.DUMMYFUNCTION("DATE(INDEX(SPLIT(G1562,""/""),,3),INDEX(SPLIT(G1562,""/""),,2),INDEX(SPLIT(G1562,""/""),,1))"),44608.0)</f>
        <v>44608</v>
      </c>
      <c r="I1562" s="4">
        <v>44572.0</v>
      </c>
      <c r="J1562" s="4">
        <f>IFERROR(__xludf.DUMMYFUNCTION("DATE(INDEX(SPLIT(I1562,""/""),,3),INDEX(SPLIT(I1562,""/""),,2),INDEX(SPLIT(I1562,""/""),,1))"),44866.0)</f>
        <v>44866</v>
      </c>
      <c r="L1562" s="1">
        <v>0.0</v>
      </c>
      <c r="M1562" s="1" t="s">
        <v>419</v>
      </c>
      <c r="N1562" s="1"/>
      <c r="O1562" s="1" t="s">
        <v>30</v>
      </c>
      <c r="P1562" s="1" t="s">
        <v>31</v>
      </c>
      <c r="Q1562" s="1" t="s">
        <v>71</v>
      </c>
      <c r="R1562" s="1" t="s">
        <v>71</v>
      </c>
      <c r="S1562" s="1" t="s">
        <v>72</v>
      </c>
      <c r="T1562" s="1" t="s">
        <v>136</v>
      </c>
      <c r="U1562" s="1">
        <v>1.0061032E8</v>
      </c>
      <c r="X1562" s="1" t="s">
        <v>74</v>
      </c>
      <c r="Y1562" s="1" t="s">
        <v>5215</v>
      </c>
      <c r="Z1562" s="1" t="s">
        <v>37</v>
      </c>
    </row>
    <row r="1563">
      <c r="A1563" s="1" t="s">
        <v>5216</v>
      </c>
      <c r="B1563" s="1" t="s">
        <v>932</v>
      </c>
      <c r="C1563" s="1" t="s">
        <v>5217</v>
      </c>
      <c r="D1563" s="1" t="s">
        <v>68</v>
      </c>
      <c r="E1563" s="1" t="s">
        <v>28</v>
      </c>
      <c r="F1563" s="2">
        <v>695000.0</v>
      </c>
      <c r="G1563" s="1" t="s">
        <v>185</v>
      </c>
      <c r="H1563" s="4">
        <f>IFERROR(__xludf.DUMMYFUNCTION("DATE(INDEX(SPLIT(G1563,""/""),,3),INDEX(SPLIT(G1563,""/""),,2),INDEX(SPLIT(G1563,""/""),,1))"),44741.0)</f>
        <v>44741</v>
      </c>
      <c r="I1563" s="1" t="s">
        <v>1141</v>
      </c>
      <c r="J1563" s="4">
        <f>IFERROR(__xludf.DUMMYFUNCTION("DATE(INDEX(SPLIT(I1563,""/""),,3),INDEX(SPLIT(I1563,""/""),,2),INDEX(SPLIT(I1563,""/""),,1))"),44767.0)</f>
        <v>44767</v>
      </c>
      <c r="L1563" s="1">
        <v>0.0</v>
      </c>
      <c r="M1563" s="1" t="s">
        <v>1941</v>
      </c>
      <c r="N1563" s="1"/>
      <c r="O1563" s="1" t="s">
        <v>30</v>
      </c>
      <c r="P1563" s="1" t="s">
        <v>31</v>
      </c>
      <c r="Q1563" s="1" t="s">
        <v>71</v>
      </c>
      <c r="R1563" s="1" t="s">
        <v>71</v>
      </c>
      <c r="S1563" s="1" t="s">
        <v>72</v>
      </c>
      <c r="T1563" s="1" t="s">
        <v>73</v>
      </c>
      <c r="U1563" s="1">
        <v>1.00649673E8</v>
      </c>
      <c r="X1563" s="1" t="s">
        <v>74</v>
      </c>
      <c r="Y1563" s="1" t="s">
        <v>4702</v>
      </c>
      <c r="Z1563" s="1" t="s">
        <v>37</v>
      </c>
    </row>
    <row r="1564">
      <c r="A1564" s="1" t="s">
        <v>5218</v>
      </c>
      <c r="B1564" s="1" t="s">
        <v>5219</v>
      </c>
      <c r="C1564" s="1" t="s">
        <v>5220</v>
      </c>
      <c r="D1564" s="1" t="s">
        <v>78</v>
      </c>
      <c r="E1564" s="1" t="s">
        <v>28</v>
      </c>
      <c r="F1564" s="2">
        <v>690000.0</v>
      </c>
      <c r="G1564" s="1" t="s">
        <v>3444</v>
      </c>
      <c r="H1564" s="4">
        <f>IFERROR(__xludf.DUMMYFUNCTION("DATE(INDEX(SPLIT(G1564,""/""),,3),INDEX(SPLIT(G1564,""/""),,2),INDEX(SPLIT(G1564,""/""),,1))"),44545.0)</f>
        <v>44545</v>
      </c>
      <c r="I1564" s="1" t="s">
        <v>503</v>
      </c>
      <c r="J1564" s="4">
        <f>IFERROR(__xludf.DUMMYFUNCTION("DATE(INDEX(SPLIT(I1564,""/""),,3),INDEX(SPLIT(I1564,""/""),,2),INDEX(SPLIT(I1564,""/""),,1))"),44736.0)</f>
        <v>44736</v>
      </c>
      <c r="L1564" s="1">
        <v>0.0</v>
      </c>
      <c r="M1564" s="1" t="s">
        <v>3537</v>
      </c>
      <c r="N1564" s="1"/>
      <c r="O1564" s="1" t="s">
        <v>30</v>
      </c>
      <c r="P1564" s="1" t="s">
        <v>31</v>
      </c>
      <c r="Q1564" s="1" t="s">
        <v>32</v>
      </c>
      <c r="R1564" s="1" t="s">
        <v>32</v>
      </c>
      <c r="S1564" s="1" t="s">
        <v>33</v>
      </c>
      <c r="T1564" s="1" t="s">
        <v>103</v>
      </c>
      <c r="U1564" s="1">
        <v>1.00589948E8</v>
      </c>
      <c r="X1564" s="1" t="s">
        <v>98</v>
      </c>
      <c r="Y1564" s="1" t="s">
        <v>5221</v>
      </c>
      <c r="Z1564" s="1" t="s">
        <v>37</v>
      </c>
    </row>
    <row r="1565">
      <c r="A1565" s="1" t="s">
        <v>5222</v>
      </c>
      <c r="B1565" s="1" t="s">
        <v>66</v>
      </c>
      <c r="C1565" s="1" t="s">
        <v>5223</v>
      </c>
      <c r="D1565" s="1" t="s">
        <v>122</v>
      </c>
      <c r="E1565" s="1" t="s">
        <v>28</v>
      </c>
      <c r="F1565" s="2">
        <v>684000.0</v>
      </c>
      <c r="G1565" s="1" t="s">
        <v>5224</v>
      </c>
      <c r="H1565" s="4">
        <f>IFERROR(__xludf.DUMMYFUNCTION("DATE(INDEX(SPLIT(G1565,""/""),,3),INDEX(SPLIT(G1565,""/""),,2),INDEX(SPLIT(G1565,""/""),,1))"),44421.0)</f>
        <v>44421</v>
      </c>
      <c r="I1565" s="1" t="s">
        <v>226</v>
      </c>
      <c r="J1565" s="4">
        <f>IFERROR(__xludf.DUMMYFUNCTION("DATE(INDEX(SPLIT(I1565,""/""),,3),INDEX(SPLIT(I1565,""/""),,2),INDEX(SPLIT(I1565,""/""),,1))"),44771.0)</f>
        <v>44771</v>
      </c>
      <c r="L1565" s="1">
        <v>0.0</v>
      </c>
      <c r="M1565" s="1" t="s">
        <v>3717</v>
      </c>
      <c r="N1565" s="1"/>
      <c r="O1565" s="1" t="s">
        <v>30</v>
      </c>
      <c r="P1565" s="1" t="s">
        <v>31</v>
      </c>
      <c r="Q1565" s="1" t="s">
        <v>32</v>
      </c>
      <c r="R1565" s="1" t="s">
        <v>32</v>
      </c>
      <c r="S1565" s="1" t="s">
        <v>33</v>
      </c>
      <c r="T1565" s="1" t="s">
        <v>103</v>
      </c>
      <c r="U1565" s="1">
        <v>1.00651946E8</v>
      </c>
      <c r="X1565" s="1" t="s">
        <v>74</v>
      </c>
      <c r="Y1565" s="1" t="s">
        <v>5225</v>
      </c>
      <c r="Z1565" s="1" t="s">
        <v>37</v>
      </c>
    </row>
    <row r="1566">
      <c r="A1566" s="1" t="s">
        <v>5226</v>
      </c>
      <c r="B1566" s="1" t="s">
        <v>1144</v>
      </c>
      <c r="C1566" s="1" t="s">
        <v>5227</v>
      </c>
      <c r="D1566" s="1" t="s">
        <v>122</v>
      </c>
      <c r="E1566" s="1" t="s">
        <v>28</v>
      </c>
      <c r="F1566" s="2">
        <v>683000.0</v>
      </c>
      <c r="G1566" s="1" t="s">
        <v>1058</v>
      </c>
      <c r="H1566" s="4">
        <f>IFERROR(__xludf.DUMMYFUNCTION("DATE(INDEX(SPLIT(G1566,""/""),,3),INDEX(SPLIT(G1566,""/""),,2),INDEX(SPLIT(G1566,""/""),,1))"),44733.0)</f>
        <v>44733</v>
      </c>
      <c r="I1566" s="4">
        <v>44568.0</v>
      </c>
      <c r="J1566" s="4">
        <f>IFERROR(__xludf.DUMMYFUNCTION("DATE(INDEX(SPLIT(I1566,""/""),,3),INDEX(SPLIT(I1566,""/""),,2),INDEX(SPLIT(I1566,""/""),,1))"),44743.0)</f>
        <v>44743</v>
      </c>
      <c r="L1566" s="1">
        <v>0.0</v>
      </c>
      <c r="M1566" s="1" t="s">
        <v>1146</v>
      </c>
      <c r="N1566" s="1"/>
      <c r="O1566" s="1" t="s">
        <v>30</v>
      </c>
      <c r="P1566" s="1" t="s">
        <v>31</v>
      </c>
      <c r="Q1566" s="1" t="s">
        <v>228</v>
      </c>
      <c r="R1566" s="1" t="s">
        <v>228</v>
      </c>
      <c r="S1566" s="1" t="s">
        <v>229</v>
      </c>
      <c r="U1566" s="1">
        <v>1.0061139E8</v>
      </c>
      <c r="X1566" s="1" t="s">
        <v>63</v>
      </c>
      <c r="Y1566" s="1" t="s">
        <v>5228</v>
      </c>
      <c r="Z1566" s="1" t="s">
        <v>37</v>
      </c>
    </row>
    <row r="1567" hidden="1">
      <c r="A1567" s="1" t="s">
        <v>5229</v>
      </c>
      <c r="B1567" s="1" t="s">
        <v>3429</v>
      </c>
      <c r="C1567" s="1" t="s">
        <v>5230</v>
      </c>
      <c r="D1567" s="1" t="s">
        <v>122</v>
      </c>
      <c r="E1567" s="1" t="s">
        <v>28</v>
      </c>
      <c r="F1567" s="2">
        <v>680360.0</v>
      </c>
      <c r="G1567" s="4">
        <v>44622.0</v>
      </c>
      <c r="H1567" s="4">
        <f>IFERROR(__xludf.DUMMYFUNCTION("DATE(INDEX(SPLIT(G1567,""/""),,3),INDEX(SPLIT(G1567,""/""),,2),INDEX(SPLIT(G1567,""/""),,1))"),44595.0)</f>
        <v>44595</v>
      </c>
      <c r="I1567" s="1" t="s">
        <v>4464</v>
      </c>
      <c r="J1567" s="4">
        <f>IFERROR(__xludf.DUMMYFUNCTION("DATE(INDEX(SPLIT(I1567,""/""),,3),INDEX(SPLIT(I1567,""/""),,2),INDEX(SPLIT(I1567,""/""),,1))"),44849.0)</f>
        <v>44849</v>
      </c>
      <c r="L1567" s="1">
        <v>0.0</v>
      </c>
      <c r="M1567" s="1" t="s">
        <v>61</v>
      </c>
      <c r="N1567" s="1"/>
      <c r="O1567" s="1" t="s">
        <v>30</v>
      </c>
      <c r="P1567" s="1" t="s">
        <v>31</v>
      </c>
      <c r="Q1567" s="1" t="s">
        <v>32</v>
      </c>
      <c r="R1567" s="1" t="s">
        <v>32</v>
      </c>
      <c r="S1567" s="1" t="s">
        <v>33</v>
      </c>
      <c r="T1567" s="1" t="s">
        <v>103</v>
      </c>
      <c r="U1567" s="1">
        <v>1.0060843E8</v>
      </c>
      <c r="X1567" s="1" t="s">
        <v>63</v>
      </c>
      <c r="Y1567" s="1" t="s">
        <v>61</v>
      </c>
      <c r="Z1567" s="1" t="s">
        <v>37</v>
      </c>
    </row>
    <row r="1568">
      <c r="A1568" s="1" t="s">
        <v>5231</v>
      </c>
      <c r="B1568" s="1" t="s">
        <v>645</v>
      </c>
      <c r="C1568" s="1" t="s">
        <v>5232</v>
      </c>
      <c r="D1568" s="1" t="s">
        <v>122</v>
      </c>
      <c r="E1568" s="1" t="s">
        <v>28</v>
      </c>
      <c r="F1568" s="2">
        <v>680000.0</v>
      </c>
      <c r="G1568" s="1" t="s">
        <v>2025</v>
      </c>
      <c r="H1568" s="4">
        <f>IFERROR(__xludf.DUMMYFUNCTION("DATE(INDEX(SPLIT(G1568,""/""),,3),INDEX(SPLIT(G1568,""/""),,2),INDEX(SPLIT(G1568,""/""),,1))"),44664.0)</f>
        <v>44664</v>
      </c>
      <c r="I1568" s="1" t="s">
        <v>69</v>
      </c>
      <c r="J1568" s="4">
        <f>IFERROR(__xludf.DUMMYFUNCTION("DATE(INDEX(SPLIT(I1568,""/""),,3),INDEX(SPLIT(I1568,""/""),,2),INDEX(SPLIT(I1568,""/""),,1))"),44773.0)</f>
        <v>44773</v>
      </c>
      <c r="L1568" s="1">
        <v>0.0</v>
      </c>
      <c r="M1568" s="1" t="s">
        <v>406</v>
      </c>
      <c r="N1568" s="1"/>
      <c r="O1568" s="1" t="s">
        <v>30</v>
      </c>
      <c r="P1568" s="1" t="s">
        <v>31</v>
      </c>
      <c r="Q1568" s="1" t="s">
        <v>32</v>
      </c>
      <c r="R1568" s="1" t="s">
        <v>32</v>
      </c>
      <c r="S1568" s="1" t="s">
        <v>33</v>
      </c>
      <c r="T1568" s="1" t="s">
        <v>5233</v>
      </c>
      <c r="U1568" s="1">
        <v>1.00642129E8</v>
      </c>
      <c r="W1568" s="1" t="s">
        <v>56</v>
      </c>
      <c r="X1568" s="1" t="s">
        <v>117</v>
      </c>
      <c r="Y1568" s="1" t="s">
        <v>1076</v>
      </c>
      <c r="Z1568" s="1" t="s">
        <v>37</v>
      </c>
    </row>
    <row r="1569">
      <c r="A1569" s="1" t="s">
        <v>5234</v>
      </c>
      <c r="B1569" s="1" t="s">
        <v>5235</v>
      </c>
      <c r="C1569" s="1" t="s">
        <v>5236</v>
      </c>
      <c r="D1569" s="1" t="s">
        <v>78</v>
      </c>
      <c r="E1569" s="1" t="s">
        <v>28</v>
      </c>
      <c r="F1569" s="2">
        <v>675000.0</v>
      </c>
      <c r="G1569" s="4">
        <v>44839.0</v>
      </c>
      <c r="H1569" s="4">
        <f>IFERROR(__xludf.DUMMYFUNCTION("DATE(INDEX(SPLIT(G1569,""/""),,3),INDEX(SPLIT(G1569,""/""),,2),INDEX(SPLIT(G1569,""/""),,1))"),44691.0)</f>
        <v>44691</v>
      </c>
      <c r="I1569" s="1" t="s">
        <v>935</v>
      </c>
      <c r="J1569" s="4">
        <f>IFERROR(__xludf.DUMMYFUNCTION("DATE(INDEX(SPLIT(I1569,""/""),,3),INDEX(SPLIT(I1569,""/""),,2),INDEX(SPLIT(I1569,""/""),,1))"),44764.0)</f>
        <v>44764</v>
      </c>
      <c r="L1569" s="1">
        <v>0.0</v>
      </c>
      <c r="M1569" s="1" t="s">
        <v>1303</v>
      </c>
      <c r="N1569" s="1"/>
      <c r="O1569" s="1" t="s">
        <v>30</v>
      </c>
      <c r="P1569" s="1" t="s">
        <v>31</v>
      </c>
      <c r="Q1569" s="1" t="s">
        <v>235</v>
      </c>
      <c r="R1569" s="1" t="s">
        <v>235</v>
      </c>
      <c r="S1569" s="1" t="s">
        <v>236</v>
      </c>
      <c r="T1569" s="1" t="s">
        <v>438</v>
      </c>
      <c r="U1569" s="1">
        <v>1.00609073E8</v>
      </c>
      <c r="X1569" s="1" t="s">
        <v>88</v>
      </c>
      <c r="Y1569" s="1" t="s">
        <v>3226</v>
      </c>
      <c r="Z1569" s="1" t="s">
        <v>37</v>
      </c>
    </row>
    <row r="1570" hidden="1">
      <c r="A1570" s="1" t="s">
        <v>5237</v>
      </c>
      <c r="B1570" s="1" t="s">
        <v>5238</v>
      </c>
      <c r="C1570" s="1" t="s">
        <v>5239</v>
      </c>
      <c r="D1570" s="1" t="s">
        <v>27</v>
      </c>
      <c r="E1570" s="1" t="s">
        <v>28</v>
      </c>
      <c r="F1570" s="2">
        <v>670000.0</v>
      </c>
      <c r="G1570" s="1" t="s">
        <v>1521</v>
      </c>
      <c r="H1570" s="4">
        <f>IFERROR(__xludf.DUMMYFUNCTION("DATE(INDEX(SPLIT(G1570,""/""),,3),INDEX(SPLIT(G1570,""/""),,2),INDEX(SPLIT(G1570,""/""),,1))"),44756.0)</f>
        <v>44756</v>
      </c>
      <c r="I1570" s="4">
        <v>44690.0</v>
      </c>
      <c r="J1570" s="4">
        <f>IFERROR(__xludf.DUMMYFUNCTION("DATE(INDEX(SPLIT(I1570,""/""),,3),INDEX(SPLIT(I1570,""/""),,2),INDEX(SPLIT(I1570,""/""),,1))"),44809.0)</f>
        <v>44809</v>
      </c>
      <c r="L1570" s="1">
        <v>0.0</v>
      </c>
      <c r="M1570" s="1" t="s">
        <v>5240</v>
      </c>
      <c r="N1570" s="1"/>
      <c r="O1570" s="1" t="s">
        <v>30</v>
      </c>
      <c r="P1570" s="1" t="s">
        <v>31</v>
      </c>
      <c r="Q1570" s="1" t="s">
        <v>235</v>
      </c>
      <c r="R1570" s="1" t="s">
        <v>235</v>
      </c>
      <c r="S1570" s="1" t="s">
        <v>236</v>
      </c>
      <c r="T1570" s="1" t="s">
        <v>5241</v>
      </c>
      <c r="U1570" s="1">
        <v>1.00920415E8</v>
      </c>
      <c r="X1570" s="1" t="s">
        <v>88</v>
      </c>
      <c r="Y1570" s="1" t="s">
        <v>5242</v>
      </c>
      <c r="Z1570" s="1" t="s">
        <v>37</v>
      </c>
    </row>
    <row r="1571" hidden="1">
      <c r="A1571" s="1" t="s">
        <v>5243</v>
      </c>
      <c r="B1571" s="1" t="s">
        <v>532</v>
      </c>
      <c r="C1571" s="1" t="s">
        <v>5244</v>
      </c>
      <c r="D1571" s="1" t="s">
        <v>78</v>
      </c>
      <c r="E1571" s="1" t="s">
        <v>28</v>
      </c>
      <c r="F1571" s="2">
        <v>670000.0</v>
      </c>
      <c r="G1571" s="1" t="s">
        <v>5245</v>
      </c>
      <c r="H1571" s="4">
        <f>IFERROR(__xludf.DUMMYFUNCTION("DATE(INDEX(SPLIT(G1571,""/""),,3),INDEX(SPLIT(G1571,""/""),,2),INDEX(SPLIT(G1571,""/""),,1))"),44125.0)</f>
        <v>44125</v>
      </c>
      <c r="I1571" s="1" t="s">
        <v>109</v>
      </c>
      <c r="J1571" s="4">
        <f>IFERROR(__xludf.DUMMYFUNCTION("DATE(INDEX(SPLIT(I1571,""/""),,3),INDEX(SPLIT(I1571,""/""),,2),INDEX(SPLIT(I1571,""/""),,1))"),44834.0)</f>
        <v>44834</v>
      </c>
      <c r="L1571" s="1">
        <v>0.0</v>
      </c>
      <c r="M1571" s="1" t="s">
        <v>1376</v>
      </c>
      <c r="N1571" s="1"/>
      <c r="O1571" s="1" t="s">
        <v>30</v>
      </c>
      <c r="P1571" s="1" t="s">
        <v>31</v>
      </c>
      <c r="Q1571" s="1" t="s">
        <v>32</v>
      </c>
      <c r="R1571" s="1" t="s">
        <v>32</v>
      </c>
      <c r="S1571" s="1" t="s">
        <v>33</v>
      </c>
      <c r="T1571" s="1" t="s">
        <v>1195</v>
      </c>
      <c r="U1571" s="1">
        <v>1.006096E8</v>
      </c>
      <c r="X1571" s="1" t="s">
        <v>490</v>
      </c>
      <c r="Y1571" s="1" t="s">
        <v>1376</v>
      </c>
      <c r="Z1571" s="1" t="s">
        <v>37</v>
      </c>
    </row>
    <row r="1572">
      <c r="A1572" s="1" t="s">
        <v>5246</v>
      </c>
      <c r="B1572" s="1" t="s">
        <v>784</v>
      </c>
      <c r="C1572" s="1" t="s">
        <v>5247</v>
      </c>
      <c r="D1572" s="1" t="s">
        <v>122</v>
      </c>
      <c r="E1572" s="1" t="s">
        <v>28</v>
      </c>
      <c r="F1572" s="2">
        <v>670000.0</v>
      </c>
      <c r="G1572" s="1" t="s">
        <v>271</v>
      </c>
      <c r="H1572" s="4">
        <f>IFERROR(__xludf.DUMMYFUNCTION("DATE(INDEX(SPLIT(G1572,""/""),,3),INDEX(SPLIT(G1572,""/""),,2),INDEX(SPLIT(G1572,""/""),,1))"),44680.0)</f>
        <v>44680</v>
      </c>
      <c r="I1572" s="1" t="s">
        <v>226</v>
      </c>
      <c r="J1572" s="4">
        <f>IFERROR(__xludf.DUMMYFUNCTION("DATE(INDEX(SPLIT(I1572,""/""),,3),INDEX(SPLIT(I1572,""/""),,2),INDEX(SPLIT(I1572,""/""),,1))"),44771.0)</f>
        <v>44771</v>
      </c>
      <c r="L1572" s="1">
        <v>0.0</v>
      </c>
      <c r="M1572" s="1" t="s">
        <v>504</v>
      </c>
      <c r="N1572" s="1"/>
      <c r="O1572" s="1" t="s">
        <v>30</v>
      </c>
      <c r="P1572" s="1" t="s">
        <v>31</v>
      </c>
      <c r="Q1572" s="1" t="s">
        <v>228</v>
      </c>
      <c r="R1572" s="1" t="s">
        <v>228</v>
      </c>
      <c r="S1572" s="1" t="s">
        <v>229</v>
      </c>
      <c r="T1572" s="1" t="s">
        <v>640</v>
      </c>
      <c r="U1572" s="1">
        <v>1.00901211E8</v>
      </c>
      <c r="X1572" s="1" t="s">
        <v>63</v>
      </c>
      <c r="Y1572" s="1" t="s">
        <v>3189</v>
      </c>
      <c r="Z1572" s="1" t="s">
        <v>37</v>
      </c>
    </row>
    <row r="1573">
      <c r="A1573" s="1" t="s">
        <v>5248</v>
      </c>
      <c r="B1573" s="1" t="s">
        <v>1831</v>
      </c>
      <c r="C1573" s="1" t="s">
        <v>5249</v>
      </c>
      <c r="D1573" s="1" t="s">
        <v>122</v>
      </c>
      <c r="E1573" s="1" t="s">
        <v>28</v>
      </c>
      <c r="F1573" s="2">
        <v>670000.0</v>
      </c>
      <c r="G1573" s="4">
        <v>44625.0</v>
      </c>
      <c r="H1573" s="4">
        <f>IFERROR(__xludf.DUMMYFUNCTION("DATE(INDEX(SPLIT(G1573,""/""),,3),INDEX(SPLIT(G1573,""/""),,2),INDEX(SPLIT(G1573,""/""),,1))"),44684.0)</f>
        <v>44684</v>
      </c>
      <c r="I1573" s="1" t="s">
        <v>1244</v>
      </c>
      <c r="J1573" s="4">
        <f>IFERROR(__xludf.DUMMYFUNCTION("DATE(INDEX(SPLIT(I1573,""/""),,3),INDEX(SPLIT(I1573,""/""),,2),INDEX(SPLIT(I1573,""/""),,1))"),44742.0)</f>
        <v>44742</v>
      </c>
      <c r="L1573" s="1">
        <v>0.0</v>
      </c>
      <c r="M1573" s="1" t="s">
        <v>819</v>
      </c>
      <c r="N1573" s="1"/>
      <c r="O1573" s="1" t="s">
        <v>30</v>
      </c>
      <c r="P1573" s="1" t="s">
        <v>31</v>
      </c>
      <c r="Q1573" s="1" t="s">
        <v>53</v>
      </c>
      <c r="R1573" s="1" t="s">
        <v>53</v>
      </c>
      <c r="S1573" s="1" t="s">
        <v>54</v>
      </c>
      <c r="T1573" s="1" t="s">
        <v>634</v>
      </c>
      <c r="U1573" s="1">
        <v>1.00661738E8</v>
      </c>
      <c r="X1573" s="1" t="s">
        <v>490</v>
      </c>
      <c r="Y1573" s="1" t="s">
        <v>3788</v>
      </c>
      <c r="Z1573" s="1" t="s">
        <v>37</v>
      </c>
    </row>
    <row r="1574">
      <c r="A1574" s="1" t="s">
        <v>5250</v>
      </c>
      <c r="B1574" s="1" t="s">
        <v>1144</v>
      </c>
      <c r="C1574" s="1" t="s">
        <v>5251</v>
      </c>
      <c r="D1574" s="1" t="s">
        <v>122</v>
      </c>
      <c r="E1574" s="1" t="s">
        <v>28</v>
      </c>
      <c r="F1574" s="2">
        <v>660000.0</v>
      </c>
      <c r="G1574" s="1" t="s">
        <v>154</v>
      </c>
      <c r="H1574" s="4">
        <f>IFERROR(__xludf.DUMMYFUNCTION("DATE(INDEX(SPLIT(G1574,""/""),,3),INDEX(SPLIT(G1574,""/""),,2),INDEX(SPLIT(G1574,""/""),,1))"),44670.0)</f>
        <v>44670</v>
      </c>
      <c r="I1574" s="1" t="s">
        <v>226</v>
      </c>
      <c r="J1574" s="4">
        <f>IFERROR(__xludf.DUMMYFUNCTION("DATE(INDEX(SPLIT(I1574,""/""),,3),INDEX(SPLIT(I1574,""/""),,2),INDEX(SPLIT(I1574,""/""),,1))"),44771.0)</f>
        <v>44771</v>
      </c>
      <c r="L1574" s="1">
        <v>0.0</v>
      </c>
      <c r="M1574" s="1" t="s">
        <v>1573</v>
      </c>
      <c r="N1574" s="1"/>
      <c r="O1574" s="1" t="s">
        <v>30</v>
      </c>
      <c r="P1574" s="1" t="s">
        <v>31</v>
      </c>
      <c r="Q1574" s="1" t="s">
        <v>95</v>
      </c>
      <c r="R1574" s="1" t="s">
        <v>95</v>
      </c>
      <c r="S1574" s="1" t="s">
        <v>96</v>
      </c>
      <c r="T1574" s="1" t="s">
        <v>5252</v>
      </c>
      <c r="U1574" s="1">
        <v>1.00595231E8</v>
      </c>
      <c r="V1574" s="1" t="s">
        <v>5253</v>
      </c>
      <c r="W1574" s="1" t="s">
        <v>45</v>
      </c>
      <c r="X1574" s="1" t="s">
        <v>63</v>
      </c>
      <c r="Y1574" s="1" t="s">
        <v>2395</v>
      </c>
      <c r="Z1574" s="1" t="s">
        <v>37</v>
      </c>
    </row>
    <row r="1575" hidden="1">
      <c r="A1575" s="1" t="s">
        <v>5254</v>
      </c>
      <c r="B1575" s="1" t="s">
        <v>672</v>
      </c>
      <c r="C1575" s="1" t="s">
        <v>5255</v>
      </c>
      <c r="D1575" s="1" t="s">
        <v>78</v>
      </c>
      <c r="E1575" s="1" t="s">
        <v>28</v>
      </c>
      <c r="F1575" s="2">
        <v>660000.0</v>
      </c>
      <c r="G1575" s="1" t="s">
        <v>2540</v>
      </c>
      <c r="H1575" s="4">
        <f>IFERROR(__xludf.DUMMYFUNCTION("DATE(INDEX(SPLIT(G1575,""/""),,3),INDEX(SPLIT(G1575,""/""),,2),INDEX(SPLIT(G1575,""/""),,1))"),44491.0)</f>
        <v>44491</v>
      </c>
      <c r="I1575" s="1" t="s">
        <v>1678</v>
      </c>
      <c r="J1575" s="4">
        <f>IFERROR(__xludf.DUMMYFUNCTION("DATE(INDEX(SPLIT(I1575,""/""),,3),INDEX(SPLIT(I1575,""/""),,2),INDEX(SPLIT(I1575,""/""),,1))"),44819.0)</f>
        <v>44819</v>
      </c>
      <c r="L1575" s="1">
        <v>0.0</v>
      </c>
      <c r="M1575" s="1" t="s">
        <v>5256</v>
      </c>
      <c r="N1575" s="1"/>
      <c r="O1575" s="1" t="s">
        <v>30</v>
      </c>
      <c r="P1575" s="1" t="s">
        <v>31</v>
      </c>
      <c r="Q1575" s="1" t="s">
        <v>235</v>
      </c>
      <c r="R1575" s="1" t="s">
        <v>235</v>
      </c>
      <c r="S1575" s="1" t="s">
        <v>236</v>
      </c>
      <c r="T1575" s="1" t="s">
        <v>753</v>
      </c>
      <c r="U1575" s="1">
        <v>1.00634482E8</v>
      </c>
      <c r="X1575" s="1" t="s">
        <v>88</v>
      </c>
      <c r="Y1575" s="1" t="s">
        <v>2851</v>
      </c>
      <c r="Z1575" s="1" t="s">
        <v>37</v>
      </c>
    </row>
    <row r="1576">
      <c r="A1576" s="1" t="s">
        <v>5257</v>
      </c>
      <c r="B1576" s="1" t="s">
        <v>948</v>
      </c>
      <c r="C1576" s="1" t="s">
        <v>5258</v>
      </c>
      <c r="D1576" s="1" t="s">
        <v>122</v>
      </c>
      <c r="E1576" s="1" t="s">
        <v>28</v>
      </c>
      <c r="F1576" s="2">
        <v>656000.0</v>
      </c>
      <c r="G1576" s="4">
        <v>44840.0</v>
      </c>
      <c r="H1576" s="4">
        <f>IFERROR(__xludf.DUMMYFUNCTION("DATE(INDEX(SPLIT(G1576,""/""),,3),INDEX(SPLIT(G1576,""/""),,2),INDEX(SPLIT(G1576,""/""),,1))"),44722.0)</f>
        <v>44722</v>
      </c>
      <c r="I1576" s="4">
        <v>44872.0</v>
      </c>
      <c r="J1576" s="4">
        <f>IFERROR(__xludf.DUMMYFUNCTION("DATE(INDEX(SPLIT(I1576,""/""),,3),INDEX(SPLIT(I1576,""/""),,2),INDEX(SPLIT(I1576,""/""),,1))"),44753.0)</f>
        <v>44753</v>
      </c>
      <c r="L1576" s="1">
        <v>0.0</v>
      </c>
      <c r="M1576" s="1" t="s">
        <v>1422</v>
      </c>
      <c r="N1576" s="1"/>
      <c r="O1576" s="1" t="s">
        <v>30</v>
      </c>
      <c r="P1576" s="1" t="s">
        <v>31</v>
      </c>
      <c r="Q1576" s="1" t="s">
        <v>157</v>
      </c>
      <c r="R1576" s="1" t="s">
        <v>157</v>
      </c>
      <c r="S1576" s="1" t="s">
        <v>158</v>
      </c>
      <c r="T1576" s="1" t="s">
        <v>159</v>
      </c>
      <c r="U1576" s="1">
        <v>1.00869794E8</v>
      </c>
      <c r="X1576" s="1" t="s">
        <v>74</v>
      </c>
      <c r="Y1576" s="1" t="s">
        <v>1422</v>
      </c>
      <c r="Z1576" s="1" t="s">
        <v>37</v>
      </c>
    </row>
    <row r="1577" hidden="1">
      <c r="A1577" s="1" t="s">
        <v>5259</v>
      </c>
      <c r="B1577" s="1" t="s">
        <v>5260</v>
      </c>
      <c r="C1577" s="1" t="s">
        <v>5261</v>
      </c>
      <c r="D1577" s="1" t="s">
        <v>122</v>
      </c>
      <c r="E1577" s="1" t="s">
        <v>28</v>
      </c>
      <c r="F1577" s="2">
        <v>655500.0</v>
      </c>
      <c r="G1577" s="1" t="s">
        <v>418</v>
      </c>
      <c r="H1577" s="4">
        <f>IFERROR(__xludf.DUMMYFUNCTION("DATE(INDEX(SPLIT(G1577,""/""),,3),INDEX(SPLIT(G1577,""/""),,2),INDEX(SPLIT(G1577,""/""),,1))"),44755.0)</f>
        <v>44755</v>
      </c>
      <c r="I1577" s="1" t="s">
        <v>109</v>
      </c>
      <c r="J1577" s="4">
        <f>IFERROR(__xludf.DUMMYFUNCTION("DATE(INDEX(SPLIT(I1577,""/""),,3),INDEX(SPLIT(I1577,""/""),,2),INDEX(SPLIT(I1577,""/""),,1))"),44834.0)</f>
        <v>44834</v>
      </c>
      <c r="L1577" s="1">
        <v>0.0</v>
      </c>
      <c r="M1577" s="1" t="s">
        <v>2592</v>
      </c>
      <c r="N1577" s="1"/>
      <c r="O1577" s="1" t="s">
        <v>30</v>
      </c>
      <c r="P1577" s="1" t="s">
        <v>31</v>
      </c>
      <c r="Q1577" s="1" t="s">
        <v>71</v>
      </c>
      <c r="R1577" s="1" t="s">
        <v>71</v>
      </c>
      <c r="S1577" s="1" t="s">
        <v>72</v>
      </c>
      <c r="T1577" s="1" t="s">
        <v>136</v>
      </c>
      <c r="U1577" s="1">
        <v>1.00586452E8</v>
      </c>
      <c r="X1577" s="1" t="s">
        <v>74</v>
      </c>
      <c r="Y1577" s="1" t="s">
        <v>2593</v>
      </c>
      <c r="Z1577" s="1" t="s">
        <v>37</v>
      </c>
    </row>
    <row r="1578">
      <c r="A1578" s="1" t="s">
        <v>5262</v>
      </c>
      <c r="B1578" s="1" t="s">
        <v>5263</v>
      </c>
      <c r="C1578" s="1" t="s">
        <v>5264</v>
      </c>
      <c r="D1578" s="1" t="s">
        <v>78</v>
      </c>
      <c r="E1578" s="1" t="s">
        <v>28</v>
      </c>
      <c r="F1578" s="2">
        <v>650000.0</v>
      </c>
      <c r="G1578" s="1" t="s">
        <v>1044</v>
      </c>
      <c r="H1578" s="4">
        <f>IFERROR(__xludf.DUMMYFUNCTION("DATE(INDEX(SPLIT(G1578,""/""),,3),INDEX(SPLIT(G1578,""/""),,2),INDEX(SPLIT(G1578,""/""),,1))"),44588.0)</f>
        <v>44588</v>
      </c>
      <c r="I1578" s="4">
        <v>44872.0</v>
      </c>
      <c r="J1578" s="4">
        <f>IFERROR(__xludf.DUMMYFUNCTION("DATE(INDEX(SPLIT(I1578,""/""),,3),INDEX(SPLIT(I1578,""/""),,2),INDEX(SPLIT(I1578,""/""),,1))"),44753.0)</f>
        <v>44753</v>
      </c>
      <c r="L1578" s="1">
        <v>0.0</v>
      </c>
      <c r="M1578" s="1" t="s">
        <v>1422</v>
      </c>
      <c r="N1578" s="1"/>
      <c r="O1578" s="1" t="s">
        <v>30</v>
      </c>
      <c r="P1578" s="1" t="s">
        <v>31</v>
      </c>
      <c r="Q1578" s="1" t="s">
        <v>157</v>
      </c>
      <c r="R1578" s="1" t="s">
        <v>157</v>
      </c>
      <c r="S1578" s="1" t="s">
        <v>158</v>
      </c>
      <c r="T1578" s="1" t="s">
        <v>159</v>
      </c>
      <c r="U1578" s="1">
        <v>1.00869794E8</v>
      </c>
      <c r="X1578" s="1" t="s">
        <v>289</v>
      </c>
      <c r="Y1578" s="1" t="s">
        <v>1422</v>
      </c>
      <c r="Z1578" s="1" t="s">
        <v>37</v>
      </c>
    </row>
    <row r="1579" hidden="1">
      <c r="A1579" s="1" t="s">
        <v>5265</v>
      </c>
      <c r="B1579" s="1" t="s">
        <v>2483</v>
      </c>
      <c r="C1579" s="1" t="s">
        <v>5266</v>
      </c>
      <c r="D1579" s="1" t="s">
        <v>27</v>
      </c>
      <c r="E1579" s="1" t="s">
        <v>28</v>
      </c>
      <c r="F1579" s="2">
        <v>650000.0</v>
      </c>
      <c r="G1579" s="1" t="s">
        <v>286</v>
      </c>
      <c r="H1579" s="4">
        <f>IFERROR(__xludf.DUMMYFUNCTION("DATE(INDEX(SPLIT(G1579,""/""),,3),INDEX(SPLIT(G1579,""/""),,2),INDEX(SPLIT(G1579,""/""),,1))"),44609.0)</f>
        <v>44609</v>
      </c>
      <c r="I1579" s="4">
        <v>44573.0</v>
      </c>
      <c r="J1579" s="4">
        <f>IFERROR(__xludf.DUMMYFUNCTION("DATE(INDEX(SPLIT(I1579,""/""),,3),INDEX(SPLIT(I1579,""/""),,2),INDEX(SPLIT(I1579,""/""),,1))"),44896.0)</f>
        <v>44896</v>
      </c>
      <c r="L1579" s="1">
        <v>0.0</v>
      </c>
      <c r="M1579" s="1" t="s">
        <v>180</v>
      </c>
      <c r="N1579" s="1"/>
      <c r="O1579" s="1" t="s">
        <v>30</v>
      </c>
      <c r="P1579" s="1" t="s">
        <v>31</v>
      </c>
      <c r="Q1579" s="1" t="s">
        <v>53</v>
      </c>
      <c r="R1579" s="1" t="s">
        <v>53</v>
      </c>
      <c r="S1579" s="1" t="s">
        <v>54</v>
      </c>
      <c r="U1579" s="1">
        <v>1.00650619E8</v>
      </c>
      <c r="X1579" s="1" t="s">
        <v>74</v>
      </c>
      <c r="Y1579" s="1" t="s">
        <v>2485</v>
      </c>
      <c r="Z1579" s="1" t="s">
        <v>37</v>
      </c>
    </row>
    <row r="1580">
      <c r="A1580" s="1" t="s">
        <v>5267</v>
      </c>
      <c r="B1580" s="1" t="s">
        <v>3364</v>
      </c>
      <c r="C1580" s="1" t="s">
        <v>5268</v>
      </c>
      <c r="D1580" s="1" t="s">
        <v>78</v>
      </c>
      <c r="E1580" s="1" t="s">
        <v>28</v>
      </c>
      <c r="F1580" s="2">
        <v>650000.0</v>
      </c>
      <c r="G1580" s="1" t="s">
        <v>2025</v>
      </c>
      <c r="H1580" s="4">
        <f>IFERROR(__xludf.DUMMYFUNCTION("DATE(INDEX(SPLIT(G1580,""/""),,3),INDEX(SPLIT(G1580,""/""),,2),INDEX(SPLIT(G1580,""/""),,1))"),44664.0)</f>
        <v>44664</v>
      </c>
      <c r="I1580" s="1" t="s">
        <v>935</v>
      </c>
      <c r="J1580" s="4">
        <f>IFERROR(__xludf.DUMMYFUNCTION("DATE(INDEX(SPLIT(I1580,""/""),,3),INDEX(SPLIT(I1580,""/""),,2),INDEX(SPLIT(I1580,""/""),,1))"),44764.0)</f>
        <v>44764</v>
      </c>
      <c r="L1580" s="1">
        <v>0.0</v>
      </c>
      <c r="M1580" s="1" t="s">
        <v>1723</v>
      </c>
      <c r="N1580" s="1"/>
      <c r="O1580" s="1" t="s">
        <v>30</v>
      </c>
      <c r="P1580" s="1" t="s">
        <v>31</v>
      </c>
      <c r="Q1580" s="1" t="s">
        <v>157</v>
      </c>
      <c r="R1580" s="1" t="s">
        <v>157</v>
      </c>
      <c r="S1580" s="1" t="s">
        <v>158</v>
      </c>
      <c r="T1580" s="1" t="s">
        <v>159</v>
      </c>
      <c r="U1580" s="1">
        <v>1.00654085E8</v>
      </c>
      <c r="X1580" s="1" t="s">
        <v>74</v>
      </c>
      <c r="Y1580" s="1" t="s">
        <v>5269</v>
      </c>
      <c r="Z1580" s="1" t="s">
        <v>37</v>
      </c>
    </row>
    <row r="1581" hidden="1">
      <c r="A1581" s="1" t="s">
        <v>5270</v>
      </c>
      <c r="B1581" s="1" t="s">
        <v>5271</v>
      </c>
      <c r="C1581" s="1" t="s">
        <v>5272</v>
      </c>
      <c r="D1581" s="1" t="s">
        <v>27</v>
      </c>
      <c r="E1581" s="1" t="s">
        <v>28</v>
      </c>
      <c r="F1581" s="2">
        <v>650000.0</v>
      </c>
      <c r="G1581" s="1" t="s">
        <v>359</v>
      </c>
      <c r="H1581" s="4">
        <f>IFERROR(__xludf.DUMMYFUNCTION("DATE(INDEX(SPLIT(G1581,""/""),,3),INDEX(SPLIT(G1581,""/""),,2),INDEX(SPLIT(G1581,""/""),,1))"),44740.0)</f>
        <v>44740</v>
      </c>
      <c r="I1581" s="1" t="s">
        <v>281</v>
      </c>
      <c r="J1581" s="4">
        <f>IFERROR(__xludf.DUMMYFUNCTION("DATE(INDEX(SPLIT(I1581,""/""),,3),INDEX(SPLIT(I1581,""/""),,2),INDEX(SPLIT(I1581,""/""),,1))"),44865.0)</f>
        <v>44865</v>
      </c>
      <c r="L1581" s="1">
        <v>0.0</v>
      </c>
      <c r="M1581" s="1" t="s">
        <v>5273</v>
      </c>
      <c r="N1581" s="1"/>
      <c r="O1581" s="1" t="s">
        <v>30</v>
      </c>
      <c r="P1581" s="1" t="s">
        <v>31</v>
      </c>
      <c r="Q1581" s="1" t="s">
        <v>188</v>
      </c>
      <c r="R1581" s="1" t="s">
        <v>188</v>
      </c>
      <c r="S1581" s="1" t="s">
        <v>189</v>
      </c>
      <c r="U1581" s="1">
        <v>1.01176139E8</v>
      </c>
      <c r="X1581" s="1" t="s">
        <v>88</v>
      </c>
      <c r="Y1581" s="1" t="s">
        <v>5273</v>
      </c>
      <c r="Z1581" s="1" t="s">
        <v>527</v>
      </c>
    </row>
    <row r="1582" hidden="1">
      <c r="A1582" s="1" t="s">
        <v>5274</v>
      </c>
      <c r="B1582" s="1" t="s">
        <v>1389</v>
      </c>
      <c r="C1582" s="1" t="s">
        <v>5275</v>
      </c>
      <c r="D1582" s="1" t="s">
        <v>78</v>
      </c>
      <c r="E1582" s="1" t="s">
        <v>28</v>
      </c>
      <c r="F1582" s="2">
        <v>650000.0</v>
      </c>
      <c r="G1582" s="1" t="s">
        <v>798</v>
      </c>
      <c r="H1582" s="4">
        <f>IFERROR(__xludf.DUMMYFUNCTION("DATE(INDEX(SPLIT(G1582,""/""),,3),INDEX(SPLIT(G1582,""/""),,2),INDEX(SPLIT(G1582,""/""),,1))"),44313.0)</f>
        <v>44313</v>
      </c>
      <c r="I1582" s="1" t="s">
        <v>85</v>
      </c>
      <c r="J1582" s="4">
        <f>IFERROR(__xludf.DUMMYFUNCTION("DATE(INDEX(SPLIT(I1582,""/""),,3),INDEX(SPLIT(I1582,""/""),,2),INDEX(SPLIT(I1582,""/""),,1))"),44799.0)</f>
        <v>44799</v>
      </c>
      <c r="L1582" s="1">
        <v>0.0</v>
      </c>
      <c r="M1582" s="1" t="s">
        <v>2938</v>
      </c>
      <c r="N1582" s="1"/>
      <c r="O1582" s="1" t="s">
        <v>30</v>
      </c>
      <c r="P1582" s="1" t="s">
        <v>31</v>
      </c>
      <c r="Q1582" s="1" t="s">
        <v>95</v>
      </c>
      <c r="R1582" s="1" t="s">
        <v>95</v>
      </c>
      <c r="S1582" s="1" t="s">
        <v>96</v>
      </c>
      <c r="T1582" s="1" t="s">
        <v>97</v>
      </c>
      <c r="U1582" s="1">
        <v>1.00627224E8</v>
      </c>
      <c r="X1582" s="1" t="s">
        <v>125</v>
      </c>
      <c r="Y1582" s="1" t="s">
        <v>5276</v>
      </c>
      <c r="Z1582" s="1" t="s">
        <v>37</v>
      </c>
    </row>
    <row r="1583" hidden="1">
      <c r="A1583" s="1" t="s">
        <v>5277</v>
      </c>
      <c r="B1583" s="1" t="s">
        <v>3472</v>
      </c>
      <c r="C1583" s="1" t="s">
        <v>5278</v>
      </c>
      <c r="D1583" s="1" t="s">
        <v>27</v>
      </c>
      <c r="E1583" s="1" t="s">
        <v>28</v>
      </c>
      <c r="F1583" s="2">
        <v>650000.0</v>
      </c>
      <c r="G1583" s="4">
        <v>44623.0</v>
      </c>
      <c r="H1583" s="4">
        <f>IFERROR(__xludf.DUMMYFUNCTION("DATE(INDEX(SPLIT(G1583,""/""),,3),INDEX(SPLIT(G1583,""/""),,2),INDEX(SPLIT(G1583,""/""),,1))"),44623.0)</f>
        <v>44623</v>
      </c>
      <c r="I1583" s="1" t="s">
        <v>85</v>
      </c>
      <c r="J1583" s="4">
        <f>IFERROR(__xludf.DUMMYFUNCTION("DATE(INDEX(SPLIT(I1583,""/""),,3),INDEX(SPLIT(I1583,""/""),,2),INDEX(SPLIT(I1583,""/""),,1))"),44799.0)</f>
        <v>44799</v>
      </c>
      <c r="L1583" s="1">
        <v>0.0</v>
      </c>
      <c r="M1583" s="1" t="s">
        <v>3474</v>
      </c>
      <c r="N1583" s="1"/>
      <c r="O1583" s="1" t="s">
        <v>30</v>
      </c>
      <c r="P1583" s="1" t="s">
        <v>31</v>
      </c>
      <c r="Q1583" s="1" t="s">
        <v>95</v>
      </c>
      <c r="R1583" s="1" t="s">
        <v>95</v>
      </c>
      <c r="S1583" s="1" t="s">
        <v>96</v>
      </c>
      <c r="U1583" s="1">
        <v>1.00650841E8</v>
      </c>
      <c r="X1583" s="1" t="s">
        <v>490</v>
      </c>
      <c r="Y1583" s="1" t="s">
        <v>3474</v>
      </c>
      <c r="Z1583" s="1" t="s">
        <v>37</v>
      </c>
    </row>
    <row r="1584">
      <c r="A1584" s="1" t="s">
        <v>5279</v>
      </c>
      <c r="B1584" s="1" t="s">
        <v>546</v>
      </c>
      <c r="C1584" s="1" t="s">
        <v>5280</v>
      </c>
      <c r="D1584" s="1" t="s">
        <v>78</v>
      </c>
      <c r="E1584" s="1" t="s">
        <v>28</v>
      </c>
      <c r="F1584" s="2">
        <v>650000.0</v>
      </c>
      <c r="G1584" s="1" t="s">
        <v>3896</v>
      </c>
      <c r="H1584" s="4">
        <f>IFERROR(__xludf.DUMMYFUNCTION("DATE(INDEX(SPLIT(G1584,""/""),,3),INDEX(SPLIT(G1584,""/""),,2),INDEX(SPLIT(G1584,""/""),,1))"),44697.0)</f>
        <v>44697</v>
      </c>
      <c r="I1584" s="1" t="s">
        <v>69</v>
      </c>
      <c r="J1584" s="4">
        <f>IFERROR(__xludf.DUMMYFUNCTION("DATE(INDEX(SPLIT(I1584,""/""),,3),INDEX(SPLIT(I1584,""/""),,2),INDEX(SPLIT(I1584,""/""),,1))"),44773.0)</f>
        <v>44773</v>
      </c>
      <c r="L1584" s="1">
        <v>0.0</v>
      </c>
      <c r="M1584" s="1" t="s">
        <v>4134</v>
      </c>
      <c r="N1584" s="1"/>
      <c r="O1584" s="1" t="s">
        <v>30</v>
      </c>
      <c r="P1584" s="1" t="s">
        <v>31</v>
      </c>
      <c r="Q1584" s="1" t="s">
        <v>53</v>
      </c>
      <c r="R1584" s="1" t="s">
        <v>53</v>
      </c>
      <c r="S1584" s="1" t="s">
        <v>54</v>
      </c>
      <c r="U1584" s="1">
        <v>1.00652666E8</v>
      </c>
      <c r="X1584" s="1" t="s">
        <v>74</v>
      </c>
      <c r="Y1584" s="1" t="s">
        <v>4134</v>
      </c>
      <c r="Z1584" s="1" t="s">
        <v>37</v>
      </c>
    </row>
    <row r="1585" hidden="1">
      <c r="A1585" s="1" t="s">
        <v>5281</v>
      </c>
      <c r="B1585" s="1" t="s">
        <v>650</v>
      </c>
      <c r="C1585" s="1" t="s">
        <v>5282</v>
      </c>
      <c r="D1585" s="1" t="s">
        <v>78</v>
      </c>
      <c r="E1585" s="1" t="s">
        <v>28</v>
      </c>
      <c r="F1585" s="2">
        <v>650000.0</v>
      </c>
      <c r="G1585" s="4">
        <v>44597.0</v>
      </c>
      <c r="H1585" s="4">
        <f>IFERROR(__xludf.DUMMYFUNCTION("DATE(INDEX(SPLIT(G1585,""/""),,3),INDEX(SPLIT(G1585,""/""),,2),INDEX(SPLIT(G1585,""/""),,1))"),44683.0)</f>
        <v>44683</v>
      </c>
      <c r="I1585" s="1" t="s">
        <v>130</v>
      </c>
      <c r="J1585" s="4">
        <f>IFERROR(__xludf.DUMMYFUNCTION("DATE(INDEX(SPLIT(I1585,""/""),,3),INDEX(SPLIT(I1585,""/""),,2),INDEX(SPLIT(I1585,""/""),,1))"),44804.0)</f>
        <v>44804</v>
      </c>
      <c r="L1585" s="1">
        <v>0.0</v>
      </c>
      <c r="M1585" s="1" t="s">
        <v>653</v>
      </c>
      <c r="N1585" s="1"/>
      <c r="O1585" s="1" t="s">
        <v>30</v>
      </c>
      <c r="P1585" s="1" t="s">
        <v>31</v>
      </c>
      <c r="Q1585" s="1" t="s">
        <v>157</v>
      </c>
      <c r="R1585" s="1" t="s">
        <v>157</v>
      </c>
      <c r="S1585" s="1" t="s">
        <v>158</v>
      </c>
      <c r="U1585" s="1">
        <v>1.00591141E8</v>
      </c>
      <c r="X1585" s="1" t="s">
        <v>63</v>
      </c>
      <c r="Y1585" s="1" t="s">
        <v>5283</v>
      </c>
      <c r="Z1585" s="1" t="s">
        <v>37</v>
      </c>
    </row>
    <row r="1586">
      <c r="A1586" s="1" t="s">
        <v>5284</v>
      </c>
      <c r="B1586" s="1" t="s">
        <v>301</v>
      </c>
      <c r="C1586" s="1" t="s">
        <v>5285</v>
      </c>
      <c r="D1586" s="1" t="s">
        <v>78</v>
      </c>
      <c r="E1586" s="1" t="s">
        <v>28</v>
      </c>
      <c r="F1586" s="2">
        <v>650000.0</v>
      </c>
      <c r="G1586" s="1" t="s">
        <v>343</v>
      </c>
      <c r="H1586" s="4">
        <f>IFERROR(__xludf.DUMMYFUNCTION("DATE(INDEX(SPLIT(G1586,""/""),,3),INDEX(SPLIT(G1586,""/""),,2),INDEX(SPLIT(G1586,""/""),,1))"),44761.0)</f>
        <v>44761</v>
      </c>
      <c r="I1586" s="1" t="s">
        <v>343</v>
      </c>
      <c r="J1586" s="4">
        <f>IFERROR(__xludf.DUMMYFUNCTION("DATE(INDEX(SPLIT(I1586,""/""),,3),INDEX(SPLIT(I1586,""/""),,2),INDEX(SPLIT(I1586,""/""),,1))"),44761.0)</f>
        <v>44761</v>
      </c>
      <c r="L1586" s="1">
        <v>0.0</v>
      </c>
      <c r="M1586" s="1" t="s">
        <v>873</v>
      </c>
      <c r="N1586" s="1"/>
      <c r="O1586" s="1" t="s">
        <v>30</v>
      </c>
      <c r="P1586" s="1" t="s">
        <v>31</v>
      </c>
      <c r="Q1586" s="1" t="s">
        <v>157</v>
      </c>
      <c r="R1586" s="1" t="s">
        <v>157</v>
      </c>
      <c r="S1586" s="1" t="s">
        <v>158</v>
      </c>
      <c r="U1586" s="1">
        <v>1.00586701E8</v>
      </c>
      <c r="X1586" s="1" t="s">
        <v>305</v>
      </c>
      <c r="Y1586" s="1" t="s">
        <v>5286</v>
      </c>
      <c r="Z1586" s="1" t="s">
        <v>37</v>
      </c>
    </row>
    <row r="1587" hidden="1">
      <c r="A1587" s="1" t="s">
        <v>5287</v>
      </c>
      <c r="B1587" s="1" t="s">
        <v>645</v>
      </c>
      <c r="C1587" s="1" t="s">
        <v>5288</v>
      </c>
      <c r="D1587" s="1" t="s">
        <v>27</v>
      </c>
      <c r="E1587" s="1" t="s">
        <v>28</v>
      </c>
      <c r="F1587" s="2">
        <v>650000.0</v>
      </c>
      <c r="G1587" s="4">
        <v>44566.0</v>
      </c>
      <c r="H1587" s="4">
        <f>IFERROR(__xludf.DUMMYFUNCTION("DATE(INDEX(SPLIT(G1587,""/""),,3),INDEX(SPLIT(G1587,""/""),,2),INDEX(SPLIT(G1587,""/""),,1))"),44682.0)</f>
        <v>44682</v>
      </c>
      <c r="I1587" s="1" t="s">
        <v>42</v>
      </c>
      <c r="J1587" s="4">
        <f>IFERROR(__xludf.DUMMYFUNCTION("DATE(INDEX(SPLIT(I1587,""/""),,3),INDEX(SPLIT(I1587,""/""),,2),INDEX(SPLIT(I1587,""/""),,1))"),44926.0)</f>
        <v>44926</v>
      </c>
      <c r="L1587" s="1">
        <v>0.0</v>
      </c>
      <c r="M1587" s="1" t="s">
        <v>467</v>
      </c>
      <c r="N1587" s="1"/>
      <c r="O1587" s="1" t="s">
        <v>30</v>
      </c>
      <c r="P1587" s="1" t="s">
        <v>31</v>
      </c>
      <c r="Q1587" s="1" t="s">
        <v>32</v>
      </c>
      <c r="R1587" s="1" t="s">
        <v>32</v>
      </c>
      <c r="S1587" s="1" t="s">
        <v>33</v>
      </c>
      <c r="T1587" s="1" t="s">
        <v>4334</v>
      </c>
      <c r="U1587" s="1">
        <v>1.00619817E8</v>
      </c>
      <c r="X1587" s="1" t="s">
        <v>361</v>
      </c>
      <c r="Y1587" s="1" t="s">
        <v>5289</v>
      </c>
      <c r="Z1587" s="1" t="s">
        <v>37</v>
      </c>
    </row>
    <row r="1588" hidden="1">
      <c r="A1588" s="1" t="s">
        <v>5290</v>
      </c>
      <c r="B1588" s="1" t="s">
        <v>5291</v>
      </c>
      <c r="C1588" s="1" t="s">
        <v>5292</v>
      </c>
      <c r="D1588" s="1" t="s">
        <v>27</v>
      </c>
      <c r="E1588" s="1" t="s">
        <v>28</v>
      </c>
      <c r="F1588" s="2">
        <v>650000.0</v>
      </c>
      <c r="G1588" s="1" t="s">
        <v>5293</v>
      </c>
      <c r="H1588" s="4">
        <f>IFERROR(__xludf.DUMMYFUNCTION("DATE(INDEX(SPLIT(G1588,""/""),,3),INDEX(SPLIT(G1588,""/""),,2),INDEX(SPLIT(G1588,""/""),,1))"),44036.0)</f>
        <v>44036</v>
      </c>
      <c r="I1588" s="4">
        <v>44630.0</v>
      </c>
      <c r="J1588" s="4">
        <f>IFERROR(__xludf.DUMMYFUNCTION("DATE(INDEX(SPLIT(I1588,""/""),,3),INDEX(SPLIT(I1588,""/""),,2),INDEX(SPLIT(I1588,""/""),,1))"),44837.0)</f>
        <v>44837</v>
      </c>
      <c r="L1588" s="1">
        <v>0.0</v>
      </c>
      <c r="M1588" s="1" t="s">
        <v>1565</v>
      </c>
      <c r="N1588" s="1"/>
      <c r="O1588" s="1" t="s">
        <v>30</v>
      </c>
      <c r="P1588" s="1" t="s">
        <v>31</v>
      </c>
      <c r="Q1588" s="1" t="s">
        <v>157</v>
      </c>
      <c r="R1588" s="1" t="s">
        <v>157</v>
      </c>
      <c r="S1588" s="1" t="s">
        <v>158</v>
      </c>
      <c r="U1588" s="1">
        <v>1.00646908E8</v>
      </c>
      <c r="X1588" s="1" t="s">
        <v>190</v>
      </c>
      <c r="Y1588" s="1" t="s">
        <v>5294</v>
      </c>
      <c r="Z1588" s="1" t="s">
        <v>37</v>
      </c>
    </row>
    <row r="1589">
      <c r="A1589" s="1" t="s">
        <v>5295</v>
      </c>
      <c r="B1589" s="1" t="s">
        <v>3359</v>
      </c>
      <c r="C1589" s="1" t="s">
        <v>5296</v>
      </c>
      <c r="D1589" s="1" t="s">
        <v>122</v>
      </c>
      <c r="E1589" s="1" t="s">
        <v>28</v>
      </c>
      <c r="F1589" s="2">
        <v>650000.0</v>
      </c>
      <c r="G1589" s="4">
        <v>44598.0</v>
      </c>
      <c r="H1589" s="4">
        <f>IFERROR(__xludf.DUMMYFUNCTION("DATE(INDEX(SPLIT(G1589,""/""),,3),INDEX(SPLIT(G1589,""/""),,2),INDEX(SPLIT(G1589,""/""),,1))"),44714.0)</f>
        <v>44714</v>
      </c>
      <c r="I1589" s="4">
        <v>44688.0</v>
      </c>
      <c r="J1589" s="4">
        <f>IFERROR(__xludf.DUMMYFUNCTION("DATE(INDEX(SPLIT(I1589,""/""),,3),INDEX(SPLIT(I1589,""/""),,2),INDEX(SPLIT(I1589,""/""),,1))"),44747.0)</f>
        <v>44747</v>
      </c>
      <c r="L1589" s="1">
        <v>0.0</v>
      </c>
      <c r="M1589" s="1" t="s">
        <v>4339</v>
      </c>
      <c r="N1589" s="1"/>
      <c r="O1589" s="1" t="s">
        <v>30</v>
      </c>
      <c r="P1589" s="1" t="s">
        <v>31</v>
      </c>
      <c r="Q1589" s="1" t="s">
        <v>53</v>
      </c>
      <c r="R1589" s="1" t="s">
        <v>53</v>
      </c>
      <c r="S1589" s="1" t="s">
        <v>54</v>
      </c>
      <c r="U1589" s="1">
        <v>1.00655236E8</v>
      </c>
      <c r="X1589" s="1" t="s">
        <v>88</v>
      </c>
      <c r="Y1589" s="1" t="s">
        <v>4339</v>
      </c>
      <c r="Z1589" s="1" t="s">
        <v>37</v>
      </c>
    </row>
    <row r="1590" hidden="1">
      <c r="A1590" s="1" t="s">
        <v>5297</v>
      </c>
      <c r="B1590" s="1" t="s">
        <v>3384</v>
      </c>
      <c r="C1590" s="1" t="s">
        <v>5298</v>
      </c>
      <c r="D1590" s="1" t="s">
        <v>27</v>
      </c>
      <c r="E1590" s="1" t="s">
        <v>28</v>
      </c>
      <c r="F1590" s="2">
        <v>650000.0</v>
      </c>
      <c r="G1590" s="4">
        <v>44566.0</v>
      </c>
      <c r="H1590" s="4">
        <f>IFERROR(__xludf.DUMMYFUNCTION("DATE(INDEX(SPLIT(G1590,""/""),,3),INDEX(SPLIT(G1590,""/""),,2),INDEX(SPLIT(G1590,""/""),,1))"),44682.0)</f>
        <v>44682</v>
      </c>
      <c r="I1590" s="1" t="s">
        <v>42</v>
      </c>
      <c r="J1590" s="4">
        <f>IFERROR(__xludf.DUMMYFUNCTION("DATE(INDEX(SPLIT(I1590,""/""),,3),INDEX(SPLIT(I1590,""/""),,2),INDEX(SPLIT(I1590,""/""),,1))"),44926.0)</f>
        <v>44926</v>
      </c>
      <c r="L1590" s="1">
        <v>0.0</v>
      </c>
      <c r="M1590" s="1" t="s">
        <v>2757</v>
      </c>
      <c r="N1590" s="1"/>
      <c r="O1590" s="1" t="s">
        <v>30</v>
      </c>
      <c r="P1590" s="1" t="s">
        <v>31</v>
      </c>
      <c r="Q1590" s="1" t="s">
        <v>32</v>
      </c>
      <c r="R1590" s="1" t="s">
        <v>32</v>
      </c>
      <c r="S1590" s="1" t="s">
        <v>33</v>
      </c>
      <c r="T1590" s="1" t="s">
        <v>402</v>
      </c>
      <c r="U1590" s="1">
        <v>1.00893232E8</v>
      </c>
      <c r="X1590" s="1" t="s">
        <v>125</v>
      </c>
      <c r="Y1590" s="1" t="s">
        <v>5289</v>
      </c>
      <c r="Z1590" s="1" t="s">
        <v>37</v>
      </c>
    </row>
    <row r="1591" hidden="1">
      <c r="A1591" s="1" t="s">
        <v>5299</v>
      </c>
      <c r="B1591" s="1" t="s">
        <v>5300</v>
      </c>
      <c r="C1591" s="1" t="s">
        <v>5301</v>
      </c>
      <c r="D1591" s="1" t="s">
        <v>78</v>
      </c>
      <c r="E1591" s="1" t="s">
        <v>28</v>
      </c>
      <c r="F1591" s="2">
        <v>650000.0</v>
      </c>
      <c r="G1591" s="1" t="s">
        <v>2963</v>
      </c>
      <c r="H1591" s="4">
        <f>IFERROR(__xludf.DUMMYFUNCTION("DATE(INDEX(SPLIT(G1591,""/""),,3),INDEX(SPLIT(G1591,""/""),,2),INDEX(SPLIT(G1591,""/""),,1))"),44524.0)</f>
        <v>44524</v>
      </c>
      <c r="I1591" s="1" t="s">
        <v>85</v>
      </c>
      <c r="J1591" s="4">
        <f>IFERROR(__xludf.DUMMYFUNCTION("DATE(INDEX(SPLIT(I1591,""/""),,3),INDEX(SPLIT(I1591,""/""),,2),INDEX(SPLIT(I1591,""/""),,1))"),44799.0)</f>
        <v>44799</v>
      </c>
      <c r="L1591" s="1">
        <v>0.0</v>
      </c>
      <c r="M1591" s="1" t="s">
        <v>4451</v>
      </c>
      <c r="N1591" s="1"/>
      <c r="O1591" s="1" t="s">
        <v>30</v>
      </c>
      <c r="P1591" s="1" t="s">
        <v>31</v>
      </c>
      <c r="Q1591" s="1" t="s">
        <v>235</v>
      </c>
      <c r="R1591" s="1" t="s">
        <v>235</v>
      </c>
      <c r="S1591" s="1" t="s">
        <v>236</v>
      </c>
      <c r="T1591" s="1" t="s">
        <v>1349</v>
      </c>
      <c r="U1591" s="1">
        <v>1.00945646E8</v>
      </c>
      <c r="X1591" s="1" t="s">
        <v>375</v>
      </c>
      <c r="Y1591" s="1" t="s">
        <v>4452</v>
      </c>
      <c r="Z1591" s="1" t="s">
        <v>37</v>
      </c>
    </row>
    <row r="1592" hidden="1">
      <c r="A1592" s="1" t="s">
        <v>5302</v>
      </c>
      <c r="B1592" s="1" t="s">
        <v>555</v>
      </c>
      <c r="C1592" s="1" t="s">
        <v>5303</v>
      </c>
      <c r="D1592" s="1" t="s">
        <v>78</v>
      </c>
      <c r="E1592" s="1" t="s">
        <v>28</v>
      </c>
      <c r="F1592" s="2">
        <v>650000.0</v>
      </c>
      <c r="G1592" s="1" t="s">
        <v>518</v>
      </c>
      <c r="H1592" s="4">
        <f>IFERROR(__xludf.DUMMYFUNCTION("DATE(INDEX(SPLIT(G1592,""/""),,3),INDEX(SPLIT(G1592,""/""),,2),INDEX(SPLIT(G1592,""/""),,1))"),44757.0)</f>
        <v>44757</v>
      </c>
      <c r="I1592" s="1" t="s">
        <v>130</v>
      </c>
      <c r="J1592" s="4">
        <f>IFERROR(__xludf.DUMMYFUNCTION("DATE(INDEX(SPLIT(I1592,""/""),,3),INDEX(SPLIT(I1592,""/""),,2),INDEX(SPLIT(I1592,""/""),,1))"),44804.0)</f>
        <v>44804</v>
      </c>
      <c r="L1592" s="1">
        <v>0.0</v>
      </c>
      <c r="M1592" s="1" t="s">
        <v>558</v>
      </c>
      <c r="N1592" s="1"/>
      <c r="O1592" s="1" t="s">
        <v>30</v>
      </c>
      <c r="P1592" s="1" t="s">
        <v>31</v>
      </c>
      <c r="Q1592" s="1" t="s">
        <v>53</v>
      </c>
      <c r="R1592" s="1" t="s">
        <v>53</v>
      </c>
      <c r="S1592" s="1" t="s">
        <v>54</v>
      </c>
      <c r="T1592" s="1" t="s">
        <v>87</v>
      </c>
      <c r="U1592" s="1">
        <v>1.00653597E8</v>
      </c>
      <c r="X1592" s="1" t="s">
        <v>88</v>
      </c>
      <c r="Y1592" s="1" t="s">
        <v>558</v>
      </c>
      <c r="Z1592" s="1" t="s">
        <v>37</v>
      </c>
    </row>
    <row r="1593">
      <c r="A1593" s="1" t="s">
        <v>5304</v>
      </c>
      <c r="B1593" s="1" t="s">
        <v>704</v>
      </c>
      <c r="C1593" s="1" t="s">
        <v>5305</v>
      </c>
      <c r="D1593" s="1" t="s">
        <v>78</v>
      </c>
      <c r="E1593" s="1" t="s">
        <v>28</v>
      </c>
      <c r="F1593" s="2">
        <v>650000.0</v>
      </c>
      <c r="G1593" s="4">
        <v>44902.0</v>
      </c>
      <c r="H1593" s="4">
        <f>IFERROR(__xludf.DUMMYFUNCTION("DATE(INDEX(SPLIT(G1593,""/""),,3),INDEX(SPLIT(G1593,""/""),,2),INDEX(SPLIT(G1593,""/""),,1))"),44754.0)</f>
        <v>44754</v>
      </c>
      <c r="I1593" s="1" t="s">
        <v>226</v>
      </c>
      <c r="J1593" s="4">
        <f>IFERROR(__xludf.DUMMYFUNCTION("DATE(INDEX(SPLIT(I1593,""/""),,3),INDEX(SPLIT(I1593,""/""),,2),INDEX(SPLIT(I1593,""/""),,1))"),44771.0)</f>
        <v>44771</v>
      </c>
      <c r="L1593" s="1">
        <v>0.0</v>
      </c>
      <c r="M1593" s="1" t="s">
        <v>4282</v>
      </c>
      <c r="N1593" s="1"/>
      <c r="O1593" s="1" t="s">
        <v>30</v>
      </c>
      <c r="P1593" s="1" t="s">
        <v>31</v>
      </c>
      <c r="Q1593" s="1" t="s">
        <v>53</v>
      </c>
      <c r="R1593" s="1" t="s">
        <v>53</v>
      </c>
      <c r="S1593" s="1" t="s">
        <v>54</v>
      </c>
      <c r="T1593" s="1" t="s">
        <v>55</v>
      </c>
      <c r="U1593" s="1">
        <v>1.01238292E8</v>
      </c>
      <c r="X1593" s="1" t="s">
        <v>35</v>
      </c>
      <c r="Y1593" s="1" t="s">
        <v>3784</v>
      </c>
      <c r="Z1593" s="1" t="s">
        <v>37</v>
      </c>
    </row>
    <row r="1594" hidden="1">
      <c r="A1594" s="1" t="s">
        <v>5306</v>
      </c>
      <c r="B1594" s="1" t="s">
        <v>301</v>
      </c>
      <c r="C1594" s="1" t="s">
        <v>5307</v>
      </c>
      <c r="D1594" s="1" t="s">
        <v>27</v>
      </c>
      <c r="E1594" s="1" t="s">
        <v>28</v>
      </c>
      <c r="F1594" s="2">
        <v>650000.0</v>
      </c>
      <c r="G1594" s="4">
        <v>44870.0</v>
      </c>
      <c r="H1594" s="4">
        <f>IFERROR(__xludf.DUMMYFUNCTION("DATE(INDEX(SPLIT(G1594,""/""),,3),INDEX(SPLIT(G1594,""/""),,2),INDEX(SPLIT(G1594,""/""),,1))"),44692.0)</f>
        <v>44692</v>
      </c>
      <c r="I1594" s="1" t="s">
        <v>1097</v>
      </c>
      <c r="J1594" s="4">
        <f>IFERROR(__xludf.DUMMYFUNCTION("DATE(INDEX(SPLIT(I1594,""/""),,3),INDEX(SPLIT(I1594,""/""),,2),INDEX(SPLIT(I1594,""/""),,1))"),45107.0)</f>
        <v>45107</v>
      </c>
      <c r="L1594" s="1">
        <v>0.0</v>
      </c>
      <c r="M1594" s="1" t="s">
        <v>2582</v>
      </c>
      <c r="N1594" s="1"/>
      <c r="O1594" s="1" t="s">
        <v>30</v>
      </c>
      <c r="P1594" s="1" t="s">
        <v>31</v>
      </c>
      <c r="Q1594" s="1" t="s">
        <v>157</v>
      </c>
      <c r="R1594" s="1" t="s">
        <v>157</v>
      </c>
      <c r="S1594" s="1" t="s">
        <v>158</v>
      </c>
      <c r="U1594" s="1">
        <v>1.00590772E8</v>
      </c>
      <c r="X1594" s="1" t="s">
        <v>305</v>
      </c>
      <c r="Y1594" s="1" t="s">
        <v>2224</v>
      </c>
      <c r="Z1594" s="1" t="s">
        <v>37</v>
      </c>
    </row>
    <row r="1595" hidden="1">
      <c r="A1595" s="1" t="s">
        <v>5308</v>
      </c>
      <c r="B1595" s="1" t="s">
        <v>1050</v>
      </c>
      <c r="C1595" s="1" t="s">
        <v>5309</v>
      </c>
      <c r="D1595" s="1" t="s">
        <v>122</v>
      </c>
      <c r="E1595" s="1" t="s">
        <v>28</v>
      </c>
      <c r="F1595" s="2">
        <v>650000.0</v>
      </c>
      <c r="G1595" s="1" t="s">
        <v>3349</v>
      </c>
      <c r="H1595" s="4">
        <f>IFERROR(__xludf.DUMMYFUNCTION("DATE(INDEX(SPLIT(G1595,""/""),,3),INDEX(SPLIT(G1595,""/""),,2),INDEX(SPLIT(G1595,""/""),,1))"),44648.0)</f>
        <v>44648</v>
      </c>
      <c r="I1595" s="4">
        <v>44933.0</v>
      </c>
      <c r="J1595" s="4">
        <f>IFERROR(__xludf.DUMMYFUNCTION("DATE(INDEX(SPLIT(I1595,""/""),,3),INDEX(SPLIT(I1595,""/""),,2),INDEX(SPLIT(I1595,""/""),,1))"),45108.0)</f>
        <v>45108</v>
      </c>
      <c r="L1595" s="1">
        <v>0.0</v>
      </c>
      <c r="M1595" s="1" t="s">
        <v>4598</v>
      </c>
      <c r="N1595" s="1"/>
      <c r="O1595" s="1" t="s">
        <v>30</v>
      </c>
      <c r="P1595" s="1" t="s">
        <v>31</v>
      </c>
      <c r="Q1595" s="1" t="s">
        <v>157</v>
      </c>
      <c r="R1595" s="1" t="s">
        <v>157</v>
      </c>
      <c r="S1595" s="1" t="s">
        <v>158</v>
      </c>
      <c r="T1595" s="1" t="s">
        <v>237</v>
      </c>
      <c r="U1595" s="1">
        <v>1.00650304E8</v>
      </c>
      <c r="X1595" s="1" t="s">
        <v>239</v>
      </c>
      <c r="Y1595" s="1" t="s">
        <v>4986</v>
      </c>
      <c r="Z1595" s="1" t="s">
        <v>37</v>
      </c>
    </row>
    <row r="1596" hidden="1">
      <c r="A1596" s="1" t="s">
        <v>5310</v>
      </c>
      <c r="B1596" s="1" t="s">
        <v>5311</v>
      </c>
      <c r="C1596" s="1" t="s">
        <v>5312</v>
      </c>
      <c r="D1596" s="1" t="s">
        <v>122</v>
      </c>
      <c r="E1596" s="1" t="s">
        <v>28</v>
      </c>
      <c r="F1596" s="2">
        <v>650000.0</v>
      </c>
      <c r="G1596" s="4">
        <v>44451.0</v>
      </c>
      <c r="H1596" s="4">
        <f>IFERROR(__xludf.DUMMYFUNCTION("DATE(INDEX(SPLIT(G1596,""/""),,3),INDEX(SPLIT(G1596,""/""),,2),INDEX(SPLIT(G1596,""/""),,1))"),44539.0)</f>
        <v>44539</v>
      </c>
      <c r="I1596" s="1" t="s">
        <v>476</v>
      </c>
      <c r="J1596" s="4">
        <f>IFERROR(__xludf.DUMMYFUNCTION("DATE(INDEX(SPLIT(I1596,""/""),,3),INDEX(SPLIT(I1596,""/""),,2),INDEX(SPLIT(I1596,""/""),,1))"),44833.0)</f>
        <v>44833</v>
      </c>
      <c r="L1596" s="1">
        <v>0.0</v>
      </c>
      <c r="M1596" s="1" t="s">
        <v>1443</v>
      </c>
      <c r="N1596" s="1"/>
      <c r="O1596" s="1" t="s">
        <v>30</v>
      </c>
      <c r="P1596" s="1" t="s">
        <v>31</v>
      </c>
      <c r="Q1596" s="1" t="s">
        <v>53</v>
      </c>
      <c r="R1596" s="1" t="s">
        <v>53</v>
      </c>
      <c r="S1596" s="1" t="s">
        <v>54</v>
      </c>
      <c r="T1596" s="1" t="s">
        <v>103</v>
      </c>
      <c r="U1596" s="1">
        <v>1.0059033E8</v>
      </c>
      <c r="X1596" s="1" t="s">
        <v>312</v>
      </c>
      <c r="Y1596" s="1" t="s">
        <v>1443</v>
      </c>
      <c r="Z1596" s="1" t="s">
        <v>37</v>
      </c>
    </row>
    <row r="1597" hidden="1">
      <c r="A1597" s="1" t="s">
        <v>5313</v>
      </c>
      <c r="B1597" s="1" t="s">
        <v>1417</v>
      </c>
      <c r="C1597" s="1" t="s">
        <v>5314</v>
      </c>
      <c r="D1597" s="1" t="s">
        <v>68</v>
      </c>
      <c r="E1597" s="1" t="s">
        <v>28</v>
      </c>
      <c r="F1597" s="2">
        <v>650000.0</v>
      </c>
      <c r="G1597" s="1" t="s">
        <v>4047</v>
      </c>
      <c r="H1597" s="4">
        <f>IFERROR(__xludf.DUMMYFUNCTION("DATE(INDEX(SPLIT(G1597,""/""),,3),INDEX(SPLIT(G1597,""/""),,2),INDEX(SPLIT(G1597,""/""),,1))"),44580.0)</f>
        <v>44580</v>
      </c>
      <c r="I1597" s="1" t="s">
        <v>134</v>
      </c>
      <c r="J1597" s="4">
        <f>IFERROR(__xludf.DUMMYFUNCTION("DATE(INDEX(SPLIT(I1597,""/""),,3),INDEX(SPLIT(I1597,""/""),,2),INDEX(SPLIT(I1597,""/""),,1))"),44792.0)</f>
        <v>44792</v>
      </c>
      <c r="L1597" s="1">
        <v>0.0</v>
      </c>
      <c r="M1597" s="1" t="s">
        <v>318</v>
      </c>
      <c r="N1597" s="1"/>
      <c r="O1597" s="1" t="s">
        <v>30</v>
      </c>
      <c r="P1597" s="1" t="s">
        <v>31</v>
      </c>
      <c r="Q1597" s="1" t="s">
        <v>71</v>
      </c>
      <c r="R1597" s="1" t="s">
        <v>71</v>
      </c>
      <c r="S1597" s="1" t="s">
        <v>72</v>
      </c>
      <c r="T1597" s="1" t="s">
        <v>73</v>
      </c>
      <c r="U1597" s="1">
        <v>1.00654705E8</v>
      </c>
      <c r="X1597" s="1" t="s">
        <v>74</v>
      </c>
      <c r="Y1597" s="1" t="s">
        <v>318</v>
      </c>
      <c r="Z1597" s="1" t="s">
        <v>37</v>
      </c>
    </row>
    <row r="1598">
      <c r="A1598" s="1" t="s">
        <v>5315</v>
      </c>
      <c r="B1598" s="1" t="s">
        <v>2265</v>
      </c>
      <c r="C1598" s="1" t="s">
        <v>5316</v>
      </c>
      <c r="D1598" s="1" t="s">
        <v>78</v>
      </c>
      <c r="E1598" s="1" t="s">
        <v>28</v>
      </c>
      <c r="F1598" s="2">
        <v>650000.0</v>
      </c>
      <c r="G1598" s="4">
        <v>43959.0</v>
      </c>
      <c r="H1598" s="4">
        <f>IFERROR(__xludf.DUMMYFUNCTION("DATE(INDEX(SPLIT(G1598,""/""),,3),INDEX(SPLIT(G1598,""/""),,2),INDEX(SPLIT(G1598,""/""),,1))"),44048.0)</f>
        <v>44048</v>
      </c>
      <c r="I1598" s="1" t="s">
        <v>69</v>
      </c>
      <c r="J1598" s="4">
        <f>IFERROR(__xludf.DUMMYFUNCTION("DATE(INDEX(SPLIT(I1598,""/""),,3),INDEX(SPLIT(I1598,""/""),,2),INDEX(SPLIT(I1598,""/""),,1))"),44773.0)</f>
        <v>44773</v>
      </c>
      <c r="L1598" s="1">
        <v>0.0</v>
      </c>
      <c r="M1598" s="1" t="s">
        <v>3123</v>
      </c>
      <c r="N1598" s="1"/>
      <c r="O1598" s="1" t="s">
        <v>30</v>
      </c>
      <c r="P1598" s="1" t="s">
        <v>31</v>
      </c>
      <c r="Q1598" s="1" t="s">
        <v>157</v>
      </c>
      <c r="R1598" s="1" t="s">
        <v>157</v>
      </c>
      <c r="S1598" s="1" t="s">
        <v>158</v>
      </c>
      <c r="T1598" s="1" t="s">
        <v>442</v>
      </c>
      <c r="U1598" s="1">
        <v>1.00875111E8</v>
      </c>
      <c r="X1598" s="1" t="s">
        <v>239</v>
      </c>
      <c r="Y1598" s="1" t="s">
        <v>3124</v>
      </c>
      <c r="Z1598" s="1" t="s">
        <v>37</v>
      </c>
    </row>
    <row r="1599" hidden="1">
      <c r="A1599" s="1" t="s">
        <v>5317</v>
      </c>
      <c r="B1599" s="1" t="s">
        <v>5318</v>
      </c>
      <c r="C1599" s="1" t="s">
        <v>5319</v>
      </c>
      <c r="D1599" s="1" t="s">
        <v>78</v>
      </c>
      <c r="E1599" s="1" t="s">
        <v>28</v>
      </c>
      <c r="F1599" s="2">
        <v>650000.0</v>
      </c>
      <c r="G1599" s="1" t="s">
        <v>5320</v>
      </c>
      <c r="H1599" s="4">
        <f>IFERROR(__xludf.DUMMYFUNCTION("DATE(INDEX(SPLIT(G1599,""/""),,3),INDEX(SPLIT(G1599,""/""),,2),INDEX(SPLIT(G1599,""/""),,1))"),44486.0)</f>
        <v>44486</v>
      </c>
      <c r="I1599" s="4">
        <v>44569.0</v>
      </c>
      <c r="J1599" s="4">
        <f>IFERROR(__xludf.DUMMYFUNCTION("DATE(INDEX(SPLIT(I1599,""/""),,3),INDEX(SPLIT(I1599,""/""),,2),INDEX(SPLIT(I1599,""/""),,1))"),44774.0)</f>
        <v>44774</v>
      </c>
      <c r="L1599" s="1">
        <v>0.0</v>
      </c>
      <c r="M1599" s="1" t="s">
        <v>5321</v>
      </c>
      <c r="N1599" s="1"/>
      <c r="O1599" s="1" t="s">
        <v>30</v>
      </c>
      <c r="P1599" s="1" t="s">
        <v>31</v>
      </c>
      <c r="Q1599" s="1" t="s">
        <v>53</v>
      </c>
      <c r="R1599" s="1" t="s">
        <v>53</v>
      </c>
      <c r="S1599" s="1" t="s">
        <v>54</v>
      </c>
      <c r="T1599" s="1" t="s">
        <v>159</v>
      </c>
      <c r="U1599" s="1">
        <v>1.00463736E8</v>
      </c>
      <c r="X1599" s="1" t="s">
        <v>117</v>
      </c>
      <c r="Y1599" s="1" t="s">
        <v>1422</v>
      </c>
      <c r="Z1599" s="1" t="s">
        <v>37</v>
      </c>
    </row>
    <row r="1600" hidden="1">
      <c r="A1600" s="1" t="s">
        <v>5322</v>
      </c>
      <c r="B1600" s="1" t="s">
        <v>83</v>
      </c>
      <c r="C1600" s="1" t="s">
        <v>5323</v>
      </c>
      <c r="D1600" s="1" t="s">
        <v>122</v>
      </c>
      <c r="E1600" s="1" t="s">
        <v>28</v>
      </c>
      <c r="F1600" s="2">
        <v>650000.0</v>
      </c>
      <c r="G1600" s="1" t="s">
        <v>343</v>
      </c>
      <c r="H1600" s="4">
        <f>IFERROR(__xludf.DUMMYFUNCTION("DATE(INDEX(SPLIT(G1600,""/""),,3),INDEX(SPLIT(G1600,""/""),,2),INDEX(SPLIT(G1600,""/""),,1))"),44761.0)</f>
        <v>44761</v>
      </c>
      <c r="I1600" s="1" t="s">
        <v>130</v>
      </c>
      <c r="J1600" s="4">
        <f>IFERROR(__xludf.DUMMYFUNCTION("DATE(INDEX(SPLIT(I1600,""/""),,3),INDEX(SPLIT(I1600,""/""),,2),INDEX(SPLIT(I1600,""/""),,1))"),44804.0)</f>
        <v>44804</v>
      </c>
      <c r="L1600" s="1">
        <v>0.0</v>
      </c>
      <c r="M1600" s="1" t="s">
        <v>2850</v>
      </c>
      <c r="N1600" s="1"/>
      <c r="O1600" s="1" t="s">
        <v>30</v>
      </c>
      <c r="P1600" s="1" t="s">
        <v>31</v>
      </c>
      <c r="Q1600" s="1" t="s">
        <v>235</v>
      </c>
      <c r="R1600" s="1" t="s">
        <v>235</v>
      </c>
      <c r="S1600" s="1" t="s">
        <v>236</v>
      </c>
      <c r="T1600" s="1" t="s">
        <v>753</v>
      </c>
      <c r="U1600" s="1">
        <v>1.00980598E8</v>
      </c>
      <c r="X1600" s="1" t="s">
        <v>88</v>
      </c>
      <c r="Y1600" s="1" t="s">
        <v>2851</v>
      </c>
      <c r="Z1600" s="1" t="s">
        <v>37</v>
      </c>
    </row>
    <row r="1601" hidden="1">
      <c r="A1601" s="1" t="s">
        <v>5324</v>
      </c>
      <c r="B1601" s="1" t="s">
        <v>5325</v>
      </c>
      <c r="C1601" s="1" t="s">
        <v>5326</v>
      </c>
      <c r="D1601" s="1" t="s">
        <v>27</v>
      </c>
      <c r="E1601" s="1" t="s">
        <v>28</v>
      </c>
      <c r="F1601" s="2">
        <v>650000.0</v>
      </c>
      <c r="G1601" s="4">
        <v>44866.0</v>
      </c>
      <c r="H1601" s="4">
        <f>IFERROR(__xludf.DUMMYFUNCTION("DATE(INDEX(SPLIT(G1601,""/""),,3),INDEX(SPLIT(G1601,""/""),,2),INDEX(SPLIT(G1601,""/""),,1))"),44572.0)</f>
        <v>44572</v>
      </c>
      <c r="I1601" s="1" t="s">
        <v>42</v>
      </c>
      <c r="J1601" s="4">
        <f>IFERROR(__xludf.DUMMYFUNCTION("DATE(INDEX(SPLIT(I1601,""/""),,3),INDEX(SPLIT(I1601,""/""),,2),INDEX(SPLIT(I1601,""/""),,1))"),44926.0)</f>
        <v>44926</v>
      </c>
      <c r="L1601" s="1">
        <v>0.0</v>
      </c>
      <c r="M1601" s="1" t="s">
        <v>3474</v>
      </c>
      <c r="N1601" s="1"/>
      <c r="O1601" s="1" t="s">
        <v>30</v>
      </c>
      <c r="P1601" s="1" t="s">
        <v>31</v>
      </c>
      <c r="Q1601" s="1" t="s">
        <v>95</v>
      </c>
      <c r="R1601" s="1" t="s">
        <v>95</v>
      </c>
      <c r="S1601" s="1" t="s">
        <v>96</v>
      </c>
      <c r="U1601" s="1">
        <v>1.00650841E8</v>
      </c>
      <c r="X1601" s="1" t="s">
        <v>490</v>
      </c>
      <c r="Y1601" s="1" t="s">
        <v>3474</v>
      </c>
      <c r="Z1601" s="1" t="s">
        <v>37</v>
      </c>
    </row>
    <row r="1602" hidden="1">
      <c r="A1602" s="1" t="s">
        <v>5327</v>
      </c>
      <c r="B1602" s="1" t="s">
        <v>5328</v>
      </c>
      <c r="C1602" s="1" t="s">
        <v>5329</v>
      </c>
      <c r="D1602" s="1" t="s">
        <v>27</v>
      </c>
      <c r="E1602" s="1" t="s">
        <v>28</v>
      </c>
      <c r="F1602" s="2">
        <v>650000.0</v>
      </c>
      <c r="G1602" s="1" t="s">
        <v>185</v>
      </c>
      <c r="H1602" s="4">
        <f>IFERROR(__xludf.DUMMYFUNCTION("DATE(INDEX(SPLIT(G1602,""/""),,3),INDEX(SPLIT(G1602,""/""),,2),INDEX(SPLIT(G1602,""/""),,1))"),44741.0)</f>
        <v>44741</v>
      </c>
      <c r="I1602" s="1" t="s">
        <v>130</v>
      </c>
      <c r="J1602" s="4">
        <f>IFERROR(__xludf.DUMMYFUNCTION("DATE(INDEX(SPLIT(I1602,""/""),,3),INDEX(SPLIT(I1602,""/""),,2),INDEX(SPLIT(I1602,""/""),,1))"),44804.0)</f>
        <v>44804</v>
      </c>
      <c r="L1602" s="1">
        <v>0.0</v>
      </c>
      <c r="M1602" s="1" t="s">
        <v>5273</v>
      </c>
      <c r="N1602" s="1"/>
      <c r="O1602" s="1" t="s">
        <v>30</v>
      </c>
      <c r="P1602" s="1" t="s">
        <v>31</v>
      </c>
      <c r="Q1602" s="1" t="s">
        <v>188</v>
      </c>
      <c r="R1602" s="1" t="s">
        <v>188</v>
      </c>
      <c r="S1602" s="1" t="s">
        <v>189</v>
      </c>
      <c r="U1602" s="1">
        <v>1.01176139E8</v>
      </c>
      <c r="X1602" s="1" t="s">
        <v>63</v>
      </c>
      <c r="Y1602" s="1" t="s">
        <v>5273</v>
      </c>
      <c r="Z1602" s="1" t="s">
        <v>527</v>
      </c>
    </row>
    <row r="1603">
      <c r="A1603" s="1" t="s">
        <v>5330</v>
      </c>
      <c r="B1603" s="1" t="s">
        <v>5331</v>
      </c>
      <c r="C1603" s="1" t="s">
        <v>5332</v>
      </c>
      <c r="D1603" s="1" t="s">
        <v>78</v>
      </c>
      <c r="E1603" s="1" t="s">
        <v>28</v>
      </c>
      <c r="F1603" s="2">
        <v>650000.0</v>
      </c>
      <c r="G1603" s="1" t="s">
        <v>779</v>
      </c>
      <c r="H1603" s="4">
        <f>IFERROR(__xludf.DUMMYFUNCTION("DATE(INDEX(SPLIT(G1603,""/""),,3),INDEX(SPLIT(G1603,""/""),,2),INDEX(SPLIT(G1603,""/""),,1))"),44734.0)</f>
        <v>44734</v>
      </c>
      <c r="I1603" s="4">
        <v>44872.0</v>
      </c>
      <c r="J1603" s="4">
        <f>IFERROR(__xludf.DUMMYFUNCTION("DATE(INDEX(SPLIT(I1603,""/""),,3),INDEX(SPLIT(I1603,""/""),,2),INDEX(SPLIT(I1603,""/""),,1))"),44753.0)</f>
        <v>44753</v>
      </c>
      <c r="L1603" s="1">
        <v>0.0</v>
      </c>
      <c r="M1603" s="1" t="s">
        <v>4328</v>
      </c>
      <c r="N1603" s="1"/>
      <c r="O1603" s="1" t="s">
        <v>30</v>
      </c>
      <c r="P1603" s="1" t="s">
        <v>31</v>
      </c>
      <c r="Q1603" s="1" t="s">
        <v>32</v>
      </c>
      <c r="R1603" s="1" t="s">
        <v>32</v>
      </c>
      <c r="S1603" s="1" t="s">
        <v>33</v>
      </c>
      <c r="T1603" s="1" t="s">
        <v>1195</v>
      </c>
      <c r="U1603" s="1">
        <v>1.00581763E8</v>
      </c>
      <c r="X1603" s="1" t="s">
        <v>490</v>
      </c>
      <c r="Y1603" s="1" t="s">
        <v>5333</v>
      </c>
      <c r="Z1603" s="1" t="s">
        <v>37</v>
      </c>
    </row>
    <row r="1604" hidden="1">
      <c r="A1604" s="1" t="s">
        <v>5334</v>
      </c>
      <c r="B1604" s="1" t="s">
        <v>162</v>
      </c>
      <c r="C1604" s="1" t="s">
        <v>5335</v>
      </c>
      <c r="D1604" s="1" t="s">
        <v>122</v>
      </c>
      <c r="E1604" s="1" t="s">
        <v>28</v>
      </c>
      <c r="F1604" s="2">
        <v>635000.0</v>
      </c>
      <c r="G1604" s="1" t="s">
        <v>2309</v>
      </c>
      <c r="H1604" s="4">
        <f>IFERROR(__xludf.DUMMYFUNCTION("DATE(INDEX(SPLIT(G1604,""/""),,3),INDEX(SPLIT(G1604,""/""),,2),INDEX(SPLIT(G1604,""/""),,1))"),44672.0)</f>
        <v>44672</v>
      </c>
      <c r="I1604" s="1" t="s">
        <v>1799</v>
      </c>
      <c r="J1604" s="4">
        <f>IFERROR(__xludf.DUMMYFUNCTION("DATE(INDEX(SPLIT(I1604,""/""),,3),INDEX(SPLIT(I1604,""/""),,2),INDEX(SPLIT(I1604,""/""),,1))"),44788.0)</f>
        <v>44788</v>
      </c>
      <c r="L1604" s="1">
        <v>0.0</v>
      </c>
      <c r="M1604" s="1" t="s">
        <v>5336</v>
      </c>
      <c r="N1604" s="1"/>
      <c r="O1604" s="1" t="s">
        <v>30</v>
      </c>
      <c r="P1604" s="1" t="s">
        <v>31</v>
      </c>
      <c r="Q1604" s="1" t="s">
        <v>71</v>
      </c>
      <c r="R1604" s="1" t="s">
        <v>71</v>
      </c>
      <c r="S1604" s="1" t="s">
        <v>72</v>
      </c>
      <c r="T1604" s="1" t="s">
        <v>136</v>
      </c>
      <c r="U1604" s="1">
        <v>1.00615814E8</v>
      </c>
      <c r="X1604" s="1" t="s">
        <v>117</v>
      </c>
      <c r="Y1604" s="1" t="s">
        <v>299</v>
      </c>
      <c r="Z1604" s="1" t="s">
        <v>206</v>
      </c>
    </row>
    <row r="1605" hidden="1">
      <c r="A1605" s="1" t="s">
        <v>5337</v>
      </c>
      <c r="B1605" s="1" t="s">
        <v>1371</v>
      </c>
      <c r="C1605" s="1" t="s">
        <v>5338</v>
      </c>
      <c r="D1605" s="1" t="s">
        <v>78</v>
      </c>
      <c r="E1605" s="1" t="s">
        <v>28</v>
      </c>
      <c r="F1605" s="2">
        <v>635000.0</v>
      </c>
      <c r="G1605" s="4">
        <v>44902.0</v>
      </c>
      <c r="H1605" s="4">
        <f>IFERROR(__xludf.DUMMYFUNCTION("DATE(INDEX(SPLIT(G1605,""/""),,3),INDEX(SPLIT(G1605,""/""),,2),INDEX(SPLIT(G1605,""/""),,1))"),44754.0)</f>
        <v>44754</v>
      </c>
      <c r="I1605" s="4">
        <v>44570.0</v>
      </c>
      <c r="J1605" s="4">
        <f>IFERROR(__xludf.DUMMYFUNCTION("DATE(INDEX(SPLIT(I1605,""/""),,3),INDEX(SPLIT(I1605,""/""),,2),INDEX(SPLIT(I1605,""/""),,1))"),44805.0)</f>
        <v>44805</v>
      </c>
      <c r="L1605" s="1">
        <v>0.0</v>
      </c>
      <c r="M1605" s="1" t="s">
        <v>1484</v>
      </c>
      <c r="N1605" s="1"/>
      <c r="O1605" s="1" t="s">
        <v>30</v>
      </c>
      <c r="P1605" s="1" t="s">
        <v>31</v>
      </c>
      <c r="Q1605" s="1" t="s">
        <v>95</v>
      </c>
      <c r="R1605" s="1" t="s">
        <v>95</v>
      </c>
      <c r="S1605" s="1" t="s">
        <v>96</v>
      </c>
      <c r="T1605" s="1" t="s">
        <v>111</v>
      </c>
      <c r="U1605" s="1">
        <v>1.00585718E8</v>
      </c>
      <c r="X1605" s="1" t="s">
        <v>63</v>
      </c>
      <c r="Y1605" s="1" t="s">
        <v>3541</v>
      </c>
      <c r="Z1605" s="1" t="s">
        <v>37</v>
      </c>
    </row>
    <row r="1606">
      <c r="A1606" s="1" t="s">
        <v>5339</v>
      </c>
      <c r="B1606" s="1" t="s">
        <v>5340</v>
      </c>
      <c r="C1606" s="1" t="s">
        <v>5341</v>
      </c>
      <c r="D1606" s="1" t="s">
        <v>122</v>
      </c>
      <c r="E1606" s="1" t="s">
        <v>28</v>
      </c>
      <c r="F1606" s="2">
        <v>630000.0</v>
      </c>
      <c r="G1606" s="1" t="s">
        <v>5039</v>
      </c>
      <c r="H1606" s="4">
        <f>IFERROR(__xludf.DUMMYFUNCTION("DATE(INDEX(SPLIT(G1606,""/""),,3),INDEX(SPLIT(G1606,""/""),,2),INDEX(SPLIT(G1606,""/""),,1))"),44674.0)</f>
        <v>44674</v>
      </c>
      <c r="I1606" s="4">
        <v>44626.0</v>
      </c>
      <c r="J1606" s="4">
        <f>IFERROR(__xludf.DUMMYFUNCTION("DATE(INDEX(SPLIT(I1606,""/""),,3),INDEX(SPLIT(I1606,""/""),,2),INDEX(SPLIT(I1606,""/""),,1))"),44715.0)</f>
        <v>44715</v>
      </c>
      <c r="L1606" s="1">
        <v>0.0</v>
      </c>
      <c r="M1606" s="1" t="s">
        <v>4563</v>
      </c>
      <c r="N1606" s="1"/>
      <c r="O1606" s="1" t="s">
        <v>30</v>
      </c>
      <c r="P1606" s="1" t="s">
        <v>31</v>
      </c>
      <c r="Q1606" s="1" t="s">
        <v>53</v>
      </c>
      <c r="R1606" s="1" t="s">
        <v>53</v>
      </c>
      <c r="S1606" s="1" t="s">
        <v>54</v>
      </c>
      <c r="U1606" s="1">
        <v>1.00651638E8</v>
      </c>
      <c r="X1606" s="1" t="s">
        <v>98</v>
      </c>
      <c r="Y1606" s="1" t="s">
        <v>4564</v>
      </c>
      <c r="Z1606" s="1" t="s">
        <v>37</v>
      </c>
    </row>
    <row r="1607">
      <c r="A1607" s="1" t="s">
        <v>5342</v>
      </c>
      <c r="B1607" s="1" t="s">
        <v>756</v>
      </c>
      <c r="C1607" s="1" t="s">
        <v>5343</v>
      </c>
      <c r="D1607" s="1" t="s">
        <v>68</v>
      </c>
      <c r="E1607" s="1" t="s">
        <v>28</v>
      </c>
      <c r="F1607" s="2">
        <v>630000.0</v>
      </c>
      <c r="G1607" s="1" t="s">
        <v>1442</v>
      </c>
      <c r="H1607" s="4">
        <f>IFERROR(__xludf.DUMMYFUNCTION("DATE(INDEX(SPLIT(G1607,""/""),,3),INDEX(SPLIT(G1607,""/""),,2),INDEX(SPLIT(G1607,""/""),,1))"),44727.0)</f>
        <v>44727</v>
      </c>
      <c r="I1607" s="1" t="s">
        <v>414</v>
      </c>
      <c r="J1607" s="4">
        <f>IFERROR(__xludf.DUMMYFUNCTION("DATE(INDEX(SPLIT(I1607,""/""),,3),INDEX(SPLIT(I1607,""/""),,2),INDEX(SPLIT(I1607,""/""),,1))"),44772.0)</f>
        <v>44772</v>
      </c>
      <c r="L1607" s="1">
        <v>0.0</v>
      </c>
      <c r="M1607" s="1" t="s">
        <v>459</v>
      </c>
      <c r="N1607" s="1"/>
      <c r="O1607" s="1" t="s">
        <v>30</v>
      </c>
      <c r="P1607" s="1" t="s">
        <v>31</v>
      </c>
      <c r="Q1607" s="1" t="s">
        <v>53</v>
      </c>
      <c r="R1607" s="1" t="s">
        <v>53</v>
      </c>
      <c r="S1607" s="1" t="s">
        <v>54</v>
      </c>
      <c r="T1607" s="1" t="s">
        <v>87</v>
      </c>
      <c r="U1607" s="1">
        <v>1.00653756E8</v>
      </c>
      <c r="X1607" s="1" t="s">
        <v>88</v>
      </c>
      <c r="Y1607" s="1" t="s">
        <v>459</v>
      </c>
      <c r="Z1607" s="1" t="s">
        <v>37</v>
      </c>
    </row>
    <row r="1608" hidden="1">
      <c r="A1608" s="1" t="s">
        <v>5344</v>
      </c>
      <c r="B1608" s="1" t="s">
        <v>756</v>
      </c>
      <c r="C1608" s="1" t="s">
        <v>5345</v>
      </c>
      <c r="D1608" s="1" t="s">
        <v>27</v>
      </c>
      <c r="E1608" s="1" t="s">
        <v>28</v>
      </c>
      <c r="F1608" s="2">
        <v>630000.0</v>
      </c>
      <c r="G1608" s="1" t="s">
        <v>503</v>
      </c>
      <c r="H1608" s="4">
        <f>IFERROR(__xludf.DUMMYFUNCTION("DATE(INDEX(SPLIT(G1608,""/""),,3),INDEX(SPLIT(G1608,""/""),,2),INDEX(SPLIT(G1608,""/""),,1))"),44736.0)</f>
        <v>44736</v>
      </c>
      <c r="I1608" s="1" t="s">
        <v>203</v>
      </c>
      <c r="J1608" s="4">
        <f>IFERROR(__xludf.DUMMYFUNCTION("DATE(INDEX(SPLIT(I1608,""/""),,3),INDEX(SPLIT(I1608,""/""),,2),INDEX(SPLIT(I1608,""/""),,1))"),44925.0)</f>
        <v>44925</v>
      </c>
      <c r="L1608" s="1">
        <v>0.0</v>
      </c>
      <c r="M1608" s="1" t="s">
        <v>459</v>
      </c>
      <c r="N1608" s="1"/>
      <c r="O1608" s="1" t="s">
        <v>30</v>
      </c>
      <c r="P1608" s="1" t="s">
        <v>31</v>
      </c>
      <c r="Q1608" s="1" t="s">
        <v>53</v>
      </c>
      <c r="R1608" s="1" t="s">
        <v>53</v>
      </c>
      <c r="S1608" s="1" t="s">
        <v>54</v>
      </c>
      <c r="T1608" s="1" t="s">
        <v>87</v>
      </c>
      <c r="U1608" s="1">
        <v>1.00653756E8</v>
      </c>
      <c r="X1608" s="1" t="s">
        <v>88</v>
      </c>
      <c r="Y1608" s="1" t="s">
        <v>459</v>
      </c>
      <c r="Z1608" s="1" t="s">
        <v>37</v>
      </c>
    </row>
    <row r="1609" hidden="1">
      <c r="A1609" s="1" t="s">
        <v>5346</v>
      </c>
      <c r="B1609" s="1" t="s">
        <v>4458</v>
      </c>
      <c r="C1609" s="1" t="s">
        <v>5347</v>
      </c>
      <c r="D1609" s="1" t="s">
        <v>122</v>
      </c>
      <c r="E1609" s="1" t="s">
        <v>28</v>
      </c>
      <c r="F1609" s="2">
        <v>630000.0</v>
      </c>
      <c r="G1609" s="1" t="s">
        <v>1521</v>
      </c>
      <c r="H1609" s="4">
        <f>IFERROR(__xludf.DUMMYFUNCTION("DATE(INDEX(SPLIT(G1609,""/""),,3),INDEX(SPLIT(G1609,""/""),,2),INDEX(SPLIT(G1609,""/""),,1))"),44756.0)</f>
        <v>44756</v>
      </c>
      <c r="I1609" s="4">
        <v>44689.0</v>
      </c>
      <c r="J1609" s="4">
        <f>IFERROR(__xludf.DUMMYFUNCTION("DATE(INDEX(SPLIT(I1609,""/""),,3),INDEX(SPLIT(I1609,""/""),,2),INDEX(SPLIT(I1609,""/""),,1))"),44778.0)</f>
        <v>44778</v>
      </c>
      <c r="L1609" s="1">
        <v>0.0</v>
      </c>
      <c r="M1609" s="1" t="s">
        <v>187</v>
      </c>
      <c r="N1609" s="1"/>
      <c r="O1609" s="1" t="s">
        <v>30</v>
      </c>
      <c r="P1609" s="1" t="s">
        <v>31</v>
      </c>
      <c r="Q1609" s="1" t="s">
        <v>188</v>
      </c>
      <c r="R1609" s="1" t="s">
        <v>188</v>
      </c>
      <c r="S1609" s="1" t="s">
        <v>189</v>
      </c>
      <c r="U1609" s="1">
        <v>1.00613095E8</v>
      </c>
      <c r="X1609" s="1" t="s">
        <v>63</v>
      </c>
      <c r="Y1609" s="1" t="s">
        <v>5348</v>
      </c>
      <c r="Z1609" s="1" t="s">
        <v>37</v>
      </c>
    </row>
    <row r="1610">
      <c r="A1610" s="1" t="s">
        <v>5349</v>
      </c>
      <c r="B1610" s="1" t="s">
        <v>1216</v>
      </c>
      <c r="C1610" s="1" t="s">
        <v>5350</v>
      </c>
      <c r="D1610" s="1" t="s">
        <v>78</v>
      </c>
      <c r="E1610" s="1" t="s">
        <v>28</v>
      </c>
      <c r="F1610" s="2">
        <v>625000.0</v>
      </c>
      <c r="G1610" s="1" t="s">
        <v>551</v>
      </c>
      <c r="H1610" s="4">
        <f>IFERROR(__xludf.DUMMYFUNCTION("DATE(INDEX(SPLIT(G1610,""/""),,3),INDEX(SPLIT(G1610,""/""),,2),INDEX(SPLIT(G1610,""/""),,1))"),44701.0)</f>
        <v>44701</v>
      </c>
      <c r="I1610" s="1" t="s">
        <v>1244</v>
      </c>
      <c r="J1610" s="4">
        <f>IFERROR(__xludf.DUMMYFUNCTION("DATE(INDEX(SPLIT(I1610,""/""),,3),INDEX(SPLIT(I1610,""/""),,2),INDEX(SPLIT(I1610,""/""),,1))"),44742.0)</f>
        <v>44742</v>
      </c>
      <c r="L1610" s="1">
        <v>0.0</v>
      </c>
      <c r="M1610" s="1" t="s">
        <v>5351</v>
      </c>
      <c r="N1610" s="1"/>
      <c r="O1610" s="1" t="s">
        <v>30</v>
      </c>
      <c r="P1610" s="1" t="s">
        <v>31</v>
      </c>
      <c r="Q1610" s="1" t="s">
        <v>235</v>
      </c>
      <c r="R1610" s="1" t="s">
        <v>235</v>
      </c>
      <c r="S1610" s="1" t="s">
        <v>236</v>
      </c>
      <c r="U1610" s="1">
        <v>1.0060792E8</v>
      </c>
      <c r="X1610" s="1" t="s">
        <v>88</v>
      </c>
      <c r="Y1610" s="1" t="s">
        <v>5352</v>
      </c>
      <c r="Z1610" s="1" t="s">
        <v>37</v>
      </c>
    </row>
    <row r="1611" hidden="1">
      <c r="A1611" s="1" t="s">
        <v>5353</v>
      </c>
      <c r="B1611" s="1" t="s">
        <v>470</v>
      </c>
      <c r="C1611" s="1" t="s">
        <v>5354</v>
      </c>
      <c r="D1611" s="1" t="s">
        <v>27</v>
      </c>
      <c r="E1611" s="1" t="s">
        <v>28</v>
      </c>
      <c r="F1611" s="2">
        <v>620000.0</v>
      </c>
      <c r="G1611" s="4">
        <v>44774.0</v>
      </c>
      <c r="H1611" s="4">
        <f>IFERROR(__xludf.DUMMYFUNCTION("DATE(INDEX(SPLIT(G1611,""/""),,3),INDEX(SPLIT(G1611,""/""),,2),INDEX(SPLIT(G1611,""/""),,1))"),44569.0)</f>
        <v>44569</v>
      </c>
      <c r="I1611" s="4">
        <v>44630.0</v>
      </c>
      <c r="J1611" s="4">
        <f>IFERROR(__xludf.DUMMYFUNCTION("DATE(INDEX(SPLIT(I1611,""/""),,3),INDEX(SPLIT(I1611,""/""),,2),INDEX(SPLIT(I1611,""/""),,1))"),44837.0)</f>
        <v>44837</v>
      </c>
      <c r="L1611" s="1">
        <v>0.0</v>
      </c>
      <c r="M1611" s="1" t="s">
        <v>4117</v>
      </c>
      <c r="N1611" s="1"/>
      <c r="O1611" s="1" t="s">
        <v>30</v>
      </c>
      <c r="P1611" s="1" t="s">
        <v>31</v>
      </c>
      <c r="Q1611" s="1" t="s">
        <v>95</v>
      </c>
      <c r="R1611" s="1" t="s">
        <v>95</v>
      </c>
      <c r="S1611" s="1" t="s">
        <v>96</v>
      </c>
      <c r="T1611" s="1" t="s">
        <v>97</v>
      </c>
      <c r="U1611" s="1">
        <v>1.00658777E8</v>
      </c>
      <c r="X1611" s="1" t="s">
        <v>254</v>
      </c>
      <c r="Y1611" s="1" t="s">
        <v>5355</v>
      </c>
      <c r="Z1611" s="1" t="s">
        <v>206</v>
      </c>
    </row>
    <row r="1612" hidden="1">
      <c r="A1612" s="1" t="s">
        <v>5356</v>
      </c>
      <c r="B1612" s="1" t="s">
        <v>5357</v>
      </c>
      <c r="C1612" s="1" t="s">
        <v>5358</v>
      </c>
      <c r="D1612" s="1" t="s">
        <v>78</v>
      </c>
      <c r="E1612" s="1" t="s">
        <v>28</v>
      </c>
      <c r="F1612" s="2">
        <v>620000.0</v>
      </c>
      <c r="G1612" s="1" t="s">
        <v>862</v>
      </c>
      <c r="H1612" s="4">
        <f>IFERROR(__xludf.DUMMYFUNCTION("DATE(INDEX(SPLIT(G1612,""/""),,3),INDEX(SPLIT(G1612,""/""),,2),INDEX(SPLIT(G1612,""/""),,1))"),44699.0)</f>
        <v>44699</v>
      </c>
      <c r="I1612" s="4">
        <v>44689.0</v>
      </c>
      <c r="J1612" s="4">
        <f>IFERROR(__xludf.DUMMYFUNCTION("DATE(INDEX(SPLIT(I1612,""/""),,3),INDEX(SPLIT(I1612,""/""),,2),INDEX(SPLIT(I1612,""/""),,1))"),44778.0)</f>
        <v>44778</v>
      </c>
      <c r="L1612" s="1">
        <v>0.0</v>
      </c>
      <c r="M1612" s="1" t="s">
        <v>5359</v>
      </c>
      <c r="N1612" s="1"/>
      <c r="O1612" s="1" t="s">
        <v>30</v>
      </c>
      <c r="P1612" s="1" t="s">
        <v>31</v>
      </c>
      <c r="Q1612" s="1" t="s">
        <v>95</v>
      </c>
      <c r="R1612" s="1" t="s">
        <v>95</v>
      </c>
      <c r="S1612" s="1" t="s">
        <v>96</v>
      </c>
      <c r="T1612" s="1" t="s">
        <v>217</v>
      </c>
      <c r="U1612" s="1">
        <v>1.00656882E8</v>
      </c>
      <c r="X1612" s="1" t="s">
        <v>81</v>
      </c>
      <c r="Y1612" s="1" t="s">
        <v>5360</v>
      </c>
      <c r="Z1612" s="1" t="s">
        <v>37</v>
      </c>
    </row>
    <row r="1613" hidden="1">
      <c r="A1613" s="1" t="s">
        <v>5361</v>
      </c>
      <c r="B1613" s="1" t="s">
        <v>479</v>
      </c>
      <c r="C1613" s="1" t="s">
        <v>5362</v>
      </c>
      <c r="D1613" s="1" t="s">
        <v>122</v>
      </c>
      <c r="E1613" s="1" t="s">
        <v>28</v>
      </c>
      <c r="F1613" s="2">
        <v>615000.0</v>
      </c>
      <c r="G1613" s="1" t="s">
        <v>1438</v>
      </c>
      <c r="H1613" s="4">
        <f>IFERROR(__xludf.DUMMYFUNCTION("DATE(INDEX(SPLIT(G1613,""/""),,3),INDEX(SPLIT(G1613,""/""),,2),INDEX(SPLIT(G1613,""/""),,1))"),44708.0)</f>
        <v>44708</v>
      </c>
      <c r="I1613" s="1" t="s">
        <v>130</v>
      </c>
      <c r="J1613" s="4">
        <f>IFERROR(__xludf.DUMMYFUNCTION("DATE(INDEX(SPLIT(I1613,""/""),,3),INDEX(SPLIT(I1613,""/""),,2),INDEX(SPLIT(I1613,""/""),,1))"),44804.0)</f>
        <v>44804</v>
      </c>
      <c r="L1613" s="1">
        <v>0.0</v>
      </c>
      <c r="M1613" s="1" t="s">
        <v>482</v>
      </c>
      <c r="N1613" s="1"/>
      <c r="O1613" s="1" t="s">
        <v>30</v>
      </c>
      <c r="P1613" s="1" t="s">
        <v>31</v>
      </c>
      <c r="Q1613" s="1" t="s">
        <v>95</v>
      </c>
      <c r="R1613" s="1" t="s">
        <v>95</v>
      </c>
      <c r="S1613" s="1" t="s">
        <v>96</v>
      </c>
      <c r="T1613" s="1" t="s">
        <v>311</v>
      </c>
      <c r="U1613" s="1">
        <v>1.00657929E8</v>
      </c>
      <c r="X1613" s="1" t="s">
        <v>312</v>
      </c>
      <c r="Y1613" s="1" t="s">
        <v>5363</v>
      </c>
      <c r="Z1613" s="1" t="s">
        <v>37</v>
      </c>
    </row>
    <row r="1614">
      <c r="A1614" s="1" t="s">
        <v>5364</v>
      </c>
      <c r="B1614" s="1" t="s">
        <v>896</v>
      </c>
      <c r="C1614" s="1" t="s">
        <v>5365</v>
      </c>
      <c r="D1614" s="1" t="s">
        <v>78</v>
      </c>
      <c r="E1614" s="1" t="s">
        <v>28</v>
      </c>
      <c r="F1614" s="2">
        <v>612244.0</v>
      </c>
      <c r="G1614" s="1" t="s">
        <v>2309</v>
      </c>
      <c r="H1614" s="4">
        <f>IFERROR(__xludf.DUMMYFUNCTION("DATE(INDEX(SPLIT(G1614,""/""),,3),INDEX(SPLIT(G1614,""/""),,2),INDEX(SPLIT(G1614,""/""),,1))"),44672.0)</f>
        <v>44672</v>
      </c>
      <c r="I1614" s="1" t="s">
        <v>1438</v>
      </c>
      <c r="J1614" s="4">
        <f>IFERROR(__xludf.DUMMYFUNCTION("DATE(INDEX(SPLIT(I1614,""/""),,3),INDEX(SPLIT(I1614,""/""),,2),INDEX(SPLIT(I1614,""/""),,1))"),44708.0)</f>
        <v>44708</v>
      </c>
      <c r="L1614" s="1">
        <v>0.0</v>
      </c>
      <c r="M1614" s="1" t="s">
        <v>5366</v>
      </c>
      <c r="N1614" s="1"/>
      <c r="O1614" s="1" t="s">
        <v>30</v>
      </c>
      <c r="P1614" s="1" t="s">
        <v>31</v>
      </c>
      <c r="Q1614" s="1" t="s">
        <v>157</v>
      </c>
      <c r="R1614" s="1" t="s">
        <v>157</v>
      </c>
      <c r="S1614" s="1" t="s">
        <v>158</v>
      </c>
      <c r="T1614" s="1" t="s">
        <v>159</v>
      </c>
      <c r="U1614" s="1">
        <v>1.00609544E8</v>
      </c>
      <c r="X1614" s="1" t="s">
        <v>490</v>
      </c>
      <c r="Y1614" s="1" t="s">
        <v>5367</v>
      </c>
      <c r="Z1614" s="1" t="s">
        <v>37</v>
      </c>
    </row>
    <row r="1615" hidden="1">
      <c r="A1615" s="1" t="s">
        <v>5368</v>
      </c>
      <c r="B1615" s="1" t="s">
        <v>2265</v>
      </c>
      <c r="C1615" s="1" t="s">
        <v>5369</v>
      </c>
      <c r="D1615" s="1" t="s">
        <v>68</v>
      </c>
      <c r="E1615" s="1" t="s">
        <v>28</v>
      </c>
      <c r="F1615" s="2">
        <v>610000.0</v>
      </c>
      <c r="G1615" s="4">
        <v>44653.0</v>
      </c>
      <c r="H1615" s="4">
        <f>IFERROR(__xludf.DUMMYFUNCTION("DATE(INDEX(SPLIT(G1615,""/""),,3),INDEX(SPLIT(G1615,""/""),,2),INDEX(SPLIT(G1615,""/""),,1))"),44596.0)</f>
        <v>44596</v>
      </c>
      <c r="I1615" s="1" t="s">
        <v>109</v>
      </c>
      <c r="J1615" s="4">
        <f>IFERROR(__xludf.DUMMYFUNCTION("DATE(INDEX(SPLIT(I1615,""/""),,3),INDEX(SPLIT(I1615,""/""),,2),INDEX(SPLIT(I1615,""/""),,1))"),44834.0)</f>
        <v>44834</v>
      </c>
      <c r="L1615" s="1">
        <v>0.0</v>
      </c>
      <c r="M1615" s="1" t="s">
        <v>2325</v>
      </c>
      <c r="N1615" s="1"/>
      <c r="O1615" s="1" t="s">
        <v>30</v>
      </c>
      <c r="P1615" s="1" t="s">
        <v>31</v>
      </c>
      <c r="Q1615" s="1" t="s">
        <v>235</v>
      </c>
      <c r="R1615" s="1" t="s">
        <v>235</v>
      </c>
      <c r="S1615" s="1" t="s">
        <v>236</v>
      </c>
      <c r="T1615" s="1" t="s">
        <v>237</v>
      </c>
      <c r="U1615" s="1">
        <v>1.00649726E8</v>
      </c>
      <c r="X1615" s="1" t="s">
        <v>239</v>
      </c>
      <c r="Y1615" s="1" t="s">
        <v>2325</v>
      </c>
      <c r="Z1615" s="1" t="s">
        <v>37</v>
      </c>
    </row>
    <row r="1616" hidden="1">
      <c r="A1616" s="1" t="s">
        <v>5370</v>
      </c>
      <c r="B1616" s="1" t="s">
        <v>1371</v>
      </c>
      <c r="C1616" s="1" t="s">
        <v>5371</v>
      </c>
      <c r="D1616" s="1" t="s">
        <v>27</v>
      </c>
      <c r="E1616" s="1" t="s">
        <v>28</v>
      </c>
      <c r="F1616" s="2">
        <v>610000.0</v>
      </c>
      <c r="G1616" s="1" t="s">
        <v>2297</v>
      </c>
      <c r="H1616" s="4">
        <f>IFERROR(__xludf.DUMMYFUNCTION("DATE(INDEX(SPLIT(G1616,""/""),,3),INDEX(SPLIT(G1616,""/""),,2),INDEX(SPLIT(G1616,""/""),,1))"),44730.0)</f>
        <v>44730</v>
      </c>
      <c r="I1616" s="1" t="s">
        <v>42</v>
      </c>
      <c r="J1616" s="4">
        <f>IFERROR(__xludf.DUMMYFUNCTION("DATE(INDEX(SPLIT(I1616,""/""),,3),INDEX(SPLIT(I1616,""/""),,2),INDEX(SPLIT(I1616,""/""),,1))"),44926.0)</f>
        <v>44926</v>
      </c>
      <c r="L1616" s="1">
        <v>0.0</v>
      </c>
      <c r="M1616" s="1" t="s">
        <v>1484</v>
      </c>
      <c r="N1616" s="1"/>
      <c r="O1616" s="1" t="s">
        <v>30</v>
      </c>
      <c r="P1616" s="1" t="s">
        <v>31</v>
      </c>
      <c r="Q1616" s="1" t="s">
        <v>95</v>
      </c>
      <c r="R1616" s="1" t="s">
        <v>95</v>
      </c>
      <c r="S1616" s="1" t="s">
        <v>96</v>
      </c>
      <c r="T1616" s="1" t="s">
        <v>111</v>
      </c>
      <c r="U1616" s="1">
        <v>1.00585718E8</v>
      </c>
      <c r="X1616" s="1" t="s">
        <v>63</v>
      </c>
      <c r="Y1616" s="1" t="s">
        <v>3541</v>
      </c>
      <c r="Z1616" s="1" t="s">
        <v>37</v>
      </c>
    </row>
    <row r="1617" hidden="1">
      <c r="A1617" s="1" t="s">
        <v>5372</v>
      </c>
      <c r="B1617" s="1" t="s">
        <v>1720</v>
      </c>
      <c r="C1617" s="1" t="s">
        <v>5373</v>
      </c>
      <c r="D1617" s="1" t="s">
        <v>27</v>
      </c>
      <c r="E1617" s="1" t="s">
        <v>28</v>
      </c>
      <c r="F1617" s="2">
        <v>600000.0</v>
      </c>
      <c r="G1617" s="4">
        <v>43778.0</v>
      </c>
      <c r="H1617" s="4">
        <f>IFERROR(__xludf.DUMMYFUNCTION("DATE(INDEX(SPLIT(G1617,""/""),,3),INDEX(SPLIT(G1617,""/""),,2),INDEX(SPLIT(G1617,""/""),,1))"),43719.0)</f>
        <v>43719</v>
      </c>
      <c r="I1617" s="1" t="s">
        <v>317</v>
      </c>
      <c r="J1617" s="4">
        <f>IFERROR(__xludf.DUMMYFUNCTION("DATE(INDEX(SPLIT(I1617,""/""),,3),INDEX(SPLIT(I1617,""/""),,2),INDEX(SPLIT(I1617,""/""),,1))"),44862.0)</f>
        <v>44862</v>
      </c>
      <c r="L1617" s="1">
        <v>0.0</v>
      </c>
      <c r="M1617" s="1" t="s">
        <v>2592</v>
      </c>
      <c r="N1617" s="1"/>
      <c r="O1617" s="1" t="s">
        <v>30</v>
      </c>
      <c r="P1617" s="1" t="s">
        <v>31</v>
      </c>
      <c r="Q1617" s="1" t="s">
        <v>71</v>
      </c>
      <c r="R1617" s="1" t="s">
        <v>71</v>
      </c>
      <c r="S1617" s="1" t="s">
        <v>72</v>
      </c>
      <c r="T1617" s="1" t="s">
        <v>136</v>
      </c>
      <c r="U1617" s="1">
        <v>1.00586452E8</v>
      </c>
      <c r="X1617" s="1" t="s">
        <v>74</v>
      </c>
      <c r="Y1617" s="1" t="s">
        <v>3650</v>
      </c>
      <c r="Z1617" s="1" t="s">
        <v>37</v>
      </c>
    </row>
    <row r="1618">
      <c r="A1618" s="1" t="s">
        <v>5374</v>
      </c>
      <c r="B1618" s="1" t="s">
        <v>1144</v>
      </c>
      <c r="C1618" s="1" t="s">
        <v>5375</v>
      </c>
      <c r="D1618" s="1" t="s">
        <v>78</v>
      </c>
      <c r="E1618" s="1" t="s">
        <v>28</v>
      </c>
      <c r="F1618" s="2">
        <v>600000.0</v>
      </c>
      <c r="G1618" s="4">
        <v>44840.0</v>
      </c>
      <c r="H1618" s="4">
        <f>IFERROR(__xludf.DUMMYFUNCTION("DATE(INDEX(SPLIT(G1618,""/""),,3),INDEX(SPLIT(G1618,""/""),,2),INDEX(SPLIT(G1618,""/""),,1))"),44722.0)</f>
        <v>44722</v>
      </c>
      <c r="I1618" s="1" t="s">
        <v>518</v>
      </c>
      <c r="J1618" s="4">
        <f>IFERROR(__xludf.DUMMYFUNCTION("DATE(INDEX(SPLIT(I1618,""/""),,3),INDEX(SPLIT(I1618,""/""),,2),INDEX(SPLIT(I1618,""/""),,1))"),44757.0)</f>
        <v>44757</v>
      </c>
      <c r="L1618" s="1">
        <v>0.0</v>
      </c>
      <c r="M1618" s="1" t="s">
        <v>2613</v>
      </c>
      <c r="N1618" s="1"/>
      <c r="O1618" s="1" t="s">
        <v>30</v>
      </c>
      <c r="P1618" s="1" t="s">
        <v>31</v>
      </c>
      <c r="Q1618" s="1" t="s">
        <v>157</v>
      </c>
      <c r="R1618" s="1" t="s">
        <v>157</v>
      </c>
      <c r="S1618" s="1" t="s">
        <v>158</v>
      </c>
      <c r="U1618" s="1">
        <v>1.00628059E8</v>
      </c>
      <c r="X1618" s="1" t="s">
        <v>63</v>
      </c>
      <c r="Y1618" s="1" t="s">
        <v>5376</v>
      </c>
      <c r="Z1618" s="1" t="s">
        <v>37</v>
      </c>
    </row>
    <row r="1619">
      <c r="A1619" s="1" t="s">
        <v>5377</v>
      </c>
      <c r="B1619" s="1" t="s">
        <v>5378</v>
      </c>
      <c r="C1619" s="1" t="s">
        <v>5379</v>
      </c>
      <c r="D1619" s="1" t="s">
        <v>68</v>
      </c>
      <c r="E1619" s="1" t="s">
        <v>28</v>
      </c>
      <c r="F1619" s="2">
        <v>600000.0</v>
      </c>
      <c r="G1619" s="4">
        <v>44568.0</v>
      </c>
      <c r="H1619" s="4">
        <f>IFERROR(__xludf.DUMMYFUNCTION("DATE(INDEX(SPLIT(G1619,""/""),,3),INDEX(SPLIT(G1619,""/""),,2),INDEX(SPLIT(G1619,""/""),,1))"),44743.0)</f>
        <v>44743</v>
      </c>
      <c r="I1619" s="4">
        <v>44780.0</v>
      </c>
      <c r="J1619" s="4">
        <f>IFERROR(__xludf.DUMMYFUNCTION("DATE(INDEX(SPLIT(I1619,""/""),,3),INDEX(SPLIT(I1619,""/""),,2),INDEX(SPLIT(I1619,""/""),,1))"),44750.0)</f>
        <v>44750</v>
      </c>
      <c r="L1619" s="1">
        <v>0.0</v>
      </c>
      <c r="M1619" s="1" t="s">
        <v>5380</v>
      </c>
      <c r="N1619" s="1"/>
      <c r="O1619" s="1" t="s">
        <v>30</v>
      </c>
      <c r="P1619" s="1" t="s">
        <v>31</v>
      </c>
      <c r="Q1619" s="1" t="s">
        <v>188</v>
      </c>
      <c r="R1619" s="1" t="s">
        <v>188</v>
      </c>
      <c r="S1619" s="1" t="s">
        <v>189</v>
      </c>
      <c r="T1619" s="1" t="s">
        <v>345</v>
      </c>
      <c r="U1619" s="1">
        <v>1.00592561E8</v>
      </c>
      <c r="X1619" s="1" t="s">
        <v>239</v>
      </c>
      <c r="Y1619" s="1" t="s">
        <v>5381</v>
      </c>
      <c r="Z1619" s="1" t="s">
        <v>37</v>
      </c>
    </row>
    <row r="1620">
      <c r="A1620" s="1" t="s">
        <v>5382</v>
      </c>
      <c r="B1620" s="1" t="s">
        <v>617</v>
      </c>
      <c r="C1620" s="1" t="s">
        <v>5383</v>
      </c>
      <c r="D1620" s="1" t="s">
        <v>27</v>
      </c>
      <c r="E1620" s="1" t="s">
        <v>28</v>
      </c>
      <c r="F1620" s="2">
        <v>600000.0</v>
      </c>
      <c r="G1620" s="4">
        <v>44775.0</v>
      </c>
      <c r="H1620" s="4">
        <f>IFERROR(__xludf.DUMMYFUNCTION("DATE(INDEX(SPLIT(G1620,""/""),,3),INDEX(SPLIT(G1620,""/""),,2),INDEX(SPLIT(G1620,""/""),,1))"),44600.0)</f>
        <v>44600</v>
      </c>
      <c r="I1620" s="1" t="s">
        <v>503</v>
      </c>
      <c r="J1620" s="4">
        <f>IFERROR(__xludf.DUMMYFUNCTION("DATE(INDEX(SPLIT(I1620,""/""),,3),INDEX(SPLIT(I1620,""/""),,2),INDEX(SPLIT(I1620,""/""),,1))"),44736.0)</f>
        <v>44736</v>
      </c>
      <c r="L1620" s="1">
        <v>0.0</v>
      </c>
      <c r="M1620" s="1" t="s">
        <v>1925</v>
      </c>
      <c r="N1620" s="1"/>
      <c r="O1620" s="1" t="s">
        <v>30</v>
      </c>
      <c r="P1620" s="1" t="s">
        <v>31</v>
      </c>
      <c r="Q1620" s="1" t="s">
        <v>32</v>
      </c>
      <c r="R1620" s="1" t="s">
        <v>32</v>
      </c>
      <c r="S1620" s="1" t="s">
        <v>33</v>
      </c>
      <c r="U1620" s="1">
        <v>1.00626539E8</v>
      </c>
      <c r="X1620" s="1" t="s">
        <v>81</v>
      </c>
      <c r="Y1620" s="1" t="s">
        <v>1925</v>
      </c>
      <c r="Z1620" s="1" t="s">
        <v>527</v>
      </c>
    </row>
    <row r="1621">
      <c r="A1621" s="1" t="s">
        <v>5384</v>
      </c>
      <c r="B1621" s="1" t="s">
        <v>1748</v>
      </c>
      <c r="C1621" s="1" t="s">
        <v>5385</v>
      </c>
      <c r="D1621" s="1" t="s">
        <v>68</v>
      </c>
      <c r="E1621" s="1" t="s">
        <v>28</v>
      </c>
      <c r="F1621" s="2">
        <v>600000.0</v>
      </c>
      <c r="G1621" s="4">
        <v>44900.0</v>
      </c>
      <c r="H1621" s="4">
        <f>IFERROR(__xludf.DUMMYFUNCTION("DATE(INDEX(SPLIT(G1621,""/""),,3),INDEX(SPLIT(G1621,""/""),,2),INDEX(SPLIT(G1621,""/""),,1))"),44693.0)</f>
        <v>44693</v>
      </c>
      <c r="I1621" s="1" t="s">
        <v>226</v>
      </c>
      <c r="J1621" s="4">
        <f>IFERROR(__xludf.DUMMYFUNCTION("DATE(INDEX(SPLIT(I1621,""/""),,3),INDEX(SPLIT(I1621,""/""),,2),INDEX(SPLIT(I1621,""/""),,1))"),44771.0)</f>
        <v>44771</v>
      </c>
      <c r="L1621" s="1">
        <v>0.0</v>
      </c>
      <c r="M1621" s="1" t="s">
        <v>1260</v>
      </c>
      <c r="N1621" s="1"/>
      <c r="O1621" s="1" t="s">
        <v>30</v>
      </c>
      <c r="P1621" s="1" t="s">
        <v>31</v>
      </c>
      <c r="Q1621" s="1" t="s">
        <v>228</v>
      </c>
      <c r="R1621" s="1" t="s">
        <v>228</v>
      </c>
      <c r="S1621" s="1" t="s">
        <v>229</v>
      </c>
      <c r="U1621" s="1">
        <v>1.01211068E8</v>
      </c>
      <c r="X1621" s="1" t="s">
        <v>88</v>
      </c>
      <c r="Y1621" s="1" t="s">
        <v>5386</v>
      </c>
      <c r="Z1621" s="1" t="s">
        <v>37</v>
      </c>
    </row>
    <row r="1622" hidden="1">
      <c r="A1622" s="1" t="s">
        <v>5387</v>
      </c>
      <c r="B1622" s="1" t="s">
        <v>5388</v>
      </c>
      <c r="C1622" s="1" t="s">
        <v>5389</v>
      </c>
      <c r="D1622" s="1" t="s">
        <v>27</v>
      </c>
      <c r="E1622" s="1" t="s">
        <v>28</v>
      </c>
      <c r="F1622" s="2">
        <v>600000.0</v>
      </c>
      <c r="G1622" s="1" t="s">
        <v>5390</v>
      </c>
      <c r="H1622" s="4">
        <f>IFERROR(__xludf.DUMMYFUNCTION("DATE(INDEX(SPLIT(G1622,""/""),,3),INDEX(SPLIT(G1622,""/""),,2),INDEX(SPLIT(G1622,""/""),,1))"),44307.0)</f>
        <v>44307</v>
      </c>
      <c r="I1622" s="1" t="s">
        <v>109</v>
      </c>
      <c r="J1622" s="4">
        <f>IFERROR(__xludf.DUMMYFUNCTION("DATE(INDEX(SPLIT(I1622,""/""),,3),INDEX(SPLIT(I1622,""/""),,2),INDEX(SPLIT(I1622,""/""),,1))"),44834.0)</f>
        <v>44834</v>
      </c>
      <c r="L1622" s="1">
        <v>0.0</v>
      </c>
      <c r="M1622" s="1" t="s">
        <v>4243</v>
      </c>
      <c r="N1622" s="1"/>
      <c r="O1622" s="1" t="s">
        <v>30</v>
      </c>
      <c r="P1622" s="1" t="s">
        <v>31</v>
      </c>
      <c r="Q1622" s="1" t="s">
        <v>157</v>
      </c>
      <c r="R1622" s="1" t="s">
        <v>157</v>
      </c>
      <c r="S1622" s="1" t="s">
        <v>158</v>
      </c>
      <c r="T1622" s="1" t="s">
        <v>159</v>
      </c>
      <c r="U1622" s="1">
        <v>1.0058537E8</v>
      </c>
      <c r="X1622" s="1" t="s">
        <v>490</v>
      </c>
      <c r="Y1622" s="1" t="s">
        <v>4243</v>
      </c>
      <c r="Z1622" s="1" t="s">
        <v>37</v>
      </c>
    </row>
    <row r="1623" hidden="1">
      <c r="A1623" s="1" t="s">
        <v>5391</v>
      </c>
      <c r="B1623" s="1" t="s">
        <v>5392</v>
      </c>
      <c r="C1623" s="1" t="s">
        <v>5393</v>
      </c>
      <c r="D1623" s="1" t="s">
        <v>78</v>
      </c>
      <c r="E1623" s="1" t="s">
        <v>28</v>
      </c>
      <c r="F1623" s="2">
        <v>600000.0</v>
      </c>
      <c r="G1623" s="4">
        <v>44626.0</v>
      </c>
      <c r="H1623" s="4">
        <f>IFERROR(__xludf.DUMMYFUNCTION("DATE(INDEX(SPLIT(G1623,""/""),,3),INDEX(SPLIT(G1623,""/""),,2),INDEX(SPLIT(G1623,""/""),,1))"),44715.0)</f>
        <v>44715</v>
      </c>
      <c r="I1623" s="4">
        <v>44570.0</v>
      </c>
      <c r="J1623" s="4">
        <f>IFERROR(__xludf.DUMMYFUNCTION("DATE(INDEX(SPLIT(I1623,""/""),,3),INDEX(SPLIT(I1623,""/""),,2),INDEX(SPLIT(I1623,""/""),,1))"),44805.0)</f>
        <v>44805</v>
      </c>
      <c r="L1623" s="1">
        <v>0.0</v>
      </c>
      <c r="M1623" s="1" t="s">
        <v>1098</v>
      </c>
      <c r="N1623" s="1"/>
      <c r="O1623" s="1" t="s">
        <v>30</v>
      </c>
      <c r="P1623" s="1" t="s">
        <v>31</v>
      </c>
      <c r="Q1623" s="1" t="s">
        <v>95</v>
      </c>
      <c r="R1623" s="1" t="s">
        <v>95</v>
      </c>
      <c r="S1623" s="1" t="s">
        <v>96</v>
      </c>
      <c r="T1623" s="1" t="s">
        <v>311</v>
      </c>
      <c r="U1623" s="1">
        <v>1.00634994E8</v>
      </c>
      <c r="Y1623" s="1" t="s">
        <v>5394</v>
      </c>
      <c r="Z1623" s="1" t="s">
        <v>37</v>
      </c>
    </row>
    <row r="1624">
      <c r="A1624" s="1" t="s">
        <v>5395</v>
      </c>
      <c r="B1624" s="1" t="s">
        <v>1709</v>
      </c>
      <c r="C1624" s="1" t="s">
        <v>5396</v>
      </c>
      <c r="D1624" s="1" t="s">
        <v>122</v>
      </c>
      <c r="E1624" s="1" t="s">
        <v>28</v>
      </c>
      <c r="F1624" s="2">
        <v>600000.0</v>
      </c>
      <c r="G1624" s="1" t="s">
        <v>3295</v>
      </c>
      <c r="H1624" s="4">
        <f>IFERROR(__xludf.DUMMYFUNCTION("DATE(INDEX(SPLIT(G1624,""/""),,3),INDEX(SPLIT(G1624,""/""),,2),INDEX(SPLIT(G1624,""/""),,1))"),44575.0)</f>
        <v>44575</v>
      </c>
      <c r="I1624" s="1" t="s">
        <v>607</v>
      </c>
      <c r="J1624" s="4">
        <f>IFERROR(__xludf.DUMMYFUNCTION("DATE(INDEX(SPLIT(I1624,""/""),,3),INDEX(SPLIT(I1624,""/""),,2),INDEX(SPLIT(I1624,""/""),,1))"),44770.0)</f>
        <v>44770</v>
      </c>
      <c r="L1624" s="1">
        <v>0.0</v>
      </c>
      <c r="M1624" s="1" t="s">
        <v>1443</v>
      </c>
      <c r="N1624" s="1"/>
      <c r="O1624" s="1" t="s">
        <v>30</v>
      </c>
      <c r="P1624" s="1" t="s">
        <v>31</v>
      </c>
      <c r="Q1624" s="1" t="s">
        <v>53</v>
      </c>
      <c r="R1624" s="1" t="s">
        <v>53</v>
      </c>
      <c r="S1624" s="1" t="s">
        <v>54</v>
      </c>
      <c r="T1624" s="1" t="s">
        <v>103</v>
      </c>
      <c r="U1624" s="1">
        <v>1.0059033E8</v>
      </c>
      <c r="X1624" s="1" t="s">
        <v>312</v>
      </c>
      <c r="Y1624" s="1" t="s">
        <v>1289</v>
      </c>
      <c r="Z1624" s="1" t="s">
        <v>37</v>
      </c>
    </row>
    <row r="1625" hidden="1">
      <c r="A1625" s="1" t="s">
        <v>5397</v>
      </c>
      <c r="B1625" s="1" t="s">
        <v>5398</v>
      </c>
      <c r="C1625" s="1" t="s">
        <v>5399</v>
      </c>
      <c r="D1625" s="1" t="s">
        <v>122</v>
      </c>
      <c r="E1625" s="1" t="s">
        <v>28</v>
      </c>
      <c r="F1625" s="2">
        <v>600000.0</v>
      </c>
      <c r="G1625" s="1" t="s">
        <v>3003</v>
      </c>
      <c r="H1625" s="4">
        <f>IFERROR(__xludf.DUMMYFUNCTION("DATE(INDEX(SPLIT(G1625,""/""),,3),INDEX(SPLIT(G1625,""/""),,2),INDEX(SPLIT(G1625,""/""),,1))"),44216.0)</f>
        <v>44216</v>
      </c>
      <c r="I1625" s="1" t="s">
        <v>317</v>
      </c>
      <c r="J1625" s="4">
        <f>IFERROR(__xludf.DUMMYFUNCTION("DATE(INDEX(SPLIT(I1625,""/""),,3),INDEX(SPLIT(I1625,""/""),,2),INDEX(SPLIT(I1625,""/""),,1))"),44862.0)</f>
        <v>44862</v>
      </c>
      <c r="L1625" s="1">
        <v>0.0</v>
      </c>
      <c r="M1625" s="1" t="s">
        <v>4979</v>
      </c>
      <c r="N1625" s="1"/>
      <c r="O1625" s="1" t="s">
        <v>30</v>
      </c>
      <c r="P1625" s="1" t="s">
        <v>31</v>
      </c>
      <c r="Q1625" s="1" t="s">
        <v>235</v>
      </c>
      <c r="R1625" s="1" t="s">
        <v>235</v>
      </c>
      <c r="S1625" s="1" t="s">
        <v>236</v>
      </c>
      <c r="T1625" s="1" t="s">
        <v>1349</v>
      </c>
      <c r="U1625" s="1">
        <v>1.00637587E8</v>
      </c>
      <c r="X1625" s="1" t="s">
        <v>609</v>
      </c>
      <c r="Y1625" s="1" t="s">
        <v>5400</v>
      </c>
      <c r="Z1625" s="1" t="s">
        <v>37</v>
      </c>
    </row>
    <row r="1626">
      <c r="A1626" s="1" t="s">
        <v>5401</v>
      </c>
      <c r="B1626" s="1" t="s">
        <v>5402</v>
      </c>
      <c r="C1626" s="1" t="s">
        <v>5403</v>
      </c>
      <c r="D1626" s="1" t="s">
        <v>78</v>
      </c>
      <c r="E1626" s="1" t="s">
        <v>28</v>
      </c>
      <c r="F1626" s="2">
        <v>600000.0</v>
      </c>
      <c r="G1626" s="4">
        <v>44902.0</v>
      </c>
      <c r="H1626" s="4">
        <f>IFERROR(__xludf.DUMMYFUNCTION("DATE(INDEX(SPLIT(G1626,""/""),,3),INDEX(SPLIT(G1626,""/""),,2),INDEX(SPLIT(G1626,""/""),,1))"),44754.0)</f>
        <v>44754</v>
      </c>
      <c r="I1626" s="1" t="s">
        <v>226</v>
      </c>
      <c r="J1626" s="4">
        <f>IFERROR(__xludf.DUMMYFUNCTION("DATE(INDEX(SPLIT(I1626,""/""),,3),INDEX(SPLIT(I1626,""/""),,2),INDEX(SPLIT(I1626,""/""),,1))"),44771.0)</f>
        <v>44771</v>
      </c>
      <c r="L1626" s="1">
        <v>0.0</v>
      </c>
      <c r="M1626" s="1" t="s">
        <v>3256</v>
      </c>
      <c r="N1626" s="1"/>
      <c r="O1626" s="1" t="s">
        <v>30</v>
      </c>
      <c r="P1626" s="1" t="s">
        <v>31</v>
      </c>
      <c r="Q1626" s="1" t="s">
        <v>188</v>
      </c>
      <c r="R1626" s="1" t="s">
        <v>188</v>
      </c>
      <c r="S1626" s="1" t="s">
        <v>189</v>
      </c>
      <c r="U1626" s="1">
        <v>1.00624248E8</v>
      </c>
      <c r="X1626" s="1" t="s">
        <v>74</v>
      </c>
      <c r="Y1626" s="1" t="s">
        <v>5404</v>
      </c>
      <c r="Z1626" s="1" t="s">
        <v>37</v>
      </c>
    </row>
    <row r="1627">
      <c r="A1627" s="1" t="s">
        <v>5405</v>
      </c>
      <c r="B1627" s="1" t="s">
        <v>5402</v>
      </c>
      <c r="C1627" s="1" t="s">
        <v>5406</v>
      </c>
      <c r="D1627" s="1" t="s">
        <v>27</v>
      </c>
      <c r="E1627" s="1" t="s">
        <v>28</v>
      </c>
      <c r="F1627" s="2">
        <v>600000.0</v>
      </c>
      <c r="G1627" s="4">
        <v>44902.0</v>
      </c>
      <c r="H1627" s="4">
        <f>IFERROR(__xludf.DUMMYFUNCTION("DATE(INDEX(SPLIT(G1627,""/""),,3),INDEX(SPLIT(G1627,""/""),,2),INDEX(SPLIT(G1627,""/""),,1))"),44754.0)</f>
        <v>44754</v>
      </c>
      <c r="I1627" s="1" t="s">
        <v>226</v>
      </c>
      <c r="J1627" s="4">
        <f>IFERROR(__xludf.DUMMYFUNCTION("DATE(INDEX(SPLIT(I1627,""/""),,3),INDEX(SPLIT(I1627,""/""),,2),INDEX(SPLIT(I1627,""/""),,1))"),44771.0)</f>
        <v>44771</v>
      </c>
      <c r="L1627" s="1">
        <v>0.0</v>
      </c>
      <c r="M1627" s="1" t="s">
        <v>3256</v>
      </c>
      <c r="N1627" s="1"/>
      <c r="O1627" s="1" t="s">
        <v>30</v>
      </c>
      <c r="P1627" s="1" t="s">
        <v>31</v>
      </c>
      <c r="Q1627" s="1" t="s">
        <v>188</v>
      </c>
      <c r="R1627" s="1" t="s">
        <v>188</v>
      </c>
      <c r="S1627" s="1" t="s">
        <v>189</v>
      </c>
      <c r="U1627" s="1">
        <v>1.00624248E8</v>
      </c>
      <c r="X1627" s="1" t="s">
        <v>74</v>
      </c>
      <c r="Y1627" s="1" t="s">
        <v>5404</v>
      </c>
      <c r="Z1627" s="1" t="s">
        <v>37</v>
      </c>
    </row>
    <row r="1628">
      <c r="A1628" s="1" t="s">
        <v>5407</v>
      </c>
      <c r="B1628" s="1" t="s">
        <v>4172</v>
      </c>
      <c r="C1628" s="1" t="s">
        <v>5408</v>
      </c>
      <c r="D1628" s="1" t="s">
        <v>78</v>
      </c>
      <c r="E1628" s="1" t="s">
        <v>28</v>
      </c>
      <c r="F1628" s="2">
        <v>600000.0</v>
      </c>
      <c r="G1628" s="4">
        <v>44598.0</v>
      </c>
      <c r="H1628" s="4">
        <f>IFERROR(__xludf.DUMMYFUNCTION("DATE(INDEX(SPLIT(G1628,""/""),,3),INDEX(SPLIT(G1628,""/""),,2),INDEX(SPLIT(G1628,""/""),,1))"),44714.0)</f>
        <v>44714</v>
      </c>
      <c r="I1628" s="1" t="s">
        <v>226</v>
      </c>
      <c r="J1628" s="4">
        <f>IFERROR(__xludf.DUMMYFUNCTION("DATE(INDEX(SPLIT(I1628,""/""),,3),INDEX(SPLIT(I1628,""/""),,2),INDEX(SPLIT(I1628,""/""),,1))"),44771.0)</f>
        <v>44771</v>
      </c>
      <c r="L1628" s="1">
        <v>0.0</v>
      </c>
      <c r="M1628" s="1" t="s">
        <v>1828</v>
      </c>
      <c r="N1628" s="1"/>
      <c r="O1628" s="1" t="s">
        <v>30</v>
      </c>
      <c r="P1628" s="1" t="s">
        <v>31</v>
      </c>
      <c r="Q1628" s="1" t="s">
        <v>235</v>
      </c>
      <c r="R1628" s="1" t="s">
        <v>235</v>
      </c>
      <c r="S1628" s="1" t="s">
        <v>236</v>
      </c>
      <c r="T1628" s="1" t="s">
        <v>1349</v>
      </c>
      <c r="U1628" s="1">
        <v>1.00593918E8</v>
      </c>
      <c r="X1628" s="1" t="s">
        <v>609</v>
      </c>
      <c r="Y1628" s="1" t="s">
        <v>1829</v>
      </c>
      <c r="Z1628" s="1" t="s">
        <v>37</v>
      </c>
    </row>
    <row r="1629" hidden="1">
      <c r="A1629" s="1" t="s">
        <v>5409</v>
      </c>
      <c r="B1629" s="1" t="s">
        <v>1655</v>
      </c>
      <c r="C1629" s="1" t="s">
        <v>5410</v>
      </c>
      <c r="D1629" s="1" t="s">
        <v>68</v>
      </c>
      <c r="E1629" s="1" t="s">
        <v>28</v>
      </c>
      <c r="F1629" s="2">
        <v>600000.0</v>
      </c>
      <c r="G1629" s="1" t="s">
        <v>3467</v>
      </c>
      <c r="H1629" s="4">
        <f>IFERROR(__xludf.DUMMYFUNCTION("DATE(INDEX(SPLIT(G1629,""/""),,3),INDEX(SPLIT(G1629,""/""),,2),INDEX(SPLIT(G1629,""/""),,1))"),44615.0)</f>
        <v>44615</v>
      </c>
      <c r="I1629" s="1" t="s">
        <v>293</v>
      </c>
      <c r="J1629" s="4">
        <f>IFERROR(__xludf.DUMMYFUNCTION("DATE(INDEX(SPLIT(I1629,""/""),,3),INDEX(SPLIT(I1629,""/""),,2),INDEX(SPLIT(I1629,""/""),,1))"),44918.0)</f>
        <v>44918</v>
      </c>
      <c r="L1629" s="1">
        <v>0.0</v>
      </c>
      <c r="M1629" s="1" t="s">
        <v>5411</v>
      </c>
      <c r="N1629" s="1"/>
      <c r="O1629" s="1" t="s">
        <v>30</v>
      </c>
      <c r="P1629" s="1" t="s">
        <v>31</v>
      </c>
      <c r="Q1629" s="1" t="s">
        <v>53</v>
      </c>
      <c r="R1629" s="1" t="s">
        <v>53</v>
      </c>
      <c r="S1629" s="1" t="s">
        <v>54</v>
      </c>
      <c r="T1629" s="1" t="s">
        <v>615</v>
      </c>
      <c r="U1629" s="1">
        <v>1.00610826E8</v>
      </c>
      <c r="X1629" s="1" t="s">
        <v>490</v>
      </c>
      <c r="Y1629" s="1" t="s">
        <v>5412</v>
      </c>
      <c r="Z1629" s="1" t="s">
        <v>37</v>
      </c>
    </row>
    <row r="1630" hidden="1">
      <c r="A1630" s="1" t="s">
        <v>5413</v>
      </c>
      <c r="B1630" s="1" t="s">
        <v>5414</v>
      </c>
      <c r="C1630" s="1" t="s">
        <v>5415</v>
      </c>
      <c r="D1630" s="1" t="s">
        <v>27</v>
      </c>
      <c r="E1630" s="1" t="s">
        <v>28</v>
      </c>
      <c r="F1630" s="2">
        <v>600000.0</v>
      </c>
      <c r="G1630" s="1" t="s">
        <v>4402</v>
      </c>
      <c r="H1630" s="4">
        <f>IFERROR(__xludf.DUMMYFUNCTION("DATE(INDEX(SPLIT(G1630,""/""),,3),INDEX(SPLIT(G1630,""/""),,2),INDEX(SPLIT(G1630,""/""),,1))"),44390.0)</f>
        <v>44390</v>
      </c>
      <c r="I1630" s="1" t="s">
        <v>109</v>
      </c>
      <c r="J1630" s="4">
        <f>IFERROR(__xludf.DUMMYFUNCTION("DATE(INDEX(SPLIT(I1630,""/""),,3),INDEX(SPLIT(I1630,""/""),,2),INDEX(SPLIT(I1630,""/""),,1))"),44834.0)</f>
        <v>44834</v>
      </c>
      <c r="L1630" s="1">
        <v>0.0</v>
      </c>
      <c r="M1630" s="1" t="s">
        <v>3580</v>
      </c>
      <c r="N1630" s="1"/>
      <c r="O1630" s="1" t="s">
        <v>30</v>
      </c>
      <c r="P1630" s="1" t="s">
        <v>31</v>
      </c>
      <c r="Q1630" s="1" t="s">
        <v>157</v>
      </c>
      <c r="R1630" s="1" t="s">
        <v>157</v>
      </c>
      <c r="S1630" s="1" t="s">
        <v>158</v>
      </c>
      <c r="T1630" s="1" t="s">
        <v>442</v>
      </c>
      <c r="U1630" s="1">
        <v>1.00956516E8</v>
      </c>
      <c r="W1630" s="1" t="s">
        <v>56</v>
      </c>
      <c r="X1630" s="1" t="s">
        <v>239</v>
      </c>
      <c r="Y1630" s="1" t="s">
        <v>3580</v>
      </c>
      <c r="Z1630" s="1" t="s">
        <v>37</v>
      </c>
    </row>
    <row r="1631" hidden="1">
      <c r="A1631" s="1" t="s">
        <v>5416</v>
      </c>
      <c r="B1631" s="1" t="s">
        <v>546</v>
      </c>
      <c r="C1631" s="1" t="s">
        <v>5417</v>
      </c>
      <c r="D1631" s="1" t="s">
        <v>78</v>
      </c>
      <c r="E1631" s="1" t="s">
        <v>28</v>
      </c>
      <c r="F1631" s="2">
        <v>600000.0</v>
      </c>
      <c r="G1631" s="1" t="s">
        <v>5418</v>
      </c>
      <c r="H1631" s="4">
        <f>IFERROR(__xludf.DUMMYFUNCTION("DATE(INDEX(SPLIT(G1631,""/""),,3),INDEX(SPLIT(G1631,""/""),,2),INDEX(SPLIT(G1631,""/""),,1))"),44093.0)</f>
        <v>44093</v>
      </c>
      <c r="I1631" s="1" t="s">
        <v>487</v>
      </c>
      <c r="J1631" s="4">
        <f>IFERROR(__xludf.DUMMYFUNCTION("DATE(INDEX(SPLIT(I1631,""/""),,3),INDEX(SPLIT(I1631,""/""),,2),INDEX(SPLIT(I1631,""/""),,1))"),44855.0)</f>
        <v>44855</v>
      </c>
      <c r="L1631" s="1">
        <v>0.0</v>
      </c>
      <c r="M1631" s="1" t="s">
        <v>318</v>
      </c>
      <c r="N1631" s="1"/>
      <c r="O1631" s="1" t="s">
        <v>30</v>
      </c>
      <c r="P1631" s="1" t="s">
        <v>31</v>
      </c>
      <c r="Q1631" s="1" t="s">
        <v>71</v>
      </c>
      <c r="R1631" s="1" t="s">
        <v>71</v>
      </c>
      <c r="S1631" s="1" t="s">
        <v>72</v>
      </c>
      <c r="T1631" s="1" t="s">
        <v>73</v>
      </c>
      <c r="U1631" s="1">
        <v>1.00654705E8</v>
      </c>
      <c r="X1631" s="1" t="s">
        <v>74</v>
      </c>
      <c r="Y1631" s="1" t="s">
        <v>318</v>
      </c>
      <c r="Z1631" s="1" t="s">
        <v>37</v>
      </c>
    </row>
    <row r="1632" hidden="1">
      <c r="A1632" s="1" t="s">
        <v>5419</v>
      </c>
      <c r="B1632" s="1" t="s">
        <v>1042</v>
      </c>
      <c r="C1632" s="1" t="s">
        <v>5420</v>
      </c>
      <c r="D1632" s="1" t="s">
        <v>122</v>
      </c>
      <c r="E1632" s="1" t="s">
        <v>28</v>
      </c>
      <c r="F1632" s="2">
        <v>600000.0</v>
      </c>
      <c r="G1632" s="4">
        <v>44872.0</v>
      </c>
      <c r="H1632" s="4">
        <f>IFERROR(__xludf.DUMMYFUNCTION("DATE(INDEX(SPLIT(G1632,""/""),,3),INDEX(SPLIT(G1632,""/""),,2),INDEX(SPLIT(G1632,""/""),,1))"),44753.0)</f>
        <v>44753</v>
      </c>
      <c r="I1632" s="1" t="s">
        <v>130</v>
      </c>
      <c r="J1632" s="4">
        <f>IFERROR(__xludf.DUMMYFUNCTION("DATE(INDEX(SPLIT(I1632,""/""),,3),INDEX(SPLIT(I1632,""/""),,2),INDEX(SPLIT(I1632,""/""),,1))"),44804.0)</f>
        <v>44804</v>
      </c>
      <c r="L1632" s="1">
        <v>0.0</v>
      </c>
      <c r="M1632" s="1" t="s">
        <v>1737</v>
      </c>
      <c r="N1632" s="1"/>
      <c r="O1632" s="1" t="s">
        <v>30</v>
      </c>
      <c r="P1632" s="1" t="s">
        <v>31</v>
      </c>
      <c r="Q1632" s="1" t="s">
        <v>53</v>
      </c>
      <c r="R1632" s="1" t="s">
        <v>53</v>
      </c>
      <c r="S1632" s="1" t="s">
        <v>54</v>
      </c>
      <c r="T1632" s="1" t="s">
        <v>1386</v>
      </c>
      <c r="U1632" s="1">
        <v>1.00642067E8</v>
      </c>
      <c r="X1632" s="1" t="s">
        <v>88</v>
      </c>
      <c r="Y1632" s="1" t="s">
        <v>5421</v>
      </c>
      <c r="Z1632" s="1" t="s">
        <v>37</v>
      </c>
    </row>
    <row r="1633">
      <c r="A1633" s="1" t="s">
        <v>5422</v>
      </c>
      <c r="B1633" s="1" t="s">
        <v>5423</v>
      </c>
      <c r="C1633" s="1" t="s">
        <v>5424</v>
      </c>
      <c r="D1633" s="1" t="s">
        <v>78</v>
      </c>
      <c r="E1633" s="1" t="s">
        <v>28</v>
      </c>
      <c r="F1633" s="2">
        <v>600000.0</v>
      </c>
      <c r="G1633" s="1" t="s">
        <v>1674</v>
      </c>
      <c r="H1633" s="4">
        <f>IFERROR(__xludf.DUMMYFUNCTION("DATE(INDEX(SPLIT(G1633,""/""),,3),INDEX(SPLIT(G1633,""/""),,2),INDEX(SPLIT(G1633,""/""),,1))"),44617.0)</f>
        <v>44617</v>
      </c>
      <c r="I1633" s="1" t="s">
        <v>226</v>
      </c>
      <c r="J1633" s="4">
        <f>IFERROR(__xludf.DUMMYFUNCTION("DATE(INDEX(SPLIT(I1633,""/""),,3),INDEX(SPLIT(I1633,""/""),,2),INDEX(SPLIT(I1633,""/""),,1))"),44771.0)</f>
        <v>44771</v>
      </c>
      <c r="L1633" s="1">
        <v>0.0</v>
      </c>
      <c r="M1633" s="1" t="s">
        <v>5425</v>
      </c>
      <c r="N1633" s="1"/>
      <c r="O1633" s="1" t="s">
        <v>30</v>
      </c>
      <c r="P1633" s="1" t="s">
        <v>31</v>
      </c>
      <c r="Q1633" s="1" t="s">
        <v>235</v>
      </c>
      <c r="R1633" s="1" t="s">
        <v>235</v>
      </c>
      <c r="S1633" s="1" t="s">
        <v>236</v>
      </c>
      <c r="T1633" s="1" t="s">
        <v>1349</v>
      </c>
      <c r="U1633" s="1">
        <v>1.00639134E8</v>
      </c>
      <c r="X1633" s="1" t="s">
        <v>375</v>
      </c>
      <c r="Y1633" s="1" t="s">
        <v>5426</v>
      </c>
      <c r="Z1633" s="1" t="s">
        <v>206</v>
      </c>
    </row>
    <row r="1634" hidden="1">
      <c r="A1634" s="1" t="s">
        <v>5427</v>
      </c>
      <c r="B1634" s="1" t="s">
        <v>4196</v>
      </c>
      <c r="C1634" s="1" t="s">
        <v>5428</v>
      </c>
      <c r="D1634" s="1" t="s">
        <v>78</v>
      </c>
      <c r="E1634" s="1" t="s">
        <v>28</v>
      </c>
      <c r="F1634" s="2">
        <v>600000.0</v>
      </c>
      <c r="G1634" s="1" t="s">
        <v>1058</v>
      </c>
      <c r="H1634" s="4">
        <f>IFERROR(__xludf.DUMMYFUNCTION("DATE(INDEX(SPLIT(G1634,""/""),,3),INDEX(SPLIT(G1634,""/""),,2),INDEX(SPLIT(G1634,""/""),,1))"),44733.0)</f>
        <v>44733</v>
      </c>
      <c r="I1634" s="1" t="s">
        <v>130</v>
      </c>
      <c r="J1634" s="4">
        <f>IFERROR(__xludf.DUMMYFUNCTION("DATE(INDEX(SPLIT(I1634,""/""),,3),INDEX(SPLIT(I1634,""/""),,2),INDEX(SPLIT(I1634,""/""),,1))"),44804.0)</f>
        <v>44804</v>
      </c>
      <c r="L1634" s="1">
        <v>0.0</v>
      </c>
      <c r="M1634" s="1" t="s">
        <v>4134</v>
      </c>
      <c r="N1634" s="1"/>
      <c r="O1634" s="1" t="s">
        <v>30</v>
      </c>
      <c r="P1634" s="1" t="s">
        <v>31</v>
      </c>
      <c r="Q1634" s="1" t="s">
        <v>53</v>
      </c>
      <c r="R1634" s="1" t="s">
        <v>53</v>
      </c>
      <c r="S1634" s="1" t="s">
        <v>54</v>
      </c>
      <c r="U1634" s="1">
        <v>1.00652666E8</v>
      </c>
      <c r="X1634" s="1" t="s">
        <v>74</v>
      </c>
      <c r="Y1634" s="1" t="s">
        <v>4134</v>
      </c>
      <c r="Z1634" s="1" t="s">
        <v>37</v>
      </c>
    </row>
    <row r="1635" hidden="1">
      <c r="A1635" s="1" t="s">
        <v>5429</v>
      </c>
      <c r="B1635" s="1" t="s">
        <v>5430</v>
      </c>
      <c r="C1635" s="1" t="s">
        <v>5431</v>
      </c>
      <c r="D1635" s="1" t="s">
        <v>27</v>
      </c>
      <c r="E1635" s="1" t="s">
        <v>28</v>
      </c>
      <c r="F1635" s="2">
        <v>600000.0</v>
      </c>
      <c r="G1635" s="1" t="s">
        <v>2251</v>
      </c>
      <c r="H1635" s="4">
        <f>IFERROR(__xludf.DUMMYFUNCTION("DATE(INDEX(SPLIT(G1635,""/""),,3),INDEX(SPLIT(G1635,""/""),,2),INDEX(SPLIT(G1635,""/""),,1))"),44498.0)</f>
        <v>44498</v>
      </c>
      <c r="I1635" s="1" t="s">
        <v>203</v>
      </c>
      <c r="J1635" s="4">
        <f>IFERROR(__xludf.DUMMYFUNCTION("DATE(INDEX(SPLIT(I1635,""/""),,3),INDEX(SPLIT(I1635,""/""),,2),INDEX(SPLIT(I1635,""/""),,1))"),44925.0)</f>
        <v>44925</v>
      </c>
      <c r="L1635" s="1">
        <v>0.0</v>
      </c>
      <c r="M1635" s="1" t="s">
        <v>620</v>
      </c>
      <c r="N1635" s="1"/>
      <c r="O1635" s="1" t="s">
        <v>30</v>
      </c>
      <c r="P1635" s="1" t="s">
        <v>31</v>
      </c>
      <c r="Q1635" s="1" t="s">
        <v>32</v>
      </c>
      <c r="R1635" s="1" t="s">
        <v>32</v>
      </c>
      <c r="S1635" s="1" t="s">
        <v>33</v>
      </c>
      <c r="T1635" s="1" t="s">
        <v>159</v>
      </c>
      <c r="U1635" s="1">
        <v>1.00609607E8</v>
      </c>
      <c r="X1635" s="1" t="s">
        <v>35</v>
      </c>
      <c r="Y1635" s="1" t="s">
        <v>1925</v>
      </c>
      <c r="Z1635" s="1" t="s">
        <v>37</v>
      </c>
    </row>
    <row r="1636" hidden="1">
      <c r="A1636" s="1" t="s">
        <v>5432</v>
      </c>
      <c r="B1636" s="1" t="s">
        <v>5433</v>
      </c>
      <c r="C1636" s="1" t="s">
        <v>5434</v>
      </c>
      <c r="D1636" s="1" t="s">
        <v>27</v>
      </c>
      <c r="E1636" s="1" t="s">
        <v>28</v>
      </c>
      <c r="F1636" s="2">
        <v>600000.0</v>
      </c>
      <c r="G1636" s="4">
        <v>44779.0</v>
      </c>
      <c r="H1636" s="4">
        <f>IFERROR(__xludf.DUMMYFUNCTION("DATE(INDEX(SPLIT(G1636,""/""),,3),INDEX(SPLIT(G1636,""/""),,2),INDEX(SPLIT(G1636,""/""),,1))"),44720.0)</f>
        <v>44720</v>
      </c>
      <c r="I1636" s="1" t="s">
        <v>85</v>
      </c>
      <c r="J1636" s="4">
        <f>IFERROR(__xludf.DUMMYFUNCTION("DATE(INDEX(SPLIT(I1636,""/""),,3),INDEX(SPLIT(I1636,""/""),,2),INDEX(SPLIT(I1636,""/""),,1))"),44799.0)</f>
        <v>44799</v>
      </c>
      <c r="L1636" s="1">
        <v>0.0</v>
      </c>
      <c r="M1636" s="1" t="s">
        <v>1027</v>
      </c>
      <c r="N1636" s="1"/>
      <c r="O1636" s="1" t="s">
        <v>30</v>
      </c>
      <c r="P1636" s="1" t="s">
        <v>31</v>
      </c>
      <c r="Q1636" s="1" t="s">
        <v>53</v>
      </c>
      <c r="R1636" s="1" t="s">
        <v>53</v>
      </c>
      <c r="S1636" s="1" t="s">
        <v>54</v>
      </c>
      <c r="T1636" s="1" t="s">
        <v>181</v>
      </c>
      <c r="U1636" s="1">
        <v>1.00879751E8</v>
      </c>
      <c r="X1636" s="1" t="s">
        <v>98</v>
      </c>
      <c r="Y1636" s="1" t="s">
        <v>5435</v>
      </c>
      <c r="Z1636" s="1" t="s">
        <v>37</v>
      </c>
    </row>
    <row r="1637">
      <c r="A1637" s="1" t="s">
        <v>5436</v>
      </c>
      <c r="B1637" s="1" t="s">
        <v>1144</v>
      </c>
      <c r="C1637" s="1" t="s">
        <v>5437</v>
      </c>
      <c r="D1637" s="1" t="s">
        <v>78</v>
      </c>
      <c r="E1637" s="1" t="s">
        <v>28</v>
      </c>
      <c r="F1637" s="2">
        <v>600000.0</v>
      </c>
      <c r="G1637" s="1" t="s">
        <v>600</v>
      </c>
      <c r="H1637" s="4">
        <f>IFERROR(__xludf.DUMMYFUNCTION("DATE(INDEX(SPLIT(G1637,""/""),,3),INDEX(SPLIT(G1637,""/""),,2),INDEX(SPLIT(G1637,""/""),,1))"),44665.0)</f>
        <v>44665</v>
      </c>
      <c r="I1637" s="1" t="s">
        <v>1244</v>
      </c>
      <c r="J1637" s="4">
        <f>IFERROR(__xludf.DUMMYFUNCTION("DATE(INDEX(SPLIT(I1637,""/""),,3),INDEX(SPLIT(I1637,""/""),,2),INDEX(SPLIT(I1637,""/""),,1))"),44742.0)</f>
        <v>44742</v>
      </c>
      <c r="L1637" s="1">
        <v>0.0</v>
      </c>
      <c r="M1637" s="1" t="s">
        <v>2613</v>
      </c>
      <c r="N1637" s="1"/>
      <c r="O1637" s="1" t="s">
        <v>30</v>
      </c>
      <c r="P1637" s="1" t="s">
        <v>31</v>
      </c>
      <c r="Q1637" s="1" t="s">
        <v>157</v>
      </c>
      <c r="R1637" s="1" t="s">
        <v>157</v>
      </c>
      <c r="S1637" s="1" t="s">
        <v>158</v>
      </c>
      <c r="U1637" s="1">
        <v>1.00628059E8</v>
      </c>
      <c r="X1637" s="1" t="s">
        <v>63</v>
      </c>
      <c r="Y1637" s="1" t="s">
        <v>3086</v>
      </c>
      <c r="Z1637" s="1" t="s">
        <v>37</v>
      </c>
    </row>
    <row r="1638">
      <c r="A1638" s="1" t="s">
        <v>5438</v>
      </c>
      <c r="B1638" s="1" t="s">
        <v>5439</v>
      </c>
      <c r="C1638" s="1" t="s">
        <v>5440</v>
      </c>
      <c r="D1638" s="1" t="s">
        <v>68</v>
      </c>
      <c r="E1638" s="1" t="s">
        <v>28</v>
      </c>
      <c r="F1638" s="2">
        <v>600000.0</v>
      </c>
      <c r="G1638" s="4">
        <v>44872.0</v>
      </c>
      <c r="H1638" s="4">
        <f>IFERROR(__xludf.DUMMYFUNCTION("DATE(INDEX(SPLIT(G1638,""/""),,3),INDEX(SPLIT(G1638,""/""),,2),INDEX(SPLIT(G1638,""/""),,1))"),44753.0)</f>
        <v>44753</v>
      </c>
      <c r="I1638" s="1" t="s">
        <v>226</v>
      </c>
      <c r="J1638" s="4">
        <f>IFERROR(__xludf.DUMMYFUNCTION("DATE(INDEX(SPLIT(I1638,""/""),,3),INDEX(SPLIT(I1638,""/""),,2),INDEX(SPLIT(I1638,""/""),,1))"),44771.0)</f>
        <v>44771</v>
      </c>
      <c r="L1638" s="1">
        <v>0.0</v>
      </c>
      <c r="M1638" s="1" t="s">
        <v>216</v>
      </c>
      <c r="N1638" s="1"/>
      <c r="O1638" s="1" t="s">
        <v>30</v>
      </c>
      <c r="P1638" s="1" t="s">
        <v>31</v>
      </c>
      <c r="Q1638" s="1" t="s">
        <v>95</v>
      </c>
      <c r="R1638" s="1" t="s">
        <v>95</v>
      </c>
      <c r="S1638" s="1" t="s">
        <v>96</v>
      </c>
      <c r="T1638" s="1" t="s">
        <v>489</v>
      </c>
      <c r="U1638" s="1">
        <v>1.01200292E8</v>
      </c>
      <c r="X1638" s="1" t="s">
        <v>490</v>
      </c>
      <c r="Y1638" s="1" t="s">
        <v>1868</v>
      </c>
      <c r="Z1638" s="1" t="s">
        <v>37</v>
      </c>
    </row>
    <row r="1639" hidden="1">
      <c r="A1639" s="1" t="s">
        <v>5441</v>
      </c>
      <c r="B1639" s="1" t="s">
        <v>5442</v>
      </c>
      <c r="C1639" s="1" t="s">
        <v>5443</v>
      </c>
      <c r="D1639" s="1" t="s">
        <v>27</v>
      </c>
      <c r="E1639" s="1" t="s">
        <v>28</v>
      </c>
      <c r="F1639" s="2">
        <v>600000.0</v>
      </c>
      <c r="G1639" s="1" t="s">
        <v>2309</v>
      </c>
      <c r="H1639" s="4">
        <f>IFERROR(__xludf.DUMMYFUNCTION("DATE(INDEX(SPLIT(G1639,""/""),,3),INDEX(SPLIT(G1639,""/""),,2),INDEX(SPLIT(G1639,""/""),,1))"),44672.0)</f>
        <v>44672</v>
      </c>
      <c r="I1639" s="1" t="s">
        <v>109</v>
      </c>
      <c r="J1639" s="4">
        <f>IFERROR(__xludf.DUMMYFUNCTION("DATE(INDEX(SPLIT(I1639,""/""),,3),INDEX(SPLIT(I1639,""/""),,2),INDEX(SPLIT(I1639,""/""),,1))"),44834.0)</f>
        <v>44834</v>
      </c>
      <c r="L1639" s="1">
        <v>0.0</v>
      </c>
      <c r="M1639" s="1" t="s">
        <v>1084</v>
      </c>
      <c r="N1639" s="1"/>
      <c r="O1639" s="1" t="s">
        <v>30</v>
      </c>
      <c r="P1639" s="1" t="s">
        <v>31</v>
      </c>
      <c r="Q1639" s="1" t="s">
        <v>32</v>
      </c>
      <c r="R1639" s="1" t="s">
        <v>32</v>
      </c>
      <c r="S1639" s="1" t="s">
        <v>33</v>
      </c>
      <c r="T1639" s="1" t="s">
        <v>103</v>
      </c>
      <c r="U1639" s="1">
        <v>1.00601386E8</v>
      </c>
      <c r="X1639" s="1" t="s">
        <v>46</v>
      </c>
      <c r="Y1639" s="1" t="s">
        <v>467</v>
      </c>
      <c r="Z1639" s="1" t="s">
        <v>37</v>
      </c>
    </row>
    <row r="1640" hidden="1">
      <c r="A1640" s="1" t="s">
        <v>5444</v>
      </c>
      <c r="B1640" s="1" t="s">
        <v>5445</v>
      </c>
      <c r="C1640" s="1" t="s">
        <v>5446</v>
      </c>
      <c r="D1640" s="1" t="s">
        <v>27</v>
      </c>
      <c r="E1640" s="1" t="s">
        <v>28</v>
      </c>
      <c r="F1640" s="2">
        <v>600000.0</v>
      </c>
      <c r="G1640" s="1" t="s">
        <v>1521</v>
      </c>
      <c r="H1640" s="4">
        <f>IFERROR(__xludf.DUMMYFUNCTION("DATE(INDEX(SPLIT(G1640,""/""),,3),INDEX(SPLIT(G1640,""/""),,2),INDEX(SPLIT(G1640,""/""),,1))"),44756.0)</f>
        <v>44756</v>
      </c>
      <c r="I1640" s="1" t="s">
        <v>317</v>
      </c>
      <c r="J1640" s="4">
        <f>IFERROR(__xludf.DUMMYFUNCTION("DATE(INDEX(SPLIT(I1640,""/""),,3),INDEX(SPLIT(I1640,""/""),,2),INDEX(SPLIT(I1640,""/""),,1))"),44862.0)</f>
        <v>44862</v>
      </c>
      <c r="L1640" s="1">
        <v>0.0</v>
      </c>
      <c r="M1640" s="1" t="s">
        <v>1704</v>
      </c>
      <c r="N1640" s="1"/>
      <c r="O1640" s="1" t="s">
        <v>30</v>
      </c>
      <c r="P1640" s="1" t="s">
        <v>31</v>
      </c>
      <c r="Q1640" s="1" t="s">
        <v>157</v>
      </c>
      <c r="R1640" s="1" t="s">
        <v>157</v>
      </c>
      <c r="S1640" s="1" t="s">
        <v>158</v>
      </c>
      <c r="T1640" s="1" t="s">
        <v>442</v>
      </c>
      <c r="U1640" s="1">
        <v>1.00654991E8</v>
      </c>
      <c r="X1640" s="1" t="s">
        <v>74</v>
      </c>
      <c r="Y1640" s="1" t="s">
        <v>1969</v>
      </c>
      <c r="Z1640" s="1" t="s">
        <v>37</v>
      </c>
    </row>
    <row r="1641" hidden="1">
      <c r="A1641" s="1" t="s">
        <v>5447</v>
      </c>
      <c r="B1641" s="1" t="s">
        <v>5414</v>
      </c>
      <c r="C1641" s="1" t="s">
        <v>5448</v>
      </c>
      <c r="D1641" s="1" t="s">
        <v>122</v>
      </c>
      <c r="E1641" s="1" t="s">
        <v>28</v>
      </c>
      <c r="F1641" s="2">
        <v>600000.0</v>
      </c>
      <c r="G1641" s="4">
        <v>44450.0</v>
      </c>
      <c r="H1641" s="4">
        <f>IFERROR(__xludf.DUMMYFUNCTION("DATE(INDEX(SPLIT(G1641,""/""),,3),INDEX(SPLIT(G1641,""/""),,2),INDEX(SPLIT(G1641,""/""),,1))"),44509.0)</f>
        <v>44509</v>
      </c>
      <c r="I1641" s="1" t="s">
        <v>109</v>
      </c>
      <c r="J1641" s="4">
        <f>IFERROR(__xludf.DUMMYFUNCTION("DATE(INDEX(SPLIT(I1641,""/""),,3),INDEX(SPLIT(I1641,""/""),,2),INDEX(SPLIT(I1641,""/""),,1))"),44834.0)</f>
        <v>44834</v>
      </c>
      <c r="L1641" s="1">
        <v>0.0</v>
      </c>
      <c r="M1641" s="1" t="s">
        <v>3580</v>
      </c>
      <c r="N1641" s="1"/>
      <c r="O1641" s="1" t="s">
        <v>30</v>
      </c>
      <c r="P1641" s="1" t="s">
        <v>31</v>
      </c>
      <c r="Q1641" s="1" t="s">
        <v>157</v>
      </c>
      <c r="R1641" s="1" t="s">
        <v>157</v>
      </c>
      <c r="S1641" s="1" t="s">
        <v>158</v>
      </c>
      <c r="T1641" s="1" t="s">
        <v>442</v>
      </c>
      <c r="U1641" s="1">
        <v>1.00956516E8</v>
      </c>
      <c r="V1641" s="1" t="s">
        <v>5415</v>
      </c>
      <c r="W1641" s="1" t="s">
        <v>199</v>
      </c>
      <c r="X1641" s="1" t="s">
        <v>239</v>
      </c>
      <c r="Y1641" s="1" t="s">
        <v>5449</v>
      </c>
      <c r="Z1641" s="1" t="s">
        <v>37</v>
      </c>
    </row>
    <row r="1642" hidden="1">
      <c r="A1642" s="1" t="s">
        <v>5450</v>
      </c>
      <c r="B1642" s="1" t="s">
        <v>3040</v>
      </c>
      <c r="C1642" s="1" t="s">
        <v>5451</v>
      </c>
      <c r="D1642" s="1" t="s">
        <v>78</v>
      </c>
      <c r="E1642" s="1" t="s">
        <v>28</v>
      </c>
      <c r="F1642" s="2">
        <v>600000.0</v>
      </c>
      <c r="G1642" s="1" t="s">
        <v>1288</v>
      </c>
      <c r="H1642" s="4">
        <f>IFERROR(__xludf.DUMMYFUNCTION("DATE(INDEX(SPLIT(G1642,""/""),,3),INDEX(SPLIT(G1642,""/""),,2),INDEX(SPLIT(G1642,""/""),,1))"),44707.0)</f>
        <v>44707</v>
      </c>
      <c r="I1642" s="4">
        <v>44689.0</v>
      </c>
      <c r="J1642" s="4">
        <f>IFERROR(__xludf.DUMMYFUNCTION("DATE(INDEX(SPLIT(I1642,""/""),,3),INDEX(SPLIT(I1642,""/""),,2),INDEX(SPLIT(I1642,""/""),,1))"),44778.0)</f>
        <v>44778</v>
      </c>
      <c r="L1642" s="1">
        <v>0.0</v>
      </c>
      <c r="M1642" s="1" t="s">
        <v>2935</v>
      </c>
      <c r="N1642" s="1"/>
      <c r="O1642" s="1" t="s">
        <v>30</v>
      </c>
      <c r="P1642" s="1" t="s">
        <v>31</v>
      </c>
      <c r="Q1642" s="1" t="s">
        <v>188</v>
      </c>
      <c r="R1642" s="1" t="s">
        <v>188</v>
      </c>
      <c r="S1642" s="1" t="s">
        <v>189</v>
      </c>
      <c r="U1642" s="1">
        <v>1.00602451E8</v>
      </c>
      <c r="X1642" s="1" t="s">
        <v>125</v>
      </c>
      <c r="Y1642" s="1" t="s">
        <v>5452</v>
      </c>
      <c r="Z1642" s="1" t="s">
        <v>37</v>
      </c>
    </row>
    <row r="1643" hidden="1">
      <c r="A1643" s="1" t="s">
        <v>5453</v>
      </c>
      <c r="B1643" s="1" t="s">
        <v>5454</v>
      </c>
      <c r="C1643" s="1" t="s">
        <v>5455</v>
      </c>
      <c r="D1643" s="1" t="s">
        <v>27</v>
      </c>
      <c r="E1643" s="1" t="s">
        <v>28</v>
      </c>
      <c r="F1643" s="2">
        <v>600000.0</v>
      </c>
      <c r="G1643" s="1" t="s">
        <v>5456</v>
      </c>
      <c r="H1643" s="4">
        <f>IFERROR(__xludf.DUMMYFUNCTION("DATE(INDEX(SPLIT(G1643,""/""),,3),INDEX(SPLIT(G1643,""/""),,2),INDEX(SPLIT(G1643,""/""),,1))"),43547.0)</f>
        <v>43547</v>
      </c>
      <c r="I1643" s="1" t="s">
        <v>1097</v>
      </c>
      <c r="J1643" s="4">
        <f>IFERROR(__xludf.DUMMYFUNCTION("DATE(INDEX(SPLIT(I1643,""/""),,3),INDEX(SPLIT(I1643,""/""),,2),INDEX(SPLIT(I1643,""/""),,1))"),45107.0)</f>
        <v>45107</v>
      </c>
      <c r="L1643" s="1">
        <v>0.0</v>
      </c>
      <c r="M1643" s="1" t="s">
        <v>1745</v>
      </c>
      <c r="N1643" s="1"/>
      <c r="O1643" s="1" t="s">
        <v>30</v>
      </c>
      <c r="P1643" s="1" t="s">
        <v>31</v>
      </c>
      <c r="Q1643" s="1" t="s">
        <v>71</v>
      </c>
      <c r="R1643" s="1" t="s">
        <v>71</v>
      </c>
      <c r="S1643" s="1" t="s">
        <v>72</v>
      </c>
      <c r="T1643" s="1" t="s">
        <v>136</v>
      </c>
      <c r="U1643" s="1">
        <v>1.00582847E8</v>
      </c>
      <c r="X1643" s="1" t="s">
        <v>74</v>
      </c>
      <c r="Y1643" s="1" t="s">
        <v>2593</v>
      </c>
      <c r="Z1643" s="1" t="s">
        <v>37</v>
      </c>
    </row>
    <row r="1644" hidden="1">
      <c r="A1644" s="1" t="s">
        <v>5457</v>
      </c>
      <c r="B1644" s="1" t="s">
        <v>59</v>
      </c>
      <c r="C1644" s="1" t="s">
        <v>5458</v>
      </c>
      <c r="D1644" s="1" t="s">
        <v>78</v>
      </c>
      <c r="E1644" s="1" t="s">
        <v>28</v>
      </c>
      <c r="F1644" s="2">
        <v>600000.0</v>
      </c>
      <c r="G1644" s="1" t="s">
        <v>446</v>
      </c>
      <c r="H1644" s="4">
        <f>IFERROR(__xludf.DUMMYFUNCTION("DATE(INDEX(SPLIT(G1644,""/""),,3),INDEX(SPLIT(G1644,""/""),,2),INDEX(SPLIT(G1644,""/""),,1))"),44210.0)</f>
        <v>44210</v>
      </c>
      <c r="I1644" s="1" t="s">
        <v>652</v>
      </c>
      <c r="J1644" s="4">
        <f>IFERROR(__xludf.DUMMYFUNCTION("DATE(INDEX(SPLIT(I1644,""/""),,3),INDEX(SPLIT(I1644,""/""),,2),INDEX(SPLIT(I1644,""/""),,1))"),44863.0)</f>
        <v>44863</v>
      </c>
      <c r="L1644" s="1">
        <v>0.0</v>
      </c>
      <c r="M1644" s="1" t="s">
        <v>2237</v>
      </c>
      <c r="N1644" s="1"/>
      <c r="O1644" s="1" t="s">
        <v>30</v>
      </c>
      <c r="P1644" s="1" t="s">
        <v>31</v>
      </c>
      <c r="Q1644" s="1" t="s">
        <v>32</v>
      </c>
      <c r="R1644" s="1" t="s">
        <v>32</v>
      </c>
      <c r="S1644" s="1" t="s">
        <v>33</v>
      </c>
      <c r="T1644" s="1" t="s">
        <v>103</v>
      </c>
      <c r="U1644" s="1">
        <v>1.00611284E8</v>
      </c>
      <c r="X1644" s="1" t="s">
        <v>63</v>
      </c>
      <c r="Y1644" s="1" t="s">
        <v>2237</v>
      </c>
      <c r="Z1644" s="1" t="s">
        <v>37</v>
      </c>
    </row>
    <row r="1645" hidden="1">
      <c r="A1645" s="1" t="s">
        <v>5459</v>
      </c>
      <c r="B1645" s="1" t="s">
        <v>4196</v>
      </c>
      <c r="C1645" s="1" t="s">
        <v>5460</v>
      </c>
      <c r="D1645" s="1" t="s">
        <v>27</v>
      </c>
      <c r="E1645" s="1" t="s">
        <v>28</v>
      </c>
      <c r="F1645" s="2">
        <v>600000.0</v>
      </c>
      <c r="G1645" s="1" t="s">
        <v>935</v>
      </c>
      <c r="H1645" s="4">
        <f>IFERROR(__xludf.DUMMYFUNCTION("DATE(INDEX(SPLIT(G1645,""/""),,3),INDEX(SPLIT(G1645,""/""),,2),INDEX(SPLIT(G1645,""/""),,1))"),44764.0)</f>
        <v>44764</v>
      </c>
      <c r="I1645" s="1" t="s">
        <v>872</v>
      </c>
      <c r="J1645" s="4">
        <f>IFERROR(__xludf.DUMMYFUNCTION("DATE(INDEX(SPLIT(I1645,""/""),,3),INDEX(SPLIT(I1645,""/""),,2),INDEX(SPLIT(I1645,""/""),,1))"),44820.0)</f>
        <v>44820</v>
      </c>
      <c r="L1645" s="1">
        <v>0.0</v>
      </c>
      <c r="M1645" s="1" t="s">
        <v>318</v>
      </c>
      <c r="N1645" s="1"/>
      <c r="O1645" s="1" t="s">
        <v>30</v>
      </c>
      <c r="P1645" s="1" t="s">
        <v>31</v>
      </c>
      <c r="Q1645" s="1" t="s">
        <v>71</v>
      </c>
      <c r="R1645" s="1" t="s">
        <v>71</v>
      </c>
      <c r="S1645" s="1" t="s">
        <v>72</v>
      </c>
      <c r="U1645" s="1">
        <v>1.00654705E8</v>
      </c>
      <c r="X1645" s="1" t="s">
        <v>74</v>
      </c>
      <c r="Y1645" s="1" t="s">
        <v>318</v>
      </c>
      <c r="Z1645" s="1" t="s">
        <v>37</v>
      </c>
    </row>
    <row r="1646" hidden="1">
      <c r="A1646" s="1" t="s">
        <v>5461</v>
      </c>
      <c r="B1646" s="1" t="s">
        <v>1730</v>
      </c>
      <c r="C1646" s="1" t="s">
        <v>5462</v>
      </c>
      <c r="D1646" s="1" t="s">
        <v>27</v>
      </c>
      <c r="E1646" s="1" t="s">
        <v>28</v>
      </c>
      <c r="F1646" s="2">
        <v>600000.0</v>
      </c>
      <c r="G1646" s="1" t="s">
        <v>2607</v>
      </c>
      <c r="H1646" s="4">
        <f>IFERROR(__xludf.DUMMYFUNCTION("DATE(INDEX(SPLIT(G1646,""/""),,3),INDEX(SPLIT(G1646,""/""),,2),INDEX(SPLIT(G1646,""/""),,1))"),44612.0)</f>
        <v>44612</v>
      </c>
      <c r="I1646" s="4">
        <v>44988.0</v>
      </c>
      <c r="J1646" s="4">
        <f>IFERROR(__xludf.DUMMYFUNCTION("DATE(INDEX(SPLIT(I1646,""/""),,3),INDEX(SPLIT(I1646,""/""),,2),INDEX(SPLIT(I1646,""/""),,1))"),44988.0)</f>
        <v>44988</v>
      </c>
      <c r="L1646" s="1">
        <v>0.0</v>
      </c>
      <c r="M1646" s="1" t="s">
        <v>524</v>
      </c>
      <c r="N1646" s="1"/>
      <c r="O1646" s="1" t="s">
        <v>30</v>
      </c>
      <c r="P1646" s="1" t="s">
        <v>31</v>
      </c>
      <c r="Q1646" s="1" t="s">
        <v>32</v>
      </c>
      <c r="R1646" s="1" t="s">
        <v>32</v>
      </c>
      <c r="S1646" s="1" t="s">
        <v>33</v>
      </c>
      <c r="T1646" s="1" t="s">
        <v>2846</v>
      </c>
      <c r="U1646" s="1">
        <v>1.00627768E8</v>
      </c>
      <c r="X1646" s="1" t="s">
        <v>125</v>
      </c>
      <c r="Y1646" s="1" t="s">
        <v>1925</v>
      </c>
      <c r="Z1646" s="1" t="s">
        <v>527</v>
      </c>
    </row>
    <row r="1647" hidden="1">
      <c r="A1647" s="1" t="s">
        <v>5463</v>
      </c>
      <c r="B1647" s="1" t="s">
        <v>66</v>
      </c>
      <c r="C1647" s="1" t="s">
        <v>5464</v>
      </c>
      <c r="D1647" s="1" t="s">
        <v>78</v>
      </c>
      <c r="E1647" s="1" t="s">
        <v>28</v>
      </c>
      <c r="F1647" s="2">
        <v>600000.0</v>
      </c>
      <c r="G1647" s="1" t="s">
        <v>624</v>
      </c>
      <c r="H1647" s="4">
        <f>IFERROR(__xludf.DUMMYFUNCTION("DATE(INDEX(SPLIT(G1647,""/""),,3),INDEX(SPLIT(G1647,""/""),,2),INDEX(SPLIT(G1647,""/""),,1))"),44642.0)</f>
        <v>44642</v>
      </c>
      <c r="I1647" s="1" t="s">
        <v>487</v>
      </c>
      <c r="J1647" s="4">
        <f>IFERROR(__xludf.DUMMYFUNCTION("DATE(INDEX(SPLIT(I1647,""/""),,3),INDEX(SPLIT(I1647,""/""),,2),INDEX(SPLIT(I1647,""/""),,1))"),44855.0)</f>
        <v>44855</v>
      </c>
      <c r="L1647" s="1">
        <v>0.0</v>
      </c>
      <c r="M1647" s="1" t="s">
        <v>318</v>
      </c>
      <c r="N1647" s="1"/>
      <c r="O1647" s="1" t="s">
        <v>30</v>
      </c>
      <c r="P1647" s="1" t="s">
        <v>31</v>
      </c>
      <c r="Q1647" s="1" t="s">
        <v>71</v>
      </c>
      <c r="R1647" s="1" t="s">
        <v>71</v>
      </c>
      <c r="S1647" s="1" t="s">
        <v>72</v>
      </c>
      <c r="T1647" s="1" t="s">
        <v>73</v>
      </c>
      <c r="U1647" s="1">
        <v>1.00654705E8</v>
      </c>
      <c r="X1647" s="1" t="s">
        <v>74</v>
      </c>
      <c r="Y1647" s="1" t="s">
        <v>318</v>
      </c>
      <c r="Z1647" s="1" t="s">
        <v>37</v>
      </c>
    </row>
    <row r="1648" hidden="1">
      <c r="A1648" s="1" t="s">
        <v>5465</v>
      </c>
      <c r="B1648" s="1" t="s">
        <v>1355</v>
      </c>
      <c r="C1648" s="1" t="s">
        <v>5466</v>
      </c>
      <c r="D1648" s="1" t="s">
        <v>78</v>
      </c>
      <c r="E1648" s="1" t="s">
        <v>28</v>
      </c>
      <c r="F1648" s="2">
        <v>600000.0</v>
      </c>
      <c r="G1648" s="1" t="s">
        <v>1521</v>
      </c>
      <c r="H1648" s="4">
        <f>IFERROR(__xludf.DUMMYFUNCTION("DATE(INDEX(SPLIT(G1648,""/""),,3),INDEX(SPLIT(G1648,""/""),,2),INDEX(SPLIT(G1648,""/""),,1))"),44756.0)</f>
        <v>44756</v>
      </c>
      <c r="I1648" s="1" t="s">
        <v>293</v>
      </c>
      <c r="J1648" s="4">
        <f>IFERROR(__xludf.DUMMYFUNCTION("DATE(INDEX(SPLIT(I1648,""/""),,3),INDEX(SPLIT(I1648,""/""),,2),INDEX(SPLIT(I1648,""/""),,1))"),44918.0)</f>
        <v>44918</v>
      </c>
      <c r="L1648" s="1">
        <v>0.0</v>
      </c>
      <c r="M1648" s="1" t="s">
        <v>1358</v>
      </c>
      <c r="N1648" s="1"/>
      <c r="O1648" s="1" t="s">
        <v>30</v>
      </c>
      <c r="P1648" s="1" t="s">
        <v>31</v>
      </c>
      <c r="Q1648" s="1" t="s">
        <v>32</v>
      </c>
      <c r="R1648" s="1" t="s">
        <v>32</v>
      </c>
      <c r="S1648" s="1" t="s">
        <v>33</v>
      </c>
      <c r="U1648" s="1">
        <v>1.00613915E8</v>
      </c>
      <c r="X1648" s="1" t="s">
        <v>35</v>
      </c>
      <c r="Y1648" s="1" t="s">
        <v>4913</v>
      </c>
      <c r="Z1648" s="1" t="s">
        <v>37</v>
      </c>
    </row>
    <row r="1649">
      <c r="A1649" s="1" t="s">
        <v>5467</v>
      </c>
      <c r="B1649" s="1" t="s">
        <v>1590</v>
      </c>
      <c r="C1649" s="1" t="s">
        <v>5468</v>
      </c>
      <c r="D1649" s="1" t="s">
        <v>27</v>
      </c>
      <c r="E1649" s="1" t="s">
        <v>28</v>
      </c>
      <c r="F1649" s="2">
        <v>600000.0</v>
      </c>
      <c r="G1649" s="1" t="s">
        <v>779</v>
      </c>
      <c r="H1649" s="4">
        <f>IFERROR(__xludf.DUMMYFUNCTION("DATE(INDEX(SPLIT(G1649,""/""),,3),INDEX(SPLIT(G1649,""/""),,2),INDEX(SPLIT(G1649,""/""),,1))"),44734.0)</f>
        <v>44734</v>
      </c>
      <c r="I1649" s="1" t="s">
        <v>69</v>
      </c>
      <c r="J1649" s="4">
        <f>IFERROR(__xludf.DUMMYFUNCTION("DATE(INDEX(SPLIT(I1649,""/""),,3),INDEX(SPLIT(I1649,""/""),,2),INDEX(SPLIT(I1649,""/""),,1))"),44773.0)</f>
        <v>44773</v>
      </c>
      <c r="L1649" s="1">
        <v>0.0</v>
      </c>
      <c r="M1649" s="1" t="s">
        <v>841</v>
      </c>
      <c r="N1649" s="1"/>
      <c r="O1649" s="1" t="s">
        <v>30</v>
      </c>
      <c r="P1649" s="1" t="s">
        <v>31</v>
      </c>
      <c r="Q1649" s="1" t="s">
        <v>95</v>
      </c>
      <c r="R1649" s="1" t="s">
        <v>95</v>
      </c>
      <c r="S1649" s="1" t="s">
        <v>96</v>
      </c>
      <c r="T1649" s="1" t="s">
        <v>103</v>
      </c>
      <c r="U1649" s="1">
        <v>1.00621664E8</v>
      </c>
      <c r="V1649" s="1" t="s">
        <v>1591</v>
      </c>
      <c r="W1649" s="1" t="s">
        <v>199</v>
      </c>
      <c r="X1649" s="1" t="s">
        <v>46</v>
      </c>
      <c r="Y1649" s="1" t="s">
        <v>1592</v>
      </c>
      <c r="Z1649" s="1" t="s">
        <v>37</v>
      </c>
    </row>
    <row r="1650" hidden="1">
      <c r="A1650" s="1" t="s">
        <v>5469</v>
      </c>
      <c r="B1650" s="1" t="s">
        <v>39</v>
      </c>
      <c r="C1650" s="1" t="s">
        <v>5470</v>
      </c>
      <c r="D1650" s="1" t="s">
        <v>122</v>
      </c>
      <c r="E1650" s="1" t="s">
        <v>28</v>
      </c>
      <c r="F1650" s="2">
        <v>600000.0</v>
      </c>
      <c r="G1650" s="4">
        <v>44870.0</v>
      </c>
      <c r="H1650" s="4">
        <f>IFERROR(__xludf.DUMMYFUNCTION("DATE(INDEX(SPLIT(G1650,""/""),,3),INDEX(SPLIT(G1650,""/""),,2),INDEX(SPLIT(G1650,""/""),,1))"),44692.0)</f>
        <v>44692</v>
      </c>
      <c r="I1650" s="1" t="s">
        <v>109</v>
      </c>
      <c r="J1650" s="4">
        <f>IFERROR(__xludf.DUMMYFUNCTION("DATE(INDEX(SPLIT(I1650,""/""),,3),INDEX(SPLIT(I1650,""/""),,2),INDEX(SPLIT(I1650,""/""),,1))"),44834.0)</f>
        <v>44834</v>
      </c>
      <c r="L1650" s="1">
        <v>0.0</v>
      </c>
      <c r="M1650" s="1" t="s">
        <v>1452</v>
      </c>
      <c r="N1650" s="1"/>
      <c r="O1650" s="1" t="s">
        <v>30</v>
      </c>
      <c r="P1650" s="1" t="s">
        <v>31</v>
      </c>
      <c r="Q1650" s="1" t="s">
        <v>32</v>
      </c>
      <c r="R1650" s="1" t="s">
        <v>32</v>
      </c>
      <c r="S1650" s="1" t="s">
        <v>33</v>
      </c>
      <c r="T1650" s="1" t="s">
        <v>103</v>
      </c>
      <c r="U1650" s="1">
        <v>1.00643044E8</v>
      </c>
      <c r="X1650" s="1" t="s">
        <v>46</v>
      </c>
      <c r="Y1650" s="1" t="s">
        <v>104</v>
      </c>
      <c r="Z1650" s="1" t="s">
        <v>206</v>
      </c>
    </row>
    <row r="1651" hidden="1">
      <c r="A1651" s="1" t="s">
        <v>5471</v>
      </c>
      <c r="B1651" s="1" t="s">
        <v>1971</v>
      </c>
      <c r="C1651" s="1" t="s">
        <v>5472</v>
      </c>
      <c r="D1651" s="1" t="s">
        <v>27</v>
      </c>
      <c r="E1651" s="1" t="s">
        <v>28</v>
      </c>
      <c r="F1651" s="2">
        <v>600000.0</v>
      </c>
      <c r="G1651" s="4">
        <v>44358.0</v>
      </c>
      <c r="H1651" s="4">
        <f>IFERROR(__xludf.DUMMYFUNCTION("DATE(INDEX(SPLIT(G1651,""/""),,3),INDEX(SPLIT(G1651,""/""),,2),INDEX(SPLIT(G1651,""/""),,1))"),44506.0)</f>
        <v>44506</v>
      </c>
      <c r="I1651" s="4">
        <v>44816.0</v>
      </c>
      <c r="J1651" s="4">
        <f>IFERROR(__xludf.DUMMYFUNCTION("DATE(INDEX(SPLIT(I1651,""/""),,3),INDEX(SPLIT(I1651,""/""),,2),INDEX(SPLIT(I1651,""/""),,1))"),44904.0)</f>
        <v>44904</v>
      </c>
      <c r="L1651" s="1">
        <v>0.0</v>
      </c>
      <c r="M1651" s="1" t="s">
        <v>79</v>
      </c>
      <c r="N1651" s="1"/>
      <c r="O1651" s="1" t="s">
        <v>30</v>
      </c>
      <c r="P1651" s="1" t="s">
        <v>31</v>
      </c>
      <c r="Q1651" s="1" t="s">
        <v>32</v>
      </c>
      <c r="R1651" s="1" t="s">
        <v>32</v>
      </c>
      <c r="S1651" s="1" t="s">
        <v>33</v>
      </c>
      <c r="T1651" s="1" t="s">
        <v>2524</v>
      </c>
      <c r="U1651" s="1">
        <v>1.00609569E8</v>
      </c>
      <c r="X1651" s="1" t="s">
        <v>35</v>
      </c>
      <c r="Y1651" s="1" t="s">
        <v>1925</v>
      </c>
      <c r="Z1651" s="1" t="s">
        <v>37</v>
      </c>
    </row>
    <row r="1652" hidden="1">
      <c r="A1652" s="1" t="s">
        <v>5473</v>
      </c>
      <c r="B1652" s="1" t="s">
        <v>3180</v>
      </c>
      <c r="C1652" s="1" t="s">
        <v>5474</v>
      </c>
      <c r="D1652" s="1" t="s">
        <v>122</v>
      </c>
      <c r="E1652" s="1" t="s">
        <v>28</v>
      </c>
      <c r="F1652" s="2">
        <v>600000.0</v>
      </c>
      <c r="G1652" s="4">
        <v>44867.0</v>
      </c>
      <c r="H1652" s="4">
        <f>IFERROR(__xludf.DUMMYFUNCTION("DATE(INDEX(SPLIT(G1652,""/""),,3),INDEX(SPLIT(G1652,""/""),,2),INDEX(SPLIT(G1652,""/""),,1))"),44603.0)</f>
        <v>44603</v>
      </c>
      <c r="I1652" s="1" t="s">
        <v>1678</v>
      </c>
      <c r="J1652" s="4">
        <f>IFERROR(__xludf.DUMMYFUNCTION("DATE(INDEX(SPLIT(I1652,""/""),,3),INDEX(SPLIT(I1652,""/""),,2),INDEX(SPLIT(I1652,""/""),,1))"),44819.0)</f>
        <v>44819</v>
      </c>
      <c r="L1652" s="1">
        <v>0.0</v>
      </c>
      <c r="M1652" s="1" t="s">
        <v>2237</v>
      </c>
      <c r="N1652" s="1"/>
      <c r="O1652" s="1" t="s">
        <v>30</v>
      </c>
      <c r="P1652" s="1" t="s">
        <v>31</v>
      </c>
      <c r="Q1652" s="1" t="s">
        <v>32</v>
      </c>
      <c r="R1652" s="1" t="s">
        <v>32</v>
      </c>
      <c r="S1652" s="1" t="s">
        <v>33</v>
      </c>
      <c r="T1652" s="1" t="s">
        <v>103</v>
      </c>
      <c r="U1652" s="1">
        <v>1.00611284E8</v>
      </c>
      <c r="X1652" s="1" t="s">
        <v>63</v>
      </c>
      <c r="Y1652" s="1" t="s">
        <v>1884</v>
      </c>
      <c r="Z1652" s="1" t="s">
        <v>37</v>
      </c>
    </row>
    <row r="1653">
      <c r="A1653" s="1" t="s">
        <v>5475</v>
      </c>
      <c r="B1653" s="1" t="s">
        <v>223</v>
      </c>
      <c r="C1653" s="1" t="s">
        <v>5476</v>
      </c>
      <c r="D1653" s="1" t="s">
        <v>122</v>
      </c>
      <c r="E1653" s="1" t="s">
        <v>28</v>
      </c>
      <c r="F1653" s="2">
        <v>600000.0</v>
      </c>
      <c r="G1653" s="1" t="s">
        <v>330</v>
      </c>
      <c r="H1653" s="4">
        <f>IFERROR(__xludf.DUMMYFUNCTION("DATE(INDEX(SPLIT(G1653,""/""),,3),INDEX(SPLIT(G1653,""/""),,2),INDEX(SPLIT(G1653,""/""),,1))"),44728.0)</f>
        <v>44728</v>
      </c>
      <c r="I1653" s="1" t="s">
        <v>518</v>
      </c>
      <c r="J1653" s="4">
        <f>IFERROR(__xludf.DUMMYFUNCTION("DATE(INDEX(SPLIT(I1653,""/""),,3),INDEX(SPLIT(I1653,""/""),,2),INDEX(SPLIT(I1653,""/""),,1))"),44757.0)</f>
        <v>44757</v>
      </c>
      <c r="L1653" s="1">
        <v>0.0</v>
      </c>
      <c r="M1653" s="1" t="s">
        <v>227</v>
      </c>
      <c r="N1653" s="1"/>
      <c r="O1653" s="1" t="s">
        <v>30</v>
      </c>
      <c r="P1653" s="1" t="s">
        <v>31</v>
      </c>
      <c r="Q1653" s="1" t="s">
        <v>228</v>
      </c>
      <c r="R1653" s="1" t="s">
        <v>228</v>
      </c>
      <c r="S1653" s="1" t="s">
        <v>229</v>
      </c>
      <c r="T1653" s="1" t="s">
        <v>640</v>
      </c>
      <c r="U1653" s="1">
        <v>1.00660017E8</v>
      </c>
      <c r="X1653" s="1" t="s">
        <v>81</v>
      </c>
      <c r="Y1653" s="1" t="s">
        <v>227</v>
      </c>
      <c r="Z1653" s="1" t="s">
        <v>37</v>
      </c>
    </row>
    <row r="1654">
      <c r="A1654" s="1" t="s">
        <v>5477</v>
      </c>
      <c r="B1654" s="1" t="s">
        <v>223</v>
      </c>
      <c r="C1654" s="1" t="s">
        <v>5478</v>
      </c>
      <c r="D1654" s="1" t="s">
        <v>122</v>
      </c>
      <c r="E1654" s="1" t="s">
        <v>28</v>
      </c>
      <c r="F1654" s="2">
        <v>600000.0</v>
      </c>
      <c r="G1654" s="1" t="s">
        <v>330</v>
      </c>
      <c r="H1654" s="4">
        <f>IFERROR(__xludf.DUMMYFUNCTION("DATE(INDEX(SPLIT(G1654,""/""),,3),INDEX(SPLIT(G1654,""/""),,2),INDEX(SPLIT(G1654,""/""),,1))"),44728.0)</f>
        <v>44728</v>
      </c>
      <c r="I1654" s="1" t="s">
        <v>226</v>
      </c>
      <c r="J1654" s="4">
        <f>IFERROR(__xludf.DUMMYFUNCTION("DATE(INDEX(SPLIT(I1654,""/""),,3),INDEX(SPLIT(I1654,""/""),,2),INDEX(SPLIT(I1654,""/""),,1))"),44771.0)</f>
        <v>44771</v>
      </c>
      <c r="L1654" s="1">
        <v>0.0</v>
      </c>
      <c r="M1654" s="1" t="s">
        <v>227</v>
      </c>
      <c r="N1654" s="1"/>
      <c r="O1654" s="1" t="s">
        <v>30</v>
      </c>
      <c r="P1654" s="1" t="s">
        <v>31</v>
      </c>
      <c r="Q1654" s="1" t="s">
        <v>228</v>
      </c>
      <c r="R1654" s="1" t="s">
        <v>228</v>
      </c>
      <c r="S1654" s="1" t="s">
        <v>229</v>
      </c>
      <c r="T1654" s="1" t="s">
        <v>640</v>
      </c>
      <c r="U1654" s="1">
        <v>1.00660017E8</v>
      </c>
      <c r="X1654" s="1" t="s">
        <v>81</v>
      </c>
      <c r="Y1654" s="1" t="s">
        <v>227</v>
      </c>
      <c r="Z1654" s="1" t="s">
        <v>37</v>
      </c>
    </row>
    <row r="1655" hidden="1">
      <c r="A1655" s="1" t="s">
        <v>5479</v>
      </c>
      <c r="B1655" s="1" t="s">
        <v>3329</v>
      </c>
      <c r="C1655" s="1" t="s">
        <v>5480</v>
      </c>
      <c r="D1655" s="1" t="s">
        <v>122</v>
      </c>
      <c r="E1655" s="1" t="s">
        <v>28</v>
      </c>
      <c r="F1655" s="2">
        <v>600000.0</v>
      </c>
      <c r="G1655" s="4">
        <v>44258.0</v>
      </c>
      <c r="H1655" s="4">
        <f>IFERROR(__xludf.DUMMYFUNCTION("DATE(INDEX(SPLIT(G1655,""/""),,3),INDEX(SPLIT(G1655,""/""),,2),INDEX(SPLIT(G1655,""/""),,1))"),44258.0)</f>
        <v>44258</v>
      </c>
      <c r="I1655" s="1" t="s">
        <v>130</v>
      </c>
      <c r="J1655" s="4">
        <f>IFERROR(__xludf.DUMMYFUNCTION("DATE(INDEX(SPLIT(I1655,""/""),,3),INDEX(SPLIT(I1655,""/""),,2),INDEX(SPLIT(I1655,""/""),,1))"),44804.0)</f>
        <v>44804</v>
      </c>
      <c r="L1655" s="1">
        <v>0.0</v>
      </c>
      <c r="M1655" s="1" t="s">
        <v>1084</v>
      </c>
      <c r="N1655" s="1"/>
      <c r="O1655" s="1" t="s">
        <v>30</v>
      </c>
      <c r="P1655" s="1" t="s">
        <v>31</v>
      </c>
      <c r="Q1655" s="1" t="s">
        <v>32</v>
      </c>
      <c r="R1655" s="1" t="s">
        <v>32</v>
      </c>
      <c r="S1655" s="1" t="s">
        <v>33</v>
      </c>
      <c r="T1655" s="1" t="s">
        <v>34</v>
      </c>
      <c r="U1655" s="1">
        <v>1.00601386E8</v>
      </c>
      <c r="V1655" s="1" t="s">
        <v>5481</v>
      </c>
      <c r="W1655" s="1" t="s">
        <v>199</v>
      </c>
      <c r="X1655" s="1" t="s">
        <v>81</v>
      </c>
      <c r="Y1655" s="1" t="s">
        <v>1084</v>
      </c>
      <c r="Z1655" s="1" t="s">
        <v>37</v>
      </c>
    </row>
    <row r="1656" hidden="1">
      <c r="A1656" s="1" t="s">
        <v>5482</v>
      </c>
      <c r="B1656" s="1" t="s">
        <v>5483</v>
      </c>
      <c r="C1656" s="1" t="s">
        <v>5484</v>
      </c>
      <c r="D1656" s="1" t="s">
        <v>27</v>
      </c>
      <c r="E1656" s="1" t="s">
        <v>28</v>
      </c>
      <c r="F1656" s="2">
        <v>600000.0</v>
      </c>
      <c r="G1656" s="4">
        <v>44748.0</v>
      </c>
      <c r="H1656" s="4">
        <f>IFERROR(__xludf.DUMMYFUNCTION("DATE(INDEX(SPLIT(G1656,""/""),,3),INDEX(SPLIT(G1656,""/""),,2),INDEX(SPLIT(G1656,""/""),,1))"),44719.0)</f>
        <v>44719</v>
      </c>
      <c r="I1656" s="1" t="s">
        <v>102</v>
      </c>
      <c r="J1656" s="4">
        <f>IFERROR(__xludf.DUMMYFUNCTION("DATE(INDEX(SPLIT(I1656,""/""),,3),INDEX(SPLIT(I1656,""/""),,2),INDEX(SPLIT(I1656,""/""),,1))"),45046.0)</f>
        <v>45046</v>
      </c>
      <c r="L1656" s="1">
        <v>0.0</v>
      </c>
      <c r="M1656" s="1" t="s">
        <v>2787</v>
      </c>
      <c r="N1656" s="1"/>
      <c r="O1656" s="1" t="s">
        <v>30</v>
      </c>
      <c r="P1656" s="1" t="s">
        <v>31</v>
      </c>
      <c r="Q1656" s="1" t="s">
        <v>157</v>
      </c>
      <c r="R1656" s="1" t="s">
        <v>157</v>
      </c>
      <c r="S1656" s="1" t="s">
        <v>158</v>
      </c>
      <c r="T1656" s="1" t="s">
        <v>442</v>
      </c>
      <c r="U1656" s="1">
        <v>1.00708984E8</v>
      </c>
      <c r="X1656" s="1" t="s">
        <v>190</v>
      </c>
      <c r="Y1656" s="1" t="s">
        <v>5485</v>
      </c>
      <c r="Z1656" s="1" t="s">
        <v>37</v>
      </c>
    </row>
    <row r="1657" hidden="1">
      <c r="A1657" s="1" t="s">
        <v>5486</v>
      </c>
      <c r="B1657" s="1" t="s">
        <v>1070</v>
      </c>
      <c r="C1657" s="1" t="s">
        <v>5487</v>
      </c>
      <c r="D1657" s="1" t="s">
        <v>27</v>
      </c>
      <c r="E1657" s="1" t="s">
        <v>28</v>
      </c>
      <c r="F1657" s="2">
        <v>600000.0</v>
      </c>
      <c r="G1657" s="4">
        <v>44656.0</v>
      </c>
      <c r="H1657" s="4">
        <f>IFERROR(__xludf.DUMMYFUNCTION("DATE(INDEX(SPLIT(G1657,""/""),,3),INDEX(SPLIT(G1657,""/""),,2),INDEX(SPLIT(G1657,""/""),,1))"),44685.0)</f>
        <v>44685</v>
      </c>
      <c r="I1657" s="1" t="s">
        <v>1171</v>
      </c>
      <c r="J1657" s="4">
        <f>IFERROR(__xludf.DUMMYFUNCTION("DATE(INDEX(SPLIT(I1657,""/""),,3),INDEX(SPLIT(I1657,""/""),,2),INDEX(SPLIT(I1657,""/""),,1))"),44789.0)</f>
        <v>44789</v>
      </c>
      <c r="L1657" s="1">
        <v>0.0</v>
      </c>
      <c r="M1657" s="1" t="s">
        <v>61</v>
      </c>
      <c r="N1657" s="1"/>
      <c r="O1657" s="1" t="s">
        <v>30</v>
      </c>
      <c r="P1657" s="1" t="s">
        <v>31</v>
      </c>
      <c r="Q1657" s="1" t="s">
        <v>32</v>
      </c>
      <c r="R1657" s="1" t="s">
        <v>32</v>
      </c>
      <c r="S1657" s="1" t="s">
        <v>33</v>
      </c>
      <c r="U1657" s="1">
        <v>1.0060843E8</v>
      </c>
      <c r="X1657" s="1" t="s">
        <v>117</v>
      </c>
      <c r="Y1657" s="1" t="s">
        <v>3053</v>
      </c>
      <c r="Z1657" s="1" t="s">
        <v>37</v>
      </c>
    </row>
    <row r="1658" hidden="1">
      <c r="A1658" s="1" t="s">
        <v>5488</v>
      </c>
      <c r="B1658" s="1" t="s">
        <v>5489</v>
      </c>
      <c r="C1658" s="1" t="s">
        <v>4333</v>
      </c>
      <c r="D1658" s="1" t="s">
        <v>122</v>
      </c>
      <c r="E1658" s="1" t="s">
        <v>28</v>
      </c>
      <c r="F1658" s="2">
        <v>600000.0</v>
      </c>
      <c r="G1658" s="1" t="s">
        <v>1136</v>
      </c>
      <c r="H1658" s="4">
        <f>IFERROR(__xludf.DUMMYFUNCTION("DATE(INDEX(SPLIT(G1658,""/""),,3),INDEX(SPLIT(G1658,""/""),,2),INDEX(SPLIT(G1658,""/""),,1))"),44608.0)</f>
        <v>44608</v>
      </c>
      <c r="I1658" s="4">
        <v>44903.0</v>
      </c>
      <c r="J1658" s="4">
        <f>IFERROR(__xludf.DUMMYFUNCTION("DATE(INDEX(SPLIT(I1658,""/""),,3),INDEX(SPLIT(I1658,""/""),,2),INDEX(SPLIT(I1658,""/""),,1))"),44785.0)</f>
        <v>44785</v>
      </c>
      <c r="L1658" s="1">
        <v>0.0</v>
      </c>
      <c r="M1658" s="1" t="s">
        <v>467</v>
      </c>
      <c r="N1658" s="1"/>
      <c r="O1658" s="1" t="s">
        <v>30</v>
      </c>
      <c r="P1658" s="1" t="s">
        <v>31</v>
      </c>
      <c r="Q1658" s="1" t="s">
        <v>32</v>
      </c>
      <c r="R1658" s="1" t="s">
        <v>32</v>
      </c>
      <c r="S1658" s="1" t="s">
        <v>33</v>
      </c>
      <c r="T1658" s="1" t="s">
        <v>34</v>
      </c>
      <c r="U1658" s="1">
        <v>1.00619817E8</v>
      </c>
      <c r="X1658" s="1" t="s">
        <v>81</v>
      </c>
      <c r="Y1658" s="1" t="s">
        <v>467</v>
      </c>
      <c r="Z1658" s="1" t="s">
        <v>37</v>
      </c>
    </row>
    <row r="1659">
      <c r="A1659" s="1" t="s">
        <v>5490</v>
      </c>
      <c r="B1659" s="1" t="s">
        <v>5491</v>
      </c>
      <c r="C1659" s="1" t="s">
        <v>5492</v>
      </c>
      <c r="D1659" s="1" t="s">
        <v>27</v>
      </c>
      <c r="E1659" s="1" t="s">
        <v>28</v>
      </c>
      <c r="F1659" s="2">
        <v>600000.0</v>
      </c>
      <c r="G1659" s="4">
        <v>44656.0</v>
      </c>
      <c r="H1659" s="4">
        <f>IFERROR(__xludf.DUMMYFUNCTION("DATE(INDEX(SPLIT(G1659,""/""),,3),INDEX(SPLIT(G1659,""/""),,2),INDEX(SPLIT(G1659,""/""),,1))"),44685.0)</f>
        <v>44685</v>
      </c>
      <c r="I1659" s="1" t="s">
        <v>226</v>
      </c>
      <c r="J1659" s="4">
        <f>IFERROR(__xludf.DUMMYFUNCTION("DATE(INDEX(SPLIT(I1659,""/""),,3),INDEX(SPLIT(I1659,""/""),,2),INDEX(SPLIT(I1659,""/""),,1))"),44771.0)</f>
        <v>44771</v>
      </c>
      <c r="L1659" s="1">
        <v>0.0</v>
      </c>
      <c r="M1659" s="1" t="s">
        <v>3099</v>
      </c>
      <c r="N1659" s="1"/>
      <c r="O1659" s="1" t="s">
        <v>30</v>
      </c>
      <c r="P1659" s="1" t="s">
        <v>31</v>
      </c>
      <c r="Q1659" s="1" t="s">
        <v>95</v>
      </c>
      <c r="R1659" s="1" t="s">
        <v>95</v>
      </c>
      <c r="S1659" s="1" t="s">
        <v>96</v>
      </c>
      <c r="T1659" s="1" t="s">
        <v>97</v>
      </c>
      <c r="U1659" s="1">
        <v>1.00589299E8</v>
      </c>
      <c r="X1659" s="1" t="s">
        <v>125</v>
      </c>
      <c r="Y1659" s="1" t="s">
        <v>5493</v>
      </c>
      <c r="Z1659" s="1" t="s">
        <v>37</v>
      </c>
    </row>
    <row r="1660" hidden="1">
      <c r="A1660" s="1" t="s">
        <v>5494</v>
      </c>
      <c r="B1660" s="1" t="s">
        <v>5495</v>
      </c>
      <c r="C1660" s="1" t="s">
        <v>5496</v>
      </c>
      <c r="D1660" s="1" t="s">
        <v>68</v>
      </c>
      <c r="E1660" s="1" t="s">
        <v>28</v>
      </c>
      <c r="F1660" s="2">
        <v>600000.0</v>
      </c>
      <c r="G1660" s="1" t="s">
        <v>2077</v>
      </c>
      <c r="H1660" s="4">
        <f>IFERROR(__xludf.DUMMYFUNCTION("DATE(INDEX(SPLIT(G1660,""/""),,3),INDEX(SPLIT(G1660,""/""),,2),INDEX(SPLIT(G1660,""/""),,1))"),44700.0)</f>
        <v>44700</v>
      </c>
      <c r="I1660" s="4">
        <v>44569.0</v>
      </c>
      <c r="J1660" s="4">
        <f>IFERROR(__xludf.DUMMYFUNCTION("DATE(INDEX(SPLIT(I1660,""/""),,3),INDEX(SPLIT(I1660,""/""),,2),INDEX(SPLIT(I1660,""/""),,1))"),44774.0)</f>
        <v>44774</v>
      </c>
      <c r="L1660" s="1">
        <v>0.0</v>
      </c>
      <c r="M1660" s="1" t="s">
        <v>5497</v>
      </c>
      <c r="N1660" s="1"/>
      <c r="O1660" s="1" t="s">
        <v>30</v>
      </c>
      <c r="P1660" s="1" t="s">
        <v>31</v>
      </c>
      <c r="Q1660" s="1" t="s">
        <v>71</v>
      </c>
      <c r="R1660" s="1" t="s">
        <v>71</v>
      </c>
      <c r="S1660" s="1" t="s">
        <v>72</v>
      </c>
      <c r="T1660" s="1" t="s">
        <v>73</v>
      </c>
      <c r="U1660" s="1">
        <v>1.01088146E8</v>
      </c>
      <c r="Y1660" s="1" t="s">
        <v>5497</v>
      </c>
      <c r="Z1660" s="1" t="s">
        <v>37</v>
      </c>
    </row>
    <row r="1661">
      <c r="A1661" s="1" t="s">
        <v>5498</v>
      </c>
      <c r="B1661" s="1" t="s">
        <v>4255</v>
      </c>
      <c r="C1661" s="1" t="s">
        <v>5499</v>
      </c>
      <c r="D1661" s="1" t="s">
        <v>122</v>
      </c>
      <c r="E1661" s="1" t="s">
        <v>28</v>
      </c>
      <c r="F1661" s="2">
        <v>600000.0</v>
      </c>
      <c r="G1661" s="1" t="s">
        <v>1395</v>
      </c>
      <c r="H1661" s="4">
        <f>IFERROR(__xludf.DUMMYFUNCTION("DATE(INDEX(SPLIT(G1661,""/""),,3),INDEX(SPLIT(G1661,""/""),,2),INDEX(SPLIT(G1661,""/""),,1))"),44404.0)</f>
        <v>44404</v>
      </c>
      <c r="I1661" s="1" t="s">
        <v>226</v>
      </c>
      <c r="J1661" s="4">
        <f>IFERROR(__xludf.DUMMYFUNCTION("DATE(INDEX(SPLIT(I1661,""/""),,3),INDEX(SPLIT(I1661,""/""),,2),INDEX(SPLIT(I1661,""/""),,1))"),44771.0)</f>
        <v>44771</v>
      </c>
      <c r="L1661" s="1">
        <v>0.0</v>
      </c>
      <c r="M1661" s="1" t="s">
        <v>5500</v>
      </c>
      <c r="N1661" s="1"/>
      <c r="O1661" s="1" t="s">
        <v>30</v>
      </c>
      <c r="P1661" s="1" t="s">
        <v>31</v>
      </c>
      <c r="Q1661" s="1" t="s">
        <v>157</v>
      </c>
      <c r="R1661" s="1" t="s">
        <v>157</v>
      </c>
      <c r="S1661" s="1" t="s">
        <v>158</v>
      </c>
      <c r="T1661" s="1" t="s">
        <v>1344</v>
      </c>
      <c r="U1661" s="1">
        <v>1.00641485E8</v>
      </c>
      <c r="X1661" s="1" t="s">
        <v>254</v>
      </c>
      <c r="Y1661" s="1" t="s">
        <v>5500</v>
      </c>
      <c r="Z1661" s="1" t="s">
        <v>527</v>
      </c>
    </row>
    <row r="1662">
      <c r="A1662" s="1" t="s">
        <v>5501</v>
      </c>
      <c r="B1662" s="1" t="s">
        <v>932</v>
      </c>
      <c r="C1662" s="1" t="s">
        <v>5502</v>
      </c>
      <c r="D1662" s="1" t="s">
        <v>27</v>
      </c>
      <c r="E1662" s="1" t="s">
        <v>28</v>
      </c>
      <c r="F1662" s="2">
        <v>600000.0</v>
      </c>
      <c r="G1662" s="1" t="s">
        <v>185</v>
      </c>
      <c r="H1662" s="4">
        <f>IFERROR(__xludf.DUMMYFUNCTION("DATE(INDEX(SPLIT(G1662,""/""),,3),INDEX(SPLIT(G1662,""/""),,2),INDEX(SPLIT(G1662,""/""),,1))"),44741.0)</f>
        <v>44741</v>
      </c>
      <c r="I1662" s="1" t="s">
        <v>226</v>
      </c>
      <c r="J1662" s="4">
        <f>IFERROR(__xludf.DUMMYFUNCTION("DATE(INDEX(SPLIT(I1662,""/""),,3),INDEX(SPLIT(I1662,""/""),,2),INDEX(SPLIT(I1662,""/""),,1))"),44771.0)</f>
        <v>44771</v>
      </c>
      <c r="L1662" s="1">
        <v>0.0</v>
      </c>
      <c r="M1662" s="1" t="s">
        <v>1941</v>
      </c>
      <c r="N1662" s="1"/>
      <c r="O1662" s="1" t="s">
        <v>30</v>
      </c>
      <c r="P1662" s="1" t="s">
        <v>31</v>
      </c>
      <c r="Q1662" s="1" t="s">
        <v>71</v>
      </c>
      <c r="R1662" s="1" t="s">
        <v>71</v>
      </c>
      <c r="S1662" s="1" t="s">
        <v>72</v>
      </c>
      <c r="T1662" s="1" t="s">
        <v>73</v>
      </c>
      <c r="U1662" s="1">
        <v>1.00649673E8</v>
      </c>
      <c r="X1662" s="1" t="s">
        <v>74</v>
      </c>
      <c r="Y1662" s="1" t="s">
        <v>4702</v>
      </c>
      <c r="Z1662" s="1" t="s">
        <v>37</v>
      </c>
    </row>
    <row r="1663">
      <c r="A1663" s="1" t="s">
        <v>5503</v>
      </c>
      <c r="B1663" s="1" t="s">
        <v>246</v>
      </c>
      <c r="C1663" s="1" t="s">
        <v>5504</v>
      </c>
      <c r="D1663" s="1" t="s">
        <v>122</v>
      </c>
      <c r="E1663" s="1" t="s">
        <v>28</v>
      </c>
      <c r="F1663" s="2">
        <v>600000.0</v>
      </c>
      <c r="G1663" s="4">
        <v>44806.0</v>
      </c>
      <c r="H1663" s="4">
        <f>IFERROR(__xludf.DUMMYFUNCTION("DATE(INDEX(SPLIT(G1663,""/""),,3),INDEX(SPLIT(G1663,""/""),,2),INDEX(SPLIT(G1663,""/""),,1))"),44601.0)</f>
        <v>44601</v>
      </c>
      <c r="I1663" s="4">
        <v>44568.0</v>
      </c>
      <c r="J1663" s="4">
        <f>IFERROR(__xludf.DUMMYFUNCTION("DATE(INDEX(SPLIT(I1663,""/""),,3),INDEX(SPLIT(I1663,""/""),,2),INDEX(SPLIT(I1663,""/""),,1))"),44743.0)</f>
        <v>44743</v>
      </c>
      <c r="L1663" s="1">
        <v>0.0</v>
      </c>
      <c r="M1663" s="1" t="s">
        <v>706</v>
      </c>
      <c r="N1663" s="1"/>
      <c r="O1663" s="1" t="s">
        <v>30</v>
      </c>
      <c r="P1663" s="1" t="s">
        <v>31</v>
      </c>
      <c r="Q1663" s="1" t="s">
        <v>53</v>
      </c>
      <c r="R1663" s="1" t="s">
        <v>53</v>
      </c>
      <c r="S1663" s="1" t="s">
        <v>54</v>
      </c>
      <c r="U1663" s="1">
        <v>1.00651901E8</v>
      </c>
      <c r="X1663" s="1" t="s">
        <v>35</v>
      </c>
      <c r="Y1663" s="1" t="s">
        <v>706</v>
      </c>
      <c r="Z1663" s="1" t="s">
        <v>37</v>
      </c>
    </row>
    <row r="1664" hidden="1">
      <c r="A1664" s="1" t="s">
        <v>5505</v>
      </c>
      <c r="B1664" s="1" t="s">
        <v>1216</v>
      </c>
      <c r="C1664" s="1" t="s">
        <v>5506</v>
      </c>
      <c r="D1664" s="1" t="s">
        <v>27</v>
      </c>
      <c r="E1664" s="1" t="s">
        <v>28</v>
      </c>
      <c r="F1664" s="2">
        <v>600000.0</v>
      </c>
      <c r="G1664" s="1" t="s">
        <v>41</v>
      </c>
      <c r="H1664" s="4">
        <f>IFERROR(__xludf.DUMMYFUNCTION("DATE(INDEX(SPLIT(G1664,""/""),,3),INDEX(SPLIT(G1664,""/""),,2),INDEX(SPLIT(G1664,""/""),,1))"),44607.0)</f>
        <v>44607</v>
      </c>
      <c r="I1664" s="4">
        <v>44573.0</v>
      </c>
      <c r="J1664" s="4">
        <f>IFERROR(__xludf.DUMMYFUNCTION("DATE(INDEX(SPLIT(I1664,""/""),,3),INDEX(SPLIT(I1664,""/""),,2),INDEX(SPLIT(I1664,""/""),,1))"),44896.0)</f>
        <v>44896</v>
      </c>
      <c r="L1664" s="1">
        <v>0.0</v>
      </c>
      <c r="M1664" s="1" t="s">
        <v>5507</v>
      </c>
      <c r="N1664" s="1"/>
      <c r="O1664" s="1" t="s">
        <v>30</v>
      </c>
      <c r="P1664" s="1" t="s">
        <v>31</v>
      </c>
      <c r="Q1664" s="1" t="s">
        <v>235</v>
      </c>
      <c r="R1664" s="1" t="s">
        <v>235</v>
      </c>
      <c r="S1664" s="1" t="s">
        <v>236</v>
      </c>
      <c r="T1664" s="1" t="s">
        <v>1386</v>
      </c>
      <c r="U1664" s="1">
        <v>1.00620643E8</v>
      </c>
      <c r="X1664" s="1" t="s">
        <v>88</v>
      </c>
      <c r="Y1664" s="1" t="s">
        <v>1387</v>
      </c>
      <c r="Z1664" s="1" t="s">
        <v>37</v>
      </c>
    </row>
    <row r="1665" hidden="1">
      <c r="A1665" s="1" t="s">
        <v>5508</v>
      </c>
      <c r="B1665" s="1" t="s">
        <v>1734</v>
      </c>
      <c r="C1665" s="1" t="s">
        <v>5509</v>
      </c>
      <c r="D1665" s="1" t="s">
        <v>78</v>
      </c>
      <c r="E1665" s="1" t="s">
        <v>28</v>
      </c>
      <c r="F1665" s="2">
        <v>600000.0</v>
      </c>
      <c r="G1665" s="1" t="s">
        <v>5510</v>
      </c>
      <c r="H1665" s="4">
        <f>IFERROR(__xludf.DUMMYFUNCTION("DATE(INDEX(SPLIT(G1665,""/""),,3),INDEX(SPLIT(G1665,""/""),,2),INDEX(SPLIT(G1665,""/""),,1))"),44364.0)</f>
        <v>44364</v>
      </c>
      <c r="I1665" s="1" t="s">
        <v>109</v>
      </c>
      <c r="J1665" s="4">
        <f>IFERROR(__xludf.DUMMYFUNCTION("DATE(INDEX(SPLIT(I1665,""/""),,3),INDEX(SPLIT(I1665,""/""),,2),INDEX(SPLIT(I1665,""/""),,1))"),44834.0)</f>
        <v>44834</v>
      </c>
      <c r="L1665" s="1">
        <v>0.0</v>
      </c>
      <c r="M1665" s="1" t="s">
        <v>587</v>
      </c>
      <c r="N1665" s="1"/>
      <c r="O1665" s="1" t="s">
        <v>30</v>
      </c>
      <c r="P1665" s="1" t="s">
        <v>31</v>
      </c>
      <c r="Q1665" s="1" t="s">
        <v>157</v>
      </c>
      <c r="R1665" s="1" t="s">
        <v>157</v>
      </c>
      <c r="S1665" s="1" t="s">
        <v>158</v>
      </c>
      <c r="T1665" s="1" t="s">
        <v>442</v>
      </c>
      <c r="U1665" s="1">
        <v>1.00700761E8</v>
      </c>
      <c r="X1665" s="1" t="s">
        <v>125</v>
      </c>
      <c r="Y1665" s="1" t="s">
        <v>847</v>
      </c>
      <c r="Z1665" s="1" t="s">
        <v>37</v>
      </c>
    </row>
    <row r="1666" hidden="1">
      <c r="A1666" s="1" t="s">
        <v>5511</v>
      </c>
      <c r="B1666" s="1" t="s">
        <v>1971</v>
      </c>
      <c r="C1666" s="1" t="s">
        <v>5512</v>
      </c>
      <c r="D1666" s="1" t="s">
        <v>27</v>
      </c>
      <c r="E1666" s="1" t="s">
        <v>28</v>
      </c>
      <c r="F1666" s="2">
        <v>600000.0</v>
      </c>
      <c r="G1666" s="1" t="s">
        <v>2077</v>
      </c>
      <c r="H1666" s="4">
        <f>IFERROR(__xludf.DUMMYFUNCTION("DATE(INDEX(SPLIT(G1666,""/""),,3),INDEX(SPLIT(G1666,""/""),,2),INDEX(SPLIT(G1666,""/""),,1))"),44700.0)</f>
        <v>44700</v>
      </c>
      <c r="I1666" s="1" t="s">
        <v>5513</v>
      </c>
      <c r="J1666" s="4">
        <f>IFERROR(__xludf.DUMMYFUNCTION("DATE(INDEX(SPLIT(I1666,""/""),,3),INDEX(SPLIT(I1666,""/""),,2),INDEX(SPLIT(I1666,""/""),,1))"),44824.0)</f>
        <v>44824</v>
      </c>
      <c r="L1666" s="1">
        <v>0.0</v>
      </c>
      <c r="M1666" s="1" t="s">
        <v>79</v>
      </c>
      <c r="N1666" s="1"/>
      <c r="O1666" s="1" t="s">
        <v>30</v>
      </c>
      <c r="P1666" s="1" t="s">
        <v>31</v>
      </c>
      <c r="Q1666" s="1" t="s">
        <v>32</v>
      </c>
      <c r="R1666" s="1" t="s">
        <v>32</v>
      </c>
      <c r="S1666" s="1" t="s">
        <v>33</v>
      </c>
      <c r="T1666" s="1" t="s">
        <v>2524</v>
      </c>
      <c r="U1666" s="1">
        <v>1.00609569E8</v>
      </c>
      <c r="X1666" s="1" t="s">
        <v>35</v>
      </c>
      <c r="Y1666" s="1" t="s">
        <v>79</v>
      </c>
      <c r="Z1666" s="1" t="s">
        <v>37</v>
      </c>
    </row>
    <row r="1667" hidden="1">
      <c r="A1667" s="1" t="s">
        <v>5514</v>
      </c>
      <c r="B1667" s="1" t="s">
        <v>5515</v>
      </c>
      <c r="C1667" s="1" t="s">
        <v>5516</v>
      </c>
      <c r="D1667" s="1" t="s">
        <v>27</v>
      </c>
      <c r="E1667" s="1" t="s">
        <v>28</v>
      </c>
      <c r="F1667" s="2">
        <v>600000.0</v>
      </c>
      <c r="G1667" s="1" t="s">
        <v>5115</v>
      </c>
      <c r="H1667" s="4">
        <f>IFERROR(__xludf.DUMMYFUNCTION("DATE(INDEX(SPLIT(G1667,""/""),,3),INDEX(SPLIT(G1667,""/""),,2),INDEX(SPLIT(G1667,""/""),,1))"),44530.0)</f>
        <v>44530</v>
      </c>
      <c r="I1667" s="1" t="s">
        <v>1361</v>
      </c>
      <c r="J1667" s="4">
        <f>IFERROR(__xludf.DUMMYFUNCTION("DATE(INDEX(SPLIT(I1667,""/""),,3),INDEX(SPLIT(I1667,""/""),,2),INDEX(SPLIT(I1667,""/""),,1))"),44827.0)</f>
        <v>44827</v>
      </c>
      <c r="L1667" s="1">
        <v>0.0</v>
      </c>
      <c r="M1667" s="1" t="s">
        <v>318</v>
      </c>
      <c r="N1667" s="1"/>
      <c r="O1667" s="1" t="s">
        <v>30</v>
      </c>
      <c r="P1667" s="1" t="s">
        <v>31</v>
      </c>
      <c r="Q1667" s="1" t="s">
        <v>71</v>
      </c>
      <c r="R1667" s="1" t="s">
        <v>71</v>
      </c>
      <c r="S1667" s="1" t="s">
        <v>72</v>
      </c>
      <c r="T1667" s="1" t="s">
        <v>73</v>
      </c>
      <c r="U1667" s="1">
        <v>1.00654705E8</v>
      </c>
      <c r="X1667" s="1" t="s">
        <v>63</v>
      </c>
      <c r="Y1667" s="1" t="s">
        <v>318</v>
      </c>
      <c r="Z1667" s="1" t="s">
        <v>37</v>
      </c>
    </row>
    <row r="1668" hidden="1">
      <c r="A1668" s="1" t="s">
        <v>5517</v>
      </c>
      <c r="B1668" s="1" t="s">
        <v>4066</v>
      </c>
      <c r="C1668" s="1" t="s">
        <v>5518</v>
      </c>
      <c r="D1668" s="1" t="s">
        <v>122</v>
      </c>
      <c r="E1668" s="1" t="s">
        <v>28</v>
      </c>
      <c r="F1668" s="2">
        <v>600000.0</v>
      </c>
      <c r="G1668" s="1" t="s">
        <v>2637</v>
      </c>
      <c r="H1668" s="4">
        <f>IFERROR(__xludf.DUMMYFUNCTION("DATE(INDEX(SPLIT(G1668,""/""),,3),INDEX(SPLIT(G1668,""/""),,2),INDEX(SPLIT(G1668,""/""),,1))"),44244.0)</f>
        <v>44244</v>
      </c>
      <c r="I1668" s="4">
        <v>44570.0</v>
      </c>
      <c r="J1668" s="4">
        <f>IFERROR(__xludf.DUMMYFUNCTION("DATE(INDEX(SPLIT(I1668,""/""),,3),INDEX(SPLIT(I1668,""/""),,2),INDEX(SPLIT(I1668,""/""),,1))"),44805.0)</f>
        <v>44805</v>
      </c>
      <c r="L1668" s="1">
        <v>0.0</v>
      </c>
      <c r="M1668" s="1" t="s">
        <v>5020</v>
      </c>
      <c r="N1668" s="1"/>
      <c r="O1668" s="1" t="s">
        <v>30</v>
      </c>
      <c r="P1668" s="1" t="s">
        <v>31</v>
      </c>
      <c r="Q1668" s="1" t="s">
        <v>157</v>
      </c>
      <c r="R1668" s="1" t="s">
        <v>157</v>
      </c>
      <c r="S1668" s="1" t="s">
        <v>158</v>
      </c>
      <c r="T1668" s="1" t="s">
        <v>159</v>
      </c>
      <c r="U1668" s="1">
        <v>1.0064746E8</v>
      </c>
      <c r="X1668" s="1" t="s">
        <v>74</v>
      </c>
      <c r="Y1668" s="1" t="s">
        <v>4068</v>
      </c>
      <c r="Z1668" s="1" t="s">
        <v>37</v>
      </c>
    </row>
    <row r="1669" hidden="1">
      <c r="A1669" s="1" t="s">
        <v>5519</v>
      </c>
      <c r="B1669" s="1" t="s">
        <v>4377</v>
      </c>
      <c r="C1669" s="1" t="s">
        <v>5520</v>
      </c>
      <c r="D1669" s="1" t="s">
        <v>122</v>
      </c>
      <c r="E1669" s="1" t="s">
        <v>28</v>
      </c>
      <c r="F1669" s="2">
        <v>600000.0</v>
      </c>
      <c r="G1669" s="4">
        <v>44261.0</v>
      </c>
      <c r="H1669" s="4">
        <f>IFERROR(__xludf.DUMMYFUNCTION("DATE(INDEX(SPLIT(G1669,""/""),,3),INDEX(SPLIT(G1669,""/""),,2),INDEX(SPLIT(G1669,""/""),,1))"),44350.0)</f>
        <v>44350</v>
      </c>
      <c r="I1669" s="1" t="s">
        <v>109</v>
      </c>
      <c r="J1669" s="4">
        <f>IFERROR(__xludf.DUMMYFUNCTION("DATE(INDEX(SPLIT(I1669,""/""),,3),INDEX(SPLIT(I1669,""/""),,2),INDEX(SPLIT(I1669,""/""),,1))"),44834.0)</f>
        <v>44834</v>
      </c>
      <c r="L1669" s="1">
        <v>0.0</v>
      </c>
      <c r="M1669" s="1" t="s">
        <v>4016</v>
      </c>
      <c r="N1669" s="1"/>
      <c r="O1669" s="1" t="s">
        <v>30</v>
      </c>
      <c r="P1669" s="1" t="s">
        <v>31</v>
      </c>
      <c r="Q1669" s="1" t="s">
        <v>95</v>
      </c>
      <c r="R1669" s="1" t="s">
        <v>95</v>
      </c>
      <c r="S1669" s="1" t="s">
        <v>96</v>
      </c>
      <c r="T1669" s="1" t="s">
        <v>311</v>
      </c>
      <c r="U1669" s="1">
        <v>1.00628223E8</v>
      </c>
      <c r="X1669" s="1" t="s">
        <v>410</v>
      </c>
      <c r="Y1669" s="1" t="s">
        <v>1868</v>
      </c>
      <c r="Z1669" s="1" t="s">
        <v>206</v>
      </c>
    </row>
    <row r="1670">
      <c r="A1670" s="1" t="s">
        <v>5521</v>
      </c>
      <c r="B1670" s="1" t="s">
        <v>59</v>
      </c>
      <c r="C1670" s="1" t="s">
        <v>5522</v>
      </c>
      <c r="D1670" s="1" t="s">
        <v>122</v>
      </c>
      <c r="E1670" s="1" t="s">
        <v>28</v>
      </c>
      <c r="F1670" s="2">
        <v>600000.0</v>
      </c>
      <c r="G1670" s="1" t="s">
        <v>503</v>
      </c>
      <c r="H1670" s="4">
        <f>IFERROR(__xludf.DUMMYFUNCTION("DATE(INDEX(SPLIT(G1670,""/""),,3),INDEX(SPLIT(G1670,""/""),,2),INDEX(SPLIT(G1670,""/""),,1))"),44736.0)</f>
        <v>44736</v>
      </c>
      <c r="I1670" s="1" t="s">
        <v>1141</v>
      </c>
      <c r="J1670" s="4">
        <f>IFERROR(__xludf.DUMMYFUNCTION("DATE(INDEX(SPLIT(I1670,""/""),,3),INDEX(SPLIT(I1670,""/""),,2),INDEX(SPLIT(I1670,""/""),,1))"),44767.0)</f>
        <v>44767</v>
      </c>
      <c r="L1670" s="1">
        <v>0.0</v>
      </c>
      <c r="M1670" s="1" t="s">
        <v>2582</v>
      </c>
      <c r="N1670" s="1"/>
      <c r="O1670" s="1" t="s">
        <v>30</v>
      </c>
      <c r="P1670" s="1" t="s">
        <v>31</v>
      </c>
      <c r="Q1670" s="1" t="s">
        <v>157</v>
      </c>
      <c r="R1670" s="1" t="s">
        <v>157</v>
      </c>
      <c r="S1670" s="1" t="s">
        <v>158</v>
      </c>
      <c r="T1670" s="1" t="s">
        <v>442</v>
      </c>
      <c r="U1670" s="1">
        <v>1.00590772E8</v>
      </c>
      <c r="X1670" s="1" t="s">
        <v>63</v>
      </c>
      <c r="Y1670" s="1" t="s">
        <v>4636</v>
      </c>
      <c r="Z1670" s="1" t="s">
        <v>37</v>
      </c>
    </row>
    <row r="1671" hidden="1">
      <c r="A1671" s="1" t="s">
        <v>5523</v>
      </c>
      <c r="B1671" s="1" t="s">
        <v>5454</v>
      </c>
      <c r="C1671" s="1" t="s">
        <v>5524</v>
      </c>
      <c r="D1671" s="1" t="s">
        <v>27</v>
      </c>
      <c r="E1671" s="1" t="s">
        <v>28</v>
      </c>
      <c r="F1671" s="2">
        <v>598000.0</v>
      </c>
      <c r="G1671" s="4">
        <v>44541.0</v>
      </c>
      <c r="H1671" s="4">
        <f>IFERROR(__xludf.DUMMYFUNCTION("DATE(INDEX(SPLIT(G1671,""/""),,3),INDEX(SPLIT(G1671,""/""),,2),INDEX(SPLIT(G1671,""/""),,1))"),44512.0)</f>
        <v>44512</v>
      </c>
      <c r="I1671" s="4">
        <v>44601.0</v>
      </c>
      <c r="J1671" s="4">
        <f>IFERROR(__xludf.DUMMYFUNCTION("DATE(INDEX(SPLIT(I1671,""/""),,3),INDEX(SPLIT(I1671,""/""),,2),INDEX(SPLIT(I1671,""/""),,1))"),44806.0)</f>
        <v>44806</v>
      </c>
      <c r="L1671" s="1">
        <v>0.0</v>
      </c>
      <c r="M1671" s="1" t="s">
        <v>5525</v>
      </c>
      <c r="N1671" s="1"/>
      <c r="O1671" s="1" t="s">
        <v>30</v>
      </c>
      <c r="P1671" s="1" t="s">
        <v>31</v>
      </c>
      <c r="Q1671" s="1" t="s">
        <v>157</v>
      </c>
      <c r="R1671" s="1" t="s">
        <v>157</v>
      </c>
      <c r="S1671" s="1" t="s">
        <v>158</v>
      </c>
      <c r="U1671" s="1">
        <v>1.00609393E8</v>
      </c>
      <c r="X1671" s="1" t="s">
        <v>74</v>
      </c>
      <c r="Y1671" s="1" t="s">
        <v>5526</v>
      </c>
      <c r="Z1671" s="1" t="s">
        <v>37</v>
      </c>
    </row>
    <row r="1672">
      <c r="A1672" s="1" t="s">
        <v>5527</v>
      </c>
      <c r="B1672" s="1" t="s">
        <v>2295</v>
      </c>
      <c r="C1672" s="1" t="s">
        <v>5528</v>
      </c>
      <c r="D1672" s="1" t="s">
        <v>27</v>
      </c>
      <c r="E1672" s="1" t="s">
        <v>28</v>
      </c>
      <c r="F1672" s="2">
        <v>595000.0</v>
      </c>
      <c r="G1672" s="1" t="s">
        <v>503</v>
      </c>
      <c r="H1672" s="4">
        <f>IFERROR(__xludf.DUMMYFUNCTION("DATE(INDEX(SPLIT(G1672,""/""),,3),INDEX(SPLIT(G1672,""/""),,2),INDEX(SPLIT(G1672,""/""),,1))"),44736.0)</f>
        <v>44736</v>
      </c>
      <c r="I1672" s="4">
        <v>44780.0</v>
      </c>
      <c r="J1672" s="4">
        <f>IFERROR(__xludf.DUMMYFUNCTION("DATE(INDEX(SPLIT(I1672,""/""),,3),INDEX(SPLIT(I1672,""/""),,2),INDEX(SPLIT(I1672,""/""),,1))"),44750.0)</f>
        <v>44750</v>
      </c>
      <c r="L1672" s="1">
        <v>0.0</v>
      </c>
      <c r="M1672" s="1" t="s">
        <v>1027</v>
      </c>
      <c r="N1672" s="1"/>
      <c r="O1672" s="1" t="s">
        <v>30</v>
      </c>
      <c r="P1672" s="1" t="s">
        <v>31</v>
      </c>
      <c r="Q1672" s="1" t="s">
        <v>53</v>
      </c>
      <c r="R1672" s="1" t="s">
        <v>53</v>
      </c>
      <c r="S1672" s="1" t="s">
        <v>54</v>
      </c>
      <c r="U1672" s="1">
        <v>1.00879751E8</v>
      </c>
      <c r="X1672" s="1" t="s">
        <v>74</v>
      </c>
      <c r="Y1672" s="1" t="s">
        <v>3513</v>
      </c>
      <c r="Z1672" s="1" t="s">
        <v>37</v>
      </c>
    </row>
    <row r="1673">
      <c r="A1673" s="1" t="s">
        <v>5529</v>
      </c>
      <c r="B1673" s="1" t="s">
        <v>2295</v>
      </c>
      <c r="C1673" s="1" t="s">
        <v>5530</v>
      </c>
      <c r="D1673" s="1" t="s">
        <v>122</v>
      </c>
      <c r="E1673" s="1" t="s">
        <v>28</v>
      </c>
      <c r="F1673" s="2">
        <v>595000.0</v>
      </c>
      <c r="G1673" s="4">
        <v>44900.0</v>
      </c>
      <c r="H1673" s="4">
        <f>IFERROR(__xludf.DUMMYFUNCTION("DATE(INDEX(SPLIT(G1673,""/""),,3),INDEX(SPLIT(G1673,""/""),,2),INDEX(SPLIT(G1673,""/""),,1))"),44693.0)</f>
        <v>44693</v>
      </c>
      <c r="I1673" s="1" t="s">
        <v>518</v>
      </c>
      <c r="J1673" s="4">
        <f>IFERROR(__xludf.DUMMYFUNCTION("DATE(INDEX(SPLIT(I1673,""/""),,3),INDEX(SPLIT(I1673,""/""),,2),INDEX(SPLIT(I1673,""/""),,1))"),44757.0)</f>
        <v>44757</v>
      </c>
      <c r="L1673" s="1">
        <v>0.0</v>
      </c>
      <c r="M1673" s="1" t="s">
        <v>577</v>
      </c>
      <c r="N1673" s="1"/>
      <c r="O1673" s="1" t="s">
        <v>30</v>
      </c>
      <c r="P1673" s="1" t="s">
        <v>31</v>
      </c>
      <c r="Q1673" s="1" t="s">
        <v>53</v>
      </c>
      <c r="R1673" s="1" t="s">
        <v>53</v>
      </c>
      <c r="S1673" s="1" t="s">
        <v>54</v>
      </c>
      <c r="T1673" s="1" t="s">
        <v>73</v>
      </c>
      <c r="U1673" s="1">
        <v>1.00579505E8</v>
      </c>
      <c r="X1673" s="1" t="s">
        <v>74</v>
      </c>
      <c r="Y1673" s="1" t="s">
        <v>5435</v>
      </c>
      <c r="Z1673" s="1" t="s">
        <v>37</v>
      </c>
    </row>
    <row r="1674">
      <c r="A1674" s="1" t="s">
        <v>5531</v>
      </c>
      <c r="B1674" s="1" t="s">
        <v>5532</v>
      </c>
      <c r="C1674" s="1" t="s">
        <v>5533</v>
      </c>
      <c r="D1674" s="1" t="s">
        <v>122</v>
      </c>
      <c r="E1674" s="1" t="s">
        <v>28</v>
      </c>
      <c r="F1674" s="2">
        <v>595000.0</v>
      </c>
      <c r="G1674" s="1" t="s">
        <v>2629</v>
      </c>
      <c r="H1674" s="4">
        <f>IFERROR(__xludf.DUMMYFUNCTION("DATE(INDEX(SPLIT(G1674,""/""),,3),INDEX(SPLIT(G1674,""/""),,2),INDEX(SPLIT(G1674,""/""),,1))"),44651.0)</f>
        <v>44651</v>
      </c>
      <c r="I1674" s="1" t="s">
        <v>1244</v>
      </c>
      <c r="J1674" s="4">
        <f>IFERROR(__xludf.DUMMYFUNCTION("DATE(INDEX(SPLIT(I1674,""/""),,3),INDEX(SPLIT(I1674,""/""),,2),INDEX(SPLIT(I1674,""/""),,1))"),44742.0)</f>
        <v>44742</v>
      </c>
      <c r="L1674" s="1">
        <v>0.0</v>
      </c>
      <c r="M1674" s="1" t="s">
        <v>5534</v>
      </c>
      <c r="N1674" s="1"/>
      <c r="O1674" s="1" t="s">
        <v>30</v>
      </c>
      <c r="P1674" s="1" t="s">
        <v>31</v>
      </c>
      <c r="Q1674" s="1" t="s">
        <v>228</v>
      </c>
      <c r="R1674" s="1" t="s">
        <v>228</v>
      </c>
      <c r="S1674" s="1" t="s">
        <v>229</v>
      </c>
      <c r="T1674" s="1" t="s">
        <v>2536</v>
      </c>
      <c r="U1674" s="1">
        <v>1.00896447E8</v>
      </c>
      <c r="X1674" s="1" t="s">
        <v>375</v>
      </c>
      <c r="Y1674" s="1" t="s">
        <v>5535</v>
      </c>
      <c r="Z1674" s="1" t="s">
        <v>37</v>
      </c>
    </row>
    <row r="1675" hidden="1">
      <c r="A1675" s="1" t="s">
        <v>5536</v>
      </c>
      <c r="B1675" s="1" t="s">
        <v>4066</v>
      </c>
      <c r="C1675" s="1" t="s">
        <v>5537</v>
      </c>
      <c r="D1675" s="1" t="s">
        <v>122</v>
      </c>
      <c r="E1675" s="1" t="s">
        <v>28</v>
      </c>
      <c r="F1675" s="2">
        <v>592559.0</v>
      </c>
      <c r="G1675" s="1" t="s">
        <v>1058</v>
      </c>
      <c r="H1675" s="4">
        <f>IFERROR(__xludf.DUMMYFUNCTION("DATE(INDEX(SPLIT(G1675,""/""),,3),INDEX(SPLIT(G1675,""/""),,2),INDEX(SPLIT(G1675,""/""),,1))"),44733.0)</f>
        <v>44733</v>
      </c>
      <c r="I1675" s="1" t="s">
        <v>130</v>
      </c>
      <c r="J1675" s="4">
        <f>IFERROR(__xludf.DUMMYFUNCTION("DATE(INDEX(SPLIT(I1675,""/""),,3),INDEX(SPLIT(I1675,""/""),,2),INDEX(SPLIT(I1675,""/""),,1))"),44804.0)</f>
        <v>44804</v>
      </c>
      <c r="L1675" s="1">
        <v>0.0</v>
      </c>
      <c r="M1675" s="1" t="s">
        <v>2476</v>
      </c>
      <c r="N1675" s="1"/>
      <c r="O1675" s="1" t="s">
        <v>30</v>
      </c>
      <c r="P1675" s="1" t="s">
        <v>31</v>
      </c>
      <c r="Q1675" s="1" t="s">
        <v>71</v>
      </c>
      <c r="R1675" s="1" t="s">
        <v>71</v>
      </c>
      <c r="S1675" s="1" t="s">
        <v>72</v>
      </c>
      <c r="T1675" s="1" t="s">
        <v>513</v>
      </c>
      <c r="U1675" s="1">
        <v>1.00649598E8</v>
      </c>
      <c r="X1675" s="1" t="s">
        <v>74</v>
      </c>
      <c r="Y1675" s="1" t="s">
        <v>2476</v>
      </c>
      <c r="Z1675" s="1" t="s">
        <v>37</v>
      </c>
    </row>
    <row r="1676" hidden="1">
      <c r="A1676" s="1" t="s">
        <v>5538</v>
      </c>
      <c r="B1676" s="1" t="s">
        <v>1393</v>
      </c>
      <c r="C1676" s="1" t="s">
        <v>5539</v>
      </c>
      <c r="D1676" s="1" t="s">
        <v>122</v>
      </c>
      <c r="E1676" s="1" t="s">
        <v>28</v>
      </c>
      <c r="F1676" s="2">
        <v>590000.0</v>
      </c>
      <c r="G1676" s="1" t="s">
        <v>1871</v>
      </c>
      <c r="H1676" s="4">
        <f>IFERROR(__xludf.DUMMYFUNCTION("DATE(INDEX(SPLIT(G1676,""/""),,3),INDEX(SPLIT(G1676,""/""),,2),INDEX(SPLIT(G1676,""/""),,1))"),44252.0)</f>
        <v>44252</v>
      </c>
      <c r="I1676" s="1" t="s">
        <v>85</v>
      </c>
      <c r="J1676" s="4">
        <f>IFERROR(__xludf.DUMMYFUNCTION("DATE(INDEX(SPLIT(I1676,""/""),,3),INDEX(SPLIT(I1676,""/""),,2),INDEX(SPLIT(I1676,""/""),,1))"),44799.0)</f>
        <v>44799</v>
      </c>
      <c r="K1676" s="9">
        <v>44477.118055555555</v>
      </c>
      <c r="L1676" s="1">
        <v>0.0</v>
      </c>
      <c r="M1676" s="1" t="s">
        <v>1200</v>
      </c>
      <c r="N1676" s="1"/>
      <c r="O1676" s="1" t="s">
        <v>30</v>
      </c>
      <c r="P1676" s="1" t="s">
        <v>31</v>
      </c>
      <c r="Q1676" s="1" t="s">
        <v>235</v>
      </c>
      <c r="R1676" s="1" t="s">
        <v>235</v>
      </c>
      <c r="S1676" s="1" t="s">
        <v>236</v>
      </c>
      <c r="T1676" s="1" t="s">
        <v>438</v>
      </c>
      <c r="U1676" s="1">
        <v>1.00586959E8</v>
      </c>
      <c r="X1676" s="1" t="s">
        <v>88</v>
      </c>
      <c r="Y1676" s="1" t="s">
        <v>979</v>
      </c>
      <c r="Z1676" s="1" t="s">
        <v>37</v>
      </c>
    </row>
    <row r="1677">
      <c r="A1677" s="1" t="s">
        <v>5540</v>
      </c>
      <c r="B1677" s="1" t="s">
        <v>4101</v>
      </c>
      <c r="C1677" s="1" t="s">
        <v>5541</v>
      </c>
      <c r="D1677" s="1" t="s">
        <v>122</v>
      </c>
      <c r="E1677" s="1" t="s">
        <v>28</v>
      </c>
      <c r="F1677" s="2">
        <v>585000.0</v>
      </c>
      <c r="G1677" s="1" t="s">
        <v>2064</v>
      </c>
      <c r="H1677" s="4">
        <f>IFERROR(__xludf.DUMMYFUNCTION("DATE(INDEX(SPLIT(G1677,""/""),,3),INDEX(SPLIT(G1677,""/""),,2),INDEX(SPLIT(G1677,""/""),,1))"),44616.0)</f>
        <v>44616</v>
      </c>
      <c r="I1677" s="1" t="s">
        <v>1438</v>
      </c>
      <c r="J1677" s="4">
        <f>IFERROR(__xludf.DUMMYFUNCTION("DATE(INDEX(SPLIT(I1677,""/""),,3),INDEX(SPLIT(I1677,""/""),,2),INDEX(SPLIT(I1677,""/""),,1))"),44708.0)</f>
        <v>44708</v>
      </c>
      <c r="L1677" s="1">
        <v>0.0</v>
      </c>
      <c r="M1677" s="1" t="s">
        <v>3537</v>
      </c>
      <c r="N1677" s="1"/>
      <c r="O1677" s="1" t="s">
        <v>30</v>
      </c>
      <c r="P1677" s="1" t="s">
        <v>31</v>
      </c>
      <c r="Q1677" s="1" t="s">
        <v>32</v>
      </c>
      <c r="R1677" s="1" t="s">
        <v>32</v>
      </c>
      <c r="S1677" s="1" t="s">
        <v>33</v>
      </c>
      <c r="T1677" s="1" t="s">
        <v>103</v>
      </c>
      <c r="U1677" s="1">
        <v>1.00589948E8</v>
      </c>
      <c r="X1677" s="1" t="s">
        <v>312</v>
      </c>
      <c r="Y1677" s="1" t="s">
        <v>5542</v>
      </c>
      <c r="Z1677" s="1" t="s">
        <v>37</v>
      </c>
    </row>
    <row r="1678" hidden="1">
      <c r="A1678" s="1" t="s">
        <v>5543</v>
      </c>
      <c r="B1678" s="1" t="s">
        <v>2016</v>
      </c>
      <c r="C1678" s="1" t="s">
        <v>5544</v>
      </c>
      <c r="D1678" s="1" t="s">
        <v>122</v>
      </c>
      <c r="E1678" s="1" t="s">
        <v>28</v>
      </c>
      <c r="F1678" s="2">
        <v>585000.0</v>
      </c>
      <c r="G1678" s="1" t="s">
        <v>472</v>
      </c>
      <c r="H1678" s="4">
        <f>IFERROR(__xludf.DUMMYFUNCTION("DATE(INDEX(SPLIT(G1678,""/""),,3),INDEX(SPLIT(G1678,""/""),,2),INDEX(SPLIT(G1678,""/""),,1))"),44760.0)</f>
        <v>44760</v>
      </c>
      <c r="I1678" s="1" t="s">
        <v>134</v>
      </c>
      <c r="J1678" s="4">
        <f>IFERROR(__xludf.DUMMYFUNCTION("DATE(INDEX(SPLIT(I1678,""/""),,3),INDEX(SPLIT(I1678,""/""),,2),INDEX(SPLIT(I1678,""/""),,1))"),44792.0)</f>
        <v>44792</v>
      </c>
      <c r="L1678" s="1">
        <v>0.0</v>
      </c>
      <c r="M1678" s="1" t="s">
        <v>5545</v>
      </c>
      <c r="N1678" s="1"/>
      <c r="O1678" s="1" t="s">
        <v>30</v>
      </c>
      <c r="P1678" s="1" t="s">
        <v>31</v>
      </c>
      <c r="Q1678" s="1" t="s">
        <v>71</v>
      </c>
      <c r="R1678" s="1" t="s">
        <v>71</v>
      </c>
      <c r="S1678" s="1" t="s">
        <v>72</v>
      </c>
      <c r="U1678" s="1">
        <v>1.01094571E8</v>
      </c>
      <c r="X1678" s="1" t="s">
        <v>74</v>
      </c>
      <c r="Y1678" s="1" t="s">
        <v>5545</v>
      </c>
      <c r="Z1678" s="1" t="s">
        <v>37</v>
      </c>
    </row>
    <row r="1679">
      <c r="A1679" s="1" t="s">
        <v>5546</v>
      </c>
      <c r="B1679" s="1" t="s">
        <v>456</v>
      </c>
      <c r="C1679" s="1" t="s">
        <v>5547</v>
      </c>
      <c r="D1679" s="1" t="s">
        <v>68</v>
      </c>
      <c r="E1679" s="1" t="s">
        <v>28</v>
      </c>
      <c r="F1679" s="2">
        <v>584951.0</v>
      </c>
      <c r="G1679" s="1" t="s">
        <v>4346</v>
      </c>
      <c r="H1679" s="4">
        <f>IFERROR(__xludf.DUMMYFUNCTION("DATE(INDEX(SPLIT(G1679,""/""),,3),INDEX(SPLIT(G1679,""/""),,2),INDEX(SPLIT(G1679,""/""),,1))"),44765.0)</f>
        <v>44765</v>
      </c>
      <c r="I1679" s="1" t="s">
        <v>226</v>
      </c>
      <c r="J1679" s="4">
        <f>IFERROR(__xludf.DUMMYFUNCTION("DATE(INDEX(SPLIT(I1679,""/""),,3),INDEX(SPLIT(I1679,""/""),,2),INDEX(SPLIT(I1679,""/""),,1))"),44771.0)</f>
        <v>44771</v>
      </c>
      <c r="L1679" s="1">
        <v>0.0</v>
      </c>
      <c r="M1679" s="1" t="s">
        <v>459</v>
      </c>
      <c r="N1679" s="1"/>
      <c r="O1679" s="1" t="s">
        <v>30</v>
      </c>
      <c r="P1679" s="1" t="s">
        <v>31</v>
      </c>
      <c r="Q1679" s="1" t="s">
        <v>53</v>
      </c>
      <c r="R1679" s="1" t="s">
        <v>53</v>
      </c>
      <c r="S1679" s="1" t="s">
        <v>54</v>
      </c>
      <c r="T1679" s="1" t="s">
        <v>87</v>
      </c>
      <c r="U1679" s="1">
        <v>1.00653756E8</v>
      </c>
      <c r="X1679" s="1" t="s">
        <v>375</v>
      </c>
      <c r="Y1679" s="1" t="s">
        <v>5548</v>
      </c>
      <c r="Z1679" s="1" t="s">
        <v>37</v>
      </c>
    </row>
    <row r="1680">
      <c r="A1680" s="1" t="s">
        <v>5549</v>
      </c>
      <c r="B1680" s="1" t="s">
        <v>5550</v>
      </c>
      <c r="C1680" s="1" t="s">
        <v>5551</v>
      </c>
      <c r="D1680" s="1" t="s">
        <v>122</v>
      </c>
      <c r="E1680" s="1" t="s">
        <v>28</v>
      </c>
      <c r="F1680" s="2">
        <v>580000.0</v>
      </c>
      <c r="G1680" s="1" t="s">
        <v>600</v>
      </c>
      <c r="H1680" s="4">
        <f>IFERROR(__xludf.DUMMYFUNCTION("DATE(INDEX(SPLIT(G1680,""/""),,3),INDEX(SPLIT(G1680,""/""),,2),INDEX(SPLIT(G1680,""/""),,1))"),44665.0)</f>
        <v>44665</v>
      </c>
      <c r="I1680" s="1" t="s">
        <v>226</v>
      </c>
      <c r="J1680" s="4">
        <f>IFERROR(__xludf.DUMMYFUNCTION("DATE(INDEX(SPLIT(I1680,""/""),,3),INDEX(SPLIT(I1680,""/""),,2),INDEX(SPLIT(I1680,""/""),,1))"),44771.0)</f>
        <v>44771</v>
      </c>
      <c r="L1680" s="1">
        <v>0.0</v>
      </c>
      <c r="M1680" s="1" t="s">
        <v>1723</v>
      </c>
      <c r="N1680" s="1"/>
      <c r="O1680" s="1" t="s">
        <v>30</v>
      </c>
      <c r="P1680" s="1" t="s">
        <v>31</v>
      </c>
      <c r="Q1680" s="1" t="s">
        <v>157</v>
      </c>
      <c r="R1680" s="1" t="s">
        <v>157</v>
      </c>
      <c r="S1680" s="1" t="s">
        <v>158</v>
      </c>
      <c r="U1680" s="1">
        <v>1.00654085E8</v>
      </c>
      <c r="X1680" s="1" t="s">
        <v>490</v>
      </c>
      <c r="Y1680" s="1" t="s">
        <v>5552</v>
      </c>
      <c r="Z1680" s="1" t="s">
        <v>37</v>
      </c>
    </row>
    <row r="1681" hidden="1">
      <c r="A1681" s="1" t="s">
        <v>5553</v>
      </c>
      <c r="B1681" s="1" t="s">
        <v>1479</v>
      </c>
      <c r="C1681" s="1" t="s">
        <v>5554</v>
      </c>
      <c r="D1681" s="1" t="s">
        <v>122</v>
      </c>
      <c r="E1681" s="1" t="s">
        <v>28</v>
      </c>
      <c r="F1681" s="2">
        <v>580000.0</v>
      </c>
      <c r="G1681" s="1" t="s">
        <v>2572</v>
      </c>
      <c r="H1681" s="4">
        <f>IFERROR(__xludf.DUMMYFUNCTION("DATE(INDEX(SPLIT(G1681,""/""),,3),INDEX(SPLIT(G1681,""/""),,2),INDEX(SPLIT(G1681,""/""),,1))"),44581.0)</f>
        <v>44581</v>
      </c>
      <c r="I1681" s="4">
        <v>44689.0</v>
      </c>
      <c r="J1681" s="4">
        <f>IFERROR(__xludf.DUMMYFUNCTION("DATE(INDEX(SPLIT(I1681,""/""),,3),INDEX(SPLIT(I1681,""/""),,2),INDEX(SPLIT(I1681,""/""),,1))"),44778.0)</f>
        <v>44778</v>
      </c>
      <c r="L1681" s="1">
        <v>0.0</v>
      </c>
      <c r="M1681" s="1" t="s">
        <v>5555</v>
      </c>
      <c r="N1681" s="1"/>
      <c r="O1681" s="1" t="s">
        <v>30</v>
      </c>
      <c r="P1681" s="1" t="s">
        <v>31</v>
      </c>
      <c r="Q1681" s="1" t="s">
        <v>228</v>
      </c>
      <c r="R1681" s="1" t="s">
        <v>228</v>
      </c>
      <c r="S1681" s="1" t="s">
        <v>229</v>
      </c>
      <c r="U1681" s="1">
        <v>1.00611354E8</v>
      </c>
      <c r="V1681" s="1" t="s">
        <v>5556</v>
      </c>
      <c r="W1681" s="1" t="s">
        <v>45</v>
      </c>
      <c r="X1681" s="1" t="s">
        <v>305</v>
      </c>
      <c r="Y1681" s="1" t="s">
        <v>5555</v>
      </c>
      <c r="Z1681" s="1" t="s">
        <v>37</v>
      </c>
    </row>
    <row r="1682" hidden="1">
      <c r="A1682" s="1" t="s">
        <v>5557</v>
      </c>
      <c r="B1682" s="1" t="s">
        <v>59</v>
      </c>
      <c r="C1682" s="1" t="s">
        <v>5558</v>
      </c>
      <c r="D1682" s="1" t="s">
        <v>27</v>
      </c>
      <c r="E1682" s="1" t="s">
        <v>28</v>
      </c>
      <c r="F1682" s="2">
        <v>575000.0</v>
      </c>
      <c r="G1682" s="4">
        <v>44743.0</v>
      </c>
      <c r="H1682" s="4">
        <f>IFERROR(__xludf.DUMMYFUNCTION("DATE(INDEX(SPLIT(G1682,""/""),,3),INDEX(SPLIT(G1682,""/""),,2),INDEX(SPLIT(G1682,""/""),,1))"),44568.0)</f>
        <v>44568</v>
      </c>
      <c r="I1682" s="1" t="s">
        <v>109</v>
      </c>
      <c r="J1682" s="4">
        <f>IFERROR(__xludf.DUMMYFUNCTION("DATE(INDEX(SPLIT(I1682,""/""),,3),INDEX(SPLIT(I1682,""/""),,2),INDEX(SPLIT(I1682,""/""),,1))"),44834.0)</f>
        <v>44834</v>
      </c>
      <c r="L1682" s="1">
        <v>0.0</v>
      </c>
      <c r="M1682" s="1" t="s">
        <v>653</v>
      </c>
      <c r="N1682" s="1"/>
      <c r="O1682" s="1" t="s">
        <v>30</v>
      </c>
      <c r="P1682" s="1" t="s">
        <v>31</v>
      </c>
      <c r="Q1682" s="1" t="s">
        <v>157</v>
      </c>
      <c r="R1682" s="1" t="s">
        <v>157</v>
      </c>
      <c r="S1682" s="1" t="s">
        <v>158</v>
      </c>
      <c r="U1682" s="1">
        <v>1.00591141E8</v>
      </c>
      <c r="X1682" s="1" t="s">
        <v>63</v>
      </c>
      <c r="Y1682" s="1" t="s">
        <v>64</v>
      </c>
      <c r="Z1682" s="1" t="s">
        <v>37</v>
      </c>
    </row>
    <row r="1683">
      <c r="A1683" s="1" t="s">
        <v>5559</v>
      </c>
      <c r="B1683" s="1" t="s">
        <v>2249</v>
      </c>
      <c r="C1683" s="1" t="s">
        <v>5560</v>
      </c>
      <c r="D1683" s="1" t="s">
        <v>122</v>
      </c>
      <c r="E1683" s="1" t="s">
        <v>28</v>
      </c>
      <c r="F1683" s="2">
        <v>575000.0</v>
      </c>
      <c r="G1683" s="1" t="s">
        <v>2110</v>
      </c>
      <c r="H1683" s="4">
        <f>IFERROR(__xludf.DUMMYFUNCTION("DATE(INDEX(SPLIT(G1683,""/""),,3),INDEX(SPLIT(G1683,""/""),,2),INDEX(SPLIT(G1683,""/""),,1))"),44650.0)</f>
        <v>44650</v>
      </c>
      <c r="I1683" s="1" t="s">
        <v>1244</v>
      </c>
      <c r="J1683" s="4">
        <f>IFERROR(__xludf.DUMMYFUNCTION("DATE(INDEX(SPLIT(I1683,""/""),,3),INDEX(SPLIT(I1683,""/""),,2),INDEX(SPLIT(I1683,""/""),,1))"),44742.0)</f>
        <v>44742</v>
      </c>
      <c r="L1683" s="1">
        <v>0.0</v>
      </c>
      <c r="M1683" s="1" t="s">
        <v>3670</v>
      </c>
      <c r="N1683" s="1"/>
      <c r="O1683" s="1" t="s">
        <v>30</v>
      </c>
      <c r="P1683" s="1" t="s">
        <v>31</v>
      </c>
      <c r="Q1683" s="1" t="s">
        <v>228</v>
      </c>
      <c r="R1683" s="1" t="s">
        <v>228</v>
      </c>
      <c r="S1683" s="1" t="s">
        <v>229</v>
      </c>
      <c r="U1683" s="1">
        <v>1.01093737E8</v>
      </c>
      <c r="X1683" s="1" t="s">
        <v>239</v>
      </c>
      <c r="Y1683" s="1" t="s">
        <v>4745</v>
      </c>
      <c r="Z1683" s="1" t="s">
        <v>206</v>
      </c>
    </row>
    <row r="1684" hidden="1">
      <c r="A1684" s="1" t="s">
        <v>5561</v>
      </c>
      <c r="B1684" s="1" t="s">
        <v>5562</v>
      </c>
      <c r="C1684" s="1" t="s">
        <v>5563</v>
      </c>
      <c r="D1684" s="1" t="s">
        <v>68</v>
      </c>
      <c r="E1684" s="1" t="s">
        <v>28</v>
      </c>
      <c r="F1684" s="2">
        <v>575000.0</v>
      </c>
      <c r="G1684" s="1" t="s">
        <v>298</v>
      </c>
      <c r="H1684" s="4">
        <f>IFERROR(__xludf.DUMMYFUNCTION("DATE(INDEX(SPLIT(G1684,""/""),,3),INDEX(SPLIT(G1684,""/""),,2),INDEX(SPLIT(G1684,""/""),,1))"),44762.0)</f>
        <v>44762</v>
      </c>
      <c r="I1684" s="4">
        <v>44689.0</v>
      </c>
      <c r="J1684" s="4">
        <f>IFERROR(__xludf.DUMMYFUNCTION("DATE(INDEX(SPLIT(I1684,""/""),,3),INDEX(SPLIT(I1684,""/""),,2),INDEX(SPLIT(I1684,""/""),,1))"),44778.0)</f>
        <v>44778</v>
      </c>
      <c r="L1684" s="1">
        <v>0.0</v>
      </c>
      <c r="M1684" s="1" t="s">
        <v>5564</v>
      </c>
      <c r="N1684" s="1"/>
      <c r="O1684" s="1" t="s">
        <v>30</v>
      </c>
      <c r="P1684" s="1" t="s">
        <v>31</v>
      </c>
      <c r="Q1684" s="1" t="s">
        <v>235</v>
      </c>
      <c r="R1684" s="1" t="s">
        <v>235</v>
      </c>
      <c r="S1684" s="1" t="s">
        <v>236</v>
      </c>
      <c r="T1684" s="1" t="s">
        <v>438</v>
      </c>
      <c r="U1684" s="1">
        <v>1.00623111E8</v>
      </c>
      <c r="X1684" s="1" t="s">
        <v>98</v>
      </c>
      <c r="Y1684" s="1" t="s">
        <v>5564</v>
      </c>
      <c r="Z1684" s="1" t="s">
        <v>37</v>
      </c>
    </row>
    <row r="1685">
      <c r="A1685" s="1" t="s">
        <v>5565</v>
      </c>
      <c r="B1685" s="1" t="s">
        <v>658</v>
      </c>
      <c r="C1685" s="1" t="s">
        <v>5566</v>
      </c>
      <c r="D1685" s="1" t="s">
        <v>122</v>
      </c>
      <c r="E1685" s="1" t="s">
        <v>28</v>
      </c>
      <c r="F1685" s="2">
        <v>570000.0</v>
      </c>
      <c r="G1685" s="4">
        <v>44686.0</v>
      </c>
      <c r="H1685" s="4">
        <f>IFERROR(__xludf.DUMMYFUNCTION("DATE(INDEX(SPLIT(G1685,""/""),,3),INDEX(SPLIT(G1685,""/""),,2),INDEX(SPLIT(G1685,""/""),,1))"),44686.0)</f>
        <v>44686</v>
      </c>
      <c r="I1685" s="1" t="s">
        <v>518</v>
      </c>
      <c r="J1685" s="4">
        <f>IFERROR(__xludf.DUMMYFUNCTION("DATE(INDEX(SPLIT(I1685,""/""),,3),INDEX(SPLIT(I1685,""/""),,2),INDEX(SPLIT(I1685,""/""),,1))"),44757.0)</f>
        <v>44757</v>
      </c>
      <c r="L1685" s="1">
        <v>0.0</v>
      </c>
      <c r="M1685" s="1" t="s">
        <v>4924</v>
      </c>
      <c r="N1685" s="1"/>
      <c r="O1685" s="1" t="s">
        <v>30</v>
      </c>
      <c r="P1685" s="1" t="s">
        <v>31</v>
      </c>
      <c r="Q1685" s="1" t="s">
        <v>53</v>
      </c>
      <c r="R1685" s="1" t="s">
        <v>53</v>
      </c>
      <c r="S1685" s="1" t="s">
        <v>54</v>
      </c>
      <c r="U1685" s="1">
        <v>1.01090224E8</v>
      </c>
      <c r="X1685" s="1" t="s">
        <v>74</v>
      </c>
      <c r="Y1685" s="1" t="s">
        <v>4702</v>
      </c>
      <c r="Z1685" s="1" t="s">
        <v>206</v>
      </c>
    </row>
    <row r="1686" hidden="1">
      <c r="A1686" s="1" t="s">
        <v>5567</v>
      </c>
      <c r="B1686" s="1" t="s">
        <v>1355</v>
      </c>
      <c r="C1686" s="1" t="s">
        <v>5568</v>
      </c>
      <c r="D1686" s="1" t="s">
        <v>68</v>
      </c>
      <c r="E1686" s="1" t="s">
        <v>28</v>
      </c>
      <c r="F1686" s="2">
        <v>567820.0</v>
      </c>
      <c r="G1686" s="1" t="s">
        <v>1521</v>
      </c>
      <c r="H1686" s="4">
        <f>IFERROR(__xludf.DUMMYFUNCTION("DATE(INDEX(SPLIT(G1686,""/""),,3),INDEX(SPLIT(G1686,""/""),,2),INDEX(SPLIT(G1686,""/""),,1))"),44756.0)</f>
        <v>44756</v>
      </c>
      <c r="I1686" s="1" t="s">
        <v>1799</v>
      </c>
      <c r="J1686" s="4">
        <f>IFERROR(__xludf.DUMMYFUNCTION("DATE(INDEX(SPLIT(I1686,""/""),,3),INDEX(SPLIT(I1686,""/""),,2),INDEX(SPLIT(I1686,""/""),,1))"),44788.0)</f>
        <v>44788</v>
      </c>
      <c r="L1686" s="1">
        <v>0.0</v>
      </c>
      <c r="M1686" s="1" t="s">
        <v>1358</v>
      </c>
      <c r="N1686" s="1"/>
      <c r="O1686" s="1" t="s">
        <v>30</v>
      </c>
      <c r="P1686" s="1" t="s">
        <v>31</v>
      </c>
      <c r="Q1686" s="1" t="s">
        <v>32</v>
      </c>
      <c r="R1686" s="1" t="s">
        <v>32</v>
      </c>
      <c r="S1686" s="1" t="s">
        <v>33</v>
      </c>
      <c r="U1686" s="1">
        <v>1.00613915E8</v>
      </c>
      <c r="X1686" s="1" t="s">
        <v>35</v>
      </c>
      <c r="Y1686" s="1" t="s">
        <v>4913</v>
      </c>
      <c r="Z1686" s="1" t="s">
        <v>37</v>
      </c>
    </row>
    <row r="1687">
      <c r="A1687" s="1" t="s">
        <v>5569</v>
      </c>
      <c r="B1687" s="1" t="s">
        <v>4884</v>
      </c>
      <c r="C1687" s="1" t="s">
        <v>5570</v>
      </c>
      <c r="D1687" s="1" t="s">
        <v>68</v>
      </c>
      <c r="E1687" s="1" t="s">
        <v>28</v>
      </c>
      <c r="F1687" s="2">
        <v>566517.0</v>
      </c>
      <c r="G1687" s="4">
        <v>44387.0</v>
      </c>
      <c r="H1687" s="4">
        <f>IFERROR(__xludf.DUMMYFUNCTION("DATE(INDEX(SPLIT(G1687,""/""),,3),INDEX(SPLIT(G1687,""/""),,2),INDEX(SPLIT(G1687,""/""),,1))"),44476.0)</f>
        <v>44476</v>
      </c>
      <c r="I1687" s="1" t="s">
        <v>5571</v>
      </c>
      <c r="J1687" s="4">
        <f>IFERROR(__xludf.DUMMYFUNCTION("DATE(INDEX(SPLIT(I1687,""/""),,3),INDEX(SPLIT(I1687,""/""),,2),INDEX(SPLIT(I1687,""/""),,1))"),44766.0)</f>
        <v>44766</v>
      </c>
      <c r="L1687" s="1">
        <v>0.0</v>
      </c>
      <c r="M1687" s="1" t="s">
        <v>2623</v>
      </c>
      <c r="N1687" s="1"/>
      <c r="O1687" s="1" t="s">
        <v>30</v>
      </c>
      <c r="P1687" s="1" t="s">
        <v>31</v>
      </c>
      <c r="Q1687" s="1" t="s">
        <v>71</v>
      </c>
      <c r="R1687" s="1" t="s">
        <v>71</v>
      </c>
      <c r="S1687" s="1" t="s">
        <v>72</v>
      </c>
      <c r="T1687" s="1" t="s">
        <v>4886</v>
      </c>
      <c r="U1687" s="1">
        <v>1.00618842E8</v>
      </c>
      <c r="X1687" s="1" t="s">
        <v>74</v>
      </c>
      <c r="Y1687" s="1" t="s">
        <v>5572</v>
      </c>
      <c r="Z1687" s="1" t="s">
        <v>37</v>
      </c>
    </row>
    <row r="1688" hidden="1">
      <c r="A1688" s="1" t="s">
        <v>5573</v>
      </c>
      <c r="B1688" s="1" t="s">
        <v>5574</v>
      </c>
      <c r="C1688" s="1" t="s">
        <v>5575</v>
      </c>
      <c r="D1688" s="1" t="s">
        <v>78</v>
      </c>
      <c r="E1688" s="1" t="s">
        <v>28</v>
      </c>
      <c r="F1688" s="2">
        <v>560000.0</v>
      </c>
      <c r="G1688" s="4">
        <v>43778.0</v>
      </c>
      <c r="H1688" s="4">
        <f>IFERROR(__xludf.DUMMYFUNCTION("DATE(INDEX(SPLIT(G1688,""/""),,3),INDEX(SPLIT(G1688,""/""),,2),INDEX(SPLIT(G1688,""/""),,1))"),43719.0)</f>
        <v>43719</v>
      </c>
      <c r="I1688" s="1" t="s">
        <v>1097</v>
      </c>
      <c r="J1688" s="4">
        <f>IFERROR(__xludf.DUMMYFUNCTION("DATE(INDEX(SPLIT(I1688,""/""),,3),INDEX(SPLIT(I1688,""/""),,2),INDEX(SPLIT(I1688,""/""),,1))"),45107.0)</f>
        <v>45107</v>
      </c>
      <c r="L1688" s="1">
        <v>0.0</v>
      </c>
      <c r="M1688" s="1" t="s">
        <v>2592</v>
      </c>
      <c r="N1688" s="1"/>
      <c r="O1688" s="1" t="s">
        <v>30</v>
      </c>
      <c r="P1688" s="1" t="s">
        <v>31</v>
      </c>
      <c r="Q1688" s="1" t="s">
        <v>71</v>
      </c>
      <c r="R1688" s="1" t="s">
        <v>71</v>
      </c>
      <c r="S1688" s="1" t="s">
        <v>72</v>
      </c>
      <c r="T1688" s="1" t="s">
        <v>136</v>
      </c>
      <c r="U1688" s="1">
        <v>1.00586452E8</v>
      </c>
      <c r="X1688" s="1" t="s">
        <v>74</v>
      </c>
      <c r="Y1688" s="1" t="s">
        <v>3650</v>
      </c>
      <c r="Z1688" s="1" t="s">
        <v>37</v>
      </c>
    </row>
    <row r="1689" hidden="1">
      <c r="A1689" s="1" t="s">
        <v>5576</v>
      </c>
      <c r="B1689" s="1" t="s">
        <v>5577</v>
      </c>
      <c r="C1689" s="1" t="s">
        <v>5578</v>
      </c>
      <c r="D1689" s="1" t="s">
        <v>78</v>
      </c>
      <c r="E1689" s="1" t="s">
        <v>28</v>
      </c>
      <c r="F1689" s="2">
        <v>560000.0</v>
      </c>
      <c r="G1689" s="4">
        <v>44686.0</v>
      </c>
      <c r="H1689" s="4">
        <f>IFERROR(__xludf.DUMMYFUNCTION("DATE(INDEX(SPLIT(G1689,""/""),,3),INDEX(SPLIT(G1689,""/""),,2),INDEX(SPLIT(G1689,""/""),,1))"),44686.0)</f>
        <v>44686</v>
      </c>
      <c r="I1689" s="1" t="s">
        <v>109</v>
      </c>
      <c r="J1689" s="4">
        <f>IFERROR(__xludf.DUMMYFUNCTION("DATE(INDEX(SPLIT(I1689,""/""),,3),INDEX(SPLIT(I1689,""/""),,2),INDEX(SPLIT(I1689,""/""),,1))"),44834.0)</f>
        <v>44834</v>
      </c>
      <c r="L1689" s="1">
        <v>0.0</v>
      </c>
      <c r="M1689" s="1" t="s">
        <v>1412</v>
      </c>
      <c r="N1689" s="1"/>
      <c r="O1689" s="1" t="s">
        <v>30</v>
      </c>
      <c r="P1689" s="1" t="s">
        <v>31</v>
      </c>
      <c r="Q1689" s="1" t="s">
        <v>53</v>
      </c>
      <c r="R1689" s="1" t="s">
        <v>53</v>
      </c>
      <c r="S1689" s="1" t="s">
        <v>54</v>
      </c>
      <c r="U1689" s="1">
        <v>1.00589587E8</v>
      </c>
      <c r="X1689" s="1" t="s">
        <v>63</v>
      </c>
      <c r="Y1689" s="1" t="s">
        <v>787</v>
      </c>
      <c r="Z1689" s="1" t="s">
        <v>37</v>
      </c>
    </row>
    <row r="1690">
      <c r="A1690" s="1" t="s">
        <v>5579</v>
      </c>
      <c r="B1690" s="1" t="s">
        <v>784</v>
      </c>
      <c r="C1690" s="1" t="s">
        <v>5580</v>
      </c>
      <c r="D1690" s="1" t="s">
        <v>78</v>
      </c>
      <c r="E1690" s="1" t="s">
        <v>28</v>
      </c>
      <c r="F1690" s="2">
        <v>558914.0</v>
      </c>
      <c r="G1690" s="4">
        <v>44233.0</v>
      </c>
      <c r="H1690" s="4">
        <f>IFERROR(__xludf.DUMMYFUNCTION("DATE(INDEX(SPLIT(G1690,""/""),,3),INDEX(SPLIT(G1690,""/""),,2),INDEX(SPLIT(G1690,""/""),,1))"),44349.0)</f>
        <v>44349</v>
      </c>
      <c r="I1690" s="4">
        <v>44567.0</v>
      </c>
      <c r="J1690" s="4">
        <f>IFERROR(__xludf.DUMMYFUNCTION("DATE(INDEX(SPLIT(I1690,""/""),,3),INDEX(SPLIT(I1690,""/""),,2),INDEX(SPLIT(I1690,""/""),,1))"),44713.0)</f>
        <v>44713</v>
      </c>
      <c r="L1690" s="1">
        <v>0.0</v>
      </c>
      <c r="M1690" s="1" t="s">
        <v>601</v>
      </c>
      <c r="N1690" s="1"/>
      <c r="O1690" s="1" t="s">
        <v>30</v>
      </c>
      <c r="P1690" s="1" t="s">
        <v>31</v>
      </c>
      <c r="Q1690" s="1" t="s">
        <v>95</v>
      </c>
      <c r="R1690" s="1" t="s">
        <v>95</v>
      </c>
      <c r="S1690" s="1" t="s">
        <v>96</v>
      </c>
      <c r="T1690" s="1" t="s">
        <v>111</v>
      </c>
      <c r="U1690" s="1">
        <v>1.00625415E8</v>
      </c>
      <c r="V1690" s="1" t="s">
        <v>5580</v>
      </c>
      <c r="W1690" s="1" t="s">
        <v>2556</v>
      </c>
      <c r="X1690" s="1" t="s">
        <v>88</v>
      </c>
      <c r="Y1690" s="1" t="s">
        <v>5581</v>
      </c>
      <c r="Z1690" s="1" t="s">
        <v>37</v>
      </c>
    </row>
    <row r="1691" hidden="1">
      <c r="A1691" s="1" t="s">
        <v>5582</v>
      </c>
      <c r="B1691" s="1" t="s">
        <v>5583</v>
      </c>
      <c r="C1691" s="1" t="s">
        <v>5584</v>
      </c>
      <c r="D1691" s="1" t="s">
        <v>122</v>
      </c>
      <c r="E1691" s="1" t="s">
        <v>28</v>
      </c>
      <c r="F1691" s="2">
        <v>555156.0</v>
      </c>
      <c r="G1691" s="1" t="s">
        <v>418</v>
      </c>
      <c r="H1691" s="4">
        <f>IFERROR(__xludf.DUMMYFUNCTION("DATE(INDEX(SPLIT(G1691,""/""),,3),INDEX(SPLIT(G1691,""/""),,2),INDEX(SPLIT(G1691,""/""),,1))"),44755.0)</f>
        <v>44755</v>
      </c>
      <c r="I1691" s="1" t="s">
        <v>281</v>
      </c>
      <c r="J1691" s="4">
        <f>IFERROR(__xludf.DUMMYFUNCTION("DATE(INDEX(SPLIT(I1691,""/""),,3),INDEX(SPLIT(I1691,""/""),,2),INDEX(SPLIT(I1691,""/""),,1))"),44865.0)</f>
        <v>44865</v>
      </c>
      <c r="L1691" s="1">
        <v>0.0</v>
      </c>
      <c r="M1691" s="1" t="s">
        <v>2592</v>
      </c>
      <c r="N1691" s="1"/>
      <c r="O1691" s="1" t="s">
        <v>30</v>
      </c>
      <c r="P1691" s="1" t="s">
        <v>31</v>
      </c>
      <c r="Q1691" s="1" t="s">
        <v>71</v>
      </c>
      <c r="R1691" s="1" t="s">
        <v>71</v>
      </c>
      <c r="S1691" s="1" t="s">
        <v>72</v>
      </c>
      <c r="T1691" s="1" t="s">
        <v>136</v>
      </c>
      <c r="U1691" s="1">
        <v>1.00586452E8</v>
      </c>
      <c r="X1691" s="1" t="s">
        <v>74</v>
      </c>
      <c r="Y1691" s="1" t="s">
        <v>2593</v>
      </c>
      <c r="Z1691" s="1" t="s">
        <v>37</v>
      </c>
    </row>
    <row r="1692" hidden="1">
      <c r="A1692" s="1" t="s">
        <v>5585</v>
      </c>
      <c r="B1692" s="1" t="s">
        <v>5586</v>
      </c>
      <c r="C1692" s="1" t="s">
        <v>5587</v>
      </c>
      <c r="D1692" s="1" t="s">
        <v>78</v>
      </c>
      <c r="E1692" s="1" t="s">
        <v>28</v>
      </c>
      <c r="F1692" s="2">
        <v>555000.0</v>
      </c>
      <c r="G1692" s="1" t="s">
        <v>934</v>
      </c>
      <c r="H1692" s="4">
        <f>IFERROR(__xludf.DUMMYFUNCTION("DATE(INDEX(SPLIT(G1692,""/""),,3),INDEX(SPLIT(G1692,""/""),,2),INDEX(SPLIT(G1692,""/""),,1))"),44681.0)</f>
        <v>44681</v>
      </c>
      <c r="I1692" s="1" t="s">
        <v>130</v>
      </c>
      <c r="J1692" s="4">
        <f>IFERROR(__xludf.DUMMYFUNCTION("DATE(INDEX(SPLIT(I1692,""/""),,3),INDEX(SPLIT(I1692,""/""),,2),INDEX(SPLIT(I1692,""/""),,1))"),44804.0)</f>
        <v>44804</v>
      </c>
      <c r="L1692" s="1">
        <v>0.0</v>
      </c>
      <c r="M1692" s="1" t="s">
        <v>5588</v>
      </c>
      <c r="N1692" s="1"/>
      <c r="O1692" s="1" t="s">
        <v>30</v>
      </c>
      <c r="P1692" s="1" t="s">
        <v>31</v>
      </c>
      <c r="Q1692" s="1" t="s">
        <v>1320</v>
      </c>
      <c r="R1692" s="1" t="s">
        <v>1320</v>
      </c>
      <c r="S1692" s="1" t="s">
        <v>54</v>
      </c>
      <c r="U1692" s="1">
        <v>1.00625588E8</v>
      </c>
      <c r="X1692" s="1" t="s">
        <v>289</v>
      </c>
      <c r="Y1692" s="1" t="s">
        <v>5589</v>
      </c>
      <c r="Z1692" s="1" t="s">
        <v>37</v>
      </c>
    </row>
    <row r="1693">
      <c r="A1693" s="1" t="s">
        <v>5590</v>
      </c>
      <c r="B1693" s="1" t="s">
        <v>2000</v>
      </c>
      <c r="C1693" s="1" t="s">
        <v>5591</v>
      </c>
      <c r="D1693" s="1" t="s">
        <v>78</v>
      </c>
      <c r="E1693" s="1" t="s">
        <v>28</v>
      </c>
      <c r="F1693" s="2">
        <v>555000.0</v>
      </c>
      <c r="G1693" s="4">
        <v>44451.0</v>
      </c>
      <c r="H1693" s="4">
        <f>IFERROR(__xludf.DUMMYFUNCTION("DATE(INDEX(SPLIT(G1693,""/""),,3),INDEX(SPLIT(G1693,""/""),,2),INDEX(SPLIT(G1693,""/""),,1))"),44539.0)</f>
        <v>44539</v>
      </c>
      <c r="I1693" s="1" t="s">
        <v>1442</v>
      </c>
      <c r="J1693" s="4">
        <f>IFERROR(__xludf.DUMMYFUNCTION("DATE(INDEX(SPLIT(I1693,""/""),,3),INDEX(SPLIT(I1693,""/""),,2),INDEX(SPLIT(I1693,""/""),,1))"),44727.0)</f>
        <v>44727</v>
      </c>
      <c r="L1693" s="1">
        <v>0.0</v>
      </c>
      <c r="M1693" s="1" t="s">
        <v>5592</v>
      </c>
      <c r="N1693" s="1"/>
      <c r="O1693" s="1" t="s">
        <v>30</v>
      </c>
      <c r="P1693" s="1" t="s">
        <v>31</v>
      </c>
      <c r="Q1693" s="1" t="s">
        <v>235</v>
      </c>
      <c r="R1693" s="1" t="s">
        <v>235</v>
      </c>
      <c r="S1693" s="1" t="s">
        <v>236</v>
      </c>
      <c r="T1693" s="1" t="s">
        <v>1349</v>
      </c>
      <c r="U1693" s="1">
        <v>1.00657831E8</v>
      </c>
      <c r="X1693" s="1" t="s">
        <v>609</v>
      </c>
      <c r="Y1693" s="1" t="s">
        <v>5593</v>
      </c>
      <c r="Z1693" s="1" t="s">
        <v>37</v>
      </c>
    </row>
    <row r="1694">
      <c r="A1694" s="1" t="s">
        <v>5594</v>
      </c>
      <c r="B1694" s="1" t="s">
        <v>2000</v>
      </c>
      <c r="C1694" s="1" t="s">
        <v>5595</v>
      </c>
      <c r="D1694" s="1" t="s">
        <v>78</v>
      </c>
      <c r="E1694" s="1" t="s">
        <v>28</v>
      </c>
      <c r="F1694" s="2">
        <v>555000.0</v>
      </c>
      <c r="G1694" s="4">
        <v>44420.0</v>
      </c>
      <c r="H1694" s="4">
        <f>IFERROR(__xludf.DUMMYFUNCTION("DATE(INDEX(SPLIT(G1694,""/""),,3),INDEX(SPLIT(G1694,""/""),,2),INDEX(SPLIT(G1694,""/""),,1))"),44538.0)</f>
        <v>44538</v>
      </c>
      <c r="I1694" s="1" t="s">
        <v>1442</v>
      </c>
      <c r="J1694" s="4">
        <f>IFERROR(__xludf.DUMMYFUNCTION("DATE(INDEX(SPLIT(I1694,""/""),,3),INDEX(SPLIT(I1694,""/""),,2),INDEX(SPLIT(I1694,""/""),,1))"),44727.0)</f>
        <v>44727</v>
      </c>
      <c r="L1694" s="1">
        <v>0.0</v>
      </c>
      <c r="M1694" s="1" t="s">
        <v>5592</v>
      </c>
      <c r="N1694" s="1"/>
      <c r="O1694" s="1" t="s">
        <v>30</v>
      </c>
      <c r="P1694" s="1" t="s">
        <v>31</v>
      </c>
      <c r="Q1694" s="1" t="s">
        <v>235</v>
      </c>
      <c r="R1694" s="1" t="s">
        <v>235</v>
      </c>
      <c r="S1694" s="1" t="s">
        <v>236</v>
      </c>
      <c r="T1694" s="1" t="s">
        <v>1349</v>
      </c>
      <c r="U1694" s="1">
        <v>1.00657831E8</v>
      </c>
      <c r="X1694" s="1" t="s">
        <v>609</v>
      </c>
      <c r="Y1694" s="1" t="s">
        <v>5593</v>
      </c>
      <c r="Z1694" s="1" t="s">
        <v>37</v>
      </c>
    </row>
    <row r="1695" hidden="1">
      <c r="A1695" s="1" t="s">
        <v>5596</v>
      </c>
      <c r="B1695" s="1" t="s">
        <v>5483</v>
      </c>
      <c r="C1695" s="1" t="s">
        <v>5597</v>
      </c>
      <c r="D1695" s="1" t="s">
        <v>78</v>
      </c>
      <c r="E1695" s="1" t="s">
        <v>28</v>
      </c>
      <c r="F1695" s="2">
        <v>550000.0</v>
      </c>
      <c r="G1695" s="4">
        <v>44202.0</v>
      </c>
      <c r="H1695" s="4">
        <f>IFERROR(__xludf.DUMMYFUNCTION("DATE(INDEX(SPLIT(G1695,""/""),,3),INDEX(SPLIT(G1695,""/""),,2),INDEX(SPLIT(G1695,""/""),,1))"),44348.0)</f>
        <v>44348</v>
      </c>
      <c r="I1695" s="1" t="s">
        <v>109</v>
      </c>
      <c r="J1695" s="4">
        <f>IFERROR(__xludf.DUMMYFUNCTION("DATE(INDEX(SPLIT(I1695,""/""),,3),INDEX(SPLIT(I1695,""/""),,2),INDEX(SPLIT(I1695,""/""),,1))"),44834.0)</f>
        <v>44834</v>
      </c>
      <c r="L1695" s="1">
        <v>0.0</v>
      </c>
      <c r="M1695" s="1" t="s">
        <v>2787</v>
      </c>
      <c r="N1695" s="1"/>
      <c r="O1695" s="1" t="s">
        <v>30</v>
      </c>
      <c r="P1695" s="1" t="s">
        <v>31</v>
      </c>
      <c r="Q1695" s="1" t="s">
        <v>157</v>
      </c>
      <c r="R1695" s="1" t="s">
        <v>157</v>
      </c>
      <c r="S1695" s="1" t="s">
        <v>158</v>
      </c>
      <c r="T1695" s="1" t="s">
        <v>442</v>
      </c>
      <c r="U1695" s="1">
        <v>1.00708984E8</v>
      </c>
      <c r="X1695" s="1" t="s">
        <v>190</v>
      </c>
      <c r="Y1695" s="1" t="s">
        <v>2787</v>
      </c>
      <c r="Z1695" s="1" t="s">
        <v>37</v>
      </c>
    </row>
    <row r="1696" hidden="1">
      <c r="A1696" s="1" t="s">
        <v>5598</v>
      </c>
      <c r="B1696" s="1" t="s">
        <v>5291</v>
      </c>
      <c r="C1696" s="1" t="s">
        <v>5599</v>
      </c>
      <c r="D1696" s="1" t="s">
        <v>78</v>
      </c>
      <c r="E1696" s="1" t="s">
        <v>28</v>
      </c>
      <c r="F1696" s="2">
        <v>550000.0</v>
      </c>
      <c r="G1696" s="1" t="s">
        <v>5600</v>
      </c>
      <c r="H1696" s="4">
        <f>IFERROR(__xludf.DUMMYFUNCTION("DATE(INDEX(SPLIT(G1696,""/""),,3),INDEX(SPLIT(G1696,""/""),,2),INDEX(SPLIT(G1696,""/""),,1))"),44394.0)</f>
        <v>44394</v>
      </c>
      <c r="I1696" s="1" t="s">
        <v>109</v>
      </c>
      <c r="J1696" s="4">
        <f>IFERROR(__xludf.DUMMYFUNCTION("DATE(INDEX(SPLIT(I1696,""/""),,3),INDEX(SPLIT(I1696,""/""),,2),INDEX(SPLIT(I1696,""/""),,1))"),44834.0)</f>
        <v>44834</v>
      </c>
      <c r="L1696" s="1">
        <v>0.0</v>
      </c>
      <c r="M1696" s="1" t="s">
        <v>2787</v>
      </c>
      <c r="N1696" s="1"/>
      <c r="O1696" s="1" t="s">
        <v>30</v>
      </c>
      <c r="P1696" s="1" t="s">
        <v>31</v>
      </c>
      <c r="Q1696" s="1" t="s">
        <v>157</v>
      </c>
      <c r="R1696" s="1" t="s">
        <v>157</v>
      </c>
      <c r="S1696" s="1" t="s">
        <v>158</v>
      </c>
      <c r="T1696" s="1" t="s">
        <v>442</v>
      </c>
      <c r="U1696" s="1">
        <v>1.00708984E8</v>
      </c>
      <c r="X1696" s="1" t="s">
        <v>190</v>
      </c>
      <c r="Y1696" s="1" t="s">
        <v>2787</v>
      </c>
      <c r="Z1696" s="1" t="s">
        <v>37</v>
      </c>
    </row>
    <row r="1697">
      <c r="A1697" s="1" t="s">
        <v>5601</v>
      </c>
      <c r="B1697" s="1" t="s">
        <v>2889</v>
      </c>
      <c r="C1697" s="1" t="s">
        <v>5602</v>
      </c>
      <c r="D1697" s="1" t="s">
        <v>78</v>
      </c>
      <c r="E1697" s="1" t="s">
        <v>28</v>
      </c>
      <c r="F1697" s="2">
        <v>550000.0</v>
      </c>
      <c r="G1697" s="4">
        <v>44598.0</v>
      </c>
      <c r="H1697" s="4">
        <f>IFERROR(__xludf.DUMMYFUNCTION("DATE(INDEX(SPLIT(G1697,""/""),,3),INDEX(SPLIT(G1697,""/""),,2),INDEX(SPLIT(G1697,""/""),,1))"),44714.0)</f>
        <v>44714</v>
      </c>
      <c r="I1697" s="1" t="s">
        <v>472</v>
      </c>
      <c r="J1697" s="4">
        <f>IFERROR(__xludf.DUMMYFUNCTION("DATE(INDEX(SPLIT(I1697,""/""),,3),INDEX(SPLIT(I1697,""/""),,2),INDEX(SPLIT(I1697,""/""),,1))"),44760.0)</f>
        <v>44760</v>
      </c>
      <c r="L1697" s="1">
        <v>0.0</v>
      </c>
      <c r="M1697" s="1" t="s">
        <v>1723</v>
      </c>
      <c r="N1697" s="1"/>
      <c r="O1697" s="1" t="s">
        <v>30</v>
      </c>
      <c r="P1697" s="1" t="s">
        <v>31</v>
      </c>
      <c r="Q1697" s="1" t="s">
        <v>157</v>
      </c>
      <c r="R1697" s="1" t="s">
        <v>157</v>
      </c>
      <c r="S1697" s="1" t="s">
        <v>158</v>
      </c>
      <c r="U1697" s="1">
        <v>1.00654085E8</v>
      </c>
      <c r="X1697" s="1" t="s">
        <v>74</v>
      </c>
      <c r="Y1697" s="1" t="s">
        <v>1723</v>
      </c>
      <c r="Z1697" s="1" t="s">
        <v>37</v>
      </c>
    </row>
    <row r="1698" hidden="1">
      <c r="A1698" s="1" t="s">
        <v>5603</v>
      </c>
      <c r="B1698" s="1" t="s">
        <v>444</v>
      </c>
      <c r="C1698" s="1" t="s">
        <v>5604</v>
      </c>
      <c r="D1698" s="1" t="s">
        <v>122</v>
      </c>
      <c r="E1698" s="1" t="s">
        <v>28</v>
      </c>
      <c r="F1698" s="2">
        <v>550000.0</v>
      </c>
      <c r="G1698" s="1" t="s">
        <v>286</v>
      </c>
      <c r="H1698" s="4">
        <f>IFERROR(__xludf.DUMMYFUNCTION("DATE(INDEX(SPLIT(G1698,""/""),,3),INDEX(SPLIT(G1698,""/""),,2),INDEX(SPLIT(G1698,""/""),,1))"),44609.0)</f>
        <v>44609</v>
      </c>
      <c r="I1698" s="4">
        <v>44903.0</v>
      </c>
      <c r="J1698" s="4">
        <f>IFERROR(__xludf.DUMMYFUNCTION("DATE(INDEX(SPLIT(I1698,""/""),,3),INDEX(SPLIT(I1698,""/""),,2),INDEX(SPLIT(I1698,""/""),,1))"),44785.0)</f>
        <v>44785</v>
      </c>
      <c r="L1698" s="1">
        <v>0.0</v>
      </c>
      <c r="M1698" s="1" t="s">
        <v>5425</v>
      </c>
      <c r="N1698" s="1"/>
      <c r="O1698" s="1" t="s">
        <v>30</v>
      </c>
      <c r="P1698" s="1" t="s">
        <v>31</v>
      </c>
      <c r="Q1698" s="1" t="s">
        <v>235</v>
      </c>
      <c r="R1698" s="1" t="s">
        <v>235</v>
      </c>
      <c r="S1698" s="1" t="s">
        <v>236</v>
      </c>
      <c r="T1698" s="1" t="s">
        <v>1349</v>
      </c>
      <c r="U1698" s="1">
        <v>1.00639134E8</v>
      </c>
      <c r="X1698" s="1" t="s">
        <v>239</v>
      </c>
      <c r="Y1698" s="1" t="s">
        <v>1224</v>
      </c>
      <c r="Z1698" s="1" t="s">
        <v>206</v>
      </c>
    </row>
    <row r="1699" hidden="1">
      <c r="A1699" s="1" t="s">
        <v>5605</v>
      </c>
      <c r="B1699" s="1" t="s">
        <v>5606</v>
      </c>
      <c r="C1699" s="1" t="s">
        <v>5607</v>
      </c>
      <c r="D1699" s="1" t="s">
        <v>27</v>
      </c>
      <c r="E1699" s="1" t="s">
        <v>28</v>
      </c>
      <c r="F1699" s="2">
        <v>550000.0</v>
      </c>
      <c r="G1699" s="4">
        <v>44357.0</v>
      </c>
      <c r="H1699" s="4">
        <f>IFERROR(__xludf.DUMMYFUNCTION("DATE(INDEX(SPLIT(G1699,""/""),,3),INDEX(SPLIT(G1699,""/""),,2),INDEX(SPLIT(G1699,""/""),,1))"),44475.0)</f>
        <v>44475</v>
      </c>
      <c r="I1699" s="1" t="s">
        <v>130</v>
      </c>
      <c r="J1699" s="4">
        <f>IFERROR(__xludf.DUMMYFUNCTION("DATE(INDEX(SPLIT(I1699,""/""),,3),INDEX(SPLIT(I1699,""/""),,2),INDEX(SPLIT(I1699,""/""),,1))"),44804.0)</f>
        <v>44804</v>
      </c>
      <c r="L1699" s="1">
        <v>0.0</v>
      </c>
      <c r="M1699" s="1" t="s">
        <v>1723</v>
      </c>
      <c r="N1699" s="1"/>
      <c r="O1699" s="1" t="s">
        <v>30</v>
      </c>
      <c r="P1699" s="1" t="s">
        <v>31</v>
      </c>
      <c r="Q1699" s="1" t="s">
        <v>157</v>
      </c>
      <c r="R1699" s="1" t="s">
        <v>157</v>
      </c>
      <c r="S1699" s="1" t="s">
        <v>158</v>
      </c>
      <c r="T1699" s="1" t="s">
        <v>159</v>
      </c>
      <c r="U1699" s="1">
        <v>1.00654085E8</v>
      </c>
      <c r="X1699" s="1" t="s">
        <v>74</v>
      </c>
      <c r="Y1699" s="1" t="s">
        <v>4761</v>
      </c>
      <c r="Z1699" s="1" t="s">
        <v>37</v>
      </c>
    </row>
    <row r="1700" hidden="1">
      <c r="A1700" s="1" t="s">
        <v>5608</v>
      </c>
      <c r="B1700" s="1" t="s">
        <v>315</v>
      </c>
      <c r="C1700" s="1" t="s">
        <v>5609</v>
      </c>
      <c r="D1700" s="1" t="s">
        <v>78</v>
      </c>
      <c r="E1700" s="1" t="s">
        <v>28</v>
      </c>
      <c r="F1700" s="2">
        <v>550000.0</v>
      </c>
      <c r="G1700" s="1" t="s">
        <v>503</v>
      </c>
      <c r="H1700" s="4">
        <f>IFERROR(__xludf.DUMMYFUNCTION("DATE(INDEX(SPLIT(G1700,""/""),,3),INDEX(SPLIT(G1700,""/""),,2),INDEX(SPLIT(G1700,""/""),,1))"),44736.0)</f>
        <v>44736</v>
      </c>
      <c r="I1700" s="1" t="s">
        <v>360</v>
      </c>
      <c r="J1700" s="4">
        <f>IFERROR(__xludf.DUMMYFUNCTION("DATE(INDEX(SPLIT(I1700,""/""),,3),INDEX(SPLIT(I1700,""/""),,2),INDEX(SPLIT(I1700,""/""),,1))"),44895.0)</f>
        <v>44895</v>
      </c>
      <c r="L1700" s="1">
        <v>0.0</v>
      </c>
      <c r="M1700" s="1" t="s">
        <v>5610</v>
      </c>
      <c r="N1700" s="1"/>
      <c r="O1700" s="1" t="s">
        <v>30</v>
      </c>
      <c r="P1700" s="1" t="s">
        <v>31</v>
      </c>
      <c r="Q1700" s="1" t="s">
        <v>53</v>
      </c>
      <c r="R1700" s="1" t="s">
        <v>53</v>
      </c>
      <c r="S1700" s="1" t="s">
        <v>54</v>
      </c>
      <c r="T1700" s="1" t="s">
        <v>73</v>
      </c>
      <c r="U1700" s="1">
        <v>1.00650162E8</v>
      </c>
      <c r="X1700" s="1" t="s">
        <v>74</v>
      </c>
      <c r="Y1700" s="1" t="s">
        <v>5611</v>
      </c>
      <c r="Z1700" s="1" t="s">
        <v>37</v>
      </c>
    </row>
    <row r="1701">
      <c r="A1701" s="1" t="s">
        <v>5612</v>
      </c>
      <c r="B1701" s="1" t="s">
        <v>5378</v>
      </c>
      <c r="C1701" s="1" t="s">
        <v>5613</v>
      </c>
      <c r="D1701" s="1" t="s">
        <v>78</v>
      </c>
      <c r="E1701" s="1" t="s">
        <v>28</v>
      </c>
      <c r="F1701" s="2">
        <v>550000.0</v>
      </c>
      <c r="G1701" s="1" t="s">
        <v>1154</v>
      </c>
      <c r="H1701" s="4">
        <f>IFERROR(__xludf.DUMMYFUNCTION("DATE(INDEX(SPLIT(G1701,""/""),,3),INDEX(SPLIT(G1701,""/""),,2),INDEX(SPLIT(G1701,""/""),,1))"),44735.0)</f>
        <v>44735</v>
      </c>
      <c r="I1701" s="1" t="s">
        <v>935</v>
      </c>
      <c r="J1701" s="4">
        <f>IFERROR(__xludf.DUMMYFUNCTION("DATE(INDEX(SPLIT(I1701,""/""),,3),INDEX(SPLIT(I1701,""/""),,2),INDEX(SPLIT(I1701,""/""),,1))"),44764.0)</f>
        <v>44764</v>
      </c>
      <c r="L1701" s="1">
        <v>0.0</v>
      </c>
      <c r="M1701" s="1" t="s">
        <v>558</v>
      </c>
      <c r="N1701" s="1"/>
      <c r="O1701" s="1" t="s">
        <v>30</v>
      </c>
      <c r="P1701" s="1" t="s">
        <v>31</v>
      </c>
      <c r="Q1701" s="1" t="s">
        <v>53</v>
      </c>
      <c r="R1701" s="1" t="s">
        <v>53</v>
      </c>
      <c r="S1701" s="1" t="s">
        <v>54</v>
      </c>
      <c r="T1701" s="1" t="s">
        <v>87</v>
      </c>
      <c r="U1701" s="1">
        <v>1.00653597E8</v>
      </c>
      <c r="X1701" s="1" t="s">
        <v>239</v>
      </c>
      <c r="Y1701" s="1" t="s">
        <v>558</v>
      </c>
      <c r="Z1701" s="1" t="s">
        <v>37</v>
      </c>
    </row>
    <row r="1702">
      <c r="A1702" s="1" t="s">
        <v>5614</v>
      </c>
      <c r="B1702" s="1" t="s">
        <v>992</v>
      </c>
      <c r="C1702" s="1" t="s">
        <v>5615</v>
      </c>
      <c r="D1702" s="1" t="s">
        <v>122</v>
      </c>
      <c r="E1702" s="1" t="s">
        <v>28</v>
      </c>
      <c r="F1702" s="2">
        <v>550000.0</v>
      </c>
      <c r="G1702" s="1" t="s">
        <v>2297</v>
      </c>
      <c r="H1702" s="4">
        <f>IFERROR(__xludf.DUMMYFUNCTION("DATE(INDEX(SPLIT(G1702,""/""),,3),INDEX(SPLIT(G1702,""/""),,2),INDEX(SPLIT(G1702,""/""),,1))"),44730.0)</f>
        <v>44730</v>
      </c>
      <c r="I1702" s="1" t="s">
        <v>226</v>
      </c>
      <c r="J1702" s="4">
        <f>IFERROR(__xludf.DUMMYFUNCTION("DATE(INDEX(SPLIT(I1702,""/""),,3),INDEX(SPLIT(I1702,""/""),,2),INDEX(SPLIT(I1702,""/""),,1))"),44771.0)</f>
        <v>44771</v>
      </c>
      <c r="L1702" s="1">
        <v>0.0</v>
      </c>
      <c r="M1702" s="1" t="s">
        <v>4508</v>
      </c>
      <c r="N1702" s="1"/>
      <c r="O1702" s="1" t="s">
        <v>30</v>
      </c>
      <c r="P1702" s="1" t="s">
        <v>31</v>
      </c>
      <c r="Q1702" s="1" t="s">
        <v>228</v>
      </c>
      <c r="R1702" s="1" t="s">
        <v>228</v>
      </c>
      <c r="S1702" s="1" t="s">
        <v>229</v>
      </c>
      <c r="T1702" s="1" t="s">
        <v>640</v>
      </c>
      <c r="U1702" s="1">
        <v>1.00657185E8</v>
      </c>
      <c r="X1702" s="1" t="s">
        <v>35</v>
      </c>
      <c r="Y1702" s="1" t="s">
        <v>5616</v>
      </c>
      <c r="Z1702" s="1" t="s">
        <v>37</v>
      </c>
    </row>
    <row r="1703" hidden="1">
      <c r="A1703" s="1" t="s">
        <v>5617</v>
      </c>
      <c r="B1703" s="1" t="s">
        <v>1596</v>
      </c>
      <c r="C1703" s="1" t="s">
        <v>5618</v>
      </c>
      <c r="D1703" s="1" t="s">
        <v>78</v>
      </c>
      <c r="E1703" s="1" t="s">
        <v>28</v>
      </c>
      <c r="F1703" s="2">
        <v>550000.0</v>
      </c>
      <c r="G1703" s="1" t="s">
        <v>233</v>
      </c>
      <c r="H1703" s="4">
        <f>IFERROR(__xludf.DUMMYFUNCTION("DATE(INDEX(SPLIT(G1703,""/""),,3),INDEX(SPLIT(G1703,""/""),,2),INDEX(SPLIT(G1703,""/""),,1))"),44729.0)</f>
        <v>44729</v>
      </c>
      <c r="I1703" s="1" t="s">
        <v>109</v>
      </c>
      <c r="J1703" s="4">
        <f>IFERROR(__xludf.DUMMYFUNCTION("DATE(INDEX(SPLIT(I1703,""/""),,3),INDEX(SPLIT(I1703,""/""),,2),INDEX(SPLIT(I1703,""/""),,1))"),44834.0)</f>
        <v>44834</v>
      </c>
      <c r="L1703" s="1">
        <v>0.0</v>
      </c>
      <c r="M1703" s="1" t="s">
        <v>587</v>
      </c>
      <c r="N1703" s="1"/>
      <c r="O1703" s="1" t="s">
        <v>30</v>
      </c>
      <c r="P1703" s="1" t="s">
        <v>31</v>
      </c>
      <c r="Q1703" s="1" t="s">
        <v>157</v>
      </c>
      <c r="R1703" s="1" t="s">
        <v>157</v>
      </c>
      <c r="S1703" s="1" t="s">
        <v>158</v>
      </c>
      <c r="T1703" s="1" t="s">
        <v>442</v>
      </c>
      <c r="U1703" s="1">
        <v>1.00700761E8</v>
      </c>
      <c r="X1703" s="1" t="s">
        <v>125</v>
      </c>
      <c r="Y1703" s="1" t="s">
        <v>587</v>
      </c>
      <c r="Z1703" s="1" t="s">
        <v>37</v>
      </c>
    </row>
    <row r="1704">
      <c r="A1704" s="1" t="s">
        <v>5619</v>
      </c>
      <c r="B1704" s="1" t="s">
        <v>700</v>
      </c>
      <c r="C1704" s="1" t="s">
        <v>5620</v>
      </c>
      <c r="D1704" s="1" t="s">
        <v>78</v>
      </c>
      <c r="E1704" s="1" t="s">
        <v>28</v>
      </c>
      <c r="F1704" s="2">
        <v>550000.0</v>
      </c>
      <c r="G1704" s="1" t="s">
        <v>1244</v>
      </c>
      <c r="H1704" s="4">
        <f>IFERROR(__xludf.DUMMYFUNCTION("DATE(INDEX(SPLIT(G1704,""/""),,3),INDEX(SPLIT(G1704,""/""),,2),INDEX(SPLIT(G1704,""/""),,1))"),44742.0)</f>
        <v>44742</v>
      </c>
      <c r="I1704" s="1" t="s">
        <v>226</v>
      </c>
      <c r="J1704" s="4">
        <f>IFERROR(__xludf.DUMMYFUNCTION("DATE(INDEX(SPLIT(I1704,""/""),,3),INDEX(SPLIT(I1704,""/""),,2),INDEX(SPLIT(I1704,""/""),,1))"),44771.0)</f>
        <v>44771</v>
      </c>
      <c r="L1704" s="1">
        <v>0.0</v>
      </c>
      <c r="M1704" s="1" t="s">
        <v>5621</v>
      </c>
      <c r="N1704" s="1"/>
      <c r="O1704" s="1" t="s">
        <v>30</v>
      </c>
      <c r="P1704" s="1" t="s">
        <v>31</v>
      </c>
      <c r="Q1704" s="1" t="s">
        <v>95</v>
      </c>
      <c r="R1704" s="1" t="s">
        <v>95</v>
      </c>
      <c r="S1704" s="1" t="s">
        <v>96</v>
      </c>
      <c r="U1704" s="1">
        <v>1.00649997E8</v>
      </c>
      <c r="X1704" s="1" t="s">
        <v>98</v>
      </c>
      <c r="Y1704" s="1" t="s">
        <v>5621</v>
      </c>
      <c r="Z1704" s="1" t="s">
        <v>1783</v>
      </c>
    </row>
    <row r="1705">
      <c r="A1705" s="1" t="s">
        <v>5622</v>
      </c>
      <c r="B1705" s="1" t="s">
        <v>4449</v>
      </c>
      <c r="C1705" s="1" t="s">
        <v>5623</v>
      </c>
      <c r="D1705" s="1" t="s">
        <v>122</v>
      </c>
      <c r="E1705" s="1" t="s">
        <v>28</v>
      </c>
      <c r="F1705" s="2">
        <v>550000.0</v>
      </c>
      <c r="G1705" s="4">
        <v>44776.0</v>
      </c>
      <c r="H1705" s="4">
        <f>IFERROR(__xludf.DUMMYFUNCTION("DATE(INDEX(SPLIT(G1705,""/""),,3),INDEX(SPLIT(G1705,""/""),,2),INDEX(SPLIT(G1705,""/""),,1))"),44628.0)</f>
        <v>44628</v>
      </c>
      <c r="I1705" s="1" t="s">
        <v>226</v>
      </c>
      <c r="J1705" s="4">
        <f>IFERROR(__xludf.DUMMYFUNCTION("DATE(INDEX(SPLIT(I1705,""/""),,3),INDEX(SPLIT(I1705,""/""),,2),INDEX(SPLIT(I1705,""/""),,1))"),44771.0)</f>
        <v>44771</v>
      </c>
      <c r="L1705" s="1">
        <v>0.0</v>
      </c>
      <c r="M1705" s="1" t="s">
        <v>4451</v>
      </c>
      <c r="N1705" s="1"/>
      <c r="O1705" s="1" t="s">
        <v>30</v>
      </c>
      <c r="P1705" s="1" t="s">
        <v>31</v>
      </c>
      <c r="Q1705" s="1" t="s">
        <v>235</v>
      </c>
      <c r="R1705" s="1" t="s">
        <v>235</v>
      </c>
      <c r="S1705" s="1" t="s">
        <v>236</v>
      </c>
      <c r="T1705" s="1" t="s">
        <v>1349</v>
      </c>
      <c r="U1705" s="1">
        <v>1.00945646E8</v>
      </c>
      <c r="X1705" s="1" t="s">
        <v>375</v>
      </c>
      <c r="Y1705" s="1" t="s">
        <v>4452</v>
      </c>
      <c r="Z1705" s="1" t="s">
        <v>37</v>
      </c>
    </row>
    <row r="1706">
      <c r="A1706" s="1" t="s">
        <v>5624</v>
      </c>
      <c r="B1706" s="1" t="s">
        <v>1831</v>
      </c>
      <c r="C1706" s="1" t="s">
        <v>5625</v>
      </c>
      <c r="D1706" s="1" t="s">
        <v>122</v>
      </c>
      <c r="E1706" s="1" t="s">
        <v>28</v>
      </c>
      <c r="F1706" s="2">
        <v>550000.0</v>
      </c>
      <c r="G1706" s="1" t="s">
        <v>333</v>
      </c>
      <c r="H1706" s="4">
        <f>IFERROR(__xludf.DUMMYFUNCTION("DATE(INDEX(SPLIT(G1706,""/""),,3),INDEX(SPLIT(G1706,""/""),,2),INDEX(SPLIT(G1706,""/""),,1))"),44669.0)</f>
        <v>44669</v>
      </c>
      <c r="I1706" s="1" t="s">
        <v>1438</v>
      </c>
      <c r="J1706" s="4">
        <f>IFERROR(__xludf.DUMMYFUNCTION("DATE(INDEX(SPLIT(I1706,""/""),,3),INDEX(SPLIT(I1706,""/""),,2),INDEX(SPLIT(I1706,""/""),,1))"),44708.0)</f>
        <v>44708</v>
      </c>
      <c r="L1706" s="1">
        <v>0.0</v>
      </c>
      <c r="M1706" s="1" t="s">
        <v>4513</v>
      </c>
      <c r="N1706" s="1"/>
      <c r="O1706" s="1" t="s">
        <v>30</v>
      </c>
      <c r="P1706" s="1" t="s">
        <v>31</v>
      </c>
      <c r="Q1706" s="1" t="s">
        <v>157</v>
      </c>
      <c r="R1706" s="1" t="s">
        <v>157</v>
      </c>
      <c r="S1706" s="1" t="s">
        <v>158</v>
      </c>
      <c r="U1706" s="1">
        <v>1.00914325E8</v>
      </c>
      <c r="X1706" s="1" t="s">
        <v>490</v>
      </c>
      <c r="Y1706" s="1" t="s">
        <v>4513</v>
      </c>
      <c r="Z1706" s="1" t="s">
        <v>206</v>
      </c>
    </row>
    <row r="1707" hidden="1">
      <c r="A1707" s="1" t="s">
        <v>5626</v>
      </c>
      <c r="B1707" s="1" t="s">
        <v>5627</v>
      </c>
      <c r="C1707" s="1" t="s">
        <v>5628</v>
      </c>
      <c r="D1707" s="1" t="s">
        <v>27</v>
      </c>
      <c r="E1707" s="1" t="s">
        <v>28</v>
      </c>
      <c r="F1707" s="2">
        <v>550000.0</v>
      </c>
      <c r="G1707" s="1" t="s">
        <v>568</v>
      </c>
      <c r="H1707" s="4">
        <f>IFERROR(__xludf.DUMMYFUNCTION("DATE(INDEX(SPLIT(G1707,""/""),,3),INDEX(SPLIT(G1707,""/""),,2),INDEX(SPLIT(G1707,""/""),,1))"),44587.0)</f>
        <v>44587</v>
      </c>
      <c r="I1707" s="1" t="s">
        <v>130</v>
      </c>
      <c r="J1707" s="4">
        <f>IFERROR(__xludf.DUMMYFUNCTION("DATE(INDEX(SPLIT(I1707,""/""),,3),INDEX(SPLIT(I1707,""/""),,2),INDEX(SPLIT(I1707,""/""),,1))"),44804.0)</f>
        <v>44804</v>
      </c>
      <c r="L1707" s="1">
        <v>0.0</v>
      </c>
      <c r="M1707" s="1" t="s">
        <v>653</v>
      </c>
      <c r="N1707" s="1"/>
      <c r="O1707" s="1" t="s">
        <v>30</v>
      </c>
      <c r="P1707" s="1" t="s">
        <v>31</v>
      </c>
      <c r="Q1707" s="1" t="s">
        <v>157</v>
      </c>
      <c r="R1707" s="1" t="s">
        <v>157</v>
      </c>
      <c r="S1707" s="1" t="s">
        <v>158</v>
      </c>
      <c r="U1707" s="1">
        <v>1.00591141E8</v>
      </c>
      <c r="X1707" s="1" t="s">
        <v>63</v>
      </c>
      <c r="Y1707" s="1" t="s">
        <v>5629</v>
      </c>
      <c r="Z1707" s="1" t="s">
        <v>37</v>
      </c>
    </row>
    <row r="1708" hidden="1">
      <c r="A1708" s="1" t="s">
        <v>5630</v>
      </c>
      <c r="B1708" s="1" t="s">
        <v>1655</v>
      </c>
      <c r="C1708" s="1" t="s">
        <v>5631</v>
      </c>
      <c r="D1708" s="1" t="s">
        <v>78</v>
      </c>
      <c r="E1708" s="1" t="s">
        <v>28</v>
      </c>
      <c r="F1708" s="2">
        <v>550000.0</v>
      </c>
      <c r="G1708" s="1" t="s">
        <v>2900</v>
      </c>
      <c r="H1708" s="4">
        <f>IFERROR(__xludf.DUMMYFUNCTION("DATE(INDEX(SPLIT(G1708,""/""),,3),INDEX(SPLIT(G1708,""/""),,2),INDEX(SPLIT(G1708,""/""),,1))"),44678.0)</f>
        <v>44678</v>
      </c>
      <c r="I1708" s="1" t="s">
        <v>1750</v>
      </c>
      <c r="J1708" s="4">
        <f>IFERROR(__xludf.DUMMYFUNCTION("DATE(INDEX(SPLIT(I1708,""/""),,3),INDEX(SPLIT(I1708,""/""),,2),INDEX(SPLIT(I1708,""/""),,1))"),44802.0)</f>
        <v>44802</v>
      </c>
      <c r="L1708" s="1">
        <v>0.0</v>
      </c>
      <c r="M1708" s="1" t="s">
        <v>5632</v>
      </c>
      <c r="N1708" s="1"/>
      <c r="O1708" s="1" t="s">
        <v>30</v>
      </c>
      <c r="P1708" s="1" t="s">
        <v>31</v>
      </c>
      <c r="Q1708" s="1" t="s">
        <v>157</v>
      </c>
      <c r="R1708" s="1" t="s">
        <v>157</v>
      </c>
      <c r="S1708" s="1" t="s">
        <v>158</v>
      </c>
      <c r="T1708" s="1" t="s">
        <v>159</v>
      </c>
      <c r="U1708" s="1">
        <v>1.00625563E8</v>
      </c>
      <c r="X1708" s="1" t="s">
        <v>490</v>
      </c>
      <c r="Y1708" s="1" t="s">
        <v>2981</v>
      </c>
      <c r="Z1708" s="1" t="s">
        <v>37</v>
      </c>
    </row>
    <row r="1709">
      <c r="A1709" s="1" t="s">
        <v>5633</v>
      </c>
      <c r="B1709" s="1" t="s">
        <v>427</v>
      </c>
      <c r="C1709" s="1" t="s">
        <v>5634</v>
      </c>
      <c r="D1709" s="1" t="s">
        <v>78</v>
      </c>
      <c r="E1709" s="1" t="s">
        <v>28</v>
      </c>
      <c r="F1709" s="2">
        <v>550000.0</v>
      </c>
      <c r="G1709" s="1" t="s">
        <v>5635</v>
      </c>
      <c r="H1709" s="4">
        <f>IFERROR(__xludf.DUMMYFUNCTION("DATE(INDEX(SPLIT(G1709,""/""),,3),INDEX(SPLIT(G1709,""/""),,2),INDEX(SPLIT(G1709,""/""),,1))"),44218.0)</f>
        <v>44218</v>
      </c>
      <c r="I1709" s="1" t="s">
        <v>1244</v>
      </c>
      <c r="J1709" s="4">
        <f>IFERROR(__xludf.DUMMYFUNCTION("DATE(INDEX(SPLIT(I1709,""/""),,3),INDEX(SPLIT(I1709,""/""),,2),INDEX(SPLIT(I1709,""/""),,1))"),44742.0)</f>
        <v>44742</v>
      </c>
      <c r="L1709" s="1">
        <v>0.0</v>
      </c>
      <c r="M1709" s="1" t="s">
        <v>5636</v>
      </c>
      <c r="N1709" s="1"/>
      <c r="O1709" s="1" t="s">
        <v>30</v>
      </c>
      <c r="P1709" s="1" t="s">
        <v>31</v>
      </c>
      <c r="Q1709" s="1" t="s">
        <v>228</v>
      </c>
      <c r="R1709" s="1" t="s">
        <v>228</v>
      </c>
      <c r="S1709" s="1" t="s">
        <v>229</v>
      </c>
      <c r="T1709" s="1" t="s">
        <v>513</v>
      </c>
      <c r="U1709" s="1">
        <v>1.00605581E8</v>
      </c>
      <c r="X1709" s="1" t="s">
        <v>125</v>
      </c>
      <c r="Y1709" s="1" t="s">
        <v>5636</v>
      </c>
      <c r="Z1709" s="1" t="s">
        <v>37</v>
      </c>
    </row>
    <row r="1710" hidden="1">
      <c r="A1710" s="1" t="s">
        <v>5637</v>
      </c>
      <c r="B1710" s="1" t="s">
        <v>5638</v>
      </c>
      <c r="C1710" s="1" t="s">
        <v>5639</v>
      </c>
      <c r="D1710" s="1" t="s">
        <v>68</v>
      </c>
      <c r="E1710" s="1" t="s">
        <v>28</v>
      </c>
      <c r="F1710" s="2">
        <v>549000.0</v>
      </c>
      <c r="G1710" s="1" t="s">
        <v>818</v>
      </c>
      <c r="H1710" s="4">
        <f>IFERROR(__xludf.DUMMYFUNCTION("DATE(INDEX(SPLIT(G1710,""/""),,3),INDEX(SPLIT(G1710,""/""),,2),INDEX(SPLIT(G1710,""/""),,1))"),44553.0)</f>
        <v>44553</v>
      </c>
      <c r="I1710" s="1" t="s">
        <v>293</v>
      </c>
      <c r="J1710" s="4">
        <f>IFERROR(__xludf.DUMMYFUNCTION("DATE(INDEX(SPLIT(I1710,""/""),,3),INDEX(SPLIT(I1710,""/""),,2),INDEX(SPLIT(I1710,""/""),,1))"),44918.0)</f>
        <v>44918</v>
      </c>
      <c r="K1710" s="1" t="s">
        <v>5640</v>
      </c>
      <c r="L1710" s="1">
        <v>0.0</v>
      </c>
      <c r="M1710" s="1" t="s">
        <v>5588</v>
      </c>
      <c r="N1710" s="1"/>
      <c r="O1710" s="1" t="s">
        <v>30</v>
      </c>
      <c r="P1710" s="1" t="s">
        <v>31</v>
      </c>
      <c r="Q1710" s="1" t="s">
        <v>1320</v>
      </c>
      <c r="R1710" s="1" t="s">
        <v>1320</v>
      </c>
      <c r="S1710" s="1" t="s">
        <v>54</v>
      </c>
      <c r="U1710" s="1">
        <v>1.00625588E8</v>
      </c>
      <c r="X1710" s="1" t="s">
        <v>5049</v>
      </c>
      <c r="Y1710" s="1" t="s">
        <v>5641</v>
      </c>
      <c r="Z1710" s="1" t="s">
        <v>37</v>
      </c>
    </row>
    <row r="1711" hidden="1">
      <c r="A1711" s="1" t="s">
        <v>5642</v>
      </c>
      <c r="B1711" s="1" t="s">
        <v>408</v>
      </c>
      <c r="C1711" s="1" t="s">
        <v>5643</v>
      </c>
      <c r="D1711" s="1" t="s">
        <v>122</v>
      </c>
      <c r="E1711" s="1" t="s">
        <v>28</v>
      </c>
      <c r="F1711" s="2">
        <v>549000.0</v>
      </c>
      <c r="G1711" s="4">
        <v>44563.0</v>
      </c>
      <c r="H1711" s="4">
        <f>IFERROR(__xludf.DUMMYFUNCTION("DATE(INDEX(SPLIT(G1711,""/""),,3),INDEX(SPLIT(G1711,""/""),,2),INDEX(SPLIT(G1711,""/""),,1))"),44593.0)</f>
        <v>44593</v>
      </c>
      <c r="I1711" s="1" t="s">
        <v>872</v>
      </c>
      <c r="J1711" s="4">
        <f>IFERROR(__xludf.DUMMYFUNCTION("DATE(INDEX(SPLIT(I1711,""/""),,3),INDEX(SPLIT(I1711,""/""),,2),INDEX(SPLIT(I1711,""/""),,1))"),44820.0)</f>
        <v>44820</v>
      </c>
      <c r="L1711" s="1">
        <v>0.0</v>
      </c>
      <c r="M1711" s="1" t="s">
        <v>1422</v>
      </c>
      <c r="N1711" s="1"/>
      <c r="O1711" s="1" t="s">
        <v>30</v>
      </c>
      <c r="P1711" s="1" t="s">
        <v>31</v>
      </c>
      <c r="Q1711" s="1" t="s">
        <v>157</v>
      </c>
      <c r="R1711" s="1" t="s">
        <v>157</v>
      </c>
      <c r="S1711" s="1" t="s">
        <v>158</v>
      </c>
      <c r="T1711" s="1" t="s">
        <v>159</v>
      </c>
      <c r="U1711" s="1">
        <v>1.00869794E8</v>
      </c>
      <c r="X1711" s="1" t="s">
        <v>410</v>
      </c>
      <c r="Y1711" s="1" t="s">
        <v>1422</v>
      </c>
      <c r="Z1711" s="1" t="s">
        <v>37</v>
      </c>
    </row>
    <row r="1712" hidden="1">
      <c r="A1712" s="1" t="s">
        <v>5644</v>
      </c>
      <c r="B1712" s="1" t="s">
        <v>5645</v>
      </c>
      <c r="C1712" s="1" t="s">
        <v>5646</v>
      </c>
      <c r="D1712" s="1" t="s">
        <v>27</v>
      </c>
      <c r="E1712" s="1" t="s">
        <v>28</v>
      </c>
      <c r="F1712" s="2">
        <v>545000.0</v>
      </c>
      <c r="G1712" s="1" t="s">
        <v>1004</v>
      </c>
      <c r="H1712" s="4">
        <f>IFERROR(__xludf.DUMMYFUNCTION("DATE(INDEX(SPLIT(G1712,""/""),,3),INDEX(SPLIT(G1712,""/""),,2),INDEX(SPLIT(G1712,""/""),,1))"),44582.0)</f>
        <v>44582</v>
      </c>
      <c r="I1712" s="1" t="s">
        <v>109</v>
      </c>
      <c r="J1712" s="4">
        <f>IFERROR(__xludf.DUMMYFUNCTION("DATE(INDEX(SPLIT(I1712,""/""),,3),INDEX(SPLIT(I1712,""/""),,2),INDEX(SPLIT(I1712,""/""),,1))"),44834.0)</f>
        <v>44834</v>
      </c>
      <c r="L1712" s="1">
        <v>0.0</v>
      </c>
      <c r="M1712" s="1" t="s">
        <v>116</v>
      </c>
      <c r="N1712" s="1"/>
      <c r="O1712" s="1" t="s">
        <v>30</v>
      </c>
      <c r="P1712" s="1" t="s">
        <v>31</v>
      </c>
      <c r="Q1712" s="1" t="s">
        <v>95</v>
      </c>
      <c r="R1712" s="1" t="s">
        <v>95</v>
      </c>
      <c r="S1712" s="1" t="s">
        <v>96</v>
      </c>
      <c r="T1712" s="1" t="s">
        <v>97</v>
      </c>
      <c r="U1712" s="1">
        <v>1.00592496E8</v>
      </c>
      <c r="X1712" s="1" t="s">
        <v>781</v>
      </c>
      <c r="Y1712" s="1" t="s">
        <v>116</v>
      </c>
      <c r="Z1712" s="1" t="s">
        <v>37</v>
      </c>
    </row>
    <row r="1713">
      <c r="A1713" s="1" t="s">
        <v>5647</v>
      </c>
      <c r="B1713" s="1" t="s">
        <v>4621</v>
      </c>
      <c r="C1713" s="1" t="s">
        <v>5648</v>
      </c>
      <c r="D1713" s="1" t="s">
        <v>78</v>
      </c>
      <c r="E1713" s="1" t="s">
        <v>28</v>
      </c>
      <c r="F1713" s="2">
        <v>540000.0</v>
      </c>
      <c r="G1713" s="1" t="s">
        <v>4047</v>
      </c>
      <c r="H1713" s="4">
        <f>IFERROR(__xludf.DUMMYFUNCTION("DATE(INDEX(SPLIT(G1713,""/""),,3),INDEX(SPLIT(G1713,""/""),,2),INDEX(SPLIT(G1713,""/""),,1))"),44580.0)</f>
        <v>44580</v>
      </c>
      <c r="I1713" s="1" t="s">
        <v>226</v>
      </c>
      <c r="J1713" s="4">
        <f>IFERROR(__xludf.DUMMYFUNCTION("DATE(INDEX(SPLIT(I1713,""/""),,3),INDEX(SPLIT(I1713,""/""),,2),INDEX(SPLIT(I1713,""/""),,1))"),44771.0)</f>
        <v>44771</v>
      </c>
      <c r="L1713" s="1">
        <v>0.0</v>
      </c>
      <c r="M1713" s="1" t="s">
        <v>431</v>
      </c>
      <c r="N1713" s="1"/>
      <c r="O1713" s="1" t="s">
        <v>30</v>
      </c>
      <c r="P1713" s="1" t="s">
        <v>31</v>
      </c>
      <c r="Q1713" s="1" t="s">
        <v>157</v>
      </c>
      <c r="R1713" s="1" t="s">
        <v>157</v>
      </c>
      <c r="S1713" s="1" t="s">
        <v>158</v>
      </c>
      <c r="T1713" s="1" t="s">
        <v>442</v>
      </c>
      <c r="U1713" s="1">
        <v>1.00650064E8</v>
      </c>
      <c r="X1713" s="1" t="s">
        <v>125</v>
      </c>
      <c r="Y1713" s="1" t="s">
        <v>4623</v>
      </c>
      <c r="Z1713" s="1" t="s">
        <v>37</v>
      </c>
    </row>
    <row r="1714" hidden="1">
      <c r="A1714" s="1" t="s">
        <v>5649</v>
      </c>
      <c r="B1714" s="1" t="s">
        <v>1748</v>
      </c>
      <c r="C1714" s="1" t="s">
        <v>5650</v>
      </c>
      <c r="D1714" s="1" t="s">
        <v>122</v>
      </c>
      <c r="E1714" s="1" t="s">
        <v>28</v>
      </c>
      <c r="F1714" s="2">
        <v>540000.0</v>
      </c>
      <c r="G1714" s="1" t="s">
        <v>298</v>
      </c>
      <c r="H1714" s="4">
        <f>IFERROR(__xludf.DUMMYFUNCTION("DATE(INDEX(SPLIT(G1714,""/""),,3),INDEX(SPLIT(G1714,""/""),,2),INDEX(SPLIT(G1714,""/""),,1))"),44762.0)</f>
        <v>44762</v>
      </c>
      <c r="I1714" s="4">
        <v>44903.0</v>
      </c>
      <c r="J1714" s="4">
        <f>IFERROR(__xludf.DUMMYFUNCTION("DATE(INDEX(SPLIT(I1714,""/""),,3),INDEX(SPLIT(I1714,""/""),,2),INDEX(SPLIT(I1714,""/""),,1))"),44785.0)</f>
        <v>44785</v>
      </c>
      <c r="L1714" s="1">
        <v>0.0</v>
      </c>
      <c r="M1714" s="1" t="s">
        <v>1944</v>
      </c>
      <c r="N1714" s="1"/>
      <c r="O1714" s="1" t="s">
        <v>30</v>
      </c>
      <c r="P1714" s="1" t="s">
        <v>31</v>
      </c>
      <c r="Q1714" s="1" t="s">
        <v>235</v>
      </c>
      <c r="R1714" s="1" t="s">
        <v>235</v>
      </c>
      <c r="S1714" s="1" t="s">
        <v>236</v>
      </c>
      <c r="U1714" s="1">
        <v>1.00628186E8</v>
      </c>
      <c r="X1714" s="1" t="s">
        <v>88</v>
      </c>
      <c r="Y1714" s="1" t="s">
        <v>3030</v>
      </c>
      <c r="Z1714" s="1" t="s">
        <v>37</v>
      </c>
    </row>
    <row r="1715">
      <c r="A1715" s="1" t="s">
        <v>5651</v>
      </c>
      <c r="B1715" s="1" t="s">
        <v>5652</v>
      </c>
      <c r="C1715" s="1" t="s">
        <v>5653</v>
      </c>
      <c r="D1715" s="1" t="s">
        <v>122</v>
      </c>
      <c r="E1715" s="1" t="s">
        <v>28</v>
      </c>
      <c r="F1715" s="2">
        <v>536000.0</v>
      </c>
      <c r="G1715" s="1" t="s">
        <v>3896</v>
      </c>
      <c r="H1715" s="4">
        <f>IFERROR(__xludf.DUMMYFUNCTION("DATE(INDEX(SPLIT(G1715,""/""),,3),INDEX(SPLIT(G1715,""/""),,2),INDEX(SPLIT(G1715,""/""),,1))"),44697.0)</f>
        <v>44697</v>
      </c>
      <c r="I1715" s="1" t="s">
        <v>414</v>
      </c>
      <c r="J1715" s="4">
        <f>IFERROR(__xludf.DUMMYFUNCTION("DATE(INDEX(SPLIT(I1715,""/""),,3),INDEX(SPLIT(I1715,""/""),,2),INDEX(SPLIT(I1715,""/""),,1))"),44772.0)</f>
        <v>44772</v>
      </c>
      <c r="L1715" s="1">
        <v>0.0</v>
      </c>
      <c r="M1715" s="1" t="s">
        <v>4807</v>
      </c>
      <c r="N1715" s="1"/>
      <c r="O1715" s="1" t="s">
        <v>30</v>
      </c>
      <c r="P1715" s="1" t="s">
        <v>31</v>
      </c>
      <c r="Q1715" s="1" t="s">
        <v>95</v>
      </c>
      <c r="R1715" s="1" t="s">
        <v>95</v>
      </c>
      <c r="S1715" s="1" t="s">
        <v>96</v>
      </c>
      <c r="U1715" s="1">
        <v>1.00569225E8</v>
      </c>
      <c r="X1715" s="1" t="s">
        <v>361</v>
      </c>
      <c r="Y1715" s="1" t="s">
        <v>5654</v>
      </c>
      <c r="Z1715" s="1" t="s">
        <v>37</v>
      </c>
    </row>
    <row r="1716" hidden="1">
      <c r="A1716" s="1" t="s">
        <v>5655</v>
      </c>
      <c r="B1716" s="1" t="s">
        <v>3343</v>
      </c>
      <c r="C1716" s="1" t="s">
        <v>5656</v>
      </c>
      <c r="D1716" s="1" t="s">
        <v>122</v>
      </c>
      <c r="E1716" s="1" t="s">
        <v>28</v>
      </c>
      <c r="F1716" s="2">
        <v>530000.0</v>
      </c>
      <c r="G1716" s="1" t="s">
        <v>3295</v>
      </c>
      <c r="H1716" s="4">
        <f>IFERROR(__xludf.DUMMYFUNCTION("DATE(INDEX(SPLIT(G1716,""/""),,3),INDEX(SPLIT(G1716,""/""),,2),INDEX(SPLIT(G1716,""/""),,1))"),44575.0)</f>
        <v>44575</v>
      </c>
      <c r="I1716" s="1" t="s">
        <v>109</v>
      </c>
      <c r="J1716" s="4">
        <f>IFERROR(__xludf.DUMMYFUNCTION("DATE(INDEX(SPLIT(I1716,""/""),,3),INDEX(SPLIT(I1716,""/""),,2),INDEX(SPLIT(I1716,""/""),,1))"),44834.0)</f>
        <v>44834</v>
      </c>
      <c r="L1716" s="1">
        <v>0.0</v>
      </c>
      <c r="M1716" s="1" t="s">
        <v>1856</v>
      </c>
      <c r="N1716" s="1"/>
      <c r="O1716" s="1" t="s">
        <v>30</v>
      </c>
      <c r="P1716" s="1" t="s">
        <v>31</v>
      </c>
      <c r="Q1716" s="1" t="s">
        <v>32</v>
      </c>
      <c r="R1716" s="1" t="s">
        <v>32</v>
      </c>
      <c r="S1716" s="1" t="s">
        <v>33</v>
      </c>
      <c r="T1716" s="1" t="s">
        <v>103</v>
      </c>
      <c r="U1716" s="1">
        <v>1.00587434E8</v>
      </c>
      <c r="X1716" s="1" t="s">
        <v>63</v>
      </c>
      <c r="Y1716" s="1" t="s">
        <v>3182</v>
      </c>
      <c r="Z1716" s="1" t="s">
        <v>37</v>
      </c>
    </row>
    <row r="1717">
      <c r="A1717" s="1" t="s">
        <v>5657</v>
      </c>
      <c r="B1717" s="1" t="s">
        <v>516</v>
      </c>
      <c r="C1717" s="1" t="s">
        <v>5658</v>
      </c>
      <c r="D1717" s="1" t="s">
        <v>27</v>
      </c>
      <c r="E1717" s="1" t="s">
        <v>28</v>
      </c>
      <c r="F1717" s="2">
        <v>530000.0</v>
      </c>
      <c r="G1717" s="1" t="s">
        <v>418</v>
      </c>
      <c r="H1717" s="4">
        <f>IFERROR(__xludf.DUMMYFUNCTION("DATE(INDEX(SPLIT(G1717,""/""),,3),INDEX(SPLIT(G1717,""/""),,2),INDEX(SPLIT(G1717,""/""),,1))"),44755.0)</f>
        <v>44755</v>
      </c>
      <c r="I1717" s="1" t="s">
        <v>226</v>
      </c>
      <c r="J1717" s="4">
        <f>IFERROR(__xludf.DUMMYFUNCTION("DATE(INDEX(SPLIT(I1717,""/""),,3),INDEX(SPLIT(I1717,""/""),,2),INDEX(SPLIT(I1717,""/""),,1))"),44771.0)</f>
        <v>44771</v>
      </c>
      <c r="L1717" s="1">
        <v>0.0</v>
      </c>
      <c r="M1717" s="1" t="s">
        <v>4979</v>
      </c>
      <c r="N1717" s="1"/>
      <c r="O1717" s="1" t="s">
        <v>30</v>
      </c>
      <c r="P1717" s="1" t="s">
        <v>31</v>
      </c>
      <c r="Q1717" s="1" t="s">
        <v>235</v>
      </c>
      <c r="R1717" s="1" t="s">
        <v>235</v>
      </c>
      <c r="S1717" s="1" t="s">
        <v>236</v>
      </c>
      <c r="U1717" s="1">
        <v>1.00637587E8</v>
      </c>
      <c r="X1717" s="1" t="s">
        <v>609</v>
      </c>
      <c r="Y1717" s="1" t="s">
        <v>5659</v>
      </c>
      <c r="Z1717" s="1" t="s">
        <v>37</v>
      </c>
    </row>
    <row r="1718" hidden="1">
      <c r="A1718" s="1" t="s">
        <v>5660</v>
      </c>
      <c r="B1718" s="1" t="s">
        <v>546</v>
      </c>
      <c r="C1718" s="1" t="s">
        <v>5661</v>
      </c>
      <c r="D1718" s="1" t="s">
        <v>122</v>
      </c>
      <c r="E1718" s="1" t="s">
        <v>28</v>
      </c>
      <c r="F1718" s="2">
        <v>525000.0</v>
      </c>
      <c r="G1718" s="4">
        <v>44684.0</v>
      </c>
      <c r="H1718" s="4">
        <f>IFERROR(__xludf.DUMMYFUNCTION("DATE(INDEX(SPLIT(G1718,""/""),,3),INDEX(SPLIT(G1718,""/""),,2),INDEX(SPLIT(G1718,""/""),,1))"),44625.0)</f>
        <v>44625</v>
      </c>
      <c r="I1718" s="4">
        <v>44689.0</v>
      </c>
      <c r="J1718" s="4">
        <f>IFERROR(__xludf.DUMMYFUNCTION("DATE(INDEX(SPLIT(I1718,""/""),,3),INDEX(SPLIT(I1718,""/""),,2),INDEX(SPLIT(I1718,""/""),,1))"),44778.0)</f>
        <v>44778</v>
      </c>
      <c r="L1718" s="1">
        <v>0.0</v>
      </c>
      <c r="M1718" s="1" t="s">
        <v>4520</v>
      </c>
      <c r="N1718" s="1"/>
      <c r="O1718" s="1" t="s">
        <v>30</v>
      </c>
      <c r="P1718" s="1" t="s">
        <v>31</v>
      </c>
      <c r="Q1718" s="1" t="s">
        <v>53</v>
      </c>
      <c r="R1718" s="1" t="s">
        <v>53</v>
      </c>
      <c r="S1718" s="1" t="s">
        <v>54</v>
      </c>
      <c r="U1718" s="1">
        <v>1.00609187E8</v>
      </c>
      <c r="X1718" s="1" t="s">
        <v>74</v>
      </c>
      <c r="Y1718" s="1" t="s">
        <v>4520</v>
      </c>
      <c r="Z1718" s="1" t="s">
        <v>527</v>
      </c>
    </row>
    <row r="1719">
      <c r="A1719" s="1" t="s">
        <v>5662</v>
      </c>
      <c r="B1719" s="1" t="s">
        <v>5663</v>
      </c>
      <c r="C1719" s="1" t="s">
        <v>5664</v>
      </c>
      <c r="D1719" s="1" t="s">
        <v>27</v>
      </c>
      <c r="E1719" s="1" t="s">
        <v>28</v>
      </c>
      <c r="F1719" s="2">
        <v>525000.0</v>
      </c>
      <c r="G1719" s="4">
        <v>44839.0</v>
      </c>
      <c r="H1719" s="4">
        <f>IFERROR(__xludf.DUMMYFUNCTION("DATE(INDEX(SPLIT(G1719,""/""),,3),INDEX(SPLIT(G1719,""/""),,2),INDEX(SPLIT(G1719,""/""),,1))"),44691.0)</f>
        <v>44691</v>
      </c>
      <c r="I1719" s="1" t="s">
        <v>226</v>
      </c>
      <c r="J1719" s="4">
        <f>IFERROR(__xludf.DUMMYFUNCTION("DATE(INDEX(SPLIT(I1719,""/""),,3),INDEX(SPLIT(I1719,""/""),,2),INDEX(SPLIT(I1719,""/""),,1))"),44771.0)</f>
        <v>44771</v>
      </c>
      <c r="L1719" s="1">
        <v>0.0</v>
      </c>
      <c r="M1719" s="1" t="s">
        <v>1689</v>
      </c>
      <c r="N1719" s="1"/>
      <c r="O1719" s="1" t="s">
        <v>30</v>
      </c>
      <c r="P1719" s="1" t="s">
        <v>31</v>
      </c>
      <c r="Q1719" s="1" t="s">
        <v>53</v>
      </c>
      <c r="R1719" s="1" t="s">
        <v>53</v>
      </c>
      <c r="S1719" s="1" t="s">
        <v>54</v>
      </c>
      <c r="U1719" s="1">
        <v>1.00650657E8</v>
      </c>
      <c r="X1719" s="1" t="s">
        <v>312</v>
      </c>
      <c r="Y1719" s="1" t="s">
        <v>1689</v>
      </c>
      <c r="Z1719" s="1" t="s">
        <v>37</v>
      </c>
    </row>
    <row r="1720" hidden="1">
      <c r="A1720" s="1" t="s">
        <v>5665</v>
      </c>
      <c r="B1720" s="1" t="s">
        <v>1300</v>
      </c>
      <c r="C1720" s="1" t="s">
        <v>5666</v>
      </c>
      <c r="D1720" s="1" t="s">
        <v>122</v>
      </c>
      <c r="E1720" s="1" t="s">
        <v>28</v>
      </c>
      <c r="F1720" s="2">
        <v>525000.0</v>
      </c>
      <c r="G1720" s="1" t="s">
        <v>149</v>
      </c>
      <c r="H1720" s="4">
        <f>IFERROR(__xludf.DUMMYFUNCTION("DATE(INDEX(SPLIT(G1720,""/""),,3),INDEX(SPLIT(G1720,""/""),,2),INDEX(SPLIT(G1720,""/""),,1))"),44590.0)</f>
        <v>44590</v>
      </c>
      <c r="I1720" s="1" t="s">
        <v>1495</v>
      </c>
      <c r="J1720" s="4">
        <f>IFERROR(__xludf.DUMMYFUNCTION("DATE(INDEX(SPLIT(I1720,""/""),,3),INDEX(SPLIT(I1720,""/""),,2),INDEX(SPLIT(I1720,""/""),,1))"),44864.0)</f>
        <v>44864</v>
      </c>
      <c r="L1720" s="1">
        <v>0.0</v>
      </c>
      <c r="M1720" s="1" t="s">
        <v>1303</v>
      </c>
      <c r="N1720" s="1"/>
      <c r="O1720" s="1" t="s">
        <v>30</v>
      </c>
      <c r="P1720" s="1" t="s">
        <v>31</v>
      </c>
      <c r="Q1720" s="1" t="s">
        <v>235</v>
      </c>
      <c r="R1720" s="1" t="s">
        <v>235</v>
      </c>
      <c r="S1720" s="1" t="s">
        <v>236</v>
      </c>
      <c r="T1720" s="1" t="s">
        <v>438</v>
      </c>
      <c r="U1720" s="1">
        <v>1.00609073E8</v>
      </c>
      <c r="X1720" s="1" t="s">
        <v>88</v>
      </c>
      <c r="Y1720" s="1" t="s">
        <v>1304</v>
      </c>
      <c r="Z1720" s="1" t="s">
        <v>37</v>
      </c>
    </row>
    <row r="1721" hidden="1">
      <c r="A1721" s="1" t="s">
        <v>5667</v>
      </c>
      <c r="B1721" s="1" t="s">
        <v>5668</v>
      </c>
      <c r="C1721" s="1" t="s">
        <v>5669</v>
      </c>
      <c r="D1721" s="1" t="s">
        <v>27</v>
      </c>
      <c r="E1721" s="1" t="s">
        <v>28</v>
      </c>
      <c r="F1721" s="2">
        <v>525000.0</v>
      </c>
      <c r="G1721" s="1" t="s">
        <v>1244</v>
      </c>
      <c r="H1721" s="4">
        <f>IFERROR(__xludf.DUMMYFUNCTION("DATE(INDEX(SPLIT(G1721,""/""),,3),INDEX(SPLIT(G1721,""/""),,2),INDEX(SPLIT(G1721,""/""),,1))"),44742.0)</f>
        <v>44742</v>
      </c>
      <c r="I1721" s="1" t="s">
        <v>109</v>
      </c>
      <c r="J1721" s="4">
        <f>IFERROR(__xludf.DUMMYFUNCTION("DATE(INDEX(SPLIT(I1721,""/""),,3),INDEX(SPLIT(I1721,""/""),,2),INDEX(SPLIT(I1721,""/""),,1))"),44834.0)</f>
        <v>44834</v>
      </c>
      <c r="L1721" s="1">
        <v>0.0</v>
      </c>
      <c r="M1721" s="1" t="s">
        <v>2787</v>
      </c>
      <c r="N1721" s="1"/>
      <c r="O1721" s="1" t="s">
        <v>30</v>
      </c>
      <c r="P1721" s="1" t="s">
        <v>31</v>
      </c>
      <c r="Q1721" s="1" t="s">
        <v>157</v>
      </c>
      <c r="R1721" s="1" t="s">
        <v>157</v>
      </c>
      <c r="S1721" s="1" t="s">
        <v>158</v>
      </c>
      <c r="T1721" s="1" t="s">
        <v>442</v>
      </c>
      <c r="U1721" s="1">
        <v>1.00708984E8</v>
      </c>
      <c r="X1721" s="1" t="s">
        <v>63</v>
      </c>
      <c r="Y1721" s="1" t="s">
        <v>2787</v>
      </c>
      <c r="Z1721" s="1" t="s">
        <v>37</v>
      </c>
    </row>
    <row r="1722" hidden="1">
      <c r="A1722" s="1" t="s">
        <v>5670</v>
      </c>
      <c r="B1722" s="1" t="s">
        <v>1030</v>
      </c>
      <c r="C1722" s="1" t="s">
        <v>5671</v>
      </c>
      <c r="D1722" s="1" t="s">
        <v>68</v>
      </c>
      <c r="E1722" s="1" t="s">
        <v>28</v>
      </c>
      <c r="F1722" s="2">
        <v>525000.0</v>
      </c>
      <c r="G1722" s="1" t="s">
        <v>5672</v>
      </c>
      <c r="H1722" s="4">
        <f>IFERROR(__xludf.DUMMYFUNCTION("DATE(INDEX(SPLIT(G1722,""/""),,3),INDEX(SPLIT(G1722,""/""),,2),INDEX(SPLIT(G1722,""/""),,1))"),43515.0)</f>
        <v>43515</v>
      </c>
      <c r="I1722" s="4">
        <v>44903.0</v>
      </c>
      <c r="J1722" s="4">
        <f>IFERROR(__xludf.DUMMYFUNCTION("DATE(INDEX(SPLIT(I1722,""/""),,3),INDEX(SPLIT(I1722,""/""),,2),INDEX(SPLIT(I1722,""/""),,1))"),44785.0)</f>
        <v>44785</v>
      </c>
      <c r="L1722" s="1">
        <v>0.0</v>
      </c>
      <c r="M1722" s="1" t="s">
        <v>1514</v>
      </c>
      <c r="N1722" s="1"/>
      <c r="O1722" s="1" t="s">
        <v>30</v>
      </c>
      <c r="P1722" s="1" t="s">
        <v>31</v>
      </c>
      <c r="Q1722" s="1" t="s">
        <v>71</v>
      </c>
      <c r="R1722" s="1" t="s">
        <v>71</v>
      </c>
      <c r="S1722" s="1" t="s">
        <v>72</v>
      </c>
      <c r="T1722" s="1" t="s">
        <v>615</v>
      </c>
      <c r="U1722" s="1">
        <v>1.006324E8</v>
      </c>
      <c r="X1722" s="1" t="s">
        <v>98</v>
      </c>
      <c r="Y1722" s="1" t="s">
        <v>5673</v>
      </c>
      <c r="Z1722" s="1" t="s">
        <v>37</v>
      </c>
    </row>
    <row r="1723" hidden="1">
      <c r="A1723" s="1" t="s">
        <v>5674</v>
      </c>
      <c r="B1723" s="1" t="s">
        <v>5675</v>
      </c>
      <c r="C1723" s="1" t="s">
        <v>5676</v>
      </c>
      <c r="D1723" s="1" t="s">
        <v>27</v>
      </c>
      <c r="E1723" s="1" t="s">
        <v>28</v>
      </c>
      <c r="F1723" s="2">
        <v>520000.0</v>
      </c>
      <c r="G1723" s="1" t="s">
        <v>935</v>
      </c>
      <c r="H1723" s="4">
        <f>IFERROR(__xludf.DUMMYFUNCTION("DATE(INDEX(SPLIT(G1723,""/""),,3),INDEX(SPLIT(G1723,""/""),,2),INDEX(SPLIT(G1723,""/""),,1))"),44764.0)</f>
        <v>44764</v>
      </c>
      <c r="I1723" s="4">
        <v>44604.0</v>
      </c>
      <c r="J1723" s="4">
        <f>IFERROR(__xludf.DUMMYFUNCTION("DATE(INDEX(SPLIT(I1723,""/""),,3),INDEX(SPLIT(I1723,""/""),,2),INDEX(SPLIT(I1723,""/""),,1))"),44897.0)</f>
        <v>44897</v>
      </c>
      <c r="L1723" s="1">
        <v>0.0</v>
      </c>
      <c r="M1723" s="1" t="s">
        <v>1297</v>
      </c>
      <c r="N1723" s="1"/>
      <c r="O1723" s="1" t="s">
        <v>30</v>
      </c>
      <c r="P1723" s="1" t="s">
        <v>31</v>
      </c>
      <c r="Q1723" s="1" t="s">
        <v>188</v>
      </c>
      <c r="R1723" s="1" t="s">
        <v>188</v>
      </c>
      <c r="S1723" s="1" t="s">
        <v>189</v>
      </c>
      <c r="T1723" s="1" t="s">
        <v>1344</v>
      </c>
      <c r="U1723" s="1">
        <v>1.00622378E8</v>
      </c>
      <c r="X1723" s="1" t="s">
        <v>305</v>
      </c>
      <c r="Y1723" s="1" t="s">
        <v>5677</v>
      </c>
      <c r="Z1723" s="1" t="s">
        <v>37</v>
      </c>
    </row>
    <row r="1724">
      <c r="A1724" s="1" t="s">
        <v>5678</v>
      </c>
      <c r="B1724" s="1" t="s">
        <v>1692</v>
      </c>
      <c r="C1724" s="1" t="s">
        <v>5679</v>
      </c>
      <c r="D1724" s="1" t="s">
        <v>78</v>
      </c>
      <c r="E1724" s="1" t="s">
        <v>28</v>
      </c>
      <c r="F1724" s="2">
        <v>520000.0</v>
      </c>
      <c r="G1724" s="1" t="s">
        <v>472</v>
      </c>
      <c r="H1724" s="4">
        <f>IFERROR(__xludf.DUMMYFUNCTION("DATE(INDEX(SPLIT(G1724,""/""),,3),INDEX(SPLIT(G1724,""/""),,2),INDEX(SPLIT(G1724,""/""),,1))"),44760.0)</f>
        <v>44760</v>
      </c>
      <c r="I1724" s="1" t="s">
        <v>226</v>
      </c>
      <c r="J1724" s="4">
        <f>IFERROR(__xludf.DUMMYFUNCTION("DATE(INDEX(SPLIT(I1724,""/""),,3),INDEX(SPLIT(I1724,""/""),,2),INDEX(SPLIT(I1724,""/""),,1))"),44771.0)</f>
        <v>44771</v>
      </c>
      <c r="L1724" s="1">
        <v>0.0</v>
      </c>
      <c r="M1724" s="1" t="s">
        <v>1200</v>
      </c>
      <c r="N1724" s="1"/>
      <c r="O1724" s="1" t="s">
        <v>30</v>
      </c>
      <c r="P1724" s="1" t="s">
        <v>31</v>
      </c>
      <c r="Q1724" s="1" t="s">
        <v>235</v>
      </c>
      <c r="R1724" s="1" t="s">
        <v>235</v>
      </c>
      <c r="S1724" s="1" t="s">
        <v>236</v>
      </c>
      <c r="T1724" s="1" t="s">
        <v>438</v>
      </c>
      <c r="U1724" s="1">
        <v>1.00586959E8</v>
      </c>
      <c r="X1724" s="1" t="s">
        <v>88</v>
      </c>
      <c r="Y1724" s="1" t="s">
        <v>1313</v>
      </c>
      <c r="Z1724" s="1" t="s">
        <v>37</v>
      </c>
    </row>
    <row r="1725" hidden="1">
      <c r="A1725" s="1" t="s">
        <v>5680</v>
      </c>
      <c r="B1725" s="1" t="s">
        <v>3126</v>
      </c>
      <c r="C1725" s="1" t="s">
        <v>5681</v>
      </c>
      <c r="D1725" s="1" t="s">
        <v>122</v>
      </c>
      <c r="E1725" s="1" t="s">
        <v>28</v>
      </c>
      <c r="F1725" s="2">
        <v>515000.0</v>
      </c>
      <c r="G1725" s="4">
        <v>44902.0</v>
      </c>
      <c r="H1725" s="4">
        <f>IFERROR(__xludf.DUMMYFUNCTION("DATE(INDEX(SPLIT(G1725,""/""),,3),INDEX(SPLIT(G1725,""/""),,2),INDEX(SPLIT(G1725,""/""),,1))"),44754.0)</f>
        <v>44754</v>
      </c>
      <c r="I1725" s="4">
        <v>44813.0</v>
      </c>
      <c r="J1725" s="4">
        <f>IFERROR(__xludf.DUMMYFUNCTION("DATE(INDEX(SPLIT(I1725,""/""),,3),INDEX(SPLIT(I1725,""/""),,2),INDEX(SPLIT(I1725,""/""),,1))"),44813.0)</f>
        <v>44813</v>
      </c>
      <c r="L1725" s="1">
        <v>0.0</v>
      </c>
      <c r="M1725" s="1" t="s">
        <v>4860</v>
      </c>
      <c r="N1725" s="1"/>
      <c r="O1725" s="1" t="s">
        <v>30</v>
      </c>
      <c r="P1725" s="1" t="s">
        <v>31</v>
      </c>
      <c r="Q1725" s="1" t="s">
        <v>157</v>
      </c>
      <c r="R1725" s="1" t="s">
        <v>157</v>
      </c>
      <c r="S1725" s="1" t="s">
        <v>158</v>
      </c>
      <c r="U1725" s="1">
        <v>1.00621287E8</v>
      </c>
      <c r="X1725" s="1" t="s">
        <v>63</v>
      </c>
      <c r="Y1725" s="1" t="s">
        <v>4861</v>
      </c>
      <c r="Z1725" s="1" t="s">
        <v>37</v>
      </c>
    </row>
    <row r="1726" hidden="1">
      <c r="A1726" s="1" t="s">
        <v>5682</v>
      </c>
      <c r="B1726" s="1" t="s">
        <v>1748</v>
      </c>
      <c r="C1726" s="1" t="s">
        <v>5683</v>
      </c>
      <c r="D1726" s="1" t="s">
        <v>27</v>
      </c>
      <c r="E1726" s="1" t="s">
        <v>28</v>
      </c>
      <c r="F1726" s="2">
        <v>515000.0</v>
      </c>
      <c r="G1726" s="1" t="s">
        <v>1357</v>
      </c>
      <c r="H1726" s="4">
        <f>IFERROR(__xludf.DUMMYFUNCTION("DATE(INDEX(SPLIT(G1726,""/""),,3),INDEX(SPLIT(G1726,""/""),,2),INDEX(SPLIT(G1726,""/""),,1))"),44398.0)</f>
        <v>44398</v>
      </c>
      <c r="I1726" s="1" t="s">
        <v>203</v>
      </c>
      <c r="J1726" s="4">
        <f>IFERROR(__xludf.DUMMYFUNCTION("DATE(INDEX(SPLIT(I1726,""/""),,3),INDEX(SPLIT(I1726,""/""),,2),INDEX(SPLIT(I1726,""/""),,1))"),44925.0)</f>
        <v>44925</v>
      </c>
      <c r="L1726" s="1">
        <v>0.0</v>
      </c>
      <c r="M1726" s="1" t="s">
        <v>5684</v>
      </c>
      <c r="N1726" s="1"/>
      <c r="O1726" s="1" t="s">
        <v>30</v>
      </c>
      <c r="P1726" s="1" t="s">
        <v>31</v>
      </c>
      <c r="Q1726" s="1" t="s">
        <v>53</v>
      </c>
      <c r="R1726" s="1" t="s">
        <v>53</v>
      </c>
      <c r="S1726" s="1" t="s">
        <v>54</v>
      </c>
      <c r="T1726" s="1" t="s">
        <v>1349</v>
      </c>
      <c r="U1726" s="1">
        <v>1.00649463E8</v>
      </c>
      <c r="X1726" s="1" t="s">
        <v>88</v>
      </c>
      <c r="Y1726" s="1" t="s">
        <v>5685</v>
      </c>
      <c r="Z1726" s="1" t="s">
        <v>37</v>
      </c>
    </row>
    <row r="1727">
      <c r="A1727" s="1" t="s">
        <v>5686</v>
      </c>
      <c r="B1727" s="1" t="s">
        <v>4013</v>
      </c>
      <c r="C1727" s="1" t="s">
        <v>5687</v>
      </c>
      <c r="D1727" s="1" t="s">
        <v>68</v>
      </c>
      <c r="E1727" s="1" t="s">
        <v>28</v>
      </c>
      <c r="F1727" s="2">
        <v>514800.0</v>
      </c>
      <c r="G1727" s="1" t="s">
        <v>3883</v>
      </c>
      <c r="H1727" s="4">
        <f>IFERROR(__xludf.DUMMYFUNCTION("DATE(INDEX(SPLIT(G1727,""/""),,3),INDEX(SPLIT(G1727,""/""),,2),INDEX(SPLIT(G1727,""/""),,1))"),44666.0)</f>
        <v>44666</v>
      </c>
      <c r="I1727" s="1" t="s">
        <v>1244</v>
      </c>
      <c r="J1727" s="4">
        <f>IFERROR(__xludf.DUMMYFUNCTION("DATE(INDEX(SPLIT(I1727,""/""),,3),INDEX(SPLIT(I1727,""/""),,2),INDEX(SPLIT(I1727,""/""),,1))"),44742.0)</f>
        <v>44742</v>
      </c>
      <c r="L1727" s="1">
        <v>0.0</v>
      </c>
      <c r="M1727" s="1" t="s">
        <v>3948</v>
      </c>
      <c r="N1727" s="1"/>
      <c r="O1727" s="1" t="s">
        <v>30</v>
      </c>
      <c r="P1727" s="1" t="s">
        <v>31</v>
      </c>
      <c r="Q1727" s="1" t="s">
        <v>228</v>
      </c>
      <c r="R1727" s="1" t="s">
        <v>228</v>
      </c>
      <c r="S1727" s="1" t="s">
        <v>229</v>
      </c>
      <c r="T1727" s="1" t="s">
        <v>513</v>
      </c>
      <c r="U1727" s="1">
        <v>1.0066189E8</v>
      </c>
      <c r="X1727" s="1" t="s">
        <v>190</v>
      </c>
      <c r="Y1727" s="1" t="s">
        <v>5688</v>
      </c>
      <c r="Z1727" s="1" t="s">
        <v>37</v>
      </c>
    </row>
    <row r="1728">
      <c r="A1728" s="1" t="s">
        <v>5689</v>
      </c>
      <c r="B1728" s="1" t="s">
        <v>1216</v>
      </c>
      <c r="C1728" s="1" t="s">
        <v>5690</v>
      </c>
      <c r="D1728" s="1" t="s">
        <v>122</v>
      </c>
      <c r="E1728" s="1" t="s">
        <v>28</v>
      </c>
      <c r="F1728" s="2">
        <v>510000.0</v>
      </c>
      <c r="G1728" s="4">
        <v>44870.0</v>
      </c>
      <c r="H1728" s="4">
        <f>IFERROR(__xludf.DUMMYFUNCTION("DATE(INDEX(SPLIT(G1728,""/""),,3),INDEX(SPLIT(G1728,""/""),,2),INDEX(SPLIT(G1728,""/""),,1))"),44692.0)</f>
        <v>44692</v>
      </c>
      <c r="I1728" s="1" t="s">
        <v>1244</v>
      </c>
      <c r="J1728" s="4">
        <f>IFERROR(__xludf.DUMMYFUNCTION("DATE(INDEX(SPLIT(I1728,""/""),,3),INDEX(SPLIT(I1728,""/""),,2),INDEX(SPLIT(I1728,""/""),,1))"),44742.0)</f>
        <v>44742</v>
      </c>
      <c r="L1728" s="1">
        <v>0.0</v>
      </c>
      <c r="M1728" s="1" t="s">
        <v>4397</v>
      </c>
      <c r="N1728" s="1"/>
      <c r="O1728" s="1" t="s">
        <v>30</v>
      </c>
      <c r="P1728" s="1" t="s">
        <v>31</v>
      </c>
      <c r="Q1728" s="1" t="s">
        <v>235</v>
      </c>
      <c r="R1728" s="1" t="s">
        <v>235</v>
      </c>
      <c r="S1728" s="1" t="s">
        <v>236</v>
      </c>
      <c r="T1728" s="1" t="s">
        <v>753</v>
      </c>
      <c r="U1728" s="1">
        <v>1.0064547E8</v>
      </c>
      <c r="X1728" s="1" t="s">
        <v>88</v>
      </c>
      <c r="Y1728" s="1" t="s">
        <v>1219</v>
      </c>
      <c r="Z1728" s="1" t="s">
        <v>37</v>
      </c>
    </row>
    <row r="1729" hidden="1">
      <c r="A1729" s="1" t="s">
        <v>5691</v>
      </c>
      <c r="B1729" s="1" t="s">
        <v>177</v>
      </c>
      <c r="C1729" s="1" t="s">
        <v>5692</v>
      </c>
      <c r="D1729" s="1" t="s">
        <v>122</v>
      </c>
      <c r="E1729" s="1" t="s">
        <v>28</v>
      </c>
      <c r="F1729" s="2">
        <v>506255.0</v>
      </c>
      <c r="G1729" s="4">
        <v>44746.0</v>
      </c>
      <c r="H1729" s="4">
        <f>IFERROR(__xludf.DUMMYFUNCTION("DATE(INDEX(SPLIT(G1729,""/""),,3),INDEX(SPLIT(G1729,""/""),,2),INDEX(SPLIT(G1729,""/""),,1))"),44658.0)</f>
        <v>44658</v>
      </c>
      <c r="I1729" s="4">
        <v>44752.0</v>
      </c>
      <c r="J1729" s="4">
        <f>IFERROR(__xludf.DUMMYFUNCTION("DATE(INDEX(SPLIT(I1729,""/""),,3),INDEX(SPLIT(I1729,""/""),,2),INDEX(SPLIT(I1729,""/""),,1))"),44841.0)</f>
        <v>44841</v>
      </c>
      <c r="L1729" s="1">
        <v>0.0</v>
      </c>
      <c r="M1729" s="1" t="s">
        <v>5693</v>
      </c>
      <c r="N1729" s="1"/>
      <c r="O1729" s="1" t="s">
        <v>30</v>
      </c>
      <c r="P1729" s="1" t="s">
        <v>31</v>
      </c>
      <c r="Q1729" s="1" t="s">
        <v>228</v>
      </c>
      <c r="R1729" s="1" t="s">
        <v>228</v>
      </c>
      <c r="S1729" s="1" t="s">
        <v>229</v>
      </c>
      <c r="T1729" s="1" t="s">
        <v>513</v>
      </c>
      <c r="U1729" s="1">
        <v>1.00640945E8</v>
      </c>
      <c r="X1729" s="1" t="s">
        <v>74</v>
      </c>
      <c r="Y1729" s="1" t="s">
        <v>4720</v>
      </c>
      <c r="Z1729" s="1" t="s">
        <v>37</v>
      </c>
    </row>
    <row r="1730" hidden="1">
      <c r="A1730" s="1" t="s">
        <v>5694</v>
      </c>
      <c r="B1730" s="1" t="s">
        <v>532</v>
      </c>
      <c r="C1730" s="1" t="s">
        <v>5695</v>
      </c>
      <c r="D1730" s="1" t="s">
        <v>27</v>
      </c>
      <c r="E1730" s="1" t="s">
        <v>28</v>
      </c>
      <c r="F1730" s="2">
        <v>500000.0</v>
      </c>
      <c r="G1730" s="1" t="s">
        <v>5696</v>
      </c>
      <c r="H1730" s="4">
        <f>IFERROR(__xludf.DUMMYFUNCTION("DATE(INDEX(SPLIT(G1730,""/""),,3),INDEX(SPLIT(G1730,""/""),,2),INDEX(SPLIT(G1730,""/""),,1))"),44432.0)</f>
        <v>44432</v>
      </c>
      <c r="I1730" s="1" t="s">
        <v>447</v>
      </c>
      <c r="J1730" s="4">
        <f>IFERROR(__xludf.DUMMYFUNCTION("DATE(INDEX(SPLIT(I1730,""/""),,3),INDEX(SPLIT(I1730,""/""),,2),INDEX(SPLIT(I1730,""/""),,1))"),44910.0)</f>
        <v>44910</v>
      </c>
      <c r="L1730" s="1">
        <v>0.0</v>
      </c>
      <c r="M1730" s="1" t="s">
        <v>5697</v>
      </c>
      <c r="N1730" s="1"/>
      <c r="O1730" s="1" t="s">
        <v>30</v>
      </c>
      <c r="P1730" s="1" t="s">
        <v>31</v>
      </c>
      <c r="Q1730" s="1" t="s">
        <v>53</v>
      </c>
      <c r="R1730" s="1" t="s">
        <v>53</v>
      </c>
      <c r="S1730" s="1" t="s">
        <v>54</v>
      </c>
      <c r="T1730" s="1" t="s">
        <v>634</v>
      </c>
      <c r="U1730" s="1">
        <v>1.0065104E8</v>
      </c>
      <c r="X1730" s="1" t="s">
        <v>490</v>
      </c>
      <c r="Y1730" s="1" t="s">
        <v>5697</v>
      </c>
      <c r="Z1730" s="1" t="s">
        <v>37</v>
      </c>
    </row>
    <row r="1731" hidden="1">
      <c r="A1731" s="1" t="s">
        <v>5698</v>
      </c>
      <c r="B1731" s="1" t="s">
        <v>5699</v>
      </c>
      <c r="C1731" s="1" t="s">
        <v>5700</v>
      </c>
      <c r="D1731" s="1" t="s">
        <v>27</v>
      </c>
      <c r="E1731" s="1" t="s">
        <v>28</v>
      </c>
      <c r="F1731" s="2">
        <v>500000.0</v>
      </c>
      <c r="G1731" s="1" t="s">
        <v>3595</v>
      </c>
      <c r="H1731" s="4">
        <f>IFERROR(__xludf.DUMMYFUNCTION("DATE(INDEX(SPLIT(G1731,""/""),,3),INDEX(SPLIT(G1731,""/""),,2),INDEX(SPLIT(G1731,""/""),,1))"),44460.0)</f>
        <v>44460</v>
      </c>
      <c r="I1731" s="1" t="s">
        <v>130</v>
      </c>
      <c r="J1731" s="4">
        <f>IFERROR(__xludf.DUMMYFUNCTION("DATE(INDEX(SPLIT(I1731,""/""),,3),INDEX(SPLIT(I1731,""/""),,2),INDEX(SPLIT(I1731,""/""),,1))"),44804.0)</f>
        <v>44804</v>
      </c>
      <c r="L1731" s="1">
        <v>0.0</v>
      </c>
      <c r="M1731" s="1" t="s">
        <v>1707</v>
      </c>
      <c r="N1731" s="1"/>
      <c r="O1731" s="1" t="s">
        <v>30</v>
      </c>
      <c r="P1731" s="1" t="s">
        <v>31</v>
      </c>
      <c r="Q1731" s="1" t="s">
        <v>53</v>
      </c>
      <c r="R1731" s="1" t="s">
        <v>53</v>
      </c>
      <c r="S1731" s="1" t="s">
        <v>54</v>
      </c>
      <c r="T1731" s="1" t="s">
        <v>634</v>
      </c>
      <c r="U1731" s="1">
        <v>1.00652169E8</v>
      </c>
      <c r="X1731" s="1" t="s">
        <v>490</v>
      </c>
      <c r="Y1731" s="1" t="s">
        <v>1707</v>
      </c>
      <c r="Z1731" s="1" t="s">
        <v>37</v>
      </c>
    </row>
    <row r="1732" hidden="1">
      <c r="A1732" s="1" t="s">
        <v>5701</v>
      </c>
      <c r="B1732" s="1" t="s">
        <v>5702</v>
      </c>
      <c r="C1732" s="1" t="s">
        <v>5703</v>
      </c>
      <c r="D1732" s="1" t="s">
        <v>27</v>
      </c>
      <c r="E1732" s="1" t="s">
        <v>28</v>
      </c>
      <c r="F1732" s="2">
        <v>500000.0</v>
      </c>
      <c r="G1732" s="1" t="s">
        <v>472</v>
      </c>
      <c r="H1732" s="4">
        <f>IFERROR(__xludf.DUMMYFUNCTION("DATE(INDEX(SPLIT(G1732,""/""),,3),INDEX(SPLIT(G1732,""/""),,2),INDEX(SPLIT(G1732,""/""),,1))"),44760.0)</f>
        <v>44760</v>
      </c>
      <c r="I1732" s="1" t="s">
        <v>130</v>
      </c>
      <c r="J1732" s="4">
        <f>IFERROR(__xludf.DUMMYFUNCTION("DATE(INDEX(SPLIT(I1732,""/""),,3),INDEX(SPLIT(I1732,""/""),,2),INDEX(SPLIT(I1732,""/""),,1))"),44804.0)</f>
        <v>44804</v>
      </c>
      <c r="L1732" s="1">
        <v>0.0</v>
      </c>
      <c r="M1732" s="1" t="s">
        <v>3768</v>
      </c>
      <c r="N1732" s="1"/>
      <c r="O1732" s="1" t="s">
        <v>30</v>
      </c>
      <c r="P1732" s="1" t="s">
        <v>31</v>
      </c>
      <c r="Q1732" s="1" t="s">
        <v>157</v>
      </c>
      <c r="R1732" s="1" t="s">
        <v>157</v>
      </c>
      <c r="S1732" s="1" t="s">
        <v>158</v>
      </c>
      <c r="U1732" s="1">
        <v>1.00633763E8</v>
      </c>
      <c r="X1732" s="1" t="s">
        <v>254</v>
      </c>
      <c r="Y1732" s="1" t="s">
        <v>5704</v>
      </c>
      <c r="Z1732" s="1" t="s">
        <v>37</v>
      </c>
    </row>
    <row r="1733" hidden="1">
      <c r="A1733" s="1" t="s">
        <v>5705</v>
      </c>
      <c r="B1733" s="1" t="s">
        <v>5706</v>
      </c>
      <c r="C1733" s="1" t="s">
        <v>5707</v>
      </c>
      <c r="D1733" s="1" t="s">
        <v>27</v>
      </c>
      <c r="E1733" s="1" t="s">
        <v>28</v>
      </c>
      <c r="F1733" s="2">
        <v>500000.0</v>
      </c>
      <c r="G1733" s="1" t="s">
        <v>935</v>
      </c>
      <c r="H1733" s="4">
        <f>IFERROR(__xludf.DUMMYFUNCTION("DATE(INDEX(SPLIT(G1733,""/""),,3),INDEX(SPLIT(G1733,""/""),,2),INDEX(SPLIT(G1733,""/""),,1))"),44764.0)</f>
        <v>44764</v>
      </c>
      <c r="I1733" s="1" t="s">
        <v>134</v>
      </c>
      <c r="J1733" s="4">
        <f>IFERROR(__xludf.DUMMYFUNCTION("DATE(INDEX(SPLIT(I1733,""/""),,3),INDEX(SPLIT(I1733,""/""),,2),INDEX(SPLIT(I1733,""/""),,1))"),44792.0)</f>
        <v>44792</v>
      </c>
      <c r="L1733" s="1">
        <v>0.0</v>
      </c>
      <c r="M1733" s="1" t="s">
        <v>5708</v>
      </c>
      <c r="N1733" s="1"/>
      <c r="O1733" s="1" t="s">
        <v>30</v>
      </c>
      <c r="P1733" s="1" t="s">
        <v>31</v>
      </c>
      <c r="Q1733" s="1" t="s">
        <v>71</v>
      </c>
      <c r="R1733" s="1" t="s">
        <v>71</v>
      </c>
      <c r="S1733" s="1" t="s">
        <v>72</v>
      </c>
      <c r="T1733" s="1" t="s">
        <v>136</v>
      </c>
      <c r="U1733" s="1">
        <v>1.00611377E8</v>
      </c>
      <c r="X1733" s="1" t="s">
        <v>74</v>
      </c>
      <c r="Y1733" s="1" t="s">
        <v>5709</v>
      </c>
      <c r="Z1733" s="1" t="s">
        <v>37</v>
      </c>
    </row>
    <row r="1734" hidden="1">
      <c r="A1734" s="1" t="s">
        <v>5710</v>
      </c>
      <c r="B1734" s="1" t="s">
        <v>497</v>
      </c>
      <c r="C1734" s="1" t="s">
        <v>5711</v>
      </c>
      <c r="D1734" s="1" t="s">
        <v>27</v>
      </c>
      <c r="E1734" s="1" t="s">
        <v>28</v>
      </c>
      <c r="F1734" s="2">
        <v>500000.0</v>
      </c>
      <c r="G1734" s="1" t="s">
        <v>1674</v>
      </c>
      <c r="H1734" s="4">
        <f>IFERROR(__xludf.DUMMYFUNCTION("DATE(INDEX(SPLIT(G1734,""/""),,3),INDEX(SPLIT(G1734,""/""),,2),INDEX(SPLIT(G1734,""/""),,1))"),44617.0)</f>
        <v>44617</v>
      </c>
      <c r="I1734" s="4">
        <v>44573.0</v>
      </c>
      <c r="J1734" s="4">
        <f>IFERROR(__xludf.DUMMYFUNCTION("DATE(INDEX(SPLIT(I1734,""/""),,3),INDEX(SPLIT(I1734,""/""),,2),INDEX(SPLIT(I1734,""/""),,1))"),44896.0)</f>
        <v>44896</v>
      </c>
      <c r="L1734" s="1">
        <v>0.0</v>
      </c>
      <c r="M1734" s="1" t="s">
        <v>4098</v>
      </c>
      <c r="N1734" s="1"/>
      <c r="O1734" s="1" t="s">
        <v>30</v>
      </c>
      <c r="P1734" s="1" t="s">
        <v>31</v>
      </c>
      <c r="Q1734" s="1" t="s">
        <v>32</v>
      </c>
      <c r="R1734" s="1" t="s">
        <v>32</v>
      </c>
      <c r="S1734" s="1" t="s">
        <v>33</v>
      </c>
      <c r="U1734" s="1">
        <v>1.00586097E8</v>
      </c>
      <c r="X1734" s="1" t="s">
        <v>35</v>
      </c>
      <c r="Y1734" s="1" t="s">
        <v>4098</v>
      </c>
      <c r="Z1734" s="1" t="s">
        <v>37</v>
      </c>
    </row>
    <row r="1735" hidden="1">
      <c r="A1735" s="1" t="s">
        <v>5712</v>
      </c>
      <c r="B1735" s="1" t="s">
        <v>561</v>
      </c>
      <c r="C1735" s="1" t="s">
        <v>5713</v>
      </c>
      <c r="D1735" s="1" t="s">
        <v>27</v>
      </c>
      <c r="E1735" s="1" t="s">
        <v>28</v>
      </c>
      <c r="F1735" s="2">
        <v>500000.0</v>
      </c>
      <c r="G1735" s="1" t="s">
        <v>1244</v>
      </c>
      <c r="H1735" s="4">
        <f>IFERROR(__xludf.DUMMYFUNCTION("DATE(INDEX(SPLIT(G1735,""/""),,3),INDEX(SPLIT(G1735,""/""),,2),INDEX(SPLIT(G1735,""/""),,1))"),44742.0)</f>
        <v>44742</v>
      </c>
      <c r="I1735" s="1" t="s">
        <v>109</v>
      </c>
      <c r="J1735" s="4">
        <f>IFERROR(__xludf.DUMMYFUNCTION("DATE(INDEX(SPLIT(I1735,""/""),,3),INDEX(SPLIT(I1735,""/""),,2),INDEX(SPLIT(I1735,""/""),,1))"),44834.0)</f>
        <v>44834</v>
      </c>
      <c r="L1735" s="1">
        <v>0.0</v>
      </c>
      <c r="M1735" s="1" t="s">
        <v>5714</v>
      </c>
      <c r="N1735" s="1"/>
      <c r="O1735" s="1" t="s">
        <v>30</v>
      </c>
      <c r="P1735" s="1" t="s">
        <v>31</v>
      </c>
      <c r="Q1735" s="1" t="s">
        <v>32</v>
      </c>
      <c r="R1735" s="1" t="s">
        <v>32</v>
      </c>
      <c r="S1735" s="1" t="s">
        <v>33</v>
      </c>
      <c r="U1735" s="1">
        <v>1.01164036E8</v>
      </c>
      <c r="X1735" s="1" t="s">
        <v>361</v>
      </c>
      <c r="Y1735" s="1" t="s">
        <v>3969</v>
      </c>
      <c r="Z1735" s="1" t="s">
        <v>37</v>
      </c>
    </row>
    <row r="1736">
      <c r="A1736" s="1" t="s">
        <v>5715</v>
      </c>
      <c r="B1736" s="1" t="s">
        <v>1216</v>
      </c>
      <c r="C1736" s="1" t="s">
        <v>5716</v>
      </c>
      <c r="D1736" s="1" t="s">
        <v>78</v>
      </c>
      <c r="E1736" s="1" t="s">
        <v>28</v>
      </c>
      <c r="F1736" s="2">
        <v>500000.0</v>
      </c>
      <c r="G1736" s="1" t="s">
        <v>1218</v>
      </c>
      <c r="H1736" s="4">
        <f>IFERROR(__xludf.DUMMYFUNCTION("DATE(INDEX(SPLIT(G1736,""/""),,3),INDEX(SPLIT(G1736,""/""),,2),INDEX(SPLIT(G1736,""/""),,1))"),44427.0)</f>
        <v>44427</v>
      </c>
      <c r="I1736" s="1" t="s">
        <v>518</v>
      </c>
      <c r="J1736" s="4">
        <f>IFERROR(__xludf.DUMMYFUNCTION("DATE(INDEX(SPLIT(I1736,""/""),,3),INDEX(SPLIT(I1736,""/""),,2),INDEX(SPLIT(I1736,""/""),,1))"),44757.0)</f>
        <v>44757</v>
      </c>
      <c r="L1736" s="1">
        <v>0.0</v>
      </c>
      <c r="M1736" s="1" t="s">
        <v>4397</v>
      </c>
      <c r="N1736" s="1"/>
      <c r="O1736" s="1" t="s">
        <v>30</v>
      </c>
      <c r="P1736" s="1" t="s">
        <v>31</v>
      </c>
      <c r="Q1736" s="1" t="s">
        <v>235</v>
      </c>
      <c r="R1736" s="1" t="s">
        <v>235</v>
      </c>
      <c r="S1736" s="1" t="s">
        <v>236</v>
      </c>
      <c r="T1736" s="1" t="s">
        <v>753</v>
      </c>
      <c r="U1736" s="1">
        <v>1.0064547E8</v>
      </c>
      <c r="X1736" s="1" t="s">
        <v>88</v>
      </c>
      <c r="Y1736" s="1" t="s">
        <v>4398</v>
      </c>
      <c r="Z1736" s="1" t="s">
        <v>37</v>
      </c>
    </row>
    <row r="1737" hidden="1">
      <c r="A1737" s="1" t="s">
        <v>5717</v>
      </c>
      <c r="B1737" s="1" t="s">
        <v>5260</v>
      </c>
      <c r="C1737" s="1" t="s">
        <v>5718</v>
      </c>
      <c r="D1737" s="1" t="s">
        <v>27</v>
      </c>
      <c r="E1737" s="1" t="s">
        <v>28</v>
      </c>
      <c r="F1737" s="2">
        <v>500000.0</v>
      </c>
      <c r="G1737" s="1" t="s">
        <v>1244</v>
      </c>
      <c r="H1737" s="4">
        <f>IFERROR(__xludf.DUMMYFUNCTION("DATE(INDEX(SPLIT(G1737,""/""),,3),INDEX(SPLIT(G1737,""/""),,2),INDEX(SPLIT(G1737,""/""),,1))"),44742.0)</f>
        <v>44742</v>
      </c>
      <c r="I1737" s="1" t="s">
        <v>535</v>
      </c>
      <c r="J1737" s="4">
        <f>IFERROR(__xludf.DUMMYFUNCTION("DATE(INDEX(SPLIT(I1737,""/""),,3),INDEX(SPLIT(I1737,""/""),,2),INDEX(SPLIT(I1737,""/""),,1))"),44957.0)</f>
        <v>44957</v>
      </c>
      <c r="L1737" s="1">
        <v>0.0</v>
      </c>
      <c r="M1737" s="1" t="s">
        <v>4924</v>
      </c>
      <c r="N1737" s="1"/>
      <c r="O1737" s="1" t="s">
        <v>30</v>
      </c>
      <c r="P1737" s="1" t="s">
        <v>31</v>
      </c>
      <c r="Q1737" s="1" t="s">
        <v>53</v>
      </c>
      <c r="R1737" s="1" t="s">
        <v>53</v>
      </c>
      <c r="S1737" s="1" t="s">
        <v>54</v>
      </c>
      <c r="U1737" s="1">
        <v>1.01090224E8</v>
      </c>
      <c r="X1737" s="1" t="s">
        <v>74</v>
      </c>
      <c r="Y1737" s="1" t="s">
        <v>5719</v>
      </c>
      <c r="Z1737" s="1" t="s">
        <v>206</v>
      </c>
    </row>
    <row r="1738" hidden="1">
      <c r="A1738" s="1" t="s">
        <v>5720</v>
      </c>
      <c r="B1738" s="1" t="s">
        <v>5260</v>
      </c>
      <c r="C1738" s="1" t="s">
        <v>5721</v>
      </c>
      <c r="D1738" s="1" t="s">
        <v>27</v>
      </c>
      <c r="E1738" s="1" t="s">
        <v>28</v>
      </c>
      <c r="F1738" s="2">
        <v>500000.0</v>
      </c>
      <c r="G1738" s="1" t="s">
        <v>1244</v>
      </c>
      <c r="H1738" s="4">
        <f>IFERROR(__xludf.DUMMYFUNCTION("DATE(INDEX(SPLIT(G1738,""/""),,3),INDEX(SPLIT(G1738,""/""),,2),INDEX(SPLIT(G1738,""/""),,1))"),44742.0)</f>
        <v>44742</v>
      </c>
      <c r="I1738" s="1" t="s">
        <v>203</v>
      </c>
      <c r="J1738" s="4">
        <f>IFERROR(__xludf.DUMMYFUNCTION("DATE(INDEX(SPLIT(I1738,""/""),,3),INDEX(SPLIT(I1738,""/""),,2),INDEX(SPLIT(I1738,""/""),,1))"),44925.0)</f>
        <v>44925</v>
      </c>
      <c r="L1738" s="1">
        <v>0.0</v>
      </c>
      <c r="M1738" s="1" t="s">
        <v>5722</v>
      </c>
      <c r="N1738" s="1"/>
      <c r="O1738" s="1" t="s">
        <v>30</v>
      </c>
      <c r="P1738" s="1" t="s">
        <v>31</v>
      </c>
      <c r="Q1738" s="1" t="s">
        <v>228</v>
      </c>
      <c r="R1738" s="1" t="s">
        <v>228</v>
      </c>
      <c r="S1738" s="1" t="s">
        <v>229</v>
      </c>
      <c r="U1738" s="1">
        <v>1.0066023E8</v>
      </c>
      <c r="X1738" s="1" t="s">
        <v>74</v>
      </c>
      <c r="Y1738" s="1" t="s">
        <v>5719</v>
      </c>
      <c r="Z1738" s="1" t="s">
        <v>37</v>
      </c>
    </row>
    <row r="1739" hidden="1">
      <c r="A1739" s="1" t="s">
        <v>5723</v>
      </c>
      <c r="B1739" s="1" t="s">
        <v>5724</v>
      </c>
      <c r="C1739" s="1" t="s">
        <v>5725</v>
      </c>
      <c r="D1739" s="1" t="s">
        <v>27</v>
      </c>
      <c r="E1739" s="1" t="s">
        <v>28</v>
      </c>
      <c r="F1739" s="2">
        <v>500000.0</v>
      </c>
      <c r="G1739" s="1" t="s">
        <v>5160</v>
      </c>
      <c r="H1739" s="4">
        <f>IFERROR(__xludf.DUMMYFUNCTION("DATE(INDEX(SPLIT(G1739,""/""),,3),INDEX(SPLIT(G1739,""/""),,2),INDEX(SPLIT(G1739,""/""),,1))"),44426.0)</f>
        <v>44426</v>
      </c>
      <c r="I1739" s="1" t="s">
        <v>109</v>
      </c>
      <c r="J1739" s="4">
        <f>IFERROR(__xludf.DUMMYFUNCTION("DATE(INDEX(SPLIT(I1739,""/""),,3),INDEX(SPLIT(I1739,""/""),,2),INDEX(SPLIT(I1739,""/""),,1))"),44834.0)</f>
        <v>44834</v>
      </c>
      <c r="L1739" s="1">
        <v>0.0</v>
      </c>
      <c r="M1739" s="1" t="s">
        <v>52</v>
      </c>
      <c r="N1739" s="1"/>
      <c r="O1739" s="1" t="s">
        <v>30</v>
      </c>
      <c r="P1739" s="1" t="s">
        <v>31</v>
      </c>
      <c r="Q1739" s="1" t="s">
        <v>53</v>
      </c>
      <c r="R1739" s="1" t="s">
        <v>53</v>
      </c>
      <c r="S1739" s="1" t="s">
        <v>54</v>
      </c>
      <c r="T1739" s="1" t="s">
        <v>103</v>
      </c>
      <c r="U1739" s="1">
        <v>1.01059432E8</v>
      </c>
      <c r="X1739" s="1" t="s">
        <v>312</v>
      </c>
      <c r="Y1739" s="1" t="s">
        <v>5726</v>
      </c>
      <c r="Z1739" s="1" t="s">
        <v>37</v>
      </c>
    </row>
    <row r="1740">
      <c r="A1740" s="1" t="s">
        <v>5727</v>
      </c>
      <c r="B1740" s="1" t="s">
        <v>76</v>
      </c>
      <c r="C1740" s="1" t="s">
        <v>5728</v>
      </c>
      <c r="D1740" s="1" t="s">
        <v>27</v>
      </c>
      <c r="E1740" s="1" t="s">
        <v>28</v>
      </c>
      <c r="F1740" s="2">
        <v>500000.0</v>
      </c>
      <c r="G1740" s="4">
        <v>44563.0</v>
      </c>
      <c r="H1740" s="4">
        <f>IFERROR(__xludf.DUMMYFUNCTION("DATE(INDEX(SPLIT(G1740,""/""),,3),INDEX(SPLIT(G1740,""/""),,2),INDEX(SPLIT(G1740,""/""),,1))"),44593.0)</f>
        <v>44593</v>
      </c>
      <c r="I1740" s="4">
        <v>44568.0</v>
      </c>
      <c r="J1740" s="4">
        <f>IFERROR(__xludf.DUMMYFUNCTION("DATE(INDEX(SPLIT(I1740,""/""),,3),INDEX(SPLIT(I1740,""/""),,2),INDEX(SPLIT(I1740,""/""),,1))"),44743.0)</f>
        <v>44743</v>
      </c>
      <c r="L1740" s="1">
        <v>0.0</v>
      </c>
      <c r="M1740" s="1" t="s">
        <v>1610</v>
      </c>
      <c r="N1740" s="1"/>
      <c r="O1740" s="1" t="s">
        <v>30</v>
      </c>
      <c r="P1740" s="1" t="s">
        <v>31</v>
      </c>
      <c r="Q1740" s="1" t="s">
        <v>53</v>
      </c>
      <c r="R1740" s="1" t="s">
        <v>53</v>
      </c>
      <c r="S1740" s="1" t="s">
        <v>54</v>
      </c>
      <c r="T1740" s="1" t="s">
        <v>1386</v>
      </c>
      <c r="U1740" s="1">
        <v>1.01141441E8</v>
      </c>
      <c r="X1740" s="1" t="s">
        <v>81</v>
      </c>
      <c r="Y1740" s="1" t="s">
        <v>1387</v>
      </c>
      <c r="Z1740" s="1" t="s">
        <v>37</v>
      </c>
    </row>
    <row r="1741">
      <c r="A1741" s="1" t="s">
        <v>5729</v>
      </c>
      <c r="B1741" s="1" t="s">
        <v>76</v>
      </c>
      <c r="C1741" s="1" t="s">
        <v>5730</v>
      </c>
      <c r="D1741" s="1" t="s">
        <v>27</v>
      </c>
      <c r="E1741" s="1" t="s">
        <v>28</v>
      </c>
      <c r="F1741" s="2">
        <v>500000.0</v>
      </c>
      <c r="G1741" s="4">
        <v>44563.0</v>
      </c>
      <c r="H1741" s="4">
        <f>IFERROR(__xludf.DUMMYFUNCTION("DATE(INDEX(SPLIT(G1741,""/""),,3),INDEX(SPLIT(G1741,""/""),,2),INDEX(SPLIT(G1741,""/""),,1))"),44593.0)</f>
        <v>44593</v>
      </c>
      <c r="I1741" s="4">
        <v>44568.0</v>
      </c>
      <c r="J1741" s="4">
        <f>IFERROR(__xludf.DUMMYFUNCTION("DATE(INDEX(SPLIT(I1741,""/""),,3),INDEX(SPLIT(I1741,""/""),,2),INDEX(SPLIT(I1741,""/""),,1))"),44743.0)</f>
        <v>44743</v>
      </c>
      <c r="L1741" s="1">
        <v>0.0</v>
      </c>
      <c r="M1741" s="1" t="s">
        <v>1610</v>
      </c>
      <c r="N1741" s="1"/>
      <c r="O1741" s="1" t="s">
        <v>30</v>
      </c>
      <c r="P1741" s="1" t="s">
        <v>31</v>
      </c>
      <c r="Q1741" s="1" t="s">
        <v>53</v>
      </c>
      <c r="R1741" s="1" t="s">
        <v>53</v>
      </c>
      <c r="S1741" s="1" t="s">
        <v>54</v>
      </c>
      <c r="T1741" s="1" t="s">
        <v>1386</v>
      </c>
      <c r="U1741" s="1">
        <v>1.01141441E8</v>
      </c>
      <c r="X1741" s="1" t="s">
        <v>81</v>
      </c>
      <c r="Y1741" s="1" t="s">
        <v>1387</v>
      </c>
      <c r="Z1741" s="1" t="s">
        <v>37</v>
      </c>
    </row>
    <row r="1742" hidden="1">
      <c r="A1742" s="1" t="s">
        <v>5731</v>
      </c>
      <c r="B1742" s="1" t="s">
        <v>5260</v>
      </c>
      <c r="C1742" s="1" t="s">
        <v>5732</v>
      </c>
      <c r="D1742" s="1" t="s">
        <v>27</v>
      </c>
      <c r="E1742" s="1" t="s">
        <v>28</v>
      </c>
      <c r="F1742" s="2">
        <v>500000.0</v>
      </c>
      <c r="G1742" s="1" t="s">
        <v>1244</v>
      </c>
      <c r="H1742" s="4">
        <f>IFERROR(__xludf.DUMMYFUNCTION("DATE(INDEX(SPLIT(G1742,""/""),,3),INDEX(SPLIT(G1742,""/""),,2),INDEX(SPLIT(G1742,""/""),,1))"),44742.0)</f>
        <v>44742</v>
      </c>
      <c r="I1742" s="1" t="s">
        <v>535</v>
      </c>
      <c r="J1742" s="4">
        <f>IFERROR(__xludf.DUMMYFUNCTION("DATE(INDEX(SPLIT(I1742,""/""),,3),INDEX(SPLIT(I1742,""/""),,2),INDEX(SPLIT(I1742,""/""),,1))"),44957.0)</f>
        <v>44957</v>
      </c>
      <c r="L1742" s="1">
        <v>0.0</v>
      </c>
      <c r="M1742" s="1" t="s">
        <v>5733</v>
      </c>
      <c r="N1742" s="1"/>
      <c r="O1742" s="1" t="s">
        <v>30</v>
      </c>
      <c r="P1742" s="1" t="s">
        <v>31</v>
      </c>
      <c r="Q1742" s="1" t="s">
        <v>71</v>
      </c>
      <c r="R1742" s="1" t="s">
        <v>71</v>
      </c>
      <c r="S1742" s="1" t="s">
        <v>72</v>
      </c>
      <c r="U1742" s="1">
        <v>1.0065221E8</v>
      </c>
      <c r="X1742" s="1" t="s">
        <v>74</v>
      </c>
      <c r="Y1742" s="1" t="s">
        <v>5719</v>
      </c>
      <c r="Z1742" s="1" t="s">
        <v>527</v>
      </c>
    </row>
    <row r="1743" hidden="1">
      <c r="A1743" s="1" t="s">
        <v>5734</v>
      </c>
      <c r="B1743" s="1" t="s">
        <v>796</v>
      </c>
      <c r="C1743" s="1" t="s">
        <v>5735</v>
      </c>
      <c r="D1743" s="1" t="s">
        <v>27</v>
      </c>
      <c r="E1743" s="1" t="s">
        <v>28</v>
      </c>
      <c r="F1743" s="2">
        <v>500000.0</v>
      </c>
      <c r="G1743" s="1" t="s">
        <v>5736</v>
      </c>
      <c r="H1743" s="4">
        <f>IFERROR(__xludf.DUMMYFUNCTION("DATE(INDEX(SPLIT(G1743,""/""),,3),INDEX(SPLIT(G1743,""/""),,2),INDEX(SPLIT(G1743,""/""),,1))"),43997.0)</f>
        <v>43997</v>
      </c>
      <c r="I1743" s="1" t="s">
        <v>1097</v>
      </c>
      <c r="J1743" s="4">
        <f>IFERROR(__xludf.DUMMYFUNCTION("DATE(INDEX(SPLIT(I1743,""/""),,3),INDEX(SPLIT(I1743,""/""),,2),INDEX(SPLIT(I1743,""/""),,1))"),45107.0)</f>
        <v>45107</v>
      </c>
      <c r="L1743" s="1">
        <v>0.0</v>
      </c>
      <c r="M1743" s="1" t="s">
        <v>2592</v>
      </c>
      <c r="N1743" s="1"/>
      <c r="O1743" s="1" t="s">
        <v>30</v>
      </c>
      <c r="P1743" s="1" t="s">
        <v>31</v>
      </c>
      <c r="Q1743" s="1" t="s">
        <v>71</v>
      </c>
      <c r="R1743" s="1" t="s">
        <v>71</v>
      </c>
      <c r="S1743" s="1" t="s">
        <v>72</v>
      </c>
      <c r="T1743" s="1" t="s">
        <v>136</v>
      </c>
      <c r="U1743" s="1">
        <v>1.00586452E8</v>
      </c>
      <c r="X1743" s="1" t="s">
        <v>74</v>
      </c>
      <c r="Y1743" s="1" t="s">
        <v>5737</v>
      </c>
      <c r="Z1743" s="1" t="s">
        <v>37</v>
      </c>
    </row>
    <row r="1744" hidden="1">
      <c r="A1744" s="1" t="s">
        <v>5738</v>
      </c>
      <c r="B1744" s="1" t="s">
        <v>5260</v>
      </c>
      <c r="C1744" s="1" t="s">
        <v>5739</v>
      </c>
      <c r="D1744" s="1" t="s">
        <v>27</v>
      </c>
      <c r="E1744" s="1" t="s">
        <v>28</v>
      </c>
      <c r="F1744" s="2">
        <v>500000.0</v>
      </c>
      <c r="G1744" s="1" t="s">
        <v>1244</v>
      </c>
      <c r="H1744" s="4">
        <f>IFERROR(__xludf.DUMMYFUNCTION("DATE(INDEX(SPLIT(G1744,""/""),,3),INDEX(SPLIT(G1744,""/""),,2),INDEX(SPLIT(G1744,""/""),,1))"),44742.0)</f>
        <v>44742</v>
      </c>
      <c r="I1744" s="1" t="s">
        <v>535</v>
      </c>
      <c r="J1744" s="4">
        <f>IFERROR(__xludf.DUMMYFUNCTION("DATE(INDEX(SPLIT(I1744,""/""),,3),INDEX(SPLIT(I1744,""/""),,2),INDEX(SPLIT(I1744,""/""),,1))"),44957.0)</f>
        <v>44957</v>
      </c>
      <c r="L1744" s="1">
        <v>0.0</v>
      </c>
      <c r="M1744" s="1" t="s">
        <v>5740</v>
      </c>
      <c r="N1744" s="1"/>
      <c r="O1744" s="1" t="s">
        <v>30</v>
      </c>
      <c r="P1744" s="1" t="s">
        <v>31</v>
      </c>
      <c r="Q1744" s="1" t="s">
        <v>71</v>
      </c>
      <c r="R1744" s="1" t="s">
        <v>71</v>
      </c>
      <c r="S1744" s="1" t="s">
        <v>72</v>
      </c>
      <c r="U1744" s="1">
        <v>1.01152256E8</v>
      </c>
      <c r="X1744" s="1" t="s">
        <v>74</v>
      </c>
      <c r="Y1744" s="1" t="s">
        <v>5719</v>
      </c>
      <c r="Z1744" s="1" t="s">
        <v>37</v>
      </c>
    </row>
    <row r="1745" hidden="1">
      <c r="A1745" s="1" t="s">
        <v>5741</v>
      </c>
      <c r="B1745" s="1" t="s">
        <v>5260</v>
      </c>
      <c r="C1745" s="1" t="s">
        <v>5742</v>
      </c>
      <c r="D1745" s="1" t="s">
        <v>27</v>
      </c>
      <c r="E1745" s="1" t="s">
        <v>28</v>
      </c>
      <c r="F1745" s="2">
        <v>500000.0</v>
      </c>
      <c r="G1745" s="1" t="s">
        <v>1244</v>
      </c>
      <c r="H1745" s="4">
        <f>IFERROR(__xludf.DUMMYFUNCTION("DATE(INDEX(SPLIT(G1745,""/""),,3),INDEX(SPLIT(G1745,""/""),,2),INDEX(SPLIT(G1745,""/""),,1))"),44742.0)</f>
        <v>44742</v>
      </c>
      <c r="I1745" s="1" t="s">
        <v>535</v>
      </c>
      <c r="J1745" s="4">
        <f>IFERROR(__xludf.DUMMYFUNCTION("DATE(INDEX(SPLIT(I1745,""/""),,3),INDEX(SPLIT(I1745,""/""),,2),INDEX(SPLIT(I1745,""/""),,1))"),44957.0)</f>
        <v>44957</v>
      </c>
      <c r="L1745" s="1">
        <v>0.0</v>
      </c>
      <c r="M1745" s="1" t="s">
        <v>211</v>
      </c>
      <c r="N1745" s="1"/>
      <c r="O1745" s="1" t="s">
        <v>30</v>
      </c>
      <c r="P1745" s="1" t="s">
        <v>31</v>
      </c>
      <c r="Q1745" s="1" t="s">
        <v>71</v>
      </c>
      <c r="R1745" s="1" t="s">
        <v>71</v>
      </c>
      <c r="S1745" s="1" t="s">
        <v>72</v>
      </c>
      <c r="U1745" s="1">
        <v>1.00590896E8</v>
      </c>
      <c r="X1745" s="1" t="s">
        <v>74</v>
      </c>
      <c r="Y1745" s="1" t="s">
        <v>5719</v>
      </c>
      <c r="Z1745" s="1" t="s">
        <v>37</v>
      </c>
    </row>
    <row r="1746" hidden="1">
      <c r="A1746" s="1" t="s">
        <v>5743</v>
      </c>
      <c r="B1746" s="1" t="s">
        <v>2714</v>
      </c>
      <c r="C1746" s="1" t="s">
        <v>5744</v>
      </c>
      <c r="D1746" s="1" t="s">
        <v>27</v>
      </c>
      <c r="E1746" s="1" t="s">
        <v>28</v>
      </c>
      <c r="F1746" s="2">
        <v>500000.0</v>
      </c>
      <c r="G1746" s="1" t="s">
        <v>5736</v>
      </c>
      <c r="H1746" s="4">
        <f>IFERROR(__xludf.DUMMYFUNCTION("DATE(INDEX(SPLIT(G1746,""/""),,3),INDEX(SPLIT(G1746,""/""),,2),INDEX(SPLIT(G1746,""/""),,1))"),43997.0)</f>
        <v>43997</v>
      </c>
      <c r="I1746" s="1" t="s">
        <v>1097</v>
      </c>
      <c r="J1746" s="4">
        <f>IFERROR(__xludf.DUMMYFUNCTION("DATE(INDEX(SPLIT(I1746,""/""),,3),INDEX(SPLIT(I1746,""/""),,2),INDEX(SPLIT(I1746,""/""),,1))"),45107.0)</f>
        <v>45107</v>
      </c>
      <c r="L1746" s="1">
        <v>0.0</v>
      </c>
      <c r="M1746" s="1" t="s">
        <v>2592</v>
      </c>
      <c r="N1746" s="1"/>
      <c r="O1746" s="1" t="s">
        <v>30</v>
      </c>
      <c r="P1746" s="1" t="s">
        <v>31</v>
      </c>
      <c r="Q1746" s="1" t="s">
        <v>71</v>
      </c>
      <c r="R1746" s="1" t="s">
        <v>71</v>
      </c>
      <c r="S1746" s="1" t="s">
        <v>72</v>
      </c>
      <c r="T1746" s="1" t="s">
        <v>136</v>
      </c>
      <c r="U1746" s="1">
        <v>1.00586452E8</v>
      </c>
      <c r="X1746" s="1" t="s">
        <v>74</v>
      </c>
      <c r="Y1746" s="1" t="s">
        <v>5737</v>
      </c>
      <c r="Z1746" s="1" t="s">
        <v>37</v>
      </c>
    </row>
    <row r="1747" hidden="1">
      <c r="A1747" s="1" t="s">
        <v>5745</v>
      </c>
      <c r="B1747" s="1" t="s">
        <v>2494</v>
      </c>
      <c r="C1747" s="1" t="s">
        <v>5746</v>
      </c>
      <c r="D1747" s="1" t="s">
        <v>27</v>
      </c>
      <c r="E1747" s="1" t="s">
        <v>28</v>
      </c>
      <c r="F1747" s="2">
        <v>500000.0</v>
      </c>
      <c r="G1747" s="1" t="s">
        <v>5747</v>
      </c>
      <c r="H1747" s="4">
        <f>IFERROR(__xludf.DUMMYFUNCTION("DATE(INDEX(SPLIT(G1747,""/""),,3),INDEX(SPLIT(G1747,""/""),,2),INDEX(SPLIT(G1747,""/""),,1))"),43965.0)</f>
        <v>43965</v>
      </c>
      <c r="I1747" s="1" t="s">
        <v>165</v>
      </c>
      <c r="J1747" s="4">
        <f>IFERROR(__xludf.DUMMYFUNCTION("DATE(INDEX(SPLIT(I1747,""/""),,3),INDEX(SPLIT(I1747,""/""),,2),INDEX(SPLIT(I1747,""/""),,1))"),44803.0)</f>
        <v>44803</v>
      </c>
      <c r="L1747" s="1">
        <v>0.0</v>
      </c>
      <c r="M1747" s="1" t="s">
        <v>303</v>
      </c>
      <c r="N1747" s="1"/>
      <c r="O1747" s="1" t="s">
        <v>30</v>
      </c>
      <c r="P1747" s="1" t="s">
        <v>31</v>
      </c>
      <c r="Q1747" s="1" t="s">
        <v>95</v>
      </c>
      <c r="R1747" s="1" t="s">
        <v>95</v>
      </c>
      <c r="S1747" s="1" t="s">
        <v>96</v>
      </c>
      <c r="T1747" s="1" t="s">
        <v>217</v>
      </c>
      <c r="U1747" s="1">
        <v>1.00623914E8</v>
      </c>
      <c r="X1747" s="1" t="s">
        <v>81</v>
      </c>
      <c r="Y1747" s="1" t="s">
        <v>303</v>
      </c>
      <c r="Z1747" s="1" t="s">
        <v>37</v>
      </c>
    </row>
    <row r="1748" hidden="1">
      <c r="A1748" s="1" t="s">
        <v>5748</v>
      </c>
      <c r="B1748" s="1" t="s">
        <v>5749</v>
      </c>
      <c r="C1748" s="1" t="s">
        <v>5750</v>
      </c>
      <c r="D1748" s="1" t="s">
        <v>27</v>
      </c>
      <c r="E1748" s="1" t="s">
        <v>28</v>
      </c>
      <c r="F1748" s="2">
        <v>500000.0</v>
      </c>
      <c r="G1748" s="1" t="s">
        <v>5736</v>
      </c>
      <c r="H1748" s="4">
        <f>IFERROR(__xludf.DUMMYFUNCTION("DATE(INDEX(SPLIT(G1748,""/""),,3),INDEX(SPLIT(G1748,""/""),,2),INDEX(SPLIT(G1748,""/""),,1))"),43997.0)</f>
        <v>43997</v>
      </c>
      <c r="I1748" s="1" t="s">
        <v>1097</v>
      </c>
      <c r="J1748" s="4">
        <f>IFERROR(__xludf.DUMMYFUNCTION("DATE(INDEX(SPLIT(I1748,""/""),,3),INDEX(SPLIT(I1748,""/""),,2),INDEX(SPLIT(I1748,""/""),,1))"),45107.0)</f>
        <v>45107</v>
      </c>
      <c r="L1748" s="1">
        <v>0.0</v>
      </c>
      <c r="M1748" s="1" t="s">
        <v>2592</v>
      </c>
      <c r="N1748" s="1"/>
      <c r="O1748" s="1" t="s">
        <v>30</v>
      </c>
      <c r="P1748" s="1" t="s">
        <v>31</v>
      </c>
      <c r="Q1748" s="1" t="s">
        <v>71</v>
      </c>
      <c r="R1748" s="1" t="s">
        <v>71</v>
      </c>
      <c r="S1748" s="1" t="s">
        <v>72</v>
      </c>
      <c r="T1748" s="1" t="s">
        <v>136</v>
      </c>
      <c r="U1748" s="1">
        <v>1.00586452E8</v>
      </c>
      <c r="X1748" s="1" t="s">
        <v>74</v>
      </c>
      <c r="Y1748" s="1" t="s">
        <v>5737</v>
      </c>
      <c r="Z1748" s="1" t="s">
        <v>37</v>
      </c>
    </row>
    <row r="1749" hidden="1">
      <c r="A1749" s="1" t="s">
        <v>5751</v>
      </c>
      <c r="B1749" s="1" t="s">
        <v>532</v>
      </c>
      <c r="C1749" s="1" t="s">
        <v>5752</v>
      </c>
      <c r="D1749" s="1" t="s">
        <v>78</v>
      </c>
      <c r="E1749" s="1" t="s">
        <v>28</v>
      </c>
      <c r="F1749" s="2">
        <v>500000.0</v>
      </c>
      <c r="G1749" s="1" t="s">
        <v>248</v>
      </c>
      <c r="H1749" s="4">
        <f>IFERROR(__xludf.DUMMYFUNCTION("DATE(INDEX(SPLIT(G1749,""/""),,3),INDEX(SPLIT(G1749,""/""),,2),INDEX(SPLIT(G1749,""/""),,1))"),44483.0)</f>
        <v>44483</v>
      </c>
      <c r="I1749" s="1" t="s">
        <v>203</v>
      </c>
      <c r="J1749" s="4">
        <f>IFERROR(__xludf.DUMMYFUNCTION("DATE(INDEX(SPLIT(I1749,""/""),,3),INDEX(SPLIT(I1749,""/""),,2),INDEX(SPLIT(I1749,""/""),,1))"),44925.0)</f>
        <v>44925</v>
      </c>
      <c r="L1749" s="1">
        <v>0.0</v>
      </c>
      <c r="M1749" s="1" t="s">
        <v>1552</v>
      </c>
      <c r="N1749" s="1"/>
      <c r="O1749" s="1" t="s">
        <v>30</v>
      </c>
      <c r="P1749" s="1" t="s">
        <v>31</v>
      </c>
      <c r="Q1749" s="1" t="s">
        <v>32</v>
      </c>
      <c r="R1749" s="1" t="s">
        <v>32</v>
      </c>
      <c r="S1749" s="1" t="s">
        <v>33</v>
      </c>
      <c r="T1749" s="1" t="s">
        <v>1195</v>
      </c>
      <c r="U1749" s="1">
        <v>1.00637597E8</v>
      </c>
      <c r="V1749" s="1" t="s">
        <v>5753</v>
      </c>
      <c r="W1749" s="1" t="s">
        <v>199</v>
      </c>
      <c r="X1749" s="1" t="s">
        <v>490</v>
      </c>
      <c r="Y1749" s="1" t="s">
        <v>1552</v>
      </c>
      <c r="Z1749" s="1" t="s">
        <v>37</v>
      </c>
    </row>
    <row r="1750">
      <c r="A1750" s="1" t="s">
        <v>5754</v>
      </c>
      <c r="B1750" s="1" t="s">
        <v>605</v>
      </c>
      <c r="C1750" s="1" t="s">
        <v>5755</v>
      </c>
      <c r="D1750" s="1" t="s">
        <v>122</v>
      </c>
      <c r="E1750" s="1" t="s">
        <v>28</v>
      </c>
      <c r="F1750" s="2">
        <v>500000.0</v>
      </c>
      <c r="G1750" s="4">
        <v>44837.0</v>
      </c>
      <c r="H1750" s="4">
        <f>IFERROR(__xludf.DUMMYFUNCTION("DATE(INDEX(SPLIT(G1750,""/""),,3),INDEX(SPLIT(G1750,""/""),,2),INDEX(SPLIT(G1750,""/""),,1))"),44630.0)</f>
        <v>44630</v>
      </c>
      <c r="I1750" s="1" t="s">
        <v>1244</v>
      </c>
      <c r="J1750" s="4">
        <f>IFERROR(__xludf.DUMMYFUNCTION("DATE(INDEX(SPLIT(I1750,""/""),,3),INDEX(SPLIT(I1750,""/""),,2),INDEX(SPLIT(I1750,""/""),,1))"),44742.0)</f>
        <v>44742</v>
      </c>
      <c r="L1750" s="1">
        <v>0.0</v>
      </c>
      <c r="M1750" s="1" t="s">
        <v>4979</v>
      </c>
      <c r="N1750" s="1"/>
      <c r="O1750" s="1" t="s">
        <v>30</v>
      </c>
      <c r="P1750" s="1" t="s">
        <v>31</v>
      </c>
      <c r="Q1750" s="1" t="s">
        <v>235</v>
      </c>
      <c r="R1750" s="1" t="s">
        <v>235</v>
      </c>
      <c r="S1750" s="1" t="s">
        <v>236</v>
      </c>
      <c r="T1750" s="1" t="s">
        <v>1349</v>
      </c>
      <c r="U1750" s="1">
        <v>1.00637587E8</v>
      </c>
      <c r="X1750" s="1" t="s">
        <v>88</v>
      </c>
      <c r="Y1750" s="1" t="s">
        <v>5756</v>
      </c>
      <c r="Z1750" s="1" t="s">
        <v>37</v>
      </c>
    </row>
    <row r="1751" hidden="1">
      <c r="A1751" s="1" t="s">
        <v>5757</v>
      </c>
      <c r="B1751" s="1" t="s">
        <v>896</v>
      </c>
      <c r="C1751" s="1" t="s">
        <v>5758</v>
      </c>
      <c r="D1751" s="1" t="s">
        <v>27</v>
      </c>
      <c r="E1751" s="1" t="s">
        <v>28</v>
      </c>
      <c r="F1751" s="2">
        <v>500000.0</v>
      </c>
      <c r="G1751" s="1" t="s">
        <v>5160</v>
      </c>
      <c r="H1751" s="4">
        <f>IFERROR(__xludf.DUMMYFUNCTION("DATE(INDEX(SPLIT(G1751,""/""),,3),INDEX(SPLIT(G1751,""/""),,2),INDEX(SPLIT(G1751,""/""),,1))"),44426.0)</f>
        <v>44426</v>
      </c>
      <c r="I1751" s="1" t="s">
        <v>109</v>
      </c>
      <c r="J1751" s="4">
        <f>IFERROR(__xludf.DUMMYFUNCTION("DATE(INDEX(SPLIT(I1751,""/""),,3),INDEX(SPLIT(I1751,""/""),,2),INDEX(SPLIT(I1751,""/""),,1))"),44834.0)</f>
        <v>44834</v>
      </c>
      <c r="L1751" s="1">
        <v>0.0</v>
      </c>
      <c r="M1751" s="1" t="s">
        <v>1514</v>
      </c>
      <c r="N1751" s="1"/>
      <c r="O1751" s="1" t="s">
        <v>30</v>
      </c>
      <c r="P1751" s="1" t="s">
        <v>31</v>
      </c>
      <c r="Q1751" s="1" t="s">
        <v>71</v>
      </c>
      <c r="R1751" s="1" t="s">
        <v>71</v>
      </c>
      <c r="S1751" s="1" t="s">
        <v>72</v>
      </c>
      <c r="T1751" s="1" t="s">
        <v>615</v>
      </c>
      <c r="U1751" s="1">
        <v>1.006324E8</v>
      </c>
      <c r="X1751" s="1" t="s">
        <v>490</v>
      </c>
      <c r="Y1751" s="1" t="s">
        <v>5759</v>
      </c>
      <c r="Z1751" s="1" t="s">
        <v>37</v>
      </c>
    </row>
    <row r="1752" hidden="1">
      <c r="A1752" s="1" t="s">
        <v>5760</v>
      </c>
      <c r="B1752" s="1" t="s">
        <v>308</v>
      </c>
      <c r="C1752" s="1" t="s">
        <v>5761</v>
      </c>
      <c r="D1752" s="1" t="s">
        <v>27</v>
      </c>
      <c r="E1752" s="1" t="s">
        <v>28</v>
      </c>
      <c r="F1752" s="2">
        <v>500000.0</v>
      </c>
      <c r="G1752" s="1" t="s">
        <v>5115</v>
      </c>
      <c r="H1752" s="4">
        <f>IFERROR(__xludf.DUMMYFUNCTION("DATE(INDEX(SPLIT(G1752,""/""),,3),INDEX(SPLIT(G1752,""/""),,2),INDEX(SPLIT(G1752,""/""),,1))"),44530.0)</f>
        <v>44530</v>
      </c>
      <c r="I1752" s="1" t="s">
        <v>281</v>
      </c>
      <c r="J1752" s="4">
        <f>IFERROR(__xludf.DUMMYFUNCTION("DATE(INDEX(SPLIT(I1752,""/""),,3),INDEX(SPLIT(I1752,""/""),,2),INDEX(SPLIT(I1752,""/""),,1))"),44865.0)</f>
        <v>44865</v>
      </c>
      <c r="L1752" s="1">
        <v>0.0</v>
      </c>
      <c r="M1752" s="1" t="s">
        <v>1230</v>
      </c>
      <c r="N1752" s="1"/>
      <c r="O1752" s="1" t="s">
        <v>30</v>
      </c>
      <c r="P1752" s="1" t="s">
        <v>31</v>
      </c>
      <c r="Q1752" s="1" t="s">
        <v>53</v>
      </c>
      <c r="R1752" s="1" t="s">
        <v>53</v>
      </c>
      <c r="S1752" s="1" t="s">
        <v>54</v>
      </c>
      <c r="T1752" s="1" t="s">
        <v>159</v>
      </c>
      <c r="U1752" s="1">
        <v>1.01127868E8</v>
      </c>
      <c r="X1752" s="1" t="s">
        <v>312</v>
      </c>
      <c r="Y1752" s="1" t="s">
        <v>4868</v>
      </c>
      <c r="Z1752" s="1" t="s">
        <v>37</v>
      </c>
    </row>
    <row r="1753">
      <c r="A1753" s="1" t="s">
        <v>5762</v>
      </c>
      <c r="B1753" s="1" t="s">
        <v>5763</v>
      </c>
      <c r="C1753" s="1" t="s">
        <v>5764</v>
      </c>
      <c r="D1753" s="1" t="s">
        <v>78</v>
      </c>
      <c r="E1753" s="1" t="s">
        <v>28</v>
      </c>
      <c r="F1753" s="2">
        <v>500000.0</v>
      </c>
      <c r="G1753" s="1" t="s">
        <v>1442</v>
      </c>
      <c r="H1753" s="4">
        <f>IFERROR(__xludf.DUMMYFUNCTION("DATE(INDEX(SPLIT(G1753,""/""),,3),INDEX(SPLIT(G1753,""/""),,2),INDEX(SPLIT(G1753,""/""),,1))"),44727.0)</f>
        <v>44727</v>
      </c>
      <c r="I1753" s="1" t="s">
        <v>226</v>
      </c>
      <c r="J1753" s="4">
        <f>IFERROR(__xludf.DUMMYFUNCTION("DATE(INDEX(SPLIT(I1753,""/""),,3),INDEX(SPLIT(I1753,""/""),,2),INDEX(SPLIT(I1753,""/""),,1))"),44771.0)</f>
        <v>44771</v>
      </c>
      <c r="L1753" s="1">
        <v>0.0</v>
      </c>
      <c r="M1753" s="1" t="s">
        <v>5765</v>
      </c>
      <c r="N1753" s="1"/>
      <c r="O1753" s="1" t="s">
        <v>30</v>
      </c>
      <c r="P1753" s="1" t="s">
        <v>31</v>
      </c>
      <c r="Q1753" s="1" t="s">
        <v>157</v>
      </c>
      <c r="R1753" s="1" t="s">
        <v>157</v>
      </c>
      <c r="S1753" s="1" t="s">
        <v>158</v>
      </c>
      <c r="T1753" s="1" t="s">
        <v>442</v>
      </c>
      <c r="U1753" s="1">
        <v>1.00612746E8</v>
      </c>
      <c r="X1753" s="1" t="s">
        <v>63</v>
      </c>
      <c r="Y1753" s="1" t="s">
        <v>3520</v>
      </c>
      <c r="Z1753" s="1" t="s">
        <v>37</v>
      </c>
    </row>
    <row r="1754">
      <c r="A1754" s="1" t="s">
        <v>5766</v>
      </c>
      <c r="B1754" s="1" t="s">
        <v>301</v>
      </c>
      <c r="C1754" s="1" t="s">
        <v>5767</v>
      </c>
      <c r="D1754" s="1" t="s">
        <v>78</v>
      </c>
      <c r="E1754" s="1" t="s">
        <v>28</v>
      </c>
      <c r="F1754" s="2">
        <v>500000.0</v>
      </c>
      <c r="G1754" s="1" t="s">
        <v>1569</v>
      </c>
      <c r="H1754" s="4">
        <f>IFERROR(__xludf.DUMMYFUNCTION("DATE(INDEX(SPLIT(G1754,""/""),,3),INDEX(SPLIT(G1754,""/""),,2),INDEX(SPLIT(G1754,""/""),,1))"),44645.0)</f>
        <v>44645</v>
      </c>
      <c r="I1754" s="1" t="s">
        <v>1244</v>
      </c>
      <c r="J1754" s="4">
        <f>IFERROR(__xludf.DUMMYFUNCTION("DATE(INDEX(SPLIT(I1754,""/""),,3),INDEX(SPLIT(I1754,""/""),,2),INDEX(SPLIT(I1754,""/""),,1))"),44742.0)</f>
        <v>44742</v>
      </c>
      <c r="L1754" s="1">
        <v>0.0</v>
      </c>
      <c r="M1754" s="1" t="s">
        <v>5205</v>
      </c>
      <c r="N1754" s="1"/>
      <c r="O1754" s="1" t="s">
        <v>30</v>
      </c>
      <c r="P1754" s="1" t="s">
        <v>31</v>
      </c>
      <c r="Q1754" s="1" t="s">
        <v>32</v>
      </c>
      <c r="R1754" s="1" t="s">
        <v>32</v>
      </c>
      <c r="S1754" s="1" t="s">
        <v>33</v>
      </c>
      <c r="U1754" s="1">
        <v>1.00587881E8</v>
      </c>
      <c r="X1754" s="1" t="s">
        <v>305</v>
      </c>
      <c r="Y1754" s="1" t="s">
        <v>5768</v>
      </c>
      <c r="Z1754" s="1" t="s">
        <v>37</v>
      </c>
    </row>
    <row r="1755" hidden="1">
      <c r="A1755" s="1" t="s">
        <v>5769</v>
      </c>
      <c r="B1755" s="1" t="s">
        <v>4013</v>
      </c>
      <c r="C1755" s="1" t="s">
        <v>5770</v>
      </c>
      <c r="D1755" s="1" t="s">
        <v>27</v>
      </c>
      <c r="E1755" s="1" t="s">
        <v>28</v>
      </c>
      <c r="F1755" s="2">
        <v>500000.0</v>
      </c>
      <c r="G1755" s="4">
        <v>44623.0</v>
      </c>
      <c r="H1755" s="4">
        <f>IFERROR(__xludf.DUMMYFUNCTION("DATE(INDEX(SPLIT(G1755,""/""),,3),INDEX(SPLIT(G1755,""/""),,2),INDEX(SPLIT(G1755,""/""),,1))"),44623.0)</f>
        <v>44623</v>
      </c>
      <c r="I1755" s="1" t="s">
        <v>569</v>
      </c>
      <c r="J1755" s="4">
        <f>IFERROR(__xludf.DUMMYFUNCTION("DATE(INDEX(SPLIT(I1755,""/""),,3),INDEX(SPLIT(I1755,""/""),,2),INDEX(SPLIT(I1755,""/""),,1))"),45016.0)</f>
        <v>45016</v>
      </c>
      <c r="L1755" s="1">
        <v>0.0</v>
      </c>
      <c r="M1755" s="1" t="s">
        <v>1433</v>
      </c>
      <c r="N1755" s="1"/>
      <c r="O1755" s="1" t="s">
        <v>30</v>
      </c>
      <c r="P1755" s="1" t="s">
        <v>31</v>
      </c>
      <c r="Q1755" s="1" t="s">
        <v>228</v>
      </c>
      <c r="R1755" s="1" t="s">
        <v>228</v>
      </c>
      <c r="S1755" s="1" t="s">
        <v>229</v>
      </c>
      <c r="T1755" s="1" t="s">
        <v>505</v>
      </c>
      <c r="U1755" s="1">
        <v>1.00609118E8</v>
      </c>
      <c r="X1755" s="1" t="s">
        <v>190</v>
      </c>
      <c r="Y1755" s="1" t="s">
        <v>5726</v>
      </c>
      <c r="Z1755" s="1" t="s">
        <v>37</v>
      </c>
    </row>
    <row r="1756" hidden="1">
      <c r="A1756" s="1" t="s">
        <v>5771</v>
      </c>
      <c r="B1756" s="1" t="s">
        <v>5772</v>
      </c>
      <c r="C1756" s="1" t="s">
        <v>5773</v>
      </c>
      <c r="D1756" s="1" t="s">
        <v>27</v>
      </c>
      <c r="E1756" s="1" t="s">
        <v>28</v>
      </c>
      <c r="F1756" s="2">
        <v>500000.0</v>
      </c>
      <c r="G1756" s="1" t="s">
        <v>359</v>
      </c>
      <c r="H1756" s="4">
        <f>IFERROR(__xludf.DUMMYFUNCTION("DATE(INDEX(SPLIT(G1756,""/""),,3),INDEX(SPLIT(G1756,""/""),,2),INDEX(SPLIT(G1756,""/""),,1))"),44740.0)</f>
        <v>44740</v>
      </c>
      <c r="I1756" s="1" t="s">
        <v>130</v>
      </c>
      <c r="J1756" s="4">
        <f>IFERROR(__xludf.DUMMYFUNCTION("DATE(INDEX(SPLIT(I1756,""/""),,3),INDEX(SPLIT(I1756,""/""),,2),INDEX(SPLIT(I1756,""/""),,1))"),44804.0)</f>
        <v>44804</v>
      </c>
      <c r="L1756" s="1">
        <v>0.0</v>
      </c>
      <c r="M1756" s="1" t="s">
        <v>5774</v>
      </c>
      <c r="N1756" s="1"/>
      <c r="O1756" s="1" t="s">
        <v>30</v>
      </c>
      <c r="P1756" s="1" t="s">
        <v>31</v>
      </c>
      <c r="Q1756" s="1" t="s">
        <v>235</v>
      </c>
      <c r="R1756" s="1" t="s">
        <v>235</v>
      </c>
      <c r="S1756" s="1" t="s">
        <v>236</v>
      </c>
      <c r="U1756" s="1">
        <v>1.00612111E8</v>
      </c>
      <c r="X1756" s="1" t="s">
        <v>2028</v>
      </c>
      <c r="Y1756" s="1" t="s">
        <v>5775</v>
      </c>
      <c r="Z1756" s="1" t="s">
        <v>37</v>
      </c>
    </row>
    <row r="1757" hidden="1">
      <c r="A1757" s="1" t="s">
        <v>5776</v>
      </c>
      <c r="B1757" s="1" t="s">
        <v>4884</v>
      </c>
      <c r="C1757" s="1" t="s">
        <v>5777</v>
      </c>
      <c r="D1757" s="1" t="s">
        <v>78</v>
      </c>
      <c r="E1757" s="1" t="s">
        <v>28</v>
      </c>
      <c r="F1757" s="2">
        <v>500000.0</v>
      </c>
      <c r="G1757" s="1" t="s">
        <v>3458</v>
      </c>
      <c r="H1757" s="4">
        <f>IFERROR(__xludf.DUMMYFUNCTION("DATE(INDEX(SPLIT(G1757,""/""),,3),INDEX(SPLIT(G1757,""/""),,2),INDEX(SPLIT(G1757,""/""),,1))"),44548.0)</f>
        <v>44548</v>
      </c>
      <c r="I1757" s="1" t="s">
        <v>109</v>
      </c>
      <c r="J1757" s="4">
        <f>IFERROR(__xludf.DUMMYFUNCTION("DATE(INDEX(SPLIT(I1757,""/""),,3),INDEX(SPLIT(I1757,""/""),,2),INDEX(SPLIT(I1757,""/""),,1))"),44834.0)</f>
        <v>44834</v>
      </c>
      <c r="L1757" s="1">
        <v>0.0</v>
      </c>
      <c r="M1757" s="1" t="s">
        <v>936</v>
      </c>
      <c r="N1757" s="1"/>
      <c r="O1757" s="1" t="s">
        <v>30</v>
      </c>
      <c r="P1757" s="1" t="s">
        <v>31</v>
      </c>
      <c r="Q1757" s="1" t="s">
        <v>71</v>
      </c>
      <c r="R1757" s="1" t="s">
        <v>71</v>
      </c>
      <c r="S1757" s="1" t="s">
        <v>72</v>
      </c>
      <c r="T1757" s="1" t="s">
        <v>73</v>
      </c>
      <c r="U1757" s="1">
        <v>1.00941744E8</v>
      </c>
      <c r="X1757" s="1" t="s">
        <v>74</v>
      </c>
      <c r="Y1757" s="1" t="s">
        <v>936</v>
      </c>
      <c r="Z1757" s="1" t="s">
        <v>37</v>
      </c>
    </row>
    <row r="1758">
      <c r="A1758" s="1" t="s">
        <v>5778</v>
      </c>
      <c r="B1758" s="1" t="s">
        <v>183</v>
      </c>
      <c r="C1758" s="1" t="s">
        <v>5779</v>
      </c>
      <c r="D1758" s="1" t="s">
        <v>27</v>
      </c>
      <c r="E1758" s="1" t="s">
        <v>28</v>
      </c>
      <c r="F1758" s="2">
        <v>500000.0</v>
      </c>
      <c r="G1758" s="1" t="s">
        <v>359</v>
      </c>
      <c r="H1758" s="4">
        <f>IFERROR(__xludf.DUMMYFUNCTION("DATE(INDEX(SPLIT(G1758,""/""),,3),INDEX(SPLIT(G1758,""/""),,2),INDEX(SPLIT(G1758,""/""),,1))"),44740.0)</f>
        <v>44740</v>
      </c>
      <c r="I1758" s="1" t="s">
        <v>298</v>
      </c>
      <c r="J1758" s="4">
        <f>IFERROR(__xludf.DUMMYFUNCTION("DATE(INDEX(SPLIT(I1758,""/""),,3),INDEX(SPLIT(I1758,""/""),,2),INDEX(SPLIT(I1758,""/""),,1))"),44762.0)</f>
        <v>44762</v>
      </c>
      <c r="L1758" s="1">
        <v>0.0</v>
      </c>
      <c r="M1758" s="1" t="s">
        <v>187</v>
      </c>
      <c r="N1758" s="1"/>
      <c r="O1758" s="1" t="s">
        <v>30</v>
      </c>
      <c r="P1758" s="1" t="s">
        <v>31</v>
      </c>
      <c r="Q1758" s="1" t="s">
        <v>188</v>
      </c>
      <c r="R1758" s="1" t="s">
        <v>188</v>
      </c>
      <c r="S1758" s="1" t="s">
        <v>189</v>
      </c>
      <c r="U1758" s="1">
        <v>1.00613095E8</v>
      </c>
      <c r="X1758" s="1" t="s">
        <v>190</v>
      </c>
      <c r="Y1758" s="1" t="s">
        <v>187</v>
      </c>
      <c r="Z1758" s="1" t="s">
        <v>37</v>
      </c>
    </row>
    <row r="1759">
      <c r="A1759" s="1" t="s">
        <v>5780</v>
      </c>
      <c r="B1759" s="1" t="s">
        <v>5781</v>
      </c>
      <c r="C1759" s="1" t="s">
        <v>5782</v>
      </c>
      <c r="D1759" s="1" t="s">
        <v>78</v>
      </c>
      <c r="E1759" s="1" t="s">
        <v>28</v>
      </c>
      <c r="F1759" s="2">
        <v>500000.0</v>
      </c>
      <c r="G1759" s="4">
        <v>44511.0</v>
      </c>
      <c r="H1759" s="4">
        <f>IFERROR(__xludf.DUMMYFUNCTION("DATE(INDEX(SPLIT(G1759,""/""),,3),INDEX(SPLIT(G1759,""/""),,2),INDEX(SPLIT(G1759,""/""),,1))"),44511.0)</f>
        <v>44511</v>
      </c>
      <c r="I1759" s="4">
        <v>44568.0</v>
      </c>
      <c r="J1759" s="4">
        <f>IFERROR(__xludf.DUMMYFUNCTION("DATE(INDEX(SPLIT(I1759,""/""),,3),INDEX(SPLIT(I1759,""/""),,2),INDEX(SPLIT(I1759,""/""),,1))"),44743.0)</f>
        <v>44743</v>
      </c>
      <c r="L1759" s="1">
        <v>0.0</v>
      </c>
      <c r="M1759" s="1" t="s">
        <v>1009</v>
      </c>
      <c r="N1759" s="1"/>
      <c r="O1759" s="1" t="s">
        <v>30</v>
      </c>
      <c r="P1759" s="1" t="s">
        <v>31</v>
      </c>
      <c r="Q1759" s="1" t="s">
        <v>95</v>
      </c>
      <c r="R1759" s="1" t="s">
        <v>95</v>
      </c>
      <c r="S1759" s="1" t="s">
        <v>96</v>
      </c>
      <c r="T1759" s="1" t="s">
        <v>489</v>
      </c>
      <c r="U1759" s="1">
        <v>1.00592304E8</v>
      </c>
      <c r="X1759" s="1" t="s">
        <v>74</v>
      </c>
      <c r="Y1759" s="1" t="s">
        <v>1009</v>
      </c>
      <c r="Z1759" s="1" t="s">
        <v>37</v>
      </c>
    </row>
    <row r="1760" hidden="1">
      <c r="A1760" s="1" t="s">
        <v>5783</v>
      </c>
      <c r="B1760" s="1" t="s">
        <v>3329</v>
      </c>
      <c r="C1760" s="1" t="s">
        <v>5784</v>
      </c>
      <c r="D1760" s="1" t="s">
        <v>27</v>
      </c>
      <c r="E1760" s="1" t="s">
        <v>28</v>
      </c>
      <c r="F1760" s="2">
        <v>500000.0</v>
      </c>
      <c r="G1760" s="1" t="s">
        <v>1281</v>
      </c>
      <c r="H1760" s="4">
        <f>IFERROR(__xludf.DUMMYFUNCTION("DATE(INDEX(SPLIT(G1760,""/""),,3),INDEX(SPLIT(G1760,""/""),,2),INDEX(SPLIT(G1760,""/""),,1))"),44469.0)</f>
        <v>44469</v>
      </c>
      <c r="I1760" s="1" t="s">
        <v>130</v>
      </c>
      <c r="J1760" s="4">
        <f>IFERROR(__xludf.DUMMYFUNCTION("DATE(INDEX(SPLIT(I1760,""/""),,3),INDEX(SPLIT(I1760,""/""),,2),INDEX(SPLIT(I1760,""/""),,1))"),44804.0)</f>
        <v>44804</v>
      </c>
      <c r="L1760" s="1">
        <v>0.0</v>
      </c>
      <c r="M1760" s="1" t="s">
        <v>1084</v>
      </c>
      <c r="N1760" s="1"/>
      <c r="O1760" s="1" t="s">
        <v>30</v>
      </c>
      <c r="P1760" s="1" t="s">
        <v>31</v>
      </c>
      <c r="Q1760" s="1" t="s">
        <v>32</v>
      </c>
      <c r="R1760" s="1" t="s">
        <v>32</v>
      </c>
      <c r="S1760" s="1" t="s">
        <v>33</v>
      </c>
      <c r="T1760" s="1" t="s">
        <v>34</v>
      </c>
      <c r="U1760" s="1">
        <v>1.00601386E8</v>
      </c>
      <c r="X1760" s="1" t="s">
        <v>81</v>
      </c>
      <c r="Y1760" s="1" t="s">
        <v>641</v>
      </c>
      <c r="Z1760" s="1" t="s">
        <v>37</v>
      </c>
    </row>
    <row r="1761" hidden="1">
      <c r="A1761" s="1" t="s">
        <v>5785</v>
      </c>
      <c r="B1761" s="1" t="s">
        <v>4029</v>
      </c>
      <c r="C1761" s="1" t="s">
        <v>5786</v>
      </c>
      <c r="D1761" s="1" t="s">
        <v>27</v>
      </c>
      <c r="E1761" s="1" t="s">
        <v>28</v>
      </c>
      <c r="F1761" s="2">
        <v>500000.0</v>
      </c>
      <c r="G1761" s="4">
        <v>44327.0</v>
      </c>
      <c r="H1761" s="4">
        <f>IFERROR(__xludf.DUMMYFUNCTION("DATE(INDEX(SPLIT(G1761,""/""),,3),INDEX(SPLIT(G1761,""/""),,2),INDEX(SPLIT(G1761,""/""),,1))"),44505.0)</f>
        <v>44505</v>
      </c>
      <c r="I1761" s="1" t="s">
        <v>42</v>
      </c>
      <c r="J1761" s="4">
        <f>IFERROR(__xludf.DUMMYFUNCTION("DATE(INDEX(SPLIT(I1761,""/""),,3),INDEX(SPLIT(I1761,""/""),,2),INDEX(SPLIT(I1761,""/""),,1))"),44926.0)</f>
        <v>44926</v>
      </c>
      <c r="L1761" s="1">
        <v>0.0</v>
      </c>
      <c r="M1761" s="1" t="s">
        <v>2057</v>
      </c>
      <c r="N1761" s="1"/>
      <c r="O1761" s="1" t="s">
        <v>30</v>
      </c>
      <c r="P1761" s="1" t="s">
        <v>31</v>
      </c>
      <c r="Q1761" s="1" t="s">
        <v>71</v>
      </c>
      <c r="R1761" s="1" t="s">
        <v>71</v>
      </c>
      <c r="S1761" s="1" t="s">
        <v>72</v>
      </c>
      <c r="T1761" s="1" t="s">
        <v>136</v>
      </c>
      <c r="U1761" s="1">
        <v>1.01078216E8</v>
      </c>
      <c r="X1761" s="1" t="s">
        <v>74</v>
      </c>
      <c r="Y1761" s="1" t="s">
        <v>2057</v>
      </c>
      <c r="Z1761" s="1" t="s">
        <v>206</v>
      </c>
    </row>
    <row r="1762" hidden="1">
      <c r="A1762" s="1" t="s">
        <v>5787</v>
      </c>
      <c r="B1762" s="1" t="s">
        <v>2642</v>
      </c>
      <c r="C1762" s="1" t="s">
        <v>5788</v>
      </c>
      <c r="D1762" s="1" t="s">
        <v>27</v>
      </c>
      <c r="E1762" s="1" t="s">
        <v>28</v>
      </c>
      <c r="F1762" s="2">
        <v>500000.0</v>
      </c>
      <c r="G1762" s="4">
        <v>44563.0</v>
      </c>
      <c r="H1762" s="4">
        <f>IFERROR(__xludf.DUMMYFUNCTION("DATE(INDEX(SPLIT(G1762,""/""),,3),INDEX(SPLIT(G1762,""/""),,2),INDEX(SPLIT(G1762,""/""),,1))"),44593.0)</f>
        <v>44593</v>
      </c>
      <c r="I1762" s="1" t="s">
        <v>203</v>
      </c>
      <c r="J1762" s="4">
        <f>IFERROR(__xludf.DUMMYFUNCTION("DATE(INDEX(SPLIT(I1762,""/""),,3),INDEX(SPLIT(I1762,""/""),,2),INDEX(SPLIT(I1762,""/""),,1))"),44925.0)</f>
        <v>44925</v>
      </c>
      <c r="L1762" s="1">
        <v>0.0</v>
      </c>
      <c r="M1762" s="1" t="s">
        <v>2072</v>
      </c>
      <c r="N1762" s="1"/>
      <c r="O1762" s="1" t="s">
        <v>30</v>
      </c>
      <c r="P1762" s="1" t="s">
        <v>31</v>
      </c>
      <c r="Q1762" s="1" t="s">
        <v>71</v>
      </c>
      <c r="R1762" s="1" t="s">
        <v>71</v>
      </c>
      <c r="S1762" s="1" t="s">
        <v>72</v>
      </c>
      <c r="T1762" s="1" t="s">
        <v>136</v>
      </c>
      <c r="U1762" s="1">
        <v>1.00628181E8</v>
      </c>
      <c r="V1762" s="1" t="s">
        <v>2644</v>
      </c>
      <c r="W1762" s="1" t="s">
        <v>45</v>
      </c>
      <c r="X1762" s="1" t="s">
        <v>74</v>
      </c>
      <c r="Y1762" s="1" t="s">
        <v>2072</v>
      </c>
      <c r="Z1762" s="1" t="s">
        <v>37</v>
      </c>
    </row>
    <row r="1763">
      <c r="A1763" s="1" t="s">
        <v>5789</v>
      </c>
      <c r="B1763" s="1" t="s">
        <v>5790</v>
      </c>
      <c r="C1763" s="1" t="s">
        <v>5791</v>
      </c>
      <c r="D1763" s="1" t="s">
        <v>27</v>
      </c>
      <c r="E1763" s="1" t="s">
        <v>28</v>
      </c>
      <c r="F1763" s="2">
        <v>500000.0</v>
      </c>
      <c r="G1763" s="1" t="s">
        <v>359</v>
      </c>
      <c r="H1763" s="4">
        <f>IFERROR(__xludf.DUMMYFUNCTION("DATE(INDEX(SPLIT(G1763,""/""),,3),INDEX(SPLIT(G1763,""/""),,2),INDEX(SPLIT(G1763,""/""),,1))"),44740.0)</f>
        <v>44740</v>
      </c>
      <c r="I1763" s="1" t="s">
        <v>298</v>
      </c>
      <c r="J1763" s="4">
        <f>IFERROR(__xludf.DUMMYFUNCTION("DATE(INDEX(SPLIT(I1763,""/""),,3),INDEX(SPLIT(I1763,""/""),,2),INDEX(SPLIT(I1763,""/""),,1))"),44762.0)</f>
        <v>44762</v>
      </c>
      <c r="L1763" s="1">
        <v>0.0</v>
      </c>
      <c r="M1763" s="1" t="s">
        <v>187</v>
      </c>
      <c r="N1763" s="1"/>
      <c r="O1763" s="1" t="s">
        <v>30</v>
      </c>
      <c r="P1763" s="1" t="s">
        <v>31</v>
      </c>
      <c r="Q1763" s="1" t="s">
        <v>188</v>
      </c>
      <c r="R1763" s="1" t="s">
        <v>188</v>
      </c>
      <c r="S1763" s="1" t="s">
        <v>189</v>
      </c>
      <c r="U1763" s="1">
        <v>1.00613095E8</v>
      </c>
      <c r="X1763" s="1" t="s">
        <v>117</v>
      </c>
      <c r="Y1763" s="1" t="s">
        <v>187</v>
      </c>
      <c r="Z1763" s="1" t="s">
        <v>37</v>
      </c>
    </row>
    <row r="1764" hidden="1">
      <c r="A1764" s="1" t="s">
        <v>5792</v>
      </c>
      <c r="B1764" s="1" t="s">
        <v>2742</v>
      </c>
      <c r="C1764" s="1" t="s">
        <v>5793</v>
      </c>
      <c r="D1764" s="1" t="s">
        <v>122</v>
      </c>
      <c r="E1764" s="1" t="s">
        <v>28</v>
      </c>
      <c r="F1764" s="2">
        <v>500000.0</v>
      </c>
      <c r="G1764" s="1" t="s">
        <v>5794</v>
      </c>
      <c r="H1764" s="4">
        <f>IFERROR(__xludf.DUMMYFUNCTION("DATE(INDEX(SPLIT(G1764,""/""),,3),INDEX(SPLIT(G1764,""/""),,2),INDEX(SPLIT(G1764,""/""),,1))"),43664.0)</f>
        <v>43664</v>
      </c>
      <c r="I1764" s="1" t="s">
        <v>130</v>
      </c>
      <c r="J1764" s="4">
        <f>IFERROR(__xludf.DUMMYFUNCTION("DATE(INDEX(SPLIT(I1764,""/""),,3),INDEX(SPLIT(I1764,""/""),,2),INDEX(SPLIT(I1764,""/""),,1))"),44804.0)</f>
        <v>44804</v>
      </c>
      <c r="L1764" s="1">
        <v>0.0</v>
      </c>
      <c r="M1764" s="1" t="s">
        <v>3601</v>
      </c>
      <c r="N1764" s="1"/>
      <c r="O1764" s="1" t="s">
        <v>30</v>
      </c>
      <c r="P1764" s="1" t="s">
        <v>31</v>
      </c>
      <c r="Q1764" s="1" t="s">
        <v>71</v>
      </c>
      <c r="R1764" s="1" t="s">
        <v>71</v>
      </c>
      <c r="S1764" s="1" t="s">
        <v>72</v>
      </c>
      <c r="T1764" s="1" t="s">
        <v>136</v>
      </c>
      <c r="U1764" s="1">
        <v>1.00611547E8</v>
      </c>
      <c r="X1764" s="1" t="s">
        <v>2028</v>
      </c>
      <c r="Y1764" s="1" t="s">
        <v>5795</v>
      </c>
      <c r="Z1764" s="1" t="s">
        <v>37</v>
      </c>
    </row>
    <row r="1765" hidden="1">
      <c r="A1765" s="1" t="s">
        <v>5796</v>
      </c>
      <c r="B1765" s="1" t="s">
        <v>1131</v>
      </c>
      <c r="C1765" s="1" t="s">
        <v>5797</v>
      </c>
      <c r="D1765" s="1" t="s">
        <v>27</v>
      </c>
      <c r="E1765" s="1" t="s">
        <v>28</v>
      </c>
      <c r="F1765" s="2">
        <v>500000.0</v>
      </c>
      <c r="G1765" s="1" t="s">
        <v>330</v>
      </c>
      <c r="H1765" s="4">
        <f>IFERROR(__xludf.DUMMYFUNCTION("DATE(INDEX(SPLIT(G1765,""/""),,3),INDEX(SPLIT(G1765,""/""),,2),INDEX(SPLIT(G1765,""/""),,1))"),44728.0)</f>
        <v>44728</v>
      </c>
      <c r="I1765" s="4">
        <v>44569.0</v>
      </c>
      <c r="J1765" s="4">
        <f>IFERROR(__xludf.DUMMYFUNCTION("DATE(INDEX(SPLIT(I1765,""/""),,3),INDEX(SPLIT(I1765,""/""),,2),INDEX(SPLIT(I1765,""/""),,1))"),44774.0)</f>
        <v>44774</v>
      </c>
      <c r="L1765" s="1">
        <v>0.0</v>
      </c>
      <c r="M1765" s="1" t="s">
        <v>70</v>
      </c>
      <c r="N1765" s="1"/>
      <c r="O1765" s="1" t="s">
        <v>30</v>
      </c>
      <c r="P1765" s="1" t="s">
        <v>31</v>
      </c>
      <c r="Q1765" s="1" t="s">
        <v>71</v>
      </c>
      <c r="R1765" s="1" t="s">
        <v>71</v>
      </c>
      <c r="S1765" s="1" t="s">
        <v>72</v>
      </c>
      <c r="T1765" s="1" t="s">
        <v>73</v>
      </c>
      <c r="U1765" s="1">
        <v>1.00640331E8</v>
      </c>
      <c r="X1765" s="1" t="s">
        <v>74</v>
      </c>
      <c r="Y1765" s="1" t="s">
        <v>2241</v>
      </c>
      <c r="Z1765" s="1" t="s">
        <v>37</v>
      </c>
    </row>
    <row r="1766" hidden="1">
      <c r="A1766" s="1" t="s">
        <v>5798</v>
      </c>
      <c r="B1766" s="1" t="s">
        <v>4496</v>
      </c>
      <c r="C1766" s="1" t="s">
        <v>5799</v>
      </c>
      <c r="D1766" s="1" t="s">
        <v>78</v>
      </c>
      <c r="E1766" s="1" t="s">
        <v>28</v>
      </c>
      <c r="F1766" s="2">
        <v>500000.0</v>
      </c>
      <c r="G1766" s="4">
        <v>44656.0</v>
      </c>
      <c r="H1766" s="4">
        <f>IFERROR(__xludf.DUMMYFUNCTION("DATE(INDEX(SPLIT(G1766,""/""),,3),INDEX(SPLIT(G1766,""/""),,2),INDEX(SPLIT(G1766,""/""),,1))"),44685.0)</f>
        <v>44685</v>
      </c>
      <c r="I1766" s="4">
        <v>44573.0</v>
      </c>
      <c r="J1766" s="4">
        <f>IFERROR(__xludf.DUMMYFUNCTION("DATE(INDEX(SPLIT(I1766,""/""),,3),INDEX(SPLIT(I1766,""/""),,2),INDEX(SPLIT(I1766,""/""),,1))"),44896.0)</f>
        <v>44896</v>
      </c>
      <c r="L1766" s="1">
        <v>0.0</v>
      </c>
      <c r="M1766" s="1" t="s">
        <v>951</v>
      </c>
      <c r="N1766" s="1"/>
      <c r="O1766" s="1" t="s">
        <v>30</v>
      </c>
      <c r="P1766" s="1" t="s">
        <v>31</v>
      </c>
      <c r="Q1766" s="1" t="s">
        <v>157</v>
      </c>
      <c r="R1766" s="1" t="s">
        <v>157</v>
      </c>
      <c r="S1766" s="1" t="s">
        <v>158</v>
      </c>
      <c r="T1766" s="1" t="s">
        <v>571</v>
      </c>
      <c r="U1766" s="1">
        <v>1.00653269E8</v>
      </c>
      <c r="X1766" s="1" t="s">
        <v>88</v>
      </c>
      <c r="Y1766" s="1" t="s">
        <v>4068</v>
      </c>
      <c r="Z1766" s="1" t="s">
        <v>37</v>
      </c>
    </row>
    <row r="1767">
      <c r="A1767" s="1" t="s">
        <v>5800</v>
      </c>
      <c r="B1767" s="1" t="s">
        <v>392</v>
      </c>
      <c r="C1767" s="1" t="s">
        <v>5801</v>
      </c>
      <c r="D1767" s="1" t="s">
        <v>122</v>
      </c>
      <c r="E1767" s="1" t="s">
        <v>28</v>
      </c>
      <c r="F1767" s="2">
        <v>500000.0</v>
      </c>
      <c r="G1767" s="4">
        <v>44656.0</v>
      </c>
      <c r="H1767" s="4">
        <f>IFERROR(__xludf.DUMMYFUNCTION("DATE(INDEX(SPLIT(G1767,""/""),,3),INDEX(SPLIT(G1767,""/""),,2),INDEX(SPLIT(G1767,""/""),,1))"),44685.0)</f>
        <v>44685</v>
      </c>
      <c r="I1767" s="1" t="s">
        <v>226</v>
      </c>
      <c r="J1767" s="4">
        <f>IFERROR(__xludf.DUMMYFUNCTION("DATE(INDEX(SPLIT(I1767,""/""),,3),INDEX(SPLIT(I1767,""/""),,2),INDEX(SPLIT(I1767,""/""),,1))"),44771.0)</f>
        <v>44771</v>
      </c>
      <c r="L1767" s="1">
        <v>0.0</v>
      </c>
      <c r="M1767" s="1" t="s">
        <v>2123</v>
      </c>
      <c r="N1767" s="1"/>
      <c r="O1767" s="1" t="s">
        <v>30</v>
      </c>
      <c r="P1767" s="1" t="s">
        <v>31</v>
      </c>
      <c r="Q1767" s="1" t="s">
        <v>157</v>
      </c>
      <c r="R1767" s="1" t="s">
        <v>157</v>
      </c>
      <c r="S1767" s="1" t="s">
        <v>158</v>
      </c>
      <c r="T1767" s="1" t="s">
        <v>237</v>
      </c>
      <c r="U1767" s="1">
        <v>1.00589248E8</v>
      </c>
      <c r="X1767" s="1" t="s">
        <v>239</v>
      </c>
      <c r="Y1767" s="1" t="s">
        <v>234</v>
      </c>
      <c r="Z1767" s="1" t="s">
        <v>37</v>
      </c>
    </row>
    <row r="1768" hidden="1">
      <c r="A1768" s="1" t="s">
        <v>5802</v>
      </c>
      <c r="B1768" s="1" t="s">
        <v>5803</v>
      </c>
      <c r="C1768" s="1" t="s">
        <v>5804</v>
      </c>
      <c r="D1768" s="1" t="s">
        <v>122</v>
      </c>
      <c r="E1768" s="1" t="s">
        <v>28</v>
      </c>
      <c r="F1768" s="2">
        <v>500000.0</v>
      </c>
      <c r="G1768" s="4">
        <v>44837.0</v>
      </c>
      <c r="H1768" s="4">
        <f>IFERROR(__xludf.DUMMYFUNCTION("DATE(INDEX(SPLIT(G1768,""/""),,3),INDEX(SPLIT(G1768,""/""),,2),INDEX(SPLIT(G1768,""/""),,1))"),44630.0)</f>
        <v>44630</v>
      </c>
      <c r="I1768" s="1" t="s">
        <v>1750</v>
      </c>
      <c r="J1768" s="4">
        <f>IFERROR(__xludf.DUMMYFUNCTION("DATE(INDEX(SPLIT(I1768,""/""),,3),INDEX(SPLIT(I1768,""/""),,2),INDEX(SPLIT(I1768,""/""),,1))"),44802.0)</f>
        <v>44802</v>
      </c>
      <c r="L1768" s="1">
        <v>0.0</v>
      </c>
      <c r="M1768" s="1" t="s">
        <v>277</v>
      </c>
      <c r="N1768" s="1"/>
      <c r="O1768" s="1" t="s">
        <v>30</v>
      </c>
      <c r="P1768" s="1" t="s">
        <v>31</v>
      </c>
      <c r="Q1768" s="1" t="s">
        <v>32</v>
      </c>
      <c r="R1768" s="1" t="s">
        <v>32</v>
      </c>
      <c r="S1768" s="1" t="s">
        <v>33</v>
      </c>
      <c r="T1768" s="1" t="s">
        <v>55</v>
      </c>
      <c r="U1768" s="1">
        <v>1.00608828E8</v>
      </c>
      <c r="X1768" s="1" t="s">
        <v>361</v>
      </c>
      <c r="Y1768" s="1" t="s">
        <v>4799</v>
      </c>
      <c r="Z1768" s="1" t="s">
        <v>37</v>
      </c>
    </row>
    <row r="1769" hidden="1">
      <c r="A1769" s="1" t="s">
        <v>5805</v>
      </c>
      <c r="B1769" s="1" t="s">
        <v>301</v>
      </c>
      <c r="C1769" s="1" t="s">
        <v>5806</v>
      </c>
      <c r="D1769" s="1" t="s">
        <v>27</v>
      </c>
      <c r="E1769" s="1" t="s">
        <v>28</v>
      </c>
      <c r="F1769" s="2">
        <v>500000.0</v>
      </c>
      <c r="G1769" s="1" t="s">
        <v>359</v>
      </c>
      <c r="H1769" s="4">
        <f>IFERROR(__xludf.DUMMYFUNCTION("DATE(INDEX(SPLIT(G1769,""/""),,3),INDEX(SPLIT(G1769,""/""),,2),INDEX(SPLIT(G1769,""/""),,1))"),44740.0)</f>
        <v>44740</v>
      </c>
      <c r="I1769" s="1" t="s">
        <v>109</v>
      </c>
      <c r="J1769" s="4">
        <f>IFERROR(__xludf.DUMMYFUNCTION("DATE(INDEX(SPLIT(I1769,""/""),,3),INDEX(SPLIT(I1769,""/""),,2),INDEX(SPLIT(I1769,""/""),,1))"),44834.0)</f>
        <v>44834</v>
      </c>
      <c r="L1769" s="1">
        <v>0.0</v>
      </c>
      <c r="M1769" s="1" t="s">
        <v>5807</v>
      </c>
      <c r="N1769" s="1"/>
      <c r="O1769" s="1" t="s">
        <v>30</v>
      </c>
      <c r="P1769" s="1" t="s">
        <v>31</v>
      </c>
      <c r="Q1769" s="1" t="s">
        <v>157</v>
      </c>
      <c r="R1769" s="1" t="s">
        <v>157</v>
      </c>
      <c r="S1769" s="1" t="s">
        <v>158</v>
      </c>
      <c r="U1769" s="1">
        <v>1.00586711E8</v>
      </c>
      <c r="X1769" s="1" t="s">
        <v>305</v>
      </c>
      <c r="Y1769" s="1" t="s">
        <v>5807</v>
      </c>
      <c r="Z1769" s="1" t="s">
        <v>37</v>
      </c>
    </row>
    <row r="1770">
      <c r="A1770" s="1" t="s">
        <v>5808</v>
      </c>
      <c r="B1770" s="1" t="s">
        <v>2121</v>
      </c>
      <c r="C1770" s="1" t="s">
        <v>5809</v>
      </c>
      <c r="D1770" s="1" t="s">
        <v>78</v>
      </c>
      <c r="E1770" s="1" t="s">
        <v>28</v>
      </c>
      <c r="F1770" s="2">
        <v>500000.0</v>
      </c>
      <c r="G1770" s="4">
        <v>44595.0</v>
      </c>
      <c r="H1770" s="4">
        <f>IFERROR(__xludf.DUMMYFUNCTION("DATE(INDEX(SPLIT(G1770,""/""),,3),INDEX(SPLIT(G1770,""/""),,2),INDEX(SPLIT(G1770,""/""),,1))"),44622.0)</f>
        <v>44622</v>
      </c>
      <c r="I1770" s="1" t="s">
        <v>69</v>
      </c>
      <c r="J1770" s="4">
        <f>IFERROR(__xludf.DUMMYFUNCTION("DATE(INDEX(SPLIT(I1770,""/""),,3),INDEX(SPLIT(I1770,""/""),,2),INDEX(SPLIT(I1770,""/""),,1))"),44773.0)</f>
        <v>44773</v>
      </c>
      <c r="L1770" s="1">
        <v>0.0</v>
      </c>
      <c r="M1770" s="1" t="s">
        <v>856</v>
      </c>
      <c r="N1770" s="1"/>
      <c r="O1770" s="1" t="s">
        <v>30</v>
      </c>
      <c r="P1770" s="1" t="s">
        <v>31</v>
      </c>
      <c r="Q1770" s="1" t="s">
        <v>235</v>
      </c>
      <c r="R1770" s="1" t="s">
        <v>235</v>
      </c>
      <c r="S1770" s="1" t="s">
        <v>236</v>
      </c>
      <c r="T1770" s="1" t="s">
        <v>438</v>
      </c>
      <c r="U1770" s="1">
        <v>1.01017204E8</v>
      </c>
      <c r="X1770" s="1" t="s">
        <v>88</v>
      </c>
      <c r="Y1770" s="1" t="s">
        <v>856</v>
      </c>
      <c r="Z1770" s="1" t="s">
        <v>37</v>
      </c>
    </row>
    <row r="1771">
      <c r="A1771" s="1" t="s">
        <v>5810</v>
      </c>
      <c r="B1771" s="1" t="s">
        <v>1748</v>
      </c>
      <c r="C1771" s="1" t="s">
        <v>5811</v>
      </c>
      <c r="D1771" s="1" t="s">
        <v>27</v>
      </c>
      <c r="E1771" s="1" t="s">
        <v>28</v>
      </c>
      <c r="F1771" s="2">
        <v>500000.0</v>
      </c>
      <c r="G1771" s="1" t="s">
        <v>1863</v>
      </c>
      <c r="H1771" s="4">
        <f>IFERROR(__xludf.DUMMYFUNCTION("DATE(INDEX(SPLIT(G1771,""/""),,3),INDEX(SPLIT(G1771,""/""),,2),INDEX(SPLIT(G1771,""/""),,1))"),44069.0)</f>
        <v>44069</v>
      </c>
      <c r="I1771" s="1" t="s">
        <v>1141</v>
      </c>
      <c r="J1771" s="4">
        <f>IFERROR(__xludf.DUMMYFUNCTION("DATE(INDEX(SPLIT(I1771,""/""),,3),INDEX(SPLIT(I1771,""/""),,2),INDEX(SPLIT(I1771,""/""),,1))"),44767.0)</f>
        <v>44767</v>
      </c>
      <c r="L1771" s="1">
        <v>0.0</v>
      </c>
      <c r="M1771" s="1" t="s">
        <v>437</v>
      </c>
      <c r="N1771" s="1"/>
      <c r="O1771" s="1" t="s">
        <v>30</v>
      </c>
      <c r="P1771" s="1" t="s">
        <v>31</v>
      </c>
      <c r="Q1771" s="1" t="s">
        <v>235</v>
      </c>
      <c r="R1771" s="1" t="s">
        <v>235</v>
      </c>
      <c r="S1771" s="1" t="s">
        <v>236</v>
      </c>
      <c r="T1771" s="1" t="s">
        <v>1349</v>
      </c>
      <c r="U1771" s="1">
        <v>1.00650375E8</v>
      </c>
      <c r="X1771" s="1" t="s">
        <v>88</v>
      </c>
      <c r="Y1771" s="1" t="s">
        <v>3353</v>
      </c>
      <c r="Z1771" s="1" t="s">
        <v>37</v>
      </c>
    </row>
    <row r="1772" hidden="1">
      <c r="A1772" s="1" t="s">
        <v>5812</v>
      </c>
      <c r="B1772" s="1" t="s">
        <v>337</v>
      </c>
      <c r="C1772" s="1" t="s">
        <v>5813</v>
      </c>
      <c r="D1772" s="1" t="s">
        <v>27</v>
      </c>
      <c r="E1772" s="1" t="s">
        <v>28</v>
      </c>
      <c r="F1772" s="2">
        <v>500000.0</v>
      </c>
      <c r="G1772" s="1" t="s">
        <v>185</v>
      </c>
      <c r="H1772" s="4">
        <f>IFERROR(__xludf.DUMMYFUNCTION("DATE(INDEX(SPLIT(G1772,""/""),,3),INDEX(SPLIT(G1772,""/""),,2),INDEX(SPLIT(G1772,""/""),,1))"),44741.0)</f>
        <v>44741</v>
      </c>
      <c r="I1772" s="1" t="s">
        <v>535</v>
      </c>
      <c r="J1772" s="4">
        <f>IFERROR(__xludf.DUMMYFUNCTION("DATE(INDEX(SPLIT(I1772,""/""),,3),INDEX(SPLIT(I1772,""/""),,2),INDEX(SPLIT(I1772,""/""),,1))"),44957.0)</f>
        <v>44957</v>
      </c>
      <c r="L1772" s="1">
        <v>0.0</v>
      </c>
      <c r="M1772" s="1" t="s">
        <v>5814</v>
      </c>
      <c r="N1772" s="1"/>
      <c r="O1772" s="1" t="s">
        <v>30</v>
      </c>
      <c r="P1772" s="1" t="s">
        <v>31</v>
      </c>
      <c r="Q1772" s="1" t="s">
        <v>53</v>
      </c>
      <c r="R1772" s="1" t="s">
        <v>53</v>
      </c>
      <c r="S1772" s="1" t="s">
        <v>54</v>
      </c>
      <c r="U1772" s="1">
        <v>1.00910509E8</v>
      </c>
      <c r="X1772" s="1" t="s">
        <v>239</v>
      </c>
      <c r="Y1772" s="1" t="s">
        <v>5814</v>
      </c>
      <c r="Z1772" s="1" t="s">
        <v>37</v>
      </c>
    </row>
    <row r="1773" hidden="1">
      <c r="A1773" s="1" t="s">
        <v>5815</v>
      </c>
      <c r="B1773" s="1" t="s">
        <v>5816</v>
      </c>
      <c r="C1773" s="1" t="s">
        <v>5817</v>
      </c>
      <c r="D1773" s="1" t="s">
        <v>27</v>
      </c>
      <c r="E1773" s="1" t="s">
        <v>28</v>
      </c>
      <c r="F1773" s="2">
        <v>500000.0</v>
      </c>
      <c r="G1773" s="4">
        <v>44414.0</v>
      </c>
      <c r="H1773" s="4">
        <f>IFERROR(__xludf.DUMMYFUNCTION("DATE(INDEX(SPLIT(G1773,""/""),,3),INDEX(SPLIT(G1773,""/""),,2),INDEX(SPLIT(G1773,""/""),,1))"),44355.0)</f>
        <v>44355</v>
      </c>
      <c r="I1773" s="1" t="s">
        <v>317</v>
      </c>
      <c r="J1773" s="4">
        <f>IFERROR(__xludf.DUMMYFUNCTION("DATE(INDEX(SPLIT(I1773,""/""),,3),INDEX(SPLIT(I1773,""/""),,2),INDEX(SPLIT(I1773,""/""),,1))"),44862.0)</f>
        <v>44862</v>
      </c>
      <c r="L1773" s="1">
        <v>0.0</v>
      </c>
      <c r="M1773" s="1" t="s">
        <v>878</v>
      </c>
      <c r="N1773" s="1"/>
      <c r="O1773" s="1" t="s">
        <v>30</v>
      </c>
      <c r="P1773" s="1" t="s">
        <v>31</v>
      </c>
      <c r="Q1773" s="1" t="s">
        <v>32</v>
      </c>
      <c r="R1773" s="1" t="s">
        <v>32</v>
      </c>
      <c r="S1773" s="1" t="s">
        <v>33</v>
      </c>
      <c r="U1773" s="1">
        <v>1.00686761E8</v>
      </c>
      <c r="X1773" s="1" t="s">
        <v>35</v>
      </c>
      <c r="Y1773" s="1" t="s">
        <v>740</v>
      </c>
      <c r="Z1773" s="1" t="s">
        <v>527</v>
      </c>
    </row>
    <row r="1774" hidden="1">
      <c r="A1774" s="1" t="s">
        <v>5818</v>
      </c>
      <c r="B1774" s="1" t="s">
        <v>5816</v>
      </c>
      <c r="C1774" s="1" t="s">
        <v>5819</v>
      </c>
      <c r="D1774" s="1" t="s">
        <v>27</v>
      </c>
      <c r="E1774" s="1" t="s">
        <v>28</v>
      </c>
      <c r="F1774" s="2">
        <v>500000.0</v>
      </c>
      <c r="G1774" s="4">
        <v>44414.0</v>
      </c>
      <c r="H1774" s="4">
        <f>IFERROR(__xludf.DUMMYFUNCTION("DATE(INDEX(SPLIT(G1774,""/""),,3),INDEX(SPLIT(G1774,""/""),,2),INDEX(SPLIT(G1774,""/""),,1))"),44355.0)</f>
        <v>44355</v>
      </c>
      <c r="I1774" s="1" t="s">
        <v>130</v>
      </c>
      <c r="J1774" s="4">
        <f>IFERROR(__xludf.DUMMYFUNCTION("DATE(INDEX(SPLIT(I1774,""/""),,3),INDEX(SPLIT(I1774,""/""),,2),INDEX(SPLIT(I1774,""/""),,1))"),44804.0)</f>
        <v>44804</v>
      </c>
      <c r="L1774" s="1">
        <v>0.0</v>
      </c>
      <c r="M1774" s="1" t="s">
        <v>878</v>
      </c>
      <c r="N1774" s="1"/>
      <c r="O1774" s="1" t="s">
        <v>30</v>
      </c>
      <c r="P1774" s="1" t="s">
        <v>31</v>
      </c>
      <c r="Q1774" s="1" t="s">
        <v>32</v>
      </c>
      <c r="R1774" s="1" t="s">
        <v>32</v>
      </c>
      <c r="S1774" s="1" t="s">
        <v>33</v>
      </c>
      <c r="U1774" s="1">
        <v>1.00686761E8</v>
      </c>
      <c r="X1774" s="1" t="s">
        <v>35</v>
      </c>
      <c r="Y1774" s="1" t="s">
        <v>740</v>
      </c>
      <c r="Z1774" s="1" t="s">
        <v>527</v>
      </c>
    </row>
    <row r="1775" hidden="1">
      <c r="A1775" s="1" t="s">
        <v>5820</v>
      </c>
      <c r="B1775" s="1" t="s">
        <v>997</v>
      </c>
      <c r="C1775" s="1" t="s">
        <v>5821</v>
      </c>
      <c r="D1775" s="1" t="s">
        <v>27</v>
      </c>
      <c r="E1775" s="1" t="s">
        <v>28</v>
      </c>
      <c r="F1775" s="2">
        <v>500000.0</v>
      </c>
      <c r="G1775" s="4">
        <v>44866.0</v>
      </c>
      <c r="H1775" s="4">
        <f>IFERROR(__xludf.DUMMYFUNCTION("DATE(INDEX(SPLIT(G1775,""/""),,3),INDEX(SPLIT(G1775,""/""),,2),INDEX(SPLIT(G1775,""/""),,1))"),44572.0)</f>
        <v>44572</v>
      </c>
      <c r="I1775" s="1" t="s">
        <v>535</v>
      </c>
      <c r="J1775" s="4">
        <f>IFERROR(__xludf.DUMMYFUNCTION("DATE(INDEX(SPLIT(I1775,""/""),,3),INDEX(SPLIT(I1775,""/""),,2),INDEX(SPLIT(I1775,""/""),,1))"),44957.0)</f>
        <v>44957</v>
      </c>
      <c r="L1775" s="1">
        <v>0.0</v>
      </c>
      <c r="M1775" s="1" t="s">
        <v>1452</v>
      </c>
      <c r="N1775" s="1"/>
      <c r="O1775" s="1" t="s">
        <v>30</v>
      </c>
      <c r="P1775" s="1" t="s">
        <v>31</v>
      </c>
      <c r="Q1775" s="1" t="s">
        <v>32</v>
      </c>
      <c r="R1775" s="1" t="s">
        <v>32</v>
      </c>
      <c r="S1775" s="1" t="s">
        <v>33</v>
      </c>
      <c r="T1775" s="1" t="s">
        <v>103</v>
      </c>
      <c r="U1775" s="1">
        <v>1.00643044E8</v>
      </c>
      <c r="X1775" s="1" t="s">
        <v>410</v>
      </c>
      <c r="Y1775" s="1" t="s">
        <v>1000</v>
      </c>
      <c r="Z1775" s="1" t="s">
        <v>206</v>
      </c>
    </row>
    <row r="1776" hidden="1">
      <c r="A1776" s="1" t="s">
        <v>5822</v>
      </c>
      <c r="B1776" s="1" t="s">
        <v>658</v>
      </c>
      <c r="C1776" s="1" t="s">
        <v>5823</v>
      </c>
      <c r="D1776" s="1" t="s">
        <v>27</v>
      </c>
      <c r="E1776" s="1" t="s">
        <v>28</v>
      </c>
      <c r="F1776" s="2">
        <v>500000.0</v>
      </c>
      <c r="G1776" s="1" t="s">
        <v>472</v>
      </c>
      <c r="H1776" s="4">
        <f>IFERROR(__xludf.DUMMYFUNCTION("DATE(INDEX(SPLIT(G1776,""/""),,3),INDEX(SPLIT(G1776,""/""),,2),INDEX(SPLIT(G1776,""/""),,1))"),44760.0)</f>
        <v>44760</v>
      </c>
      <c r="I1776" s="1" t="s">
        <v>1732</v>
      </c>
      <c r="J1776" s="4">
        <f>IFERROR(__xludf.DUMMYFUNCTION("DATE(INDEX(SPLIT(I1776,""/""),,3),INDEX(SPLIT(I1776,""/""),,2),INDEX(SPLIT(I1776,""/""),,1))"),45092.0)</f>
        <v>45092</v>
      </c>
      <c r="L1776" s="1">
        <v>0.0</v>
      </c>
      <c r="M1776" s="1" t="s">
        <v>1723</v>
      </c>
      <c r="N1776" s="1"/>
      <c r="O1776" s="1" t="s">
        <v>30</v>
      </c>
      <c r="P1776" s="1" t="s">
        <v>31</v>
      </c>
      <c r="Q1776" s="1" t="s">
        <v>157</v>
      </c>
      <c r="R1776" s="1" t="s">
        <v>157</v>
      </c>
      <c r="S1776" s="1" t="s">
        <v>158</v>
      </c>
      <c r="U1776" s="1">
        <v>1.00654085E8</v>
      </c>
      <c r="X1776" s="1" t="s">
        <v>74</v>
      </c>
      <c r="Y1776" s="1" t="s">
        <v>2014</v>
      </c>
      <c r="Z1776" s="1" t="s">
        <v>37</v>
      </c>
    </row>
    <row r="1777" hidden="1">
      <c r="A1777" s="1" t="s">
        <v>5824</v>
      </c>
      <c r="B1777" s="1" t="s">
        <v>5825</v>
      </c>
      <c r="C1777" s="1" t="s">
        <v>5826</v>
      </c>
      <c r="D1777" s="1" t="s">
        <v>122</v>
      </c>
      <c r="E1777" s="1" t="s">
        <v>28</v>
      </c>
      <c r="F1777" s="2">
        <v>500000.0</v>
      </c>
      <c r="G1777" s="1" t="s">
        <v>586</v>
      </c>
      <c r="H1777" s="4">
        <f>IFERROR(__xludf.DUMMYFUNCTION("DATE(INDEX(SPLIT(G1777,""/""),,3),INDEX(SPLIT(G1777,""/""),,2),INDEX(SPLIT(G1777,""/""),,1))"),44726.0)</f>
        <v>44726</v>
      </c>
      <c r="I1777" s="1" t="s">
        <v>130</v>
      </c>
      <c r="J1777" s="4">
        <f>IFERROR(__xludf.DUMMYFUNCTION("DATE(INDEX(SPLIT(I1777,""/""),,3),INDEX(SPLIT(I1777,""/""),,2),INDEX(SPLIT(I1777,""/""),,1))"),44804.0)</f>
        <v>44804</v>
      </c>
      <c r="L1777" s="1">
        <v>0.0</v>
      </c>
      <c r="M1777" s="1" t="s">
        <v>211</v>
      </c>
      <c r="N1777" s="1"/>
      <c r="O1777" s="1" t="s">
        <v>30</v>
      </c>
      <c r="P1777" s="1" t="s">
        <v>31</v>
      </c>
      <c r="Q1777" s="1" t="s">
        <v>71</v>
      </c>
      <c r="R1777" s="1" t="s">
        <v>71</v>
      </c>
      <c r="S1777" s="1" t="s">
        <v>72</v>
      </c>
      <c r="T1777" s="1" t="s">
        <v>136</v>
      </c>
      <c r="U1777" s="1">
        <v>1.00590896E8</v>
      </c>
      <c r="X1777" s="1" t="s">
        <v>74</v>
      </c>
      <c r="Y1777" s="1" t="s">
        <v>5827</v>
      </c>
      <c r="Z1777" s="1" t="s">
        <v>37</v>
      </c>
    </row>
    <row r="1778" hidden="1">
      <c r="A1778" s="1" t="s">
        <v>5828</v>
      </c>
      <c r="B1778" s="1" t="s">
        <v>39</v>
      </c>
      <c r="C1778" s="1" t="s">
        <v>5829</v>
      </c>
      <c r="D1778" s="1" t="s">
        <v>122</v>
      </c>
      <c r="E1778" s="1" t="s">
        <v>28</v>
      </c>
      <c r="F1778" s="2">
        <v>500000.0</v>
      </c>
      <c r="G1778" s="1" t="s">
        <v>2791</v>
      </c>
      <c r="H1778" s="4">
        <f>IFERROR(__xludf.DUMMYFUNCTION("DATE(INDEX(SPLIT(G1778,""/""),,3),INDEX(SPLIT(G1778,""/""),,2),INDEX(SPLIT(G1778,""/""),,1))"),44494.0)</f>
        <v>44494</v>
      </c>
      <c r="I1778" s="1" t="s">
        <v>42</v>
      </c>
      <c r="J1778" s="4">
        <f>IFERROR(__xludf.DUMMYFUNCTION("DATE(INDEX(SPLIT(I1778,""/""),,3),INDEX(SPLIT(I1778,""/""),,2),INDEX(SPLIT(I1778,""/""),,1))"),44926.0)</f>
        <v>44926</v>
      </c>
      <c r="L1778" s="1">
        <v>0.0</v>
      </c>
      <c r="M1778" s="1" t="s">
        <v>1741</v>
      </c>
      <c r="N1778" s="1"/>
      <c r="O1778" s="1" t="s">
        <v>30</v>
      </c>
      <c r="P1778" s="1" t="s">
        <v>31</v>
      </c>
      <c r="Q1778" s="1" t="s">
        <v>32</v>
      </c>
      <c r="R1778" s="1" t="s">
        <v>32</v>
      </c>
      <c r="S1778" s="1" t="s">
        <v>33</v>
      </c>
      <c r="T1778" s="1" t="s">
        <v>103</v>
      </c>
      <c r="U1778" s="1">
        <v>1.00645852E8</v>
      </c>
      <c r="X1778" s="1" t="s">
        <v>46</v>
      </c>
      <c r="Y1778" s="1" t="s">
        <v>3049</v>
      </c>
      <c r="Z1778" s="1" t="s">
        <v>37</v>
      </c>
    </row>
    <row r="1779" hidden="1">
      <c r="A1779" s="1" t="s">
        <v>5830</v>
      </c>
      <c r="B1779" s="1" t="s">
        <v>5831</v>
      </c>
      <c r="C1779" s="1" t="s">
        <v>5832</v>
      </c>
      <c r="D1779" s="1" t="s">
        <v>78</v>
      </c>
      <c r="E1779" s="1" t="s">
        <v>28</v>
      </c>
      <c r="F1779" s="2">
        <v>500000.0</v>
      </c>
      <c r="G1779" s="1" t="s">
        <v>1442</v>
      </c>
      <c r="H1779" s="4">
        <f>IFERROR(__xludf.DUMMYFUNCTION("DATE(INDEX(SPLIT(G1779,""/""),,3),INDEX(SPLIT(G1779,""/""),,2),INDEX(SPLIT(G1779,""/""),,1))"),44727.0)</f>
        <v>44727</v>
      </c>
      <c r="I1779" s="4">
        <v>44569.0</v>
      </c>
      <c r="J1779" s="4">
        <f>IFERROR(__xludf.DUMMYFUNCTION("DATE(INDEX(SPLIT(I1779,""/""),,3),INDEX(SPLIT(I1779,""/""),,2),INDEX(SPLIT(I1779,""/""),,1))"),44774.0)</f>
        <v>44774</v>
      </c>
      <c r="L1779" s="1">
        <v>0.0</v>
      </c>
      <c r="M1779" s="1" t="s">
        <v>5833</v>
      </c>
      <c r="N1779" s="1"/>
      <c r="O1779" s="1" t="s">
        <v>30</v>
      </c>
      <c r="P1779" s="1" t="s">
        <v>31</v>
      </c>
      <c r="Q1779" s="1" t="s">
        <v>71</v>
      </c>
      <c r="R1779" s="1" t="s">
        <v>71</v>
      </c>
      <c r="S1779" s="1" t="s">
        <v>72</v>
      </c>
      <c r="T1779" s="1" t="s">
        <v>136</v>
      </c>
      <c r="U1779" s="1">
        <v>1.01235932E8</v>
      </c>
      <c r="X1779" s="1" t="s">
        <v>74</v>
      </c>
      <c r="Y1779" s="1" t="s">
        <v>4444</v>
      </c>
      <c r="Z1779" s="1" t="s">
        <v>206</v>
      </c>
    </row>
    <row r="1780" hidden="1">
      <c r="A1780" s="1" t="s">
        <v>5834</v>
      </c>
      <c r="B1780" s="1" t="s">
        <v>954</v>
      </c>
      <c r="C1780" s="1" t="s">
        <v>5835</v>
      </c>
      <c r="D1780" s="1" t="s">
        <v>27</v>
      </c>
      <c r="E1780" s="1" t="s">
        <v>28</v>
      </c>
      <c r="F1780" s="2">
        <v>500000.0</v>
      </c>
      <c r="G1780" s="4">
        <v>44808.0</v>
      </c>
      <c r="H1780" s="4">
        <f>IFERROR(__xludf.DUMMYFUNCTION("DATE(INDEX(SPLIT(G1780,""/""),,3),INDEX(SPLIT(G1780,""/""),,2),INDEX(SPLIT(G1780,""/""),,1))"),44660.0)</f>
        <v>44660</v>
      </c>
      <c r="I1780" s="1" t="s">
        <v>109</v>
      </c>
      <c r="J1780" s="4">
        <f>IFERROR(__xludf.DUMMYFUNCTION("DATE(INDEX(SPLIT(I1780,""/""),,3),INDEX(SPLIT(I1780,""/""),,2),INDEX(SPLIT(I1780,""/""),,1))"),44834.0)</f>
        <v>44834</v>
      </c>
      <c r="L1780" s="1">
        <v>0.0</v>
      </c>
      <c r="M1780" s="1" t="s">
        <v>204</v>
      </c>
      <c r="N1780" s="1"/>
      <c r="O1780" s="1" t="s">
        <v>30</v>
      </c>
      <c r="P1780" s="1" t="s">
        <v>31</v>
      </c>
      <c r="Q1780" s="1" t="s">
        <v>71</v>
      </c>
      <c r="R1780" s="1" t="s">
        <v>71</v>
      </c>
      <c r="S1780" s="1" t="s">
        <v>72</v>
      </c>
      <c r="T1780" s="1" t="s">
        <v>73</v>
      </c>
      <c r="U1780" s="1">
        <v>1.00650575E8</v>
      </c>
      <c r="X1780" s="1" t="s">
        <v>74</v>
      </c>
      <c r="Y1780" s="1" t="s">
        <v>957</v>
      </c>
      <c r="Z1780" s="1" t="s">
        <v>206</v>
      </c>
    </row>
    <row r="1781" hidden="1">
      <c r="A1781" s="1" t="s">
        <v>5836</v>
      </c>
      <c r="B1781" s="1" t="s">
        <v>416</v>
      </c>
      <c r="C1781" s="1" t="s">
        <v>5837</v>
      </c>
      <c r="D1781" s="1" t="s">
        <v>27</v>
      </c>
      <c r="E1781" s="1" t="s">
        <v>28</v>
      </c>
      <c r="F1781" s="2">
        <v>500000.0</v>
      </c>
      <c r="G1781" s="1" t="s">
        <v>472</v>
      </c>
      <c r="H1781" s="4">
        <f>IFERROR(__xludf.DUMMYFUNCTION("DATE(INDEX(SPLIT(G1781,""/""),,3),INDEX(SPLIT(G1781,""/""),,2),INDEX(SPLIT(G1781,""/""),,1))"),44760.0)</f>
        <v>44760</v>
      </c>
      <c r="I1781" s="1" t="s">
        <v>447</v>
      </c>
      <c r="J1781" s="4">
        <f>IFERROR(__xludf.DUMMYFUNCTION("DATE(INDEX(SPLIT(I1781,""/""),,3),INDEX(SPLIT(I1781,""/""),,2),INDEX(SPLIT(I1781,""/""),,1))"),44910.0)</f>
        <v>44910</v>
      </c>
      <c r="L1781" s="1">
        <v>0.0</v>
      </c>
      <c r="M1781" s="1" t="s">
        <v>1723</v>
      </c>
      <c r="N1781" s="1"/>
      <c r="O1781" s="1" t="s">
        <v>30</v>
      </c>
      <c r="P1781" s="1" t="s">
        <v>31</v>
      </c>
      <c r="Q1781" s="1" t="s">
        <v>157</v>
      </c>
      <c r="R1781" s="1" t="s">
        <v>157</v>
      </c>
      <c r="S1781" s="1" t="s">
        <v>158</v>
      </c>
      <c r="U1781" s="1">
        <v>1.00654085E8</v>
      </c>
      <c r="X1781" s="1" t="s">
        <v>74</v>
      </c>
      <c r="Y1781" s="1" t="s">
        <v>2014</v>
      </c>
      <c r="Z1781" s="1" t="s">
        <v>37</v>
      </c>
    </row>
    <row r="1782">
      <c r="A1782" s="1" t="s">
        <v>5838</v>
      </c>
      <c r="B1782" s="1" t="s">
        <v>5839</v>
      </c>
      <c r="C1782" s="1" t="s">
        <v>5840</v>
      </c>
      <c r="D1782" s="1" t="s">
        <v>27</v>
      </c>
      <c r="E1782" s="1" t="s">
        <v>28</v>
      </c>
      <c r="F1782" s="2">
        <v>500000.0</v>
      </c>
      <c r="G1782" s="1" t="s">
        <v>1058</v>
      </c>
      <c r="H1782" s="4">
        <f>IFERROR(__xludf.DUMMYFUNCTION("DATE(INDEX(SPLIT(G1782,""/""),,3),INDEX(SPLIT(G1782,""/""),,2),INDEX(SPLIT(G1782,""/""),,1))"),44733.0)</f>
        <v>44733</v>
      </c>
      <c r="I1782" s="1" t="s">
        <v>69</v>
      </c>
      <c r="J1782" s="4">
        <f>IFERROR(__xludf.DUMMYFUNCTION("DATE(INDEX(SPLIT(I1782,""/""),,3),INDEX(SPLIT(I1782,""/""),,2),INDEX(SPLIT(I1782,""/""),,1))"),44773.0)</f>
        <v>44773</v>
      </c>
      <c r="L1782" s="1">
        <v>0.0</v>
      </c>
      <c r="M1782" s="1" t="s">
        <v>3212</v>
      </c>
      <c r="N1782" s="1"/>
      <c r="O1782" s="1" t="s">
        <v>30</v>
      </c>
      <c r="P1782" s="1" t="s">
        <v>31</v>
      </c>
      <c r="Q1782" s="1" t="s">
        <v>53</v>
      </c>
      <c r="R1782" s="1" t="s">
        <v>53</v>
      </c>
      <c r="S1782" s="1" t="s">
        <v>54</v>
      </c>
      <c r="U1782" s="1">
        <v>1.00898415E8</v>
      </c>
      <c r="X1782" s="1" t="s">
        <v>239</v>
      </c>
      <c r="Y1782" s="1" t="s">
        <v>4936</v>
      </c>
      <c r="Z1782" s="1" t="s">
        <v>37</v>
      </c>
    </row>
    <row r="1783" hidden="1">
      <c r="A1783" s="1" t="s">
        <v>5841</v>
      </c>
      <c r="B1783" s="1" t="s">
        <v>5842</v>
      </c>
      <c r="C1783" s="1" t="s">
        <v>5843</v>
      </c>
      <c r="D1783" s="1" t="s">
        <v>27</v>
      </c>
      <c r="E1783" s="1" t="s">
        <v>28</v>
      </c>
      <c r="F1783" s="2">
        <v>500000.0</v>
      </c>
      <c r="G1783" s="1" t="s">
        <v>472</v>
      </c>
      <c r="H1783" s="4">
        <f>IFERROR(__xludf.DUMMYFUNCTION("DATE(INDEX(SPLIT(G1783,""/""),,3),INDEX(SPLIT(G1783,""/""),,2),INDEX(SPLIT(G1783,""/""),,1))"),44760.0)</f>
        <v>44760</v>
      </c>
      <c r="I1783" s="1" t="s">
        <v>569</v>
      </c>
      <c r="J1783" s="4">
        <f>IFERROR(__xludf.DUMMYFUNCTION("DATE(INDEX(SPLIT(I1783,""/""),,3),INDEX(SPLIT(I1783,""/""),,2),INDEX(SPLIT(I1783,""/""),,1))"),45016.0)</f>
        <v>45016</v>
      </c>
      <c r="L1783" s="1">
        <v>0.0</v>
      </c>
      <c r="M1783" s="1" t="s">
        <v>1723</v>
      </c>
      <c r="N1783" s="1"/>
      <c r="O1783" s="1" t="s">
        <v>30</v>
      </c>
      <c r="P1783" s="1" t="s">
        <v>31</v>
      </c>
      <c r="Q1783" s="1" t="s">
        <v>157</v>
      </c>
      <c r="R1783" s="1" t="s">
        <v>157</v>
      </c>
      <c r="S1783" s="1" t="s">
        <v>158</v>
      </c>
      <c r="U1783" s="1">
        <v>1.00654085E8</v>
      </c>
      <c r="X1783" s="1" t="s">
        <v>74</v>
      </c>
      <c r="Y1783" s="1" t="s">
        <v>2014</v>
      </c>
      <c r="Z1783" s="1" t="s">
        <v>37</v>
      </c>
    </row>
    <row r="1784" hidden="1">
      <c r="A1784" s="1" t="s">
        <v>5844</v>
      </c>
      <c r="B1784" s="1" t="s">
        <v>1070</v>
      </c>
      <c r="C1784" s="1" t="s">
        <v>5845</v>
      </c>
      <c r="D1784" s="1" t="s">
        <v>27</v>
      </c>
      <c r="E1784" s="1" t="s">
        <v>28</v>
      </c>
      <c r="F1784" s="2">
        <v>500000.0</v>
      </c>
      <c r="G1784" s="1" t="s">
        <v>93</v>
      </c>
      <c r="H1784" s="4">
        <f>IFERROR(__xludf.DUMMYFUNCTION("DATE(INDEX(SPLIT(G1784,""/""),,3),INDEX(SPLIT(G1784,""/""),,2),INDEX(SPLIT(G1784,""/""),,1))"),44671.0)</f>
        <v>44671</v>
      </c>
      <c r="I1784" s="1" t="s">
        <v>360</v>
      </c>
      <c r="J1784" s="4">
        <f>IFERROR(__xludf.DUMMYFUNCTION("DATE(INDEX(SPLIT(I1784,""/""),,3),INDEX(SPLIT(I1784,""/""),,2),INDEX(SPLIT(I1784,""/""),,1))"),44895.0)</f>
        <v>44895</v>
      </c>
      <c r="L1784" s="1">
        <v>0.0</v>
      </c>
      <c r="M1784" s="1" t="s">
        <v>2787</v>
      </c>
      <c r="N1784" s="1"/>
      <c r="O1784" s="1" t="s">
        <v>30</v>
      </c>
      <c r="P1784" s="1" t="s">
        <v>31</v>
      </c>
      <c r="Q1784" s="1" t="s">
        <v>157</v>
      </c>
      <c r="R1784" s="1" t="s">
        <v>157</v>
      </c>
      <c r="S1784" s="1" t="s">
        <v>158</v>
      </c>
      <c r="U1784" s="1">
        <v>1.00708984E8</v>
      </c>
      <c r="X1784" s="1" t="s">
        <v>305</v>
      </c>
      <c r="Y1784" s="1" t="s">
        <v>2787</v>
      </c>
      <c r="Z1784" s="1" t="s">
        <v>37</v>
      </c>
    </row>
    <row r="1785" hidden="1">
      <c r="A1785" s="1" t="s">
        <v>5846</v>
      </c>
      <c r="B1785" s="1" t="s">
        <v>4055</v>
      </c>
      <c r="C1785" s="1" t="s">
        <v>5847</v>
      </c>
      <c r="D1785" s="1" t="s">
        <v>78</v>
      </c>
      <c r="E1785" s="1" t="s">
        <v>28</v>
      </c>
      <c r="F1785" s="2">
        <v>500000.0</v>
      </c>
      <c r="G1785" s="4">
        <v>44206.0</v>
      </c>
      <c r="H1785" s="4">
        <f>IFERROR(__xludf.DUMMYFUNCTION("DATE(INDEX(SPLIT(G1785,""/""),,3),INDEX(SPLIT(G1785,""/""),,2),INDEX(SPLIT(G1785,""/""),,1))"),44470.0)</f>
        <v>44470</v>
      </c>
      <c r="I1785" s="1" t="s">
        <v>130</v>
      </c>
      <c r="J1785" s="4">
        <f>IFERROR(__xludf.DUMMYFUNCTION("DATE(INDEX(SPLIT(I1785,""/""),,3),INDEX(SPLIT(I1785,""/""),,2),INDEX(SPLIT(I1785,""/""),,1))"),44804.0)</f>
        <v>44804</v>
      </c>
      <c r="L1785" s="1">
        <v>0.0</v>
      </c>
      <c r="M1785" s="1" t="s">
        <v>780</v>
      </c>
      <c r="N1785" s="1"/>
      <c r="O1785" s="1" t="s">
        <v>30</v>
      </c>
      <c r="P1785" s="1" t="s">
        <v>31</v>
      </c>
      <c r="Q1785" s="1" t="s">
        <v>157</v>
      </c>
      <c r="R1785" s="1" t="s">
        <v>157</v>
      </c>
      <c r="S1785" s="1" t="s">
        <v>158</v>
      </c>
      <c r="T1785" s="1" t="s">
        <v>442</v>
      </c>
      <c r="U1785" s="1">
        <v>1.00654914E8</v>
      </c>
      <c r="X1785" s="1" t="s">
        <v>63</v>
      </c>
      <c r="Y1785" s="1" t="s">
        <v>3520</v>
      </c>
      <c r="Z1785" s="1" t="s">
        <v>37</v>
      </c>
    </row>
    <row r="1786">
      <c r="A1786" s="1" t="s">
        <v>5848</v>
      </c>
      <c r="B1786" s="1" t="s">
        <v>1619</v>
      </c>
      <c r="C1786" s="1" t="s">
        <v>5849</v>
      </c>
      <c r="D1786" s="1" t="s">
        <v>78</v>
      </c>
      <c r="E1786" s="1" t="s">
        <v>28</v>
      </c>
      <c r="F1786" s="2">
        <v>500000.0</v>
      </c>
      <c r="G1786" s="1" t="s">
        <v>4036</v>
      </c>
      <c r="H1786" s="4">
        <f>IFERROR(__xludf.DUMMYFUNCTION("DATE(INDEX(SPLIT(G1786,""/""),,3),INDEX(SPLIT(G1786,""/""),,2),INDEX(SPLIT(G1786,""/""),,1))"),44592.0)</f>
        <v>44592</v>
      </c>
      <c r="I1786" s="1" t="s">
        <v>226</v>
      </c>
      <c r="J1786" s="4">
        <f>IFERROR(__xludf.DUMMYFUNCTION("DATE(INDEX(SPLIT(I1786,""/""),,3),INDEX(SPLIT(I1786,""/""),,2),INDEX(SPLIT(I1786,""/""),,1))"),44771.0)</f>
        <v>44771</v>
      </c>
      <c r="L1786" s="1">
        <v>0.0</v>
      </c>
      <c r="M1786" s="1" t="s">
        <v>1621</v>
      </c>
      <c r="N1786" s="1"/>
      <c r="O1786" s="1" t="s">
        <v>30</v>
      </c>
      <c r="P1786" s="1" t="s">
        <v>31</v>
      </c>
      <c r="Q1786" s="1" t="s">
        <v>157</v>
      </c>
      <c r="R1786" s="1" t="s">
        <v>157</v>
      </c>
      <c r="S1786" s="1" t="s">
        <v>158</v>
      </c>
      <c r="T1786" s="1" t="s">
        <v>634</v>
      </c>
      <c r="U1786" s="1">
        <v>1.00650783E8</v>
      </c>
      <c r="X1786" s="1" t="s">
        <v>117</v>
      </c>
      <c r="Y1786" s="1" t="s">
        <v>1621</v>
      </c>
      <c r="Z1786" s="1" t="s">
        <v>37</v>
      </c>
    </row>
    <row r="1787">
      <c r="A1787" s="1" t="s">
        <v>5850</v>
      </c>
      <c r="B1787" s="1" t="s">
        <v>5851</v>
      </c>
      <c r="C1787" s="1" t="s">
        <v>5852</v>
      </c>
      <c r="D1787" s="1" t="s">
        <v>27</v>
      </c>
      <c r="E1787" s="1" t="s">
        <v>28</v>
      </c>
      <c r="F1787" s="2">
        <v>500000.0</v>
      </c>
      <c r="G1787" s="4">
        <v>44870.0</v>
      </c>
      <c r="H1787" s="4">
        <f>IFERROR(__xludf.DUMMYFUNCTION("DATE(INDEX(SPLIT(G1787,""/""),,3),INDEX(SPLIT(G1787,""/""),,2),INDEX(SPLIT(G1787,""/""),,1))"),44692.0)</f>
        <v>44692</v>
      </c>
      <c r="I1787" s="1" t="s">
        <v>1244</v>
      </c>
      <c r="J1787" s="4">
        <f>IFERROR(__xludf.DUMMYFUNCTION("DATE(INDEX(SPLIT(I1787,""/""),,3),INDEX(SPLIT(I1787,""/""),,2),INDEX(SPLIT(I1787,""/""),,1))"),44742.0)</f>
        <v>44742</v>
      </c>
      <c r="L1787" s="1">
        <v>0.0</v>
      </c>
      <c r="M1787" s="1" t="s">
        <v>1088</v>
      </c>
      <c r="N1787" s="1"/>
      <c r="O1787" s="1" t="s">
        <v>30</v>
      </c>
      <c r="P1787" s="1" t="s">
        <v>31</v>
      </c>
      <c r="Q1787" s="1" t="s">
        <v>71</v>
      </c>
      <c r="R1787" s="1" t="s">
        <v>71</v>
      </c>
      <c r="S1787" s="1" t="s">
        <v>72</v>
      </c>
      <c r="T1787" s="1" t="s">
        <v>136</v>
      </c>
      <c r="U1787" s="1">
        <v>1.0090037E8</v>
      </c>
      <c r="X1787" s="1" t="s">
        <v>74</v>
      </c>
      <c r="Y1787" s="1" t="s">
        <v>1088</v>
      </c>
      <c r="Z1787" s="1" t="s">
        <v>37</v>
      </c>
    </row>
    <row r="1788" hidden="1">
      <c r="A1788" s="1" t="s">
        <v>5853</v>
      </c>
      <c r="B1788" s="1" t="s">
        <v>5398</v>
      </c>
      <c r="C1788" s="1" t="s">
        <v>5854</v>
      </c>
      <c r="D1788" s="1" t="s">
        <v>78</v>
      </c>
      <c r="E1788" s="1" t="s">
        <v>28</v>
      </c>
      <c r="F1788" s="2">
        <v>500000.0</v>
      </c>
      <c r="G1788" s="4">
        <v>44113.0</v>
      </c>
      <c r="H1788" s="4">
        <f>IFERROR(__xludf.DUMMYFUNCTION("DATE(INDEX(SPLIT(G1788,""/""),,3),INDEX(SPLIT(G1788,""/""),,2),INDEX(SPLIT(G1788,""/""),,1))"),44084.0)</f>
        <v>44084</v>
      </c>
      <c r="I1788" s="1" t="s">
        <v>130</v>
      </c>
      <c r="J1788" s="4">
        <f>IFERROR(__xludf.DUMMYFUNCTION("DATE(INDEX(SPLIT(I1788,""/""),,3),INDEX(SPLIT(I1788,""/""),,2),INDEX(SPLIT(I1788,""/""),,1))"),44804.0)</f>
        <v>44804</v>
      </c>
      <c r="L1788" s="1">
        <v>0.0</v>
      </c>
      <c r="M1788" s="1" t="s">
        <v>1348</v>
      </c>
      <c r="N1788" s="1"/>
      <c r="O1788" s="1" t="s">
        <v>30</v>
      </c>
      <c r="P1788" s="1" t="s">
        <v>31</v>
      </c>
      <c r="Q1788" s="1" t="s">
        <v>235</v>
      </c>
      <c r="R1788" s="1" t="s">
        <v>235</v>
      </c>
      <c r="S1788" s="1" t="s">
        <v>236</v>
      </c>
      <c r="T1788" s="1" t="s">
        <v>571</v>
      </c>
      <c r="U1788" s="1">
        <v>1.00660608E8</v>
      </c>
      <c r="X1788" s="1" t="s">
        <v>609</v>
      </c>
      <c r="Y1788" s="1" t="s">
        <v>1348</v>
      </c>
      <c r="Z1788" s="1" t="s">
        <v>37</v>
      </c>
    </row>
    <row r="1789" hidden="1">
      <c r="A1789" s="1" t="s">
        <v>5855</v>
      </c>
      <c r="B1789" s="1" t="s">
        <v>5856</v>
      </c>
      <c r="C1789" s="1" t="s">
        <v>5857</v>
      </c>
      <c r="D1789" s="1" t="s">
        <v>78</v>
      </c>
      <c r="E1789" s="1" t="s">
        <v>28</v>
      </c>
      <c r="F1789" s="2">
        <v>500000.0</v>
      </c>
      <c r="G1789" s="1" t="s">
        <v>418</v>
      </c>
      <c r="H1789" s="4">
        <f>IFERROR(__xludf.DUMMYFUNCTION("DATE(INDEX(SPLIT(G1789,""/""),,3),INDEX(SPLIT(G1789,""/""),,2),INDEX(SPLIT(G1789,""/""),,1))"),44755.0)</f>
        <v>44755</v>
      </c>
      <c r="I1789" s="1" t="s">
        <v>130</v>
      </c>
      <c r="J1789" s="4">
        <f>IFERROR(__xludf.DUMMYFUNCTION("DATE(INDEX(SPLIT(I1789,""/""),,3),INDEX(SPLIT(I1789,""/""),,2),INDEX(SPLIT(I1789,""/""),,1))"),44804.0)</f>
        <v>44804</v>
      </c>
      <c r="L1789" s="1">
        <v>0.0</v>
      </c>
      <c r="M1789" s="1" t="s">
        <v>2945</v>
      </c>
      <c r="N1789" s="1"/>
      <c r="O1789" s="1" t="s">
        <v>30</v>
      </c>
      <c r="P1789" s="1" t="s">
        <v>31</v>
      </c>
      <c r="Q1789" s="1" t="s">
        <v>157</v>
      </c>
      <c r="R1789" s="1" t="s">
        <v>157</v>
      </c>
      <c r="S1789" s="1" t="s">
        <v>158</v>
      </c>
      <c r="U1789" s="1">
        <v>1.01138319E8</v>
      </c>
      <c r="X1789" s="1" t="s">
        <v>490</v>
      </c>
      <c r="Y1789" s="1" t="s">
        <v>2945</v>
      </c>
      <c r="Z1789" s="1" t="s">
        <v>206</v>
      </c>
    </row>
    <row r="1790">
      <c r="A1790" s="1" t="s">
        <v>5858</v>
      </c>
      <c r="B1790" s="1" t="s">
        <v>169</v>
      </c>
      <c r="C1790" s="1" t="s">
        <v>5859</v>
      </c>
      <c r="D1790" s="1" t="s">
        <v>78</v>
      </c>
      <c r="E1790" s="1" t="s">
        <v>28</v>
      </c>
      <c r="F1790" s="2">
        <v>500000.0</v>
      </c>
      <c r="G1790" s="4">
        <v>44682.0</v>
      </c>
      <c r="H1790" s="4">
        <f>IFERROR(__xludf.DUMMYFUNCTION("DATE(INDEX(SPLIT(G1790,""/""),,3),INDEX(SPLIT(G1790,""/""),,2),INDEX(SPLIT(G1790,""/""),,1))"),44566.0)</f>
        <v>44566</v>
      </c>
      <c r="I1790" s="1" t="s">
        <v>69</v>
      </c>
      <c r="J1790" s="4">
        <f>IFERROR(__xludf.DUMMYFUNCTION("DATE(INDEX(SPLIT(I1790,""/""),,3),INDEX(SPLIT(I1790,""/""),,2),INDEX(SPLIT(I1790,""/""),,1))"),44773.0)</f>
        <v>44773</v>
      </c>
      <c r="L1790" s="1">
        <v>0.0</v>
      </c>
      <c r="M1790" s="1" t="s">
        <v>1433</v>
      </c>
      <c r="N1790" s="1"/>
      <c r="O1790" s="1" t="s">
        <v>30</v>
      </c>
      <c r="P1790" s="1" t="s">
        <v>31</v>
      </c>
      <c r="Q1790" s="1" t="s">
        <v>228</v>
      </c>
      <c r="R1790" s="1" t="s">
        <v>228</v>
      </c>
      <c r="S1790" s="1" t="s">
        <v>229</v>
      </c>
      <c r="T1790" s="1" t="s">
        <v>505</v>
      </c>
      <c r="U1790" s="1">
        <v>1.00609118E8</v>
      </c>
      <c r="X1790" s="1" t="s">
        <v>117</v>
      </c>
      <c r="Y1790" s="1" t="s">
        <v>1433</v>
      </c>
      <c r="Z1790" s="1" t="s">
        <v>37</v>
      </c>
    </row>
    <row r="1791" hidden="1">
      <c r="A1791" s="1" t="s">
        <v>5860</v>
      </c>
      <c r="B1791" s="1" t="s">
        <v>555</v>
      </c>
      <c r="C1791" s="1" t="s">
        <v>5861</v>
      </c>
      <c r="D1791" s="1" t="s">
        <v>122</v>
      </c>
      <c r="E1791" s="1" t="s">
        <v>28</v>
      </c>
      <c r="F1791" s="2">
        <v>500000.0</v>
      </c>
      <c r="G1791" s="4">
        <v>44837.0</v>
      </c>
      <c r="H1791" s="4">
        <f>IFERROR(__xludf.DUMMYFUNCTION("DATE(INDEX(SPLIT(G1791,""/""),,3),INDEX(SPLIT(G1791,""/""),,2),INDEX(SPLIT(G1791,""/""),,1))"),44630.0)</f>
        <v>44630</v>
      </c>
      <c r="I1791" s="4">
        <v>44689.0</v>
      </c>
      <c r="J1791" s="4">
        <f>IFERROR(__xludf.DUMMYFUNCTION("DATE(INDEX(SPLIT(I1791,""/""),,3),INDEX(SPLIT(I1791,""/""),,2),INDEX(SPLIT(I1791,""/""),,1))"),44778.0)</f>
        <v>44778</v>
      </c>
      <c r="L1791" s="1">
        <v>0.0</v>
      </c>
      <c r="M1791" s="1" t="s">
        <v>558</v>
      </c>
      <c r="N1791" s="1"/>
      <c r="O1791" s="1" t="s">
        <v>30</v>
      </c>
      <c r="P1791" s="1" t="s">
        <v>31</v>
      </c>
      <c r="Q1791" s="1" t="s">
        <v>53</v>
      </c>
      <c r="R1791" s="1" t="s">
        <v>53</v>
      </c>
      <c r="S1791" s="1" t="s">
        <v>54</v>
      </c>
      <c r="T1791" s="1" t="s">
        <v>87</v>
      </c>
      <c r="U1791" s="1">
        <v>1.00653597E8</v>
      </c>
      <c r="X1791" s="1" t="s">
        <v>88</v>
      </c>
      <c r="Y1791" s="1" t="s">
        <v>558</v>
      </c>
      <c r="Z1791" s="1" t="s">
        <v>37</v>
      </c>
    </row>
    <row r="1792" hidden="1">
      <c r="A1792" s="1" t="s">
        <v>5862</v>
      </c>
      <c r="B1792" s="1" t="s">
        <v>2000</v>
      </c>
      <c r="C1792" s="1" t="s">
        <v>5863</v>
      </c>
      <c r="D1792" s="1" t="s">
        <v>122</v>
      </c>
      <c r="E1792" s="1" t="s">
        <v>28</v>
      </c>
      <c r="F1792" s="2">
        <v>500000.0</v>
      </c>
      <c r="G1792" s="1" t="s">
        <v>3444</v>
      </c>
      <c r="H1792" s="4">
        <f>IFERROR(__xludf.DUMMYFUNCTION("DATE(INDEX(SPLIT(G1792,""/""),,3),INDEX(SPLIT(G1792,""/""),,2),INDEX(SPLIT(G1792,""/""),,1))"),44545.0)</f>
        <v>44545</v>
      </c>
      <c r="I1792" s="4">
        <v>44604.0</v>
      </c>
      <c r="J1792" s="4">
        <f>IFERROR(__xludf.DUMMYFUNCTION("DATE(INDEX(SPLIT(I1792,""/""),,3),INDEX(SPLIT(I1792,""/""),,2),INDEX(SPLIT(I1792,""/""),,1))"),44897.0)</f>
        <v>44897</v>
      </c>
      <c r="L1792" s="1">
        <v>0.0</v>
      </c>
      <c r="M1792" s="1" t="s">
        <v>4705</v>
      </c>
      <c r="N1792" s="1"/>
      <c r="O1792" s="1" t="s">
        <v>30</v>
      </c>
      <c r="P1792" s="1" t="s">
        <v>31</v>
      </c>
      <c r="Q1792" s="1" t="s">
        <v>95</v>
      </c>
      <c r="R1792" s="1" t="s">
        <v>95</v>
      </c>
      <c r="S1792" s="1" t="s">
        <v>96</v>
      </c>
      <c r="U1792" s="1">
        <v>1.00615309E8</v>
      </c>
      <c r="X1792" s="1" t="s">
        <v>609</v>
      </c>
      <c r="Y1792" s="1" t="s">
        <v>5864</v>
      </c>
      <c r="Z1792" s="1" t="s">
        <v>527</v>
      </c>
    </row>
    <row r="1793" hidden="1">
      <c r="A1793" s="1" t="s">
        <v>5865</v>
      </c>
      <c r="B1793" s="1" t="s">
        <v>337</v>
      </c>
      <c r="C1793" s="1" t="s">
        <v>5866</v>
      </c>
      <c r="D1793" s="1" t="s">
        <v>27</v>
      </c>
      <c r="E1793" s="1" t="s">
        <v>28</v>
      </c>
      <c r="F1793" s="2">
        <v>500000.0</v>
      </c>
      <c r="G1793" s="1" t="s">
        <v>1212</v>
      </c>
      <c r="H1793" s="4">
        <f>IFERROR(__xludf.DUMMYFUNCTION("DATE(INDEX(SPLIT(G1793,""/""),,3),INDEX(SPLIT(G1793,""/""),,2),INDEX(SPLIT(G1793,""/""),,1))"),44391.0)</f>
        <v>44391</v>
      </c>
      <c r="I1793" s="1" t="s">
        <v>535</v>
      </c>
      <c r="J1793" s="4">
        <f>IFERROR(__xludf.DUMMYFUNCTION("DATE(INDEX(SPLIT(I1793,""/""),,3),INDEX(SPLIT(I1793,""/""),,2),INDEX(SPLIT(I1793,""/""),,1))"),44957.0)</f>
        <v>44957</v>
      </c>
      <c r="L1793" s="1">
        <v>0.0</v>
      </c>
      <c r="M1793" s="1" t="s">
        <v>344</v>
      </c>
      <c r="N1793" s="1"/>
      <c r="O1793" s="1" t="s">
        <v>30</v>
      </c>
      <c r="P1793" s="1" t="s">
        <v>31</v>
      </c>
      <c r="Q1793" s="1" t="s">
        <v>188</v>
      </c>
      <c r="R1793" s="1" t="s">
        <v>188</v>
      </c>
      <c r="S1793" s="1" t="s">
        <v>189</v>
      </c>
      <c r="U1793" s="1">
        <v>1.00646804E8</v>
      </c>
      <c r="X1793" s="1" t="s">
        <v>239</v>
      </c>
      <c r="Y1793" s="1" t="s">
        <v>2373</v>
      </c>
      <c r="Z1793" s="1" t="s">
        <v>37</v>
      </c>
    </row>
    <row r="1794" hidden="1">
      <c r="A1794" s="1" t="s">
        <v>5867</v>
      </c>
      <c r="B1794" s="1" t="s">
        <v>532</v>
      </c>
      <c r="C1794" s="1" t="s">
        <v>5868</v>
      </c>
      <c r="D1794" s="1" t="s">
        <v>27</v>
      </c>
      <c r="E1794" s="1" t="s">
        <v>28</v>
      </c>
      <c r="F1794" s="2">
        <v>500000.0</v>
      </c>
      <c r="G1794" s="1" t="s">
        <v>1044</v>
      </c>
      <c r="H1794" s="4">
        <f>IFERROR(__xludf.DUMMYFUNCTION("DATE(INDEX(SPLIT(G1794,""/""),,3),INDEX(SPLIT(G1794,""/""),,2),INDEX(SPLIT(G1794,""/""),,1))"),44588.0)</f>
        <v>44588</v>
      </c>
      <c r="I1794" s="1" t="s">
        <v>130</v>
      </c>
      <c r="J1794" s="4">
        <f>IFERROR(__xludf.DUMMYFUNCTION("DATE(INDEX(SPLIT(I1794,""/""),,3),INDEX(SPLIT(I1794,""/""),,2),INDEX(SPLIT(I1794,""/""),,1))"),44804.0)</f>
        <v>44804</v>
      </c>
      <c r="L1794" s="1">
        <v>0.0</v>
      </c>
      <c r="M1794" s="1" t="s">
        <v>2945</v>
      </c>
      <c r="N1794" s="1"/>
      <c r="O1794" s="1" t="s">
        <v>30</v>
      </c>
      <c r="P1794" s="1" t="s">
        <v>31</v>
      </c>
      <c r="Q1794" s="1" t="s">
        <v>157</v>
      </c>
      <c r="R1794" s="1" t="s">
        <v>157</v>
      </c>
      <c r="S1794" s="1" t="s">
        <v>158</v>
      </c>
      <c r="U1794" s="1">
        <v>1.01138319E8</v>
      </c>
      <c r="X1794" s="1" t="s">
        <v>490</v>
      </c>
      <c r="Y1794" s="1" t="s">
        <v>2945</v>
      </c>
      <c r="Z1794" s="1" t="s">
        <v>206</v>
      </c>
    </row>
    <row r="1795" hidden="1">
      <c r="A1795" s="1" t="s">
        <v>5869</v>
      </c>
      <c r="B1795" s="1" t="s">
        <v>5870</v>
      </c>
      <c r="C1795" s="1" t="s">
        <v>5871</v>
      </c>
      <c r="D1795" s="1" t="s">
        <v>27</v>
      </c>
      <c r="E1795" s="1" t="s">
        <v>28</v>
      </c>
      <c r="F1795" s="2">
        <v>500000.0</v>
      </c>
      <c r="G1795" s="1" t="s">
        <v>5872</v>
      </c>
      <c r="H1795" s="4">
        <f>IFERROR(__xludf.DUMMYFUNCTION("DATE(INDEX(SPLIT(G1795,""/""),,3),INDEX(SPLIT(G1795,""/""),,2),INDEX(SPLIT(G1795,""/""),,1))"),44057.0)</f>
        <v>44057</v>
      </c>
      <c r="I1795" s="1" t="s">
        <v>42</v>
      </c>
      <c r="J1795" s="4">
        <f>IFERROR(__xludf.DUMMYFUNCTION("DATE(INDEX(SPLIT(I1795,""/""),,3),INDEX(SPLIT(I1795,""/""),,2),INDEX(SPLIT(I1795,""/""),,1))"),44926.0)</f>
        <v>44926</v>
      </c>
      <c r="L1795" s="1">
        <v>0.0</v>
      </c>
      <c r="M1795" s="1" t="s">
        <v>524</v>
      </c>
      <c r="N1795" s="1"/>
      <c r="O1795" s="1" t="s">
        <v>30</v>
      </c>
      <c r="P1795" s="1" t="s">
        <v>31</v>
      </c>
      <c r="Q1795" s="1" t="s">
        <v>32</v>
      </c>
      <c r="R1795" s="1" t="s">
        <v>32</v>
      </c>
      <c r="S1795" s="1" t="s">
        <v>33</v>
      </c>
      <c r="T1795" s="1" t="s">
        <v>159</v>
      </c>
      <c r="U1795" s="1">
        <v>1.00627768E8</v>
      </c>
      <c r="X1795" s="1" t="s">
        <v>81</v>
      </c>
      <c r="Y1795" s="1" t="s">
        <v>524</v>
      </c>
      <c r="Z1795" s="1" t="s">
        <v>527</v>
      </c>
    </row>
    <row r="1796" hidden="1">
      <c r="A1796" s="1" t="s">
        <v>5873</v>
      </c>
      <c r="B1796" s="1" t="s">
        <v>1634</v>
      </c>
      <c r="C1796" s="1" t="s">
        <v>2221</v>
      </c>
      <c r="D1796" s="1" t="s">
        <v>122</v>
      </c>
      <c r="E1796" s="1" t="s">
        <v>28</v>
      </c>
      <c r="F1796" s="2">
        <v>500000.0</v>
      </c>
      <c r="G1796" s="4">
        <v>44085.0</v>
      </c>
      <c r="H1796" s="4">
        <f>IFERROR(__xludf.DUMMYFUNCTION("DATE(INDEX(SPLIT(G1796,""/""),,3),INDEX(SPLIT(G1796,""/""),,2),INDEX(SPLIT(G1796,""/""),,1))"),44144.0)</f>
        <v>44144</v>
      </c>
      <c r="I1796" s="1" t="s">
        <v>130</v>
      </c>
      <c r="J1796" s="4">
        <f>IFERROR(__xludf.DUMMYFUNCTION("DATE(INDEX(SPLIT(I1796,""/""),,3),INDEX(SPLIT(I1796,""/""),,2),INDEX(SPLIT(I1796,""/""),,1))"),44804.0)</f>
        <v>44804</v>
      </c>
      <c r="L1796" s="1">
        <v>0.0</v>
      </c>
      <c r="M1796" s="1" t="s">
        <v>898</v>
      </c>
      <c r="N1796" s="1"/>
      <c r="O1796" s="1" t="s">
        <v>30</v>
      </c>
      <c r="P1796" s="1" t="s">
        <v>31</v>
      </c>
      <c r="Q1796" s="1" t="s">
        <v>71</v>
      </c>
      <c r="R1796" s="1" t="s">
        <v>71</v>
      </c>
      <c r="S1796" s="1" t="s">
        <v>72</v>
      </c>
      <c r="T1796" s="1" t="s">
        <v>615</v>
      </c>
      <c r="U1796" s="1">
        <v>1.00589481E8</v>
      </c>
      <c r="W1796" s="1" t="s">
        <v>56</v>
      </c>
      <c r="X1796" s="1" t="s">
        <v>490</v>
      </c>
      <c r="Y1796" s="1" t="s">
        <v>5874</v>
      </c>
      <c r="Z1796" s="1" t="s">
        <v>37</v>
      </c>
    </row>
    <row r="1797">
      <c r="A1797" s="1" t="s">
        <v>5875</v>
      </c>
      <c r="B1797" s="1" t="s">
        <v>5876</v>
      </c>
      <c r="C1797" s="1" t="s">
        <v>5877</v>
      </c>
      <c r="D1797" s="1" t="s">
        <v>122</v>
      </c>
      <c r="E1797" s="1" t="s">
        <v>28</v>
      </c>
      <c r="F1797" s="2">
        <v>500000.0</v>
      </c>
      <c r="G1797" s="1" t="s">
        <v>2632</v>
      </c>
      <c r="H1797" s="4">
        <f>IFERROR(__xludf.DUMMYFUNCTION("DATE(INDEX(SPLIT(G1797,""/""),,3),INDEX(SPLIT(G1797,""/""),,2),INDEX(SPLIT(G1797,""/""),,1))"),44702.0)</f>
        <v>44702</v>
      </c>
      <c r="I1797" s="1" t="s">
        <v>226</v>
      </c>
      <c r="J1797" s="4">
        <f>IFERROR(__xludf.DUMMYFUNCTION("DATE(INDEX(SPLIT(I1797,""/""),,3),INDEX(SPLIT(I1797,""/""),,2),INDEX(SPLIT(I1797,""/""),,1))"),44771.0)</f>
        <v>44771</v>
      </c>
      <c r="L1797" s="1">
        <v>0.0</v>
      </c>
      <c r="M1797" s="1" t="s">
        <v>3601</v>
      </c>
      <c r="N1797" s="1"/>
      <c r="O1797" s="1" t="s">
        <v>30</v>
      </c>
      <c r="P1797" s="1" t="s">
        <v>31</v>
      </c>
      <c r="Q1797" s="1" t="s">
        <v>71</v>
      </c>
      <c r="R1797" s="1" t="s">
        <v>71</v>
      </c>
      <c r="S1797" s="1" t="s">
        <v>72</v>
      </c>
      <c r="T1797" s="1" t="s">
        <v>136</v>
      </c>
      <c r="U1797" s="1">
        <v>1.00611547E8</v>
      </c>
      <c r="X1797" s="1" t="s">
        <v>2028</v>
      </c>
      <c r="Y1797" s="1" t="s">
        <v>3601</v>
      </c>
      <c r="Z1797" s="1" t="s">
        <v>37</v>
      </c>
    </row>
    <row r="1798">
      <c r="A1798" s="1" t="s">
        <v>5878</v>
      </c>
      <c r="B1798" s="1" t="s">
        <v>4352</v>
      </c>
      <c r="C1798" s="1" t="s">
        <v>5879</v>
      </c>
      <c r="D1798" s="1" t="s">
        <v>122</v>
      </c>
      <c r="E1798" s="1" t="s">
        <v>28</v>
      </c>
      <c r="F1798" s="2">
        <v>500000.0</v>
      </c>
      <c r="G1798" s="4">
        <v>44839.0</v>
      </c>
      <c r="H1798" s="4">
        <f>IFERROR(__xludf.DUMMYFUNCTION("DATE(INDEX(SPLIT(G1798,""/""),,3),INDEX(SPLIT(G1798,""/""),,2),INDEX(SPLIT(G1798,""/""),,1))"),44691.0)</f>
        <v>44691</v>
      </c>
      <c r="I1798" s="1" t="s">
        <v>1244</v>
      </c>
      <c r="J1798" s="4">
        <f>IFERROR(__xludf.DUMMYFUNCTION("DATE(INDEX(SPLIT(I1798,""/""),,3),INDEX(SPLIT(I1798,""/""),,2),INDEX(SPLIT(I1798,""/""),,1))"),44742.0)</f>
        <v>44742</v>
      </c>
      <c r="L1798" s="1">
        <v>0.0</v>
      </c>
      <c r="M1798" s="1" t="s">
        <v>5880</v>
      </c>
      <c r="N1798" s="1"/>
      <c r="O1798" s="1" t="s">
        <v>30</v>
      </c>
      <c r="P1798" s="1" t="s">
        <v>31</v>
      </c>
      <c r="Q1798" s="1" t="s">
        <v>228</v>
      </c>
      <c r="R1798" s="1" t="s">
        <v>228</v>
      </c>
      <c r="S1798" s="1" t="s">
        <v>229</v>
      </c>
      <c r="T1798" s="1" t="s">
        <v>1195</v>
      </c>
      <c r="U1798" s="1">
        <v>1.00933537E8</v>
      </c>
      <c r="X1798" s="1" t="s">
        <v>490</v>
      </c>
      <c r="Y1798" s="1" t="s">
        <v>5881</v>
      </c>
      <c r="Z1798" s="1" t="s">
        <v>37</v>
      </c>
    </row>
    <row r="1799" hidden="1">
      <c r="A1799" s="1" t="s">
        <v>5882</v>
      </c>
      <c r="B1799" s="1" t="s">
        <v>532</v>
      </c>
      <c r="C1799" s="1" t="s">
        <v>5883</v>
      </c>
      <c r="D1799" s="1" t="s">
        <v>27</v>
      </c>
      <c r="E1799" s="1" t="s">
        <v>28</v>
      </c>
      <c r="F1799" s="2">
        <v>500000.0</v>
      </c>
      <c r="G1799" s="4">
        <v>44563.0</v>
      </c>
      <c r="H1799" s="4">
        <f>IFERROR(__xludf.DUMMYFUNCTION("DATE(INDEX(SPLIT(G1799,""/""),,3),INDEX(SPLIT(G1799,""/""),,2),INDEX(SPLIT(G1799,""/""),,1))"),44593.0)</f>
        <v>44593</v>
      </c>
      <c r="I1799" s="1" t="s">
        <v>1678</v>
      </c>
      <c r="J1799" s="4">
        <f>IFERROR(__xludf.DUMMYFUNCTION("DATE(INDEX(SPLIT(I1799,""/""),,3),INDEX(SPLIT(I1799,""/""),,2),INDEX(SPLIT(I1799,""/""),,1))"),44819.0)</f>
        <v>44819</v>
      </c>
      <c r="L1799" s="1">
        <v>0.0</v>
      </c>
      <c r="M1799" s="1" t="s">
        <v>1639</v>
      </c>
      <c r="N1799" s="1"/>
      <c r="O1799" s="1" t="s">
        <v>30</v>
      </c>
      <c r="P1799" s="1" t="s">
        <v>31</v>
      </c>
      <c r="Q1799" s="1" t="s">
        <v>53</v>
      </c>
      <c r="R1799" s="1" t="s">
        <v>53</v>
      </c>
      <c r="S1799" s="1" t="s">
        <v>54</v>
      </c>
      <c r="T1799" s="1" t="s">
        <v>634</v>
      </c>
      <c r="U1799" s="1">
        <v>1.0065462E8</v>
      </c>
      <c r="X1799" s="1" t="s">
        <v>490</v>
      </c>
      <c r="Y1799" s="1" t="s">
        <v>1639</v>
      </c>
      <c r="Z1799" s="1" t="s">
        <v>37</v>
      </c>
    </row>
    <row r="1800" hidden="1">
      <c r="A1800" s="1" t="s">
        <v>5884</v>
      </c>
      <c r="B1800" s="1" t="s">
        <v>4350</v>
      </c>
      <c r="C1800" s="1" t="s">
        <v>5885</v>
      </c>
      <c r="D1800" s="1" t="s">
        <v>78</v>
      </c>
      <c r="E1800" s="1" t="s">
        <v>28</v>
      </c>
      <c r="F1800" s="2">
        <v>500000.0</v>
      </c>
      <c r="G1800" s="1" t="s">
        <v>5065</v>
      </c>
      <c r="H1800" s="4">
        <f>IFERROR(__xludf.DUMMYFUNCTION("DATE(INDEX(SPLIT(G1800,""/""),,3),INDEX(SPLIT(G1800,""/""),,2),INDEX(SPLIT(G1800,""/""),,1))"),44008.0)</f>
        <v>44008</v>
      </c>
      <c r="I1800" s="1" t="s">
        <v>487</v>
      </c>
      <c r="J1800" s="4">
        <f>IFERROR(__xludf.DUMMYFUNCTION("DATE(INDEX(SPLIT(I1800,""/""),,3),INDEX(SPLIT(I1800,""/""),,2),INDEX(SPLIT(I1800,""/""),,1))"),44855.0)</f>
        <v>44855</v>
      </c>
      <c r="L1800" s="1">
        <v>0.0</v>
      </c>
      <c r="M1800" s="1" t="s">
        <v>441</v>
      </c>
      <c r="N1800" s="1"/>
      <c r="O1800" s="1" t="s">
        <v>30</v>
      </c>
      <c r="P1800" s="1" t="s">
        <v>31</v>
      </c>
      <c r="Q1800" s="1" t="s">
        <v>157</v>
      </c>
      <c r="R1800" s="1" t="s">
        <v>157</v>
      </c>
      <c r="S1800" s="1" t="s">
        <v>158</v>
      </c>
      <c r="T1800" s="1" t="s">
        <v>442</v>
      </c>
      <c r="U1800" s="1">
        <v>1.00581784E8</v>
      </c>
      <c r="X1800" s="1" t="s">
        <v>125</v>
      </c>
      <c r="Y1800" s="1" t="s">
        <v>441</v>
      </c>
      <c r="Z1800" s="1" t="s">
        <v>37</v>
      </c>
    </row>
    <row r="1801">
      <c r="A1801" s="1" t="s">
        <v>5886</v>
      </c>
      <c r="B1801" s="1" t="s">
        <v>650</v>
      </c>
      <c r="C1801" s="1" t="s">
        <v>5887</v>
      </c>
      <c r="D1801" s="1" t="s">
        <v>27</v>
      </c>
      <c r="E1801" s="1" t="s">
        <v>28</v>
      </c>
      <c r="F1801" s="2">
        <v>500000.0</v>
      </c>
      <c r="G1801" s="1" t="s">
        <v>1598</v>
      </c>
      <c r="H1801" s="4">
        <f>IFERROR(__xludf.DUMMYFUNCTION("DATE(INDEX(SPLIT(G1801,""/""),,3),INDEX(SPLIT(G1801,""/""),,2),INDEX(SPLIT(G1801,""/""),,1))"),44461.0)</f>
        <v>44461</v>
      </c>
      <c r="I1801" s="1" t="s">
        <v>1244</v>
      </c>
      <c r="J1801" s="4">
        <f>IFERROR(__xludf.DUMMYFUNCTION("DATE(INDEX(SPLIT(I1801,""/""),,3),INDEX(SPLIT(I1801,""/""),,2),INDEX(SPLIT(I1801,""/""),,1))"),44742.0)</f>
        <v>44742</v>
      </c>
      <c r="L1801" s="1">
        <v>0.0</v>
      </c>
      <c r="M1801" s="1" t="s">
        <v>5888</v>
      </c>
      <c r="N1801" s="1"/>
      <c r="O1801" s="1" t="s">
        <v>30</v>
      </c>
      <c r="P1801" s="1" t="s">
        <v>31</v>
      </c>
      <c r="Q1801" s="1" t="s">
        <v>32</v>
      </c>
      <c r="R1801" s="1" t="s">
        <v>32</v>
      </c>
      <c r="S1801" s="1" t="s">
        <v>33</v>
      </c>
      <c r="T1801" s="1" t="s">
        <v>103</v>
      </c>
      <c r="U1801" s="1">
        <v>1.00586334E8</v>
      </c>
      <c r="X1801" s="1" t="s">
        <v>63</v>
      </c>
      <c r="Y1801" s="1" t="s">
        <v>5888</v>
      </c>
      <c r="Z1801" s="1" t="s">
        <v>37</v>
      </c>
    </row>
    <row r="1802" hidden="1">
      <c r="A1802" s="1" t="s">
        <v>5889</v>
      </c>
      <c r="B1802" s="1" t="s">
        <v>5890</v>
      </c>
      <c r="C1802" s="1" t="s">
        <v>5891</v>
      </c>
      <c r="D1802" s="1" t="s">
        <v>27</v>
      </c>
      <c r="E1802" s="1" t="s">
        <v>28</v>
      </c>
      <c r="F1802" s="2">
        <v>500000.0</v>
      </c>
      <c r="G1802" s="4">
        <v>44567.0</v>
      </c>
      <c r="H1802" s="4">
        <f>IFERROR(__xludf.DUMMYFUNCTION("DATE(INDEX(SPLIT(G1802,""/""),,3),INDEX(SPLIT(G1802,""/""),,2),INDEX(SPLIT(G1802,""/""),,1))"),44713.0)</f>
        <v>44713</v>
      </c>
      <c r="I1802" s="1" t="s">
        <v>109</v>
      </c>
      <c r="J1802" s="4">
        <f>IFERROR(__xludf.DUMMYFUNCTION("DATE(INDEX(SPLIT(I1802,""/""),,3),INDEX(SPLIT(I1802,""/""),,2),INDEX(SPLIT(I1802,""/""),,1))"),44834.0)</f>
        <v>44834</v>
      </c>
      <c r="L1802" s="1">
        <v>0.0</v>
      </c>
      <c r="M1802" s="1" t="s">
        <v>1548</v>
      </c>
      <c r="N1802" s="1"/>
      <c r="O1802" s="1" t="s">
        <v>30</v>
      </c>
      <c r="P1802" s="1" t="s">
        <v>31</v>
      </c>
      <c r="Q1802" s="1" t="s">
        <v>32</v>
      </c>
      <c r="R1802" s="1" t="s">
        <v>32</v>
      </c>
      <c r="S1802" s="1" t="s">
        <v>33</v>
      </c>
      <c r="U1802" s="1">
        <v>1.01215106E8</v>
      </c>
      <c r="X1802" s="1" t="s">
        <v>46</v>
      </c>
      <c r="Y1802" s="1" t="s">
        <v>1548</v>
      </c>
      <c r="Z1802" s="1" t="s">
        <v>37</v>
      </c>
    </row>
    <row r="1803" hidden="1">
      <c r="A1803" s="1" t="s">
        <v>5892</v>
      </c>
      <c r="B1803" s="1" t="s">
        <v>1113</v>
      </c>
      <c r="C1803" s="1" t="s">
        <v>5893</v>
      </c>
      <c r="D1803" s="1" t="s">
        <v>78</v>
      </c>
      <c r="E1803" s="1" t="s">
        <v>28</v>
      </c>
      <c r="F1803" s="2">
        <v>500000.0</v>
      </c>
      <c r="G1803" s="1" t="s">
        <v>365</v>
      </c>
      <c r="H1803" s="4">
        <f>IFERROR(__xludf.DUMMYFUNCTION("DATE(INDEX(SPLIT(G1803,""/""),,3),INDEX(SPLIT(G1803,""/""),,2),INDEX(SPLIT(G1803,""/""),,1))"),44431.0)</f>
        <v>44431</v>
      </c>
      <c r="I1803" s="1" t="s">
        <v>281</v>
      </c>
      <c r="J1803" s="4">
        <f>IFERROR(__xludf.DUMMYFUNCTION("DATE(INDEX(SPLIT(I1803,""/""),,3),INDEX(SPLIT(I1803,""/""),,2),INDEX(SPLIT(I1803,""/""),,1))"),44865.0)</f>
        <v>44865</v>
      </c>
      <c r="L1803" s="1">
        <v>0.0</v>
      </c>
      <c r="M1803" s="1" t="s">
        <v>5894</v>
      </c>
      <c r="N1803" s="1"/>
      <c r="O1803" s="1" t="s">
        <v>30</v>
      </c>
      <c r="P1803" s="1" t="s">
        <v>31</v>
      </c>
      <c r="Q1803" s="1" t="s">
        <v>32</v>
      </c>
      <c r="R1803" s="1" t="s">
        <v>32</v>
      </c>
      <c r="S1803" s="1" t="s">
        <v>33</v>
      </c>
      <c r="T1803" s="1" t="s">
        <v>1195</v>
      </c>
      <c r="U1803" s="1">
        <v>1.00580806E8</v>
      </c>
      <c r="X1803" s="1" t="s">
        <v>490</v>
      </c>
      <c r="Y1803" s="1" t="s">
        <v>5894</v>
      </c>
      <c r="Z1803" s="1" t="s">
        <v>37</v>
      </c>
    </row>
    <row r="1804" hidden="1">
      <c r="A1804" s="1" t="s">
        <v>5895</v>
      </c>
      <c r="B1804" s="1" t="s">
        <v>76</v>
      </c>
      <c r="C1804" s="1" t="s">
        <v>5896</v>
      </c>
      <c r="D1804" s="1" t="s">
        <v>27</v>
      </c>
      <c r="E1804" s="1" t="s">
        <v>28</v>
      </c>
      <c r="F1804" s="2">
        <v>500000.0</v>
      </c>
      <c r="G1804" s="4">
        <v>44777.0</v>
      </c>
      <c r="H1804" s="4">
        <f>IFERROR(__xludf.DUMMYFUNCTION("DATE(INDEX(SPLIT(G1804,""/""),,3),INDEX(SPLIT(G1804,""/""),,2),INDEX(SPLIT(G1804,""/""),,1))"),44659.0)</f>
        <v>44659</v>
      </c>
      <c r="I1804" s="1" t="s">
        <v>317</v>
      </c>
      <c r="J1804" s="4">
        <f>IFERROR(__xludf.DUMMYFUNCTION("DATE(INDEX(SPLIT(I1804,""/""),,3),INDEX(SPLIT(I1804,""/""),,2),INDEX(SPLIT(I1804,""/""),,1))"),44862.0)</f>
        <v>44862</v>
      </c>
      <c r="L1804" s="1">
        <v>0.0</v>
      </c>
      <c r="M1804" s="1" t="s">
        <v>1084</v>
      </c>
      <c r="N1804" s="1"/>
      <c r="O1804" s="1" t="s">
        <v>30</v>
      </c>
      <c r="P1804" s="1" t="s">
        <v>31</v>
      </c>
      <c r="Q1804" s="1" t="s">
        <v>32</v>
      </c>
      <c r="R1804" s="1" t="s">
        <v>32</v>
      </c>
      <c r="S1804" s="1" t="s">
        <v>33</v>
      </c>
      <c r="T1804" s="1" t="s">
        <v>1386</v>
      </c>
      <c r="U1804" s="1">
        <v>1.00601386E8</v>
      </c>
      <c r="X1804" s="1" t="s">
        <v>81</v>
      </c>
      <c r="Y1804" s="1" t="s">
        <v>1084</v>
      </c>
      <c r="Z1804" s="1" t="s">
        <v>37</v>
      </c>
    </row>
    <row r="1805" hidden="1">
      <c r="A1805" s="1" t="s">
        <v>5897</v>
      </c>
      <c r="B1805" s="1" t="s">
        <v>5898</v>
      </c>
      <c r="C1805" s="1" t="s">
        <v>3405</v>
      </c>
      <c r="D1805" s="1" t="s">
        <v>27</v>
      </c>
      <c r="E1805" s="1" t="s">
        <v>28</v>
      </c>
      <c r="F1805" s="2">
        <v>500000.0</v>
      </c>
      <c r="G1805" s="1" t="s">
        <v>5065</v>
      </c>
      <c r="H1805" s="4">
        <f>IFERROR(__xludf.DUMMYFUNCTION("DATE(INDEX(SPLIT(G1805,""/""),,3),INDEX(SPLIT(G1805,""/""),,2),INDEX(SPLIT(G1805,""/""),,1))"),44008.0)</f>
        <v>44008</v>
      </c>
      <c r="I1805" s="1" t="s">
        <v>5899</v>
      </c>
      <c r="J1805" s="4">
        <f>IFERROR(__xludf.DUMMYFUNCTION("DATE(INDEX(SPLIT(I1805,""/""),,3),INDEX(SPLIT(I1805,""/""),,2),INDEX(SPLIT(I1805,""/""),,1))"),45066.0)</f>
        <v>45066</v>
      </c>
      <c r="L1805" s="1">
        <v>0.0</v>
      </c>
      <c r="M1805" s="1" t="s">
        <v>3408</v>
      </c>
      <c r="N1805" s="1"/>
      <c r="O1805" s="1" t="s">
        <v>30</v>
      </c>
      <c r="P1805" s="1" t="s">
        <v>31</v>
      </c>
      <c r="Q1805" s="1" t="s">
        <v>95</v>
      </c>
      <c r="R1805" s="1" t="s">
        <v>95</v>
      </c>
      <c r="S1805" s="1" t="s">
        <v>96</v>
      </c>
      <c r="T1805" s="1" t="s">
        <v>3409</v>
      </c>
      <c r="U1805" s="1">
        <v>1.00953783E8</v>
      </c>
      <c r="X1805" s="1" t="s">
        <v>312</v>
      </c>
      <c r="Y1805" s="1" t="s">
        <v>2689</v>
      </c>
      <c r="Z1805" s="1" t="s">
        <v>527</v>
      </c>
    </row>
    <row r="1806" hidden="1">
      <c r="A1806" s="1" t="s">
        <v>5900</v>
      </c>
      <c r="B1806" s="1" t="s">
        <v>948</v>
      </c>
      <c r="C1806" s="1" t="s">
        <v>5901</v>
      </c>
      <c r="D1806" s="1" t="s">
        <v>122</v>
      </c>
      <c r="E1806" s="1" t="s">
        <v>28</v>
      </c>
      <c r="F1806" s="2">
        <v>500000.0</v>
      </c>
      <c r="G1806" s="1" t="s">
        <v>5902</v>
      </c>
      <c r="H1806" s="4">
        <f>IFERROR(__xludf.DUMMYFUNCTION("DATE(INDEX(SPLIT(G1806,""/""),,3),INDEX(SPLIT(G1806,""/""),,2),INDEX(SPLIT(G1806,""/""),,1))"),44578.0)</f>
        <v>44578</v>
      </c>
      <c r="I1806" s="1" t="s">
        <v>1799</v>
      </c>
      <c r="J1806" s="4">
        <f>IFERROR(__xludf.DUMMYFUNCTION("DATE(INDEX(SPLIT(I1806,""/""),,3),INDEX(SPLIT(I1806,""/""),,2),INDEX(SPLIT(I1806,""/""),,1))"),44788.0)</f>
        <v>44788</v>
      </c>
      <c r="L1806" s="1">
        <v>0.0</v>
      </c>
      <c r="M1806" s="1" t="s">
        <v>5903</v>
      </c>
      <c r="N1806" s="1"/>
      <c r="O1806" s="1" t="s">
        <v>30</v>
      </c>
      <c r="P1806" s="1" t="s">
        <v>31</v>
      </c>
      <c r="Q1806" s="1" t="s">
        <v>71</v>
      </c>
      <c r="R1806" s="1" t="s">
        <v>71</v>
      </c>
      <c r="S1806" s="1" t="s">
        <v>72</v>
      </c>
      <c r="T1806" s="1" t="s">
        <v>181</v>
      </c>
      <c r="U1806" s="1">
        <v>1.00652988E8</v>
      </c>
      <c r="X1806" s="1" t="s">
        <v>74</v>
      </c>
      <c r="Y1806" s="1" t="s">
        <v>5903</v>
      </c>
      <c r="Z1806" s="1" t="s">
        <v>527</v>
      </c>
    </row>
    <row r="1807" hidden="1">
      <c r="A1807" s="1" t="s">
        <v>5904</v>
      </c>
      <c r="B1807" s="1" t="s">
        <v>1535</v>
      </c>
      <c r="C1807" s="1" t="s">
        <v>5905</v>
      </c>
      <c r="D1807" s="1" t="s">
        <v>78</v>
      </c>
      <c r="E1807" s="1" t="s">
        <v>28</v>
      </c>
      <c r="F1807" s="2">
        <v>500000.0</v>
      </c>
      <c r="G1807" s="1" t="s">
        <v>5872</v>
      </c>
      <c r="H1807" s="4">
        <f>IFERROR(__xludf.DUMMYFUNCTION("DATE(INDEX(SPLIT(G1807,""/""),,3),INDEX(SPLIT(G1807,""/""),,2),INDEX(SPLIT(G1807,""/""),,1))"),44057.0)</f>
        <v>44057</v>
      </c>
      <c r="I1807" s="1" t="s">
        <v>42</v>
      </c>
      <c r="J1807" s="4">
        <f>IFERROR(__xludf.DUMMYFUNCTION("DATE(INDEX(SPLIT(I1807,""/""),,3),INDEX(SPLIT(I1807,""/""),,2),INDEX(SPLIT(I1807,""/""),,1))"),44926.0)</f>
        <v>44926</v>
      </c>
      <c r="L1807" s="1">
        <v>0.0</v>
      </c>
      <c r="M1807" s="1" t="s">
        <v>1129</v>
      </c>
      <c r="N1807" s="1"/>
      <c r="O1807" s="1" t="s">
        <v>30</v>
      </c>
      <c r="P1807" s="1" t="s">
        <v>31</v>
      </c>
      <c r="Q1807" s="1" t="s">
        <v>157</v>
      </c>
      <c r="R1807" s="1" t="s">
        <v>157</v>
      </c>
      <c r="S1807" s="1" t="s">
        <v>158</v>
      </c>
      <c r="T1807" s="1" t="s">
        <v>442</v>
      </c>
      <c r="U1807" s="1">
        <v>1.00650786E8</v>
      </c>
      <c r="X1807" s="1" t="s">
        <v>490</v>
      </c>
      <c r="Y1807" s="1" t="s">
        <v>1129</v>
      </c>
      <c r="Z1807" s="1" t="s">
        <v>37</v>
      </c>
    </row>
    <row r="1808" hidden="1">
      <c r="A1808" s="1" t="s">
        <v>5906</v>
      </c>
      <c r="B1808" s="1" t="s">
        <v>456</v>
      </c>
      <c r="C1808" s="1" t="s">
        <v>5907</v>
      </c>
      <c r="D1808" s="1" t="s">
        <v>27</v>
      </c>
      <c r="E1808" s="1" t="s">
        <v>28</v>
      </c>
      <c r="F1808" s="2">
        <v>500000.0</v>
      </c>
      <c r="G1808" s="4">
        <v>44743.0</v>
      </c>
      <c r="H1808" s="4">
        <f>IFERROR(__xludf.DUMMYFUNCTION("DATE(INDEX(SPLIT(G1808,""/""),,3),INDEX(SPLIT(G1808,""/""),,2),INDEX(SPLIT(G1808,""/""),,1))"),44568.0)</f>
        <v>44568</v>
      </c>
      <c r="I1808" s="1" t="s">
        <v>85</v>
      </c>
      <c r="J1808" s="4">
        <f>IFERROR(__xludf.DUMMYFUNCTION("DATE(INDEX(SPLIT(I1808,""/""),,3),INDEX(SPLIT(I1808,""/""),,2),INDEX(SPLIT(I1808,""/""),,1))"),44799.0)</f>
        <v>44799</v>
      </c>
      <c r="L1808" s="1">
        <v>0.0</v>
      </c>
      <c r="M1808" s="1" t="s">
        <v>459</v>
      </c>
      <c r="N1808" s="1"/>
      <c r="O1808" s="1" t="s">
        <v>30</v>
      </c>
      <c r="P1808" s="1" t="s">
        <v>31</v>
      </c>
      <c r="Q1808" s="1" t="s">
        <v>53</v>
      </c>
      <c r="R1808" s="1" t="s">
        <v>53</v>
      </c>
      <c r="S1808" s="1" t="s">
        <v>54</v>
      </c>
      <c r="T1808" s="1" t="s">
        <v>87</v>
      </c>
      <c r="U1808" s="1">
        <v>1.00653756E8</v>
      </c>
      <c r="X1808" s="1" t="s">
        <v>375</v>
      </c>
      <c r="Y1808" s="1" t="s">
        <v>459</v>
      </c>
      <c r="Z1808" s="1" t="s">
        <v>37</v>
      </c>
    </row>
    <row r="1809" hidden="1">
      <c r="A1809" s="1" t="s">
        <v>5908</v>
      </c>
      <c r="B1809" s="1" t="s">
        <v>5909</v>
      </c>
      <c r="C1809" s="1" t="s">
        <v>5910</v>
      </c>
      <c r="D1809" s="1" t="s">
        <v>27</v>
      </c>
      <c r="E1809" s="1" t="s">
        <v>28</v>
      </c>
      <c r="F1809" s="2">
        <v>500000.0</v>
      </c>
      <c r="G1809" s="1" t="s">
        <v>935</v>
      </c>
      <c r="H1809" s="4">
        <f>IFERROR(__xludf.DUMMYFUNCTION("DATE(INDEX(SPLIT(G1809,""/""),,3),INDEX(SPLIT(G1809,""/""),,2),INDEX(SPLIT(G1809,""/""),,1))"),44764.0)</f>
        <v>44764</v>
      </c>
      <c r="I1809" s="1" t="s">
        <v>85</v>
      </c>
      <c r="J1809" s="4">
        <f>IFERROR(__xludf.DUMMYFUNCTION("DATE(INDEX(SPLIT(I1809,""/""),,3),INDEX(SPLIT(I1809,""/""),,2),INDEX(SPLIT(I1809,""/""),,1))"),44799.0)</f>
        <v>44799</v>
      </c>
      <c r="L1809" s="1">
        <v>0.0</v>
      </c>
      <c r="M1809" s="1" t="s">
        <v>5911</v>
      </c>
      <c r="N1809" s="1"/>
      <c r="O1809" s="1" t="s">
        <v>30</v>
      </c>
      <c r="P1809" s="1" t="s">
        <v>31</v>
      </c>
      <c r="Q1809" s="1" t="s">
        <v>188</v>
      </c>
      <c r="R1809" s="1" t="s">
        <v>188</v>
      </c>
      <c r="S1809" s="1" t="s">
        <v>189</v>
      </c>
      <c r="U1809" s="1">
        <v>1.00613672E8</v>
      </c>
      <c r="X1809" s="1" t="s">
        <v>490</v>
      </c>
      <c r="Y1809" s="1" t="s">
        <v>5911</v>
      </c>
      <c r="Z1809" s="1" t="s">
        <v>37</v>
      </c>
    </row>
    <row r="1810" hidden="1">
      <c r="A1810" s="1" t="s">
        <v>5912</v>
      </c>
      <c r="B1810" s="1" t="s">
        <v>4066</v>
      </c>
      <c r="C1810" s="1" t="s">
        <v>5913</v>
      </c>
      <c r="D1810" s="1" t="s">
        <v>78</v>
      </c>
      <c r="E1810" s="1" t="s">
        <v>28</v>
      </c>
      <c r="F1810" s="2">
        <v>500000.0</v>
      </c>
      <c r="G1810" s="1" t="s">
        <v>5914</v>
      </c>
      <c r="H1810" s="4">
        <f>IFERROR(__xludf.DUMMYFUNCTION("DATE(INDEX(SPLIT(G1810,""/""),,3),INDEX(SPLIT(G1810,""/""),,2),INDEX(SPLIT(G1810,""/""),,1))"),43908.0)</f>
        <v>43908</v>
      </c>
      <c r="I1810" s="4">
        <v>45078.0</v>
      </c>
      <c r="J1810" s="4">
        <f>IFERROR(__xludf.DUMMYFUNCTION("DATE(INDEX(SPLIT(I1810,""/""),,3),INDEX(SPLIT(I1810,""/""),,2),INDEX(SPLIT(I1810,""/""),,1))"),44932.0)</f>
        <v>44932</v>
      </c>
      <c r="L1810" s="1">
        <v>0.0</v>
      </c>
      <c r="M1810" s="1" t="s">
        <v>5020</v>
      </c>
      <c r="N1810" s="1"/>
      <c r="O1810" s="1" t="s">
        <v>30</v>
      </c>
      <c r="P1810" s="1" t="s">
        <v>31</v>
      </c>
      <c r="Q1810" s="1" t="s">
        <v>157</v>
      </c>
      <c r="R1810" s="1" t="s">
        <v>157</v>
      </c>
      <c r="S1810" s="1" t="s">
        <v>158</v>
      </c>
      <c r="T1810" s="1" t="s">
        <v>159</v>
      </c>
      <c r="U1810" s="1">
        <v>1.0064746E8</v>
      </c>
      <c r="X1810" s="1" t="s">
        <v>74</v>
      </c>
      <c r="Y1810" s="1" t="s">
        <v>5915</v>
      </c>
      <c r="Z1810" s="1" t="s">
        <v>37</v>
      </c>
    </row>
    <row r="1811" hidden="1">
      <c r="A1811" s="1" t="s">
        <v>5916</v>
      </c>
      <c r="B1811" s="1" t="s">
        <v>127</v>
      </c>
      <c r="C1811" s="1" t="s">
        <v>5917</v>
      </c>
      <c r="D1811" s="1" t="s">
        <v>27</v>
      </c>
      <c r="E1811" s="1" t="s">
        <v>28</v>
      </c>
      <c r="F1811" s="2">
        <v>500000.0</v>
      </c>
      <c r="G1811" s="4">
        <v>44747.0</v>
      </c>
      <c r="H1811" s="4">
        <f>IFERROR(__xludf.DUMMYFUNCTION("DATE(INDEX(SPLIT(G1811,""/""),,3),INDEX(SPLIT(G1811,""/""),,2),INDEX(SPLIT(G1811,""/""),,1))"),44688.0)</f>
        <v>44688</v>
      </c>
      <c r="I1811" s="1" t="s">
        <v>109</v>
      </c>
      <c r="J1811" s="4">
        <f>IFERROR(__xludf.DUMMYFUNCTION("DATE(INDEX(SPLIT(I1811,""/""),,3),INDEX(SPLIT(I1811,""/""),,2),INDEX(SPLIT(I1811,""/""),,1))"),44834.0)</f>
        <v>44834</v>
      </c>
      <c r="L1811" s="1">
        <v>0.0</v>
      </c>
      <c r="M1811" s="1" t="s">
        <v>2039</v>
      </c>
      <c r="N1811" s="1"/>
      <c r="O1811" s="1" t="s">
        <v>30</v>
      </c>
      <c r="P1811" s="1" t="s">
        <v>31</v>
      </c>
      <c r="Q1811" s="1" t="s">
        <v>157</v>
      </c>
      <c r="R1811" s="1" t="s">
        <v>157</v>
      </c>
      <c r="S1811" s="1" t="s">
        <v>158</v>
      </c>
      <c r="U1811" s="1">
        <v>1.00656722E8</v>
      </c>
      <c r="X1811" s="1" t="s">
        <v>81</v>
      </c>
      <c r="Y1811" s="1" t="s">
        <v>621</v>
      </c>
      <c r="Z1811" s="1" t="s">
        <v>37</v>
      </c>
    </row>
    <row r="1812">
      <c r="A1812" s="1" t="s">
        <v>5918</v>
      </c>
      <c r="B1812" s="1" t="s">
        <v>127</v>
      </c>
      <c r="C1812" s="1" t="s">
        <v>5919</v>
      </c>
      <c r="D1812" s="1" t="s">
        <v>27</v>
      </c>
      <c r="E1812" s="1" t="s">
        <v>28</v>
      </c>
      <c r="F1812" s="2">
        <v>500000.0</v>
      </c>
      <c r="G1812" s="4">
        <v>44747.0</v>
      </c>
      <c r="H1812" s="4">
        <f>IFERROR(__xludf.DUMMYFUNCTION("DATE(INDEX(SPLIT(G1812,""/""),,3),INDEX(SPLIT(G1812,""/""),,2),INDEX(SPLIT(G1812,""/""),,1))"),44688.0)</f>
        <v>44688</v>
      </c>
      <c r="I1812" s="1" t="s">
        <v>518</v>
      </c>
      <c r="J1812" s="4">
        <f>IFERROR(__xludf.DUMMYFUNCTION("DATE(INDEX(SPLIT(I1812,""/""),,3),INDEX(SPLIT(I1812,""/""),,2),INDEX(SPLIT(I1812,""/""),,1))"),44757.0)</f>
        <v>44757</v>
      </c>
      <c r="L1812" s="1">
        <v>0.0</v>
      </c>
      <c r="M1812" s="1" t="s">
        <v>2039</v>
      </c>
      <c r="N1812" s="1"/>
      <c r="O1812" s="1" t="s">
        <v>30</v>
      </c>
      <c r="P1812" s="1" t="s">
        <v>31</v>
      </c>
      <c r="Q1812" s="1" t="s">
        <v>157</v>
      </c>
      <c r="R1812" s="1" t="s">
        <v>157</v>
      </c>
      <c r="S1812" s="1" t="s">
        <v>158</v>
      </c>
      <c r="U1812" s="1">
        <v>1.00656722E8</v>
      </c>
      <c r="X1812" s="1" t="s">
        <v>81</v>
      </c>
      <c r="Y1812" s="1" t="s">
        <v>621</v>
      </c>
      <c r="Z1812" s="1" t="s">
        <v>37</v>
      </c>
    </row>
    <row r="1813" hidden="1">
      <c r="A1813" s="1" t="s">
        <v>5920</v>
      </c>
      <c r="B1813" s="1" t="s">
        <v>127</v>
      </c>
      <c r="C1813" s="1" t="s">
        <v>5921</v>
      </c>
      <c r="D1813" s="1" t="s">
        <v>27</v>
      </c>
      <c r="E1813" s="1" t="s">
        <v>28</v>
      </c>
      <c r="F1813" s="2">
        <v>500000.0</v>
      </c>
      <c r="G1813" s="4">
        <v>44747.0</v>
      </c>
      <c r="H1813" s="4">
        <f>IFERROR(__xludf.DUMMYFUNCTION("DATE(INDEX(SPLIT(G1813,""/""),,3),INDEX(SPLIT(G1813,""/""),,2),INDEX(SPLIT(G1813,""/""),,1))"),44688.0)</f>
        <v>44688</v>
      </c>
      <c r="I1813" s="1" t="s">
        <v>109</v>
      </c>
      <c r="J1813" s="4">
        <f>IFERROR(__xludf.DUMMYFUNCTION("DATE(INDEX(SPLIT(I1813,""/""),,3),INDEX(SPLIT(I1813,""/""),,2),INDEX(SPLIT(I1813,""/""),,1))"),44834.0)</f>
        <v>44834</v>
      </c>
      <c r="L1813" s="1">
        <v>0.0</v>
      </c>
      <c r="M1813" s="1" t="s">
        <v>2039</v>
      </c>
      <c r="N1813" s="1"/>
      <c r="O1813" s="1" t="s">
        <v>30</v>
      </c>
      <c r="P1813" s="1" t="s">
        <v>31</v>
      </c>
      <c r="Q1813" s="1" t="s">
        <v>157</v>
      </c>
      <c r="R1813" s="1" t="s">
        <v>157</v>
      </c>
      <c r="S1813" s="1" t="s">
        <v>158</v>
      </c>
      <c r="U1813" s="1">
        <v>1.00656722E8</v>
      </c>
      <c r="X1813" s="1" t="s">
        <v>81</v>
      </c>
      <c r="Y1813" s="1" t="s">
        <v>621</v>
      </c>
      <c r="Z1813" s="1" t="s">
        <v>37</v>
      </c>
    </row>
    <row r="1814" hidden="1">
      <c r="A1814" s="1" t="s">
        <v>5922</v>
      </c>
      <c r="B1814" s="1" t="s">
        <v>127</v>
      </c>
      <c r="C1814" s="1" t="s">
        <v>5923</v>
      </c>
      <c r="D1814" s="1" t="s">
        <v>27</v>
      </c>
      <c r="E1814" s="1" t="s">
        <v>28</v>
      </c>
      <c r="F1814" s="2">
        <v>500000.0</v>
      </c>
      <c r="G1814" s="4">
        <v>44747.0</v>
      </c>
      <c r="H1814" s="4">
        <f>IFERROR(__xludf.DUMMYFUNCTION("DATE(INDEX(SPLIT(G1814,""/""),,3),INDEX(SPLIT(G1814,""/""),,2),INDEX(SPLIT(G1814,""/""),,1))"),44688.0)</f>
        <v>44688</v>
      </c>
      <c r="I1814" s="1" t="s">
        <v>109</v>
      </c>
      <c r="J1814" s="4">
        <f>IFERROR(__xludf.DUMMYFUNCTION("DATE(INDEX(SPLIT(I1814,""/""),,3),INDEX(SPLIT(I1814,""/""),,2),INDEX(SPLIT(I1814,""/""),,1))"),44834.0)</f>
        <v>44834</v>
      </c>
      <c r="L1814" s="1">
        <v>0.0</v>
      </c>
      <c r="M1814" s="1" t="s">
        <v>2039</v>
      </c>
      <c r="N1814" s="1"/>
      <c r="O1814" s="1" t="s">
        <v>30</v>
      </c>
      <c r="P1814" s="1" t="s">
        <v>31</v>
      </c>
      <c r="Q1814" s="1" t="s">
        <v>157</v>
      </c>
      <c r="R1814" s="1" t="s">
        <v>157</v>
      </c>
      <c r="S1814" s="1" t="s">
        <v>158</v>
      </c>
      <c r="U1814" s="1">
        <v>1.00656722E8</v>
      </c>
      <c r="X1814" s="1" t="s">
        <v>81</v>
      </c>
      <c r="Y1814" s="1" t="s">
        <v>621</v>
      </c>
      <c r="Z1814" s="1" t="s">
        <v>37</v>
      </c>
    </row>
    <row r="1815" hidden="1">
      <c r="A1815" s="1" t="s">
        <v>5924</v>
      </c>
      <c r="B1815" s="1" t="s">
        <v>127</v>
      </c>
      <c r="C1815" s="1" t="s">
        <v>5925</v>
      </c>
      <c r="D1815" s="1" t="s">
        <v>27</v>
      </c>
      <c r="E1815" s="1" t="s">
        <v>28</v>
      </c>
      <c r="F1815" s="2">
        <v>500000.0</v>
      </c>
      <c r="G1815" s="4">
        <v>44747.0</v>
      </c>
      <c r="H1815" s="4">
        <f>IFERROR(__xludf.DUMMYFUNCTION("DATE(INDEX(SPLIT(G1815,""/""),,3),INDEX(SPLIT(G1815,""/""),,2),INDEX(SPLIT(G1815,""/""),,1))"),44688.0)</f>
        <v>44688</v>
      </c>
      <c r="I1815" s="1" t="s">
        <v>109</v>
      </c>
      <c r="J1815" s="4">
        <f>IFERROR(__xludf.DUMMYFUNCTION("DATE(INDEX(SPLIT(I1815,""/""),,3),INDEX(SPLIT(I1815,""/""),,2),INDEX(SPLIT(I1815,""/""),,1))"),44834.0)</f>
        <v>44834</v>
      </c>
      <c r="L1815" s="1">
        <v>0.0</v>
      </c>
      <c r="M1815" s="1" t="s">
        <v>2039</v>
      </c>
      <c r="N1815" s="1"/>
      <c r="O1815" s="1" t="s">
        <v>30</v>
      </c>
      <c r="P1815" s="1" t="s">
        <v>31</v>
      </c>
      <c r="Q1815" s="1" t="s">
        <v>157</v>
      </c>
      <c r="R1815" s="1" t="s">
        <v>157</v>
      </c>
      <c r="S1815" s="1" t="s">
        <v>158</v>
      </c>
      <c r="U1815" s="1">
        <v>1.00656722E8</v>
      </c>
      <c r="X1815" s="1" t="s">
        <v>81</v>
      </c>
      <c r="Y1815" s="1" t="s">
        <v>621</v>
      </c>
      <c r="Z1815" s="1" t="s">
        <v>37</v>
      </c>
    </row>
    <row r="1816" hidden="1">
      <c r="A1816" s="1" t="s">
        <v>5926</v>
      </c>
      <c r="B1816" s="1" t="s">
        <v>1002</v>
      </c>
      <c r="C1816" s="1" t="s">
        <v>5927</v>
      </c>
      <c r="D1816" s="1" t="s">
        <v>27</v>
      </c>
      <c r="E1816" s="1" t="s">
        <v>28</v>
      </c>
      <c r="F1816" s="2">
        <v>500000.0</v>
      </c>
      <c r="G1816" s="1" t="s">
        <v>2629</v>
      </c>
      <c r="H1816" s="4">
        <f>IFERROR(__xludf.DUMMYFUNCTION("DATE(INDEX(SPLIT(G1816,""/""),,3),INDEX(SPLIT(G1816,""/""),,2),INDEX(SPLIT(G1816,""/""),,1))"),44651.0)</f>
        <v>44651</v>
      </c>
      <c r="I1816" s="1" t="s">
        <v>109</v>
      </c>
      <c r="J1816" s="4">
        <f>IFERROR(__xludf.DUMMYFUNCTION("DATE(INDEX(SPLIT(I1816,""/""),,3),INDEX(SPLIT(I1816,""/""),,2),INDEX(SPLIT(I1816,""/""),,1))"),44834.0)</f>
        <v>44834</v>
      </c>
      <c r="L1816" s="1">
        <v>0.0</v>
      </c>
      <c r="M1816" s="1" t="s">
        <v>914</v>
      </c>
      <c r="N1816" s="1"/>
      <c r="O1816" s="1" t="s">
        <v>30</v>
      </c>
      <c r="P1816" s="1" t="s">
        <v>31</v>
      </c>
      <c r="Q1816" s="1" t="s">
        <v>71</v>
      </c>
      <c r="R1816" s="1" t="s">
        <v>71</v>
      </c>
      <c r="S1816" s="1" t="s">
        <v>72</v>
      </c>
      <c r="T1816" s="1" t="s">
        <v>136</v>
      </c>
      <c r="U1816" s="1">
        <v>1.01033479E8</v>
      </c>
      <c r="X1816" s="1" t="s">
        <v>74</v>
      </c>
      <c r="Y1816" s="1" t="s">
        <v>1788</v>
      </c>
      <c r="Z1816" s="1" t="s">
        <v>37</v>
      </c>
    </row>
    <row r="1817">
      <c r="A1817" s="1" t="s">
        <v>5928</v>
      </c>
      <c r="B1817" s="1" t="s">
        <v>1144</v>
      </c>
      <c r="C1817" s="1" t="s">
        <v>5929</v>
      </c>
      <c r="D1817" s="1" t="s">
        <v>27</v>
      </c>
      <c r="E1817" s="1" t="s">
        <v>28</v>
      </c>
      <c r="F1817" s="2">
        <v>500000.0</v>
      </c>
      <c r="G1817" s="1" t="s">
        <v>2629</v>
      </c>
      <c r="H1817" s="4">
        <f>IFERROR(__xludf.DUMMYFUNCTION("DATE(INDEX(SPLIT(G1817,""/""),,3),INDEX(SPLIT(G1817,""/""),,2),INDEX(SPLIT(G1817,""/""),,1))"),44651.0)</f>
        <v>44651</v>
      </c>
      <c r="I1817" s="4">
        <v>44872.0</v>
      </c>
      <c r="J1817" s="4">
        <f>IFERROR(__xludf.DUMMYFUNCTION("DATE(INDEX(SPLIT(I1817,""/""),,3),INDEX(SPLIT(I1817,""/""),,2),INDEX(SPLIT(I1817,""/""),,1))"),44753.0)</f>
        <v>44753</v>
      </c>
      <c r="L1817" s="1">
        <v>0.0</v>
      </c>
      <c r="M1817" s="1" t="s">
        <v>2613</v>
      </c>
      <c r="N1817" s="1"/>
      <c r="O1817" s="1" t="s">
        <v>30</v>
      </c>
      <c r="P1817" s="1" t="s">
        <v>31</v>
      </c>
      <c r="Q1817" s="1" t="s">
        <v>157</v>
      </c>
      <c r="R1817" s="1" t="s">
        <v>157</v>
      </c>
      <c r="S1817" s="1" t="s">
        <v>158</v>
      </c>
      <c r="U1817" s="1">
        <v>1.00628059E8</v>
      </c>
      <c r="X1817" s="1" t="s">
        <v>63</v>
      </c>
      <c r="Y1817" s="1" t="s">
        <v>2613</v>
      </c>
      <c r="Z1817" s="1" t="s">
        <v>37</v>
      </c>
    </row>
    <row r="1818" hidden="1">
      <c r="A1818" s="1" t="s">
        <v>5930</v>
      </c>
      <c r="B1818" s="1" t="s">
        <v>1619</v>
      </c>
      <c r="C1818" s="1" t="s">
        <v>5931</v>
      </c>
      <c r="D1818" s="1" t="s">
        <v>122</v>
      </c>
      <c r="E1818" s="1" t="s">
        <v>28</v>
      </c>
      <c r="F1818" s="2">
        <v>500000.0</v>
      </c>
      <c r="G1818" s="4">
        <v>44625.0</v>
      </c>
      <c r="H1818" s="4">
        <f>IFERROR(__xludf.DUMMYFUNCTION("DATE(INDEX(SPLIT(G1818,""/""),,3),INDEX(SPLIT(G1818,""/""),,2),INDEX(SPLIT(G1818,""/""),,1))"),44684.0)</f>
        <v>44684</v>
      </c>
      <c r="I1818" s="1" t="s">
        <v>109</v>
      </c>
      <c r="J1818" s="4">
        <f>IFERROR(__xludf.DUMMYFUNCTION("DATE(INDEX(SPLIT(I1818,""/""),,3),INDEX(SPLIT(I1818,""/""),,2),INDEX(SPLIT(I1818,""/""),,1))"),44834.0)</f>
        <v>44834</v>
      </c>
      <c r="L1818" s="1">
        <v>0.0</v>
      </c>
      <c r="M1818" s="1" t="s">
        <v>1833</v>
      </c>
      <c r="N1818" s="1"/>
      <c r="O1818" s="1" t="s">
        <v>30</v>
      </c>
      <c r="P1818" s="1" t="s">
        <v>31</v>
      </c>
      <c r="Q1818" s="1" t="s">
        <v>53</v>
      </c>
      <c r="R1818" s="1" t="s">
        <v>53</v>
      </c>
      <c r="S1818" s="1" t="s">
        <v>54</v>
      </c>
      <c r="T1818" s="1" t="s">
        <v>634</v>
      </c>
      <c r="U1818" s="1">
        <v>1.0105484E8</v>
      </c>
      <c r="X1818" s="1" t="s">
        <v>117</v>
      </c>
      <c r="Y1818" s="1" t="s">
        <v>578</v>
      </c>
      <c r="Z1818" s="1" t="s">
        <v>37</v>
      </c>
    </row>
    <row r="1819">
      <c r="A1819" s="1" t="s">
        <v>5932</v>
      </c>
      <c r="B1819" s="1" t="s">
        <v>4101</v>
      </c>
      <c r="C1819" s="1" t="s">
        <v>5933</v>
      </c>
      <c r="D1819" s="1" t="s">
        <v>27</v>
      </c>
      <c r="E1819" s="1" t="s">
        <v>28</v>
      </c>
      <c r="F1819" s="2">
        <v>500000.0</v>
      </c>
      <c r="G1819" s="1" t="s">
        <v>3349</v>
      </c>
      <c r="H1819" s="4">
        <f>IFERROR(__xludf.DUMMYFUNCTION("DATE(INDEX(SPLIT(G1819,""/""),,3),INDEX(SPLIT(G1819,""/""),,2),INDEX(SPLIT(G1819,""/""),,1))"),44648.0)</f>
        <v>44648</v>
      </c>
      <c r="I1819" s="4">
        <v>44780.0</v>
      </c>
      <c r="J1819" s="4">
        <f>IFERROR(__xludf.DUMMYFUNCTION("DATE(INDEX(SPLIT(I1819,""/""),,3),INDEX(SPLIT(I1819,""/""),,2),INDEX(SPLIT(I1819,""/""),,1))"),44750.0)</f>
        <v>44750</v>
      </c>
      <c r="L1819" s="1">
        <v>0.0</v>
      </c>
      <c r="M1819" s="1" t="s">
        <v>325</v>
      </c>
      <c r="N1819" s="1"/>
      <c r="O1819" s="1" t="s">
        <v>30</v>
      </c>
      <c r="P1819" s="1" t="s">
        <v>31</v>
      </c>
      <c r="Q1819" s="1" t="s">
        <v>188</v>
      </c>
      <c r="R1819" s="1" t="s">
        <v>188</v>
      </c>
      <c r="S1819" s="1" t="s">
        <v>189</v>
      </c>
      <c r="U1819" s="1">
        <v>1.00599669E8</v>
      </c>
      <c r="X1819" s="1" t="s">
        <v>312</v>
      </c>
      <c r="Y1819" s="1" t="s">
        <v>5934</v>
      </c>
      <c r="Z1819" s="1" t="s">
        <v>37</v>
      </c>
    </row>
    <row r="1820" hidden="1">
      <c r="A1820" s="1" t="s">
        <v>5935</v>
      </c>
      <c r="B1820" s="1" t="s">
        <v>5763</v>
      </c>
      <c r="C1820" s="1" t="s">
        <v>5936</v>
      </c>
      <c r="D1820" s="1" t="s">
        <v>27</v>
      </c>
      <c r="E1820" s="1" t="s">
        <v>28</v>
      </c>
      <c r="F1820" s="2">
        <v>500000.0</v>
      </c>
      <c r="G1820" s="4">
        <v>44387.0</v>
      </c>
      <c r="H1820" s="4">
        <f>IFERROR(__xludf.DUMMYFUNCTION("DATE(INDEX(SPLIT(G1820,""/""),,3),INDEX(SPLIT(G1820,""/""),,2),INDEX(SPLIT(G1820,""/""),,1))"),44476.0)</f>
        <v>44476</v>
      </c>
      <c r="I1820" s="1" t="s">
        <v>317</v>
      </c>
      <c r="J1820" s="4">
        <f>IFERROR(__xludf.DUMMYFUNCTION("DATE(INDEX(SPLIT(I1820,""/""),,3),INDEX(SPLIT(I1820,""/""),,2),INDEX(SPLIT(I1820,""/""),,1))"),44862.0)</f>
        <v>44862</v>
      </c>
      <c r="L1820" s="1">
        <v>0.0</v>
      </c>
      <c r="M1820" s="1" t="s">
        <v>1036</v>
      </c>
      <c r="N1820" s="1"/>
      <c r="O1820" s="1" t="s">
        <v>30</v>
      </c>
      <c r="P1820" s="1" t="s">
        <v>31</v>
      </c>
      <c r="Q1820" s="1" t="s">
        <v>95</v>
      </c>
      <c r="R1820" s="1" t="s">
        <v>95</v>
      </c>
      <c r="S1820" s="1" t="s">
        <v>96</v>
      </c>
      <c r="T1820" s="1" t="s">
        <v>111</v>
      </c>
      <c r="U1820" s="1">
        <v>1.00633489E8</v>
      </c>
      <c r="X1820" s="1" t="s">
        <v>63</v>
      </c>
      <c r="Y1820" s="1" t="s">
        <v>1036</v>
      </c>
      <c r="Z1820" s="1" t="s">
        <v>37</v>
      </c>
    </row>
    <row r="1821" hidden="1">
      <c r="A1821" s="1" t="s">
        <v>5937</v>
      </c>
      <c r="B1821" s="1" t="s">
        <v>5938</v>
      </c>
      <c r="C1821" s="1" t="s">
        <v>5939</v>
      </c>
      <c r="D1821" s="1" t="s">
        <v>27</v>
      </c>
      <c r="E1821" s="1" t="s">
        <v>28</v>
      </c>
      <c r="F1821" s="2">
        <v>500000.0</v>
      </c>
      <c r="G1821" s="4">
        <v>44198.0</v>
      </c>
      <c r="H1821" s="4">
        <f>IFERROR(__xludf.DUMMYFUNCTION("DATE(INDEX(SPLIT(G1821,""/""),,3),INDEX(SPLIT(G1821,""/""),,2),INDEX(SPLIT(G1821,""/""),,1))"),44228.0)</f>
        <v>44228</v>
      </c>
      <c r="I1821" s="1" t="s">
        <v>42</v>
      </c>
      <c r="J1821" s="4">
        <f>IFERROR(__xludf.DUMMYFUNCTION("DATE(INDEX(SPLIT(I1821,""/""),,3),INDEX(SPLIT(I1821,""/""),,2),INDEX(SPLIT(I1821,""/""),,1))"),44926.0)</f>
        <v>44926</v>
      </c>
      <c r="L1821" s="1">
        <v>0.0</v>
      </c>
      <c r="M1821" s="1" t="s">
        <v>4477</v>
      </c>
      <c r="N1821" s="1"/>
      <c r="O1821" s="1" t="s">
        <v>30</v>
      </c>
      <c r="P1821" s="1" t="s">
        <v>31</v>
      </c>
      <c r="Q1821" s="1" t="s">
        <v>228</v>
      </c>
      <c r="R1821" s="1" t="s">
        <v>228</v>
      </c>
      <c r="S1821" s="1" t="s">
        <v>229</v>
      </c>
      <c r="T1821" s="1" t="s">
        <v>513</v>
      </c>
      <c r="U1821" s="1">
        <v>1.00592715E8</v>
      </c>
      <c r="X1821" s="1" t="s">
        <v>98</v>
      </c>
      <c r="Y1821" s="1" t="s">
        <v>4477</v>
      </c>
      <c r="Z1821" s="1" t="s">
        <v>37</v>
      </c>
    </row>
    <row r="1822" hidden="1">
      <c r="A1822" s="1" t="s">
        <v>5940</v>
      </c>
      <c r="B1822" s="1" t="s">
        <v>4797</v>
      </c>
      <c r="C1822" s="1" t="s">
        <v>5941</v>
      </c>
      <c r="D1822" s="1" t="s">
        <v>27</v>
      </c>
      <c r="E1822" s="1" t="s">
        <v>28</v>
      </c>
      <c r="F1822" s="2">
        <v>500000.0</v>
      </c>
      <c r="G1822" s="1" t="s">
        <v>4346</v>
      </c>
      <c r="H1822" s="4">
        <f>IFERROR(__xludf.DUMMYFUNCTION("DATE(INDEX(SPLIT(G1822,""/""),,3),INDEX(SPLIT(G1822,""/""),,2),INDEX(SPLIT(G1822,""/""),,1))"),44765.0)</f>
        <v>44765</v>
      </c>
      <c r="I1822" s="4">
        <v>44571.0</v>
      </c>
      <c r="J1822" s="4">
        <f>IFERROR(__xludf.DUMMYFUNCTION("DATE(INDEX(SPLIT(I1822,""/""),,3),INDEX(SPLIT(I1822,""/""),,2),INDEX(SPLIT(I1822,""/""),,1))"),44835.0)</f>
        <v>44835</v>
      </c>
      <c r="L1822" s="1">
        <v>0.0</v>
      </c>
      <c r="M1822" s="1" t="s">
        <v>4574</v>
      </c>
      <c r="N1822" s="1"/>
      <c r="O1822" s="1" t="s">
        <v>30</v>
      </c>
      <c r="P1822" s="1" t="s">
        <v>31</v>
      </c>
      <c r="Q1822" s="1" t="s">
        <v>235</v>
      </c>
      <c r="R1822" s="1" t="s">
        <v>235</v>
      </c>
      <c r="S1822" s="1" t="s">
        <v>236</v>
      </c>
      <c r="U1822" s="1">
        <v>1.00625459E8</v>
      </c>
      <c r="X1822" s="1" t="s">
        <v>88</v>
      </c>
      <c r="Y1822" s="1" t="s">
        <v>5942</v>
      </c>
      <c r="Z1822" s="1" t="s">
        <v>37</v>
      </c>
    </row>
    <row r="1823" hidden="1">
      <c r="A1823" s="1" t="s">
        <v>5943</v>
      </c>
      <c r="B1823" s="1" t="s">
        <v>1748</v>
      </c>
      <c r="C1823" s="1" t="s">
        <v>5944</v>
      </c>
      <c r="D1823" s="1" t="s">
        <v>27</v>
      </c>
      <c r="E1823" s="1" t="s">
        <v>28</v>
      </c>
      <c r="F1823" s="2">
        <v>500000.0</v>
      </c>
      <c r="G1823" s="4">
        <v>44625.0</v>
      </c>
      <c r="H1823" s="4">
        <f>IFERROR(__xludf.DUMMYFUNCTION("DATE(INDEX(SPLIT(G1823,""/""),,3),INDEX(SPLIT(G1823,""/""),,2),INDEX(SPLIT(G1823,""/""),,1))"),44684.0)</f>
        <v>44684</v>
      </c>
      <c r="I1823" s="1" t="s">
        <v>203</v>
      </c>
      <c r="J1823" s="4">
        <f>IFERROR(__xludf.DUMMYFUNCTION("DATE(INDEX(SPLIT(I1823,""/""),,3),INDEX(SPLIT(I1823,""/""),,2),INDEX(SPLIT(I1823,""/""),,1))"),44925.0)</f>
        <v>44925</v>
      </c>
      <c r="L1823" s="1">
        <v>0.0</v>
      </c>
      <c r="M1823" s="1" t="s">
        <v>2488</v>
      </c>
      <c r="N1823" s="1"/>
      <c r="O1823" s="1" t="s">
        <v>30</v>
      </c>
      <c r="P1823" s="1" t="s">
        <v>31</v>
      </c>
      <c r="Q1823" s="1" t="s">
        <v>95</v>
      </c>
      <c r="R1823" s="1" t="s">
        <v>95</v>
      </c>
      <c r="S1823" s="1" t="s">
        <v>96</v>
      </c>
      <c r="T1823" s="1" t="s">
        <v>1386</v>
      </c>
      <c r="U1823" s="1">
        <v>1.00646485E8</v>
      </c>
      <c r="X1823" s="1" t="s">
        <v>88</v>
      </c>
      <c r="Y1823" s="1" t="s">
        <v>2489</v>
      </c>
      <c r="Z1823" s="1" t="s">
        <v>527</v>
      </c>
    </row>
    <row r="1824">
      <c r="A1824" s="1" t="s">
        <v>5945</v>
      </c>
      <c r="B1824" s="1" t="s">
        <v>1748</v>
      </c>
      <c r="C1824" s="1" t="s">
        <v>5946</v>
      </c>
      <c r="D1824" s="1" t="s">
        <v>27</v>
      </c>
      <c r="E1824" s="1" t="s">
        <v>28</v>
      </c>
      <c r="F1824" s="2">
        <v>500000.0</v>
      </c>
      <c r="G1824" s="4">
        <v>44541.0</v>
      </c>
      <c r="H1824" s="4">
        <f>IFERROR(__xludf.DUMMYFUNCTION("DATE(INDEX(SPLIT(G1824,""/""),,3),INDEX(SPLIT(G1824,""/""),,2),INDEX(SPLIT(G1824,""/""),,1))"),44512.0)</f>
        <v>44512</v>
      </c>
      <c r="I1824" s="1" t="s">
        <v>1141</v>
      </c>
      <c r="J1824" s="4">
        <f>IFERROR(__xludf.DUMMYFUNCTION("DATE(INDEX(SPLIT(I1824,""/""),,3),INDEX(SPLIT(I1824,""/""),,2),INDEX(SPLIT(I1824,""/""),,1))"),44767.0)</f>
        <v>44767</v>
      </c>
      <c r="L1824" s="1">
        <v>0.0</v>
      </c>
      <c r="M1824" s="1" t="s">
        <v>437</v>
      </c>
      <c r="N1824" s="1"/>
      <c r="O1824" s="1" t="s">
        <v>30</v>
      </c>
      <c r="P1824" s="1" t="s">
        <v>31</v>
      </c>
      <c r="Q1824" s="1" t="s">
        <v>235</v>
      </c>
      <c r="R1824" s="1" t="s">
        <v>235</v>
      </c>
      <c r="S1824" s="1" t="s">
        <v>236</v>
      </c>
      <c r="T1824" s="1" t="s">
        <v>1349</v>
      </c>
      <c r="U1824" s="1">
        <v>1.00650375E8</v>
      </c>
      <c r="X1824" s="1" t="s">
        <v>88</v>
      </c>
      <c r="Y1824" s="1" t="s">
        <v>437</v>
      </c>
      <c r="Z1824" s="1" t="s">
        <v>37</v>
      </c>
    </row>
    <row r="1825" hidden="1">
      <c r="A1825" s="1" t="s">
        <v>5947</v>
      </c>
      <c r="B1825" s="1" t="s">
        <v>1420</v>
      </c>
      <c r="C1825" s="1" t="s">
        <v>5948</v>
      </c>
      <c r="D1825" s="1" t="s">
        <v>78</v>
      </c>
      <c r="E1825" s="1" t="s">
        <v>28</v>
      </c>
      <c r="F1825" s="2">
        <v>500000.0</v>
      </c>
      <c r="G1825" s="4">
        <v>44623.0</v>
      </c>
      <c r="H1825" s="4">
        <f>IFERROR(__xludf.DUMMYFUNCTION("DATE(INDEX(SPLIT(G1825,""/""),,3),INDEX(SPLIT(G1825,""/""),,2),INDEX(SPLIT(G1825,""/""),,1))"),44623.0)</f>
        <v>44623</v>
      </c>
      <c r="I1825" s="1" t="s">
        <v>109</v>
      </c>
      <c r="J1825" s="4">
        <f>IFERROR(__xludf.DUMMYFUNCTION("DATE(INDEX(SPLIT(I1825,""/""),,3),INDEX(SPLIT(I1825,""/""),,2),INDEX(SPLIT(I1825,""/""),,1))"),44834.0)</f>
        <v>44834</v>
      </c>
      <c r="L1825" s="1">
        <v>0.0</v>
      </c>
      <c r="M1825" s="1" t="s">
        <v>1833</v>
      </c>
      <c r="N1825" s="1"/>
      <c r="O1825" s="1" t="s">
        <v>30</v>
      </c>
      <c r="P1825" s="1" t="s">
        <v>31</v>
      </c>
      <c r="Q1825" s="1" t="s">
        <v>53</v>
      </c>
      <c r="R1825" s="1" t="s">
        <v>53</v>
      </c>
      <c r="S1825" s="1" t="s">
        <v>54</v>
      </c>
      <c r="T1825" s="1" t="s">
        <v>634</v>
      </c>
      <c r="U1825" s="1">
        <v>1.0105484E8</v>
      </c>
      <c r="X1825" s="1" t="s">
        <v>46</v>
      </c>
      <c r="Y1825" s="1" t="s">
        <v>1833</v>
      </c>
      <c r="Z1825" s="1" t="s">
        <v>37</v>
      </c>
    </row>
    <row r="1826">
      <c r="A1826" s="1" t="s">
        <v>5949</v>
      </c>
      <c r="B1826" s="1" t="s">
        <v>1144</v>
      </c>
      <c r="C1826" s="1" t="s">
        <v>5950</v>
      </c>
      <c r="D1826" s="1" t="s">
        <v>27</v>
      </c>
      <c r="E1826" s="1" t="s">
        <v>28</v>
      </c>
      <c r="F1826" s="2">
        <v>500000.0</v>
      </c>
      <c r="G1826" s="4">
        <v>44623.0</v>
      </c>
      <c r="H1826" s="4">
        <f>IFERROR(__xludf.DUMMYFUNCTION("DATE(INDEX(SPLIT(G1826,""/""),,3),INDEX(SPLIT(G1826,""/""),,2),INDEX(SPLIT(G1826,""/""),,1))"),44623.0)</f>
        <v>44623</v>
      </c>
      <c r="I1826" s="1" t="s">
        <v>1244</v>
      </c>
      <c r="J1826" s="4">
        <f>IFERROR(__xludf.DUMMYFUNCTION("DATE(INDEX(SPLIT(I1826,""/""),,3),INDEX(SPLIT(I1826,""/""),,2),INDEX(SPLIT(I1826,""/""),,1))"),44742.0)</f>
        <v>44742</v>
      </c>
      <c r="L1826" s="1">
        <v>0.0</v>
      </c>
      <c r="M1826" s="1" t="s">
        <v>1146</v>
      </c>
      <c r="N1826" s="1"/>
      <c r="O1826" s="1" t="s">
        <v>30</v>
      </c>
      <c r="P1826" s="1" t="s">
        <v>31</v>
      </c>
      <c r="Q1826" s="1" t="s">
        <v>228</v>
      </c>
      <c r="R1826" s="1" t="s">
        <v>228</v>
      </c>
      <c r="S1826" s="1" t="s">
        <v>229</v>
      </c>
      <c r="T1826" s="1" t="s">
        <v>640</v>
      </c>
      <c r="U1826" s="1">
        <v>1.0061139E8</v>
      </c>
      <c r="X1826" s="1" t="s">
        <v>63</v>
      </c>
      <c r="Y1826" s="1" t="s">
        <v>5951</v>
      </c>
      <c r="Z1826" s="1" t="s">
        <v>37</v>
      </c>
    </row>
    <row r="1827">
      <c r="A1827" s="1" t="s">
        <v>5952</v>
      </c>
      <c r="B1827" s="1" t="s">
        <v>650</v>
      </c>
      <c r="C1827" s="1" t="s">
        <v>5953</v>
      </c>
      <c r="D1827" s="1" t="s">
        <v>27</v>
      </c>
      <c r="E1827" s="1" t="s">
        <v>28</v>
      </c>
      <c r="F1827" s="2">
        <v>500000.0</v>
      </c>
      <c r="G1827" s="1" t="s">
        <v>4047</v>
      </c>
      <c r="H1827" s="4">
        <f>IFERROR(__xludf.DUMMYFUNCTION("DATE(INDEX(SPLIT(G1827,""/""),,3),INDEX(SPLIT(G1827,""/""),,2),INDEX(SPLIT(G1827,""/""),,1))"),44580.0)</f>
        <v>44580</v>
      </c>
      <c r="I1827" s="1" t="s">
        <v>1244</v>
      </c>
      <c r="J1827" s="4">
        <f>IFERROR(__xludf.DUMMYFUNCTION("DATE(INDEX(SPLIT(I1827,""/""),,3),INDEX(SPLIT(I1827,""/""),,2),INDEX(SPLIT(I1827,""/""),,1))"),44742.0)</f>
        <v>44742</v>
      </c>
      <c r="L1827" s="1">
        <v>0.0</v>
      </c>
      <c r="M1827" s="1" t="s">
        <v>2067</v>
      </c>
      <c r="N1827" s="1"/>
      <c r="O1827" s="1" t="s">
        <v>30</v>
      </c>
      <c r="P1827" s="1" t="s">
        <v>31</v>
      </c>
      <c r="Q1827" s="1" t="s">
        <v>95</v>
      </c>
      <c r="R1827" s="1" t="s">
        <v>95</v>
      </c>
      <c r="S1827" s="1" t="s">
        <v>96</v>
      </c>
      <c r="T1827" s="1" t="s">
        <v>111</v>
      </c>
      <c r="U1827" s="1">
        <v>1.00631322E8</v>
      </c>
      <c r="X1827" s="1" t="s">
        <v>63</v>
      </c>
      <c r="Y1827" s="1" t="s">
        <v>5411</v>
      </c>
      <c r="Z1827" s="1" t="s">
        <v>37</v>
      </c>
    </row>
    <row r="1828">
      <c r="A1828" s="1" t="s">
        <v>5954</v>
      </c>
      <c r="B1828" s="1" t="s">
        <v>5955</v>
      </c>
      <c r="C1828" s="1" t="s">
        <v>5956</v>
      </c>
      <c r="D1828" s="1" t="s">
        <v>78</v>
      </c>
      <c r="E1828" s="1" t="s">
        <v>28</v>
      </c>
      <c r="F1828" s="2">
        <v>500000.0</v>
      </c>
      <c r="G1828" s="1" t="s">
        <v>382</v>
      </c>
      <c r="H1828" s="4">
        <f>IFERROR(__xludf.DUMMYFUNCTION("DATE(INDEX(SPLIT(G1828,""/""),,3),INDEX(SPLIT(G1828,""/""),,2),INDEX(SPLIT(G1828,""/""),,1))"),44758.0)</f>
        <v>44758</v>
      </c>
      <c r="I1828" s="1" t="s">
        <v>226</v>
      </c>
      <c r="J1828" s="4">
        <f>IFERROR(__xludf.DUMMYFUNCTION("DATE(INDEX(SPLIT(I1828,""/""),,3),INDEX(SPLIT(I1828,""/""),,2),INDEX(SPLIT(I1828,""/""),,1))"),44771.0)</f>
        <v>44771</v>
      </c>
      <c r="L1828" s="1">
        <v>0.0</v>
      </c>
      <c r="M1828" s="1" t="s">
        <v>5957</v>
      </c>
      <c r="N1828" s="1"/>
      <c r="O1828" s="1" t="s">
        <v>30</v>
      </c>
      <c r="P1828" s="1" t="s">
        <v>31</v>
      </c>
      <c r="Q1828" s="1" t="s">
        <v>157</v>
      </c>
      <c r="R1828" s="1" t="s">
        <v>157</v>
      </c>
      <c r="S1828" s="1" t="s">
        <v>158</v>
      </c>
      <c r="U1828" s="1">
        <v>1.00606619E8</v>
      </c>
      <c r="X1828" s="1" t="s">
        <v>490</v>
      </c>
      <c r="Y1828" s="1" t="s">
        <v>5958</v>
      </c>
      <c r="Z1828" s="1" t="s">
        <v>527</v>
      </c>
    </row>
    <row r="1829" hidden="1">
      <c r="A1829" s="1" t="s">
        <v>5959</v>
      </c>
      <c r="B1829" s="1" t="s">
        <v>1854</v>
      </c>
      <c r="C1829" s="1" t="s">
        <v>5960</v>
      </c>
      <c r="D1829" s="1" t="s">
        <v>78</v>
      </c>
      <c r="E1829" s="1" t="s">
        <v>28</v>
      </c>
      <c r="F1829" s="2">
        <v>500000.0</v>
      </c>
      <c r="G1829" s="1" t="s">
        <v>394</v>
      </c>
      <c r="H1829" s="4">
        <f>IFERROR(__xludf.DUMMYFUNCTION("DATE(INDEX(SPLIT(G1829,""/""),,3),INDEX(SPLIT(G1829,""/""),,2),INDEX(SPLIT(G1829,""/""),,1))"),44677.0)</f>
        <v>44677</v>
      </c>
      <c r="I1829" s="1" t="s">
        <v>109</v>
      </c>
      <c r="J1829" s="4">
        <f>IFERROR(__xludf.DUMMYFUNCTION("DATE(INDEX(SPLIT(I1829,""/""),,3),INDEX(SPLIT(I1829,""/""),,2),INDEX(SPLIT(I1829,""/""),,1))"),44834.0)</f>
        <v>44834</v>
      </c>
      <c r="L1829" s="1">
        <v>0.0</v>
      </c>
      <c r="M1829" s="1" t="s">
        <v>3236</v>
      </c>
      <c r="N1829" s="1"/>
      <c r="O1829" s="1" t="s">
        <v>30</v>
      </c>
      <c r="P1829" s="1" t="s">
        <v>31</v>
      </c>
      <c r="Q1829" s="1" t="s">
        <v>53</v>
      </c>
      <c r="R1829" s="1" t="s">
        <v>53</v>
      </c>
      <c r="S1829" s="1" t="s">
        <v>54</v>
      </c>
      <c r="U1829" s="1">
        <v>1.00650453E8</v>
      </c>
      <c r="X1829" s="1" t="s">
        <v>63</v>
      </c>
      <c r="Y1829" s="1" t="s">
        <v>3236</v>
      </c>
      <c r="Z1829" s="1" t="s">
        <v>37</v>
      </c>
    </row>
    <row r="1830">
      <c r="A1830" s="1" t="s">
        <v>5961</v>
      </c>
      <c r="B1830" s="1" t="s">
        <v>5962</v>
      </c>
      <c r="C1830" s="1" t="s">
        <v>5963</v>
      </c>
      <c r="D1830" s="1" t="s">
        <v>27</v>
      </c>
      <c r="E1830" s="1" t="s">
        <v>28</v>
      </c>
      <c r="F1830" s="2">
        <v>500000.0</v>
      </c>
      <c r="G1830" s="1" t="s">
        <v>682</v>
      </c>
      <c r="H1830" s="4">
        <f>IFERROR(__xludf.DUMMYFUNCTION("DATE(INDEX(SPLIT(G1830,""/""),,3),INDEX(SPLIT(G1830,""/""),,2),INDEX(SPLIT(G1830,""/""),,1))"),44406.0)</f>
        <v>44406</v>
      </c>
      <c r="I1830" s="1" t="s">
        <v>226</v>
      </c>
      <c r="J1830" s="4">
        <f>IFERROR(__xludf.DUMMYFUNCTION("DATE(INDEX(SPLIT(I1830,""/""),,3),INDEX(SPLIT(I1830,""/""),,2),INDEX(SPLIT(I1830,""/""),,1))"),44771.0)</f>
        <v>44771</v>
      </c>
      <c r="L1830" s="1">
        <v>0.0</v>
      </c>
      <c r="M1830" s="1" t="s">
        <v>5020</v>
      </c>
      <c r="N1830" s="1"/>
      <c r="O1830" s="1" t="s">
        <v>30</v>
      </c>
      <c r="P1830" s="1" t="s">
        <v>31</v>
      </c>
      <c r="Q1830" s="1" t="s">
        <v>157</v>
      </c>
      <c r="R1830" s="1" t="s">
        <v>157</v>
      </c>
      <c r="S1830" s="1" t="s">
        <v>158</v>
      </c>
      <c r="T1830" s="1" t="s">
        <v>73</v>
      </c>
      <c r="U1830" s="1">
        <v>1.0064746E8</v>
      </c>
      <c r="X1830" s="1" t="s">
        <v>74</v>
      </c>
      <c r="Y1830" s="1" t="s">
        <v>1028</v>
      </c>
      <c r="Z1830" s="1" t="s">
        <v>37</v>
      </c>
    </row>
    <row r="1831" hidden="1">
      <c r="A1831" s="1" t="s">
        <v>5964</v>
      </c>
      <c r="B1831" s="1" t="s">
        <v>5965</v>
      </c>
      <c r="C1831" s="1" t="s">
        <v>5966</v>
      </c>
      <c r="D1831" s="1" t="s">
        <v>27</v>
      </c>
      <c r="E1831" s="1" t="s">
        <v>28</v>
      </c>
      <c r="F1831" s="2">
        <v>500000.0</v>
      </c>
      <c r="G1831" s="1" t="s">
        <v>1259</v>
      </c>
      <c r="H1831" s="4">
        <f>IFERROR(__xludf.DUMMYFUNCTION("DATE(INDEX(SPLIT(G1831,""/""),,3),INDEX(SPLIT(G1831,""/""),,2),INDEX(SPLIT(G1831,""/""),,1))"),44763.0)</f>
        <v>44763</v>
      </c>
      <c r="I1831" s="1" t="s">
        <v>109</v>
      </c>
      <c r="J1831" s="4">
        <f>IFERROR(__xludf.DUMMYFUNCTION("DATE(INDEX(SPLIT(I1831,""/""),,3),INDEX(SPLIT(I1831,""/""),,2),INDEX(SPLIT(I1831,""/""),,1))"),44834.0)</f>
        <v>44834</v>
      </c>
      <c r="L1831" s="1">
        <v>0.0</v>
      </c>
      <c r="M1831" s="1" t="s">
        <v>3768</v>
      </c>
      <c r="N1831" s="1"/>
      <c r="O1831" s="1" t="s">
        <v>30</v>
      </c>
      <c r="P1831" s="1" t="s">
        <v>31</v>
      </c>
      <c r="Q1831" s="1" t="s">
        <v>157</v>
      </c>
      <c r="R1831" s="1" t="s">
        <v>157</v>
      </c>
      <c r="S1831" s="1" t="s">
        <v>158</v>
      </c>
      <c r="U1831" s="1">
        <v>1.00633763E8</v>
      </c>
      <c r="X1831" s="1" t="s">
        <v>63</v>
      </c>
      <c r="Y1831" s="1" t="s">
        <v>5704</v>
      </c>
      <c r="Z1831" s="1" t="s">
        <v>37</v>
      </c>
    </row>
    <row r="1832" hidden="1">
      <c r="A1832" s="1" t="s">
        <v>5967</v>
      </c>
      <c r="B1832" s="1" t="s">
        <v>5968</v>
      </c>
      <c r="C1832" s="1" t="s">
        <v>5969</v>
      </c>
      <c r="D1832" s="1" t="s">
        <v>27</v>
      </c>
      <c r="E1832" s="1" t="s">
        <v>28</v>
      </c>
      <c r="F1832" s="2">
        <v>500000.0</v>
      </c>
      <c r="G1832" s="1" t="s">
        <v>429</v>
      </c>
      <c r="H1832" s="4">
        <f>IFERROR(__xludf.DUMMYFUNCTION("DATE(INDEX(SPLIT(G1832,""/""),,3),INDEX(SPLIT(G1832,""/""),,2),INDEX(SPLIT(G1832,""/""),,1))"),44739.0)</f>
        <v>44739</v>
      </c>
      <c r="I1832" s="1" t="s">
        <v>5970</v>
      </c>
      <c r="J1832" s="4">
        <f>IFERROR(__xludf.DUMMYFUNCTION("DATE(INDEX(SPLIT(I1832,""/""),,3),INDEX(SPLIT(I1832,""/""),,2),INDEX(SPLIT(I1832,""/""),,1))"),44800.0)</f>
        <v>44800</v>
      </c>
      <c r="L1832" s="1">
        <v>0.0</v>
      </c>
      <c r="M1832" s="1" t="s">
        <v>633</v>
      </c>
      <c r="N1832" s="1"/>
      <c r="O1832" s="1" t="s">
        <v>30</v>
      </c>
      <c r="P1832" s="1" t="s">
        <v>31</v>
      </c>
      <c r="Q1832" s="1" t="s">
        <v>53</v>
      </c>
      <c r="R1832" s="1" t="s">
        <v>53</v>
      </c>
      <c r="S1832" s="1" t="s">
        <v>54</v>
      </c>
      <c r="T1832" s="1" t="s">
        <v>634</v>
      </c>
      <c r="U1832" s="1">
        <v>1.00997154E8</v>
      </c>
      <c r="X1832" s="1" t="s">
        <v>490</v>
      </c>
      <c r="Y1832" s="1" t="s">
        <v>5971</v>
      </c>
      <c r="Z1832" s="1" t="s">
        <v>37</v>
      </c>
    </row>
    <row r="1833">
      <c r="A1833" s="1" t="s">
        <v>5972</v>
      </c>
      <c r="B1833" s="1" t="s">
        <v>566</v>
      </c>
      <c r="C1833" s="1" t="s">
        <v>5973</v>
      </c>
      <c r="D1833" s="1" t="s">
        <v>27</v>
      </c>
      <c r="E1833" s="1" t="s">
        <v>28</v>
      </c>
      <c r="F1833" s="2">
        <v>500000.0</v>
      </c>
      <c r="G1833" s="4">
        <v>44595.0</v>
      </c>
      <c r="H1833" s="4">
        <f>IFERROR(__xludf.DUMMYFUNCTION("DATE(INDEX(SPLIT(G1833,""/""),,3),INDEX(SPLIT(G1833,""/""),,2),INDEX(SPLIT(G1833,""/""),,1))"),44622.0)</f>
        <v>44622</v>
      </c>
      <c r="I1833" s="1" t="s">
        <v>2300</v>
      </c>
      <c r="J1833" s="4">
        <f>IFERROR(__xludf.DUMMYFUNCTION("DATE(INDEX(SPLIT(I1833,""/""),,3),INDEX(SPLIT(I1833,""/""),,2),INDEX(SPLIT(I1833,""/""),,1))"),44712.0)</f>
        <v>44712</v>
      </c>
      <c r="L1833" s="1">
        <v>0.0</v>
      </c>
      <c r="M1833" s="1" t="s">
        <v>5974</v>
      </c>
      <c r="N1833" s="1"/>
      <c r="O1833" s="1" t="s">
        <v>30</v>
      </c>
      <c r="P1833" s="1" t="s">
        <v>31</v>
      </c>
      <c r="Q1833" s="1" t="s">
        <v>235</v>
      </c>
      <c r="R1833" s="1" t="s">
        <v>235</v>
      </c>
      <c r="S1833" s="1" t="s">
        <v>236</v>
      </c>
      <c r="U1833" s="1">
        <v>1.00637651E8</v>
      </c>
      <c r="X1833" s="1" t="s">
        <v>63</v>
      </c>
      <c r="Y1833" s="1" t="s">
        <v>5974</v>
      </c>
      <c r="Z1833" s="1" t="s">
        <v>206</v>
      </c>
    </row>
    <row r="1834" hidden="1">
      <c r="A1834" s="1" t="s">
        <v>5975</v>
      </c>
      <c r="B1834" s="1" t="s">
        <v>5976</v>
      </c>
      <c r="C1834" s="1" t="s">
        <v>5977</v>
      </c>
      <c r="D1834" s="1" t="s">
        <v>27</v>
      </c>
      <c r="E1834" s="1" t="s">
        <v>28</v>
      </c>
      <c r="F1834" s="2">
        <v>500000.0</v>
      </c>
      <c r="G1834" s="1" t="s">
        <v>324</v>
      </c>
      <c r="H1834" s="4">
        <f>IFERROR(__xludf.DUMMYFUNCTION("DATE(INDEX(SPLIT(G1834,""/""),,3),INDEX(SPLIT(G1834,""/""),,2),INDEX(SPLIT(G1834,""/""),,1))"),44636.0)</f>
        <v>44636</v>
      </c>
      <c r="I1834" s="1" t="s">
        <v>1269</v>
      </c>
      <c r="J1834" s="4">
        <f>IFERROR(__xludf.DUMMYFUNCTION("DATE(INDEX(SPLIT(I1834,""/""),,3),INDEX(SPLIT(I1834,""/""),,2),INDEX(SPLIT(I1834,""/""),,1))"),45000.0)</f>
        <v>45000</v>
      </c>
      <c r="L1834" s="1">
        <v>0.0</v>
      </c>
      <c r="M1834" s="1" t="s">
        <v>1610</v>
      </c>
      <c r="N1834" s="1"/>
      <c r="O1834" s="1" t="s">
        <v>30</v>
      </c>
      <c r="P1834" s="1" t="s">
        <v>31</v>
      </c>
      <c r="Q1834" s="1" t="s">
        <v>53</v>
      </c>
      <c r="R1834" s="1" t="s">
        <v>53</v>
      </c>
      <c r="S1834" s="1" t="s">
        <v>54</v>
      </c>
      <c r="T1834" s="1" t="s">
        <v>1386</v>
      </c>
      <c r="U1834" s="1">
        <v>1.01141441E8</v>
      </c>
      <c r="X1834" s="1" t="s">
        <v>190</v>
      </c>
      <c r="Y1834" s="1" t="s">
        <v>5978</v>
      </c>
      <c r="Z1834" s="1" t="s">
        <v>37</v>
      </c>
    </row>
    <row r="1835" hidden="1">
      <c r="A1835" s="1" t="s">
        <v>5979</v>
      </c>
      <c r="B1835" s="1" t="s">
        <v>337</v>
      </c>
      <c r="C1835" s="1" t="s">
        <v>5980</v>
      </c>
      <c r="D1835" s="1" t="s">
        <v>27</v>
      </c>
      <c r="E1835" s="1" t="s">
        <v>28</v>
      </c>
      <c r="F1835" s="2">
        <v>500000.0</v>
      </c>
      <c r="G1835" s="1" t="s">
        <v>298</v>
      </c>
      <c r="H1835" s="4">
        <f>IFERROR(__xludf.DUMMYFUNCTION("DATE(INDEX(SPLIT(G1835,""/""),,3),INDEX(SPLIT(G1835,""/""),,2),INDEX(SPLIT(G1835,""/""),,1))"),44762.0)</f>
        <v>44762</v>
      </c>
      <c r="I1835" s="4">
        <v>44601.0</v>
      </c>
      <c r="J1835" s="4">
        <f>IFERROR(__xludf.DUMMYFUNCTION("DATE(INDEX(SPLIT(I1835,""/""),,3),INDEX(SPLIT(I1835,""/""),,2),INDEX(SPLIT(I1835,""/""),,1))"),44806.0)</f>
        <v>44806</v>
      </c>
      <c r="L1835" s="1">
        <v>0.0</v>
      </c>
      <c r="M1835" s="1" t="s">
        <v>3580</v>
      </c>
      <c r="N1835" s="1"/>
      <c r="O1835" s="1" t="s">
        <v>30</v>
      </c>
      <c r="P1835" s="1" t="s">
        <v>31</v>
      </c>
      <c r="Q1835" s="1" t="s">
        <v>157</v>
      </c>
      <c r="R1835" s="1" t="s">
        <v>157</v>
      </c>
      <c r="S1835" s="1" t="s">
        <v>158</v>
      </c>
      <c r="T1835" s="1" t="s">
        <v>571</v>
      </c>
      <c r="U1835" s="1">
        <v>1.00956516E8</v>
      </c>
      <c r="X1835" s="1" t="s">
        <v>239</v>
      </c>
      <c r="Y1835" s="1" t="s">
        <v>4960</v>
      </c>
      <c r="Z1835" s="1" t="s">
        <v>37</v>
      </c>
    </row>
    <row r="1836" hidden="1">
      <c r="A1836" s="1" t="s">
        <v>5981</v>
      </c>
      <c r="B1836" s="1" t="s">
        <v>132</v>
      </c>
      <c r="C1836" s="1" t="s">
        <v>5982</v>
      </c>
      <c r="D1836" s="1" t="s">
        <v>27</v>
      </c>
      <c r="E1836" s="1" t="s">
        <v>28</v>
      </c>
      <c r="F1836" s="2">
        <v>500000.0</v>
      </c>
      <c r="G1836" s="4">
        <v>44748.0</v>
      </c>
      <c r="H1836" s="4">
        <f>IFERROR(__xludf.DUMMYFUNCTION("DATE(INDEX(SPLIT(G1836,""/""),,3),INDEX(SPLIT(G1836,""/""),,2),INDEX(SPLIT(G1836,""/""),,1))"),44719.0)</f>
        <v>44719</v>
      </c>
      <c r="I1836" s="1" t="s">
        <v>281</v>
      </c>
      <c r="J1836" s="4">
        <f>IFERROR(__xludf.DUMMYFUNCTION("DATE(INDEX(SPLIT(I1836,""/""),,3),INDEX(SPLIT(I1836,""/""),,2),INDEX(SPLIT(I1836,""/""),,1))"),44865.0)</f>
        <v>44865</v>
      </c>
      <c r="L1836" s="1">
        <v>0.0</v>
      </c>
      <c r="M1836" s="1" t="s">
        <v>1088</v>
      </c>
      <c r="N1836" s="1"/>
      <c r="O1836" s="1" t="s">
        <v>30</v>
      </c>
      <c r="P1836" s="1" t="s">
        <v>31</v>
      </c>
      <c r="Q1836" s="1" t="s">
        <v>71</v>
      </c>
      <c r="R1836" s="1" t="s">
        <v>71</v>
      </c>
      <c r="S1836" s="1" t="s">
        <v>72</v>
      </c>
      <c r="T1836" s="1" t="s">
        <v>136</v>
      </c>
      <c r="U1836" s="1">
        <v>1.0090037E8</v>
      </c>
      <c r="X1836" s="1" t="s">
        <v>74</v>
      </c>
      <c r="Y1836" s="1" t="s">
        <v>1088</v>
      </c>
      <c r="Z1836" s="1" t="s">
        <v>37</v>
      </c>
    </row>
    <row r="1837">
      <c r="A1837" s="1" t="s">
        <v>5983</v>
      </c>
      <c r="B1837" s="1" t="s">
        <v>5984</v>
      </c>
      <c r="C1837" s="1" t="s">
        <v>5985</v>
      </c>
      <c r="D1837" s="1" t="s">
        <v>122</v>
      </c>
      <c r="E1837" s="1" t="s">
        <v>28</v>
      </c>
      <c r="F1837" s="2">
        <v>500000.0</v>
      </c>
      <c r="G1837" s="4">
        <v>44718.0</v>
      </c>
      <c r="H1837" s="4">
        <f>IFERROR(__xludf.DUMMYFUNCTION("DATE(INDEX(SPLIT(G1837,""/""),,3),INDEX(SPLIT(G1837,""/""),,2),INDEX(SPLIT(G1837,""/""),,1))"),44718.0)</f>
        <v>44718</v>
      </c>
      <c r="I1837" s="1" t="s">
        <v>935</v>
      </c>
      <c r="J1837" s="4">
        <f>IFERROR(__xludf.DUMMYFUNCTION("DATE(INDEX(SPLIT(I1837,""/""),,3),INDEX(SPLIT(I1837,""/""),,2),INDEX(SPLIT(I1837,""/""),,1))"),44764.0)</f>
        <v>44764</v>
      </c>
      <c r="L1837" s="1">
        <v>0.0</v>
      </c>
      <c r="M1837" s="1" t="s">
        <v>3507</v>
      </c>
      <c r="N1837" s="1"/>
      <c r="O1837" s="1" t="s">
        <v>30</v>
      </c>
      <c r="P1837" s="1" t="s">
        <v>31</v>
      </c>
      <c r="Q1837" s="1" t="s">
        <v>235</v>
      </c>
      <c r="R1837" s="1" t="s">
        <v>235</v>
      </c>
      <c r="S1837" s="1" t="s">
        <v>236</v>
      </c>
      <c r="T1837" s="1" t="s">
        <v>1349</v>
      </c>
      <c r="U1837" s="1">
        <v>1.00585834E8</v>
      </c>
      <c r="X1837" s="1" t="s">
        <v>375</v>
      </c>
      <c r="Y1837" s="1" t="s">
        <v>3508</v>
      </c>
      <c r="Z1837" s="1" t="s">
        <v>37</v>
      </c>
    </row>
    <row r="1838" hidden="1">
      <c r="A1838" s="1" t="s">
        <v>5986</v>
      </c>
      <c r="B1838" s="1" t="s">
        <v>784</v>
      </c>
      <c r="C1838" s="1" t="s">
        <v>5987</v>
      </c>
      <c r="D1838" s="1" t="s">
        <v>78</v>
      </c>
      <c r="E1838" s="1" t="s">
        <v>28</v>
      </c>
      <c r="F1838" s="2">
        <v>500000.0</v>
      </c>
      <c r="G1838" s="1" t="s">
        <v>2263</v>
      </c>
      <c r="H1838" s="4">
        <f>IFERROR(__xludf.DUMMYFUNCTION("DATE(INDEX(SPLIT(G1838,""/""),,3),INDEX(SPLIT(G1838,""/""),,2),INDEX(SPLIT(G1838,""/""),,1))"),44638.0)</f>
        <v>44638</v>
      </c>
      <c r="I1838" s="1" t="s">
        <v>130</v>
      </c>
      <c r="J1838" s="4">
        <f>IFERROR(__xludf.DUMMYFUNCTION("DATE(INDEX(SPLIT(I1838,""/""),,3),INDEX(SPLIT(I1838,""/""),,2),INDEX(SPLIT(I1838,""/""),,1))"),44804.0)</f>
        <v>44804</v>
      </c>
      <c r="L1838" s="1">
        <v>0.0</v>
      </c>
      <c r="M1838" s="1" t="s">
        <v>1398</v>
      </c>
      <c r="N1838" s="1"/>
      <c r="O1838" s="1" t="s">
        <v>30</v>
      </c>
      <c r="P1838" s="1" t="s">
        <v>31</v>
      </c>
      <c r="Q1838" s="1" t="s">
        <v>95</v>
      </c>
      <c r="R1838" s="1" t="s">
        <v>95</v>
      </c>
      <c r="S1838" s="1" t="s">
        <v>96</v>
      </c>
      <c r="T1838" s="1" t="s">
        <v>111</v>
      </c>
      <c r="U1838" s="1">
        <v>1.0061941E8</v>
      </c>
      <c r="X1838" s="1" t="s">
        <v>63</v>
      </c>
      <c r="Y1838" s="1" t="s">
        <v>1770</v>
      </c>
      <c r="Z1838" s="1" t="s">
        <v>37</v>
      </c>
    </row>
    <row r="1839" hidden="1">
      <c r="A1839" s="1" t="s">
        <v>5988</v>
      </c>
      <c r="B1839" s="1" t="s">
        <v>5989</v>
      </c>
      <c r="C1839" s="1" t="s">
        <v>5990</v>
      </c>
      <c r="D1839" s="1" t="s">
        <v>78</v>
      </c>
      <c r="E1839" s="1" t="s">
        <v>28</v>
      </c>
      <c r="F1839" s="2">
        <v>500000.0</v>
      </c>
      <c r="G1839" s="1" t="s">
        <v>1136</v>
      </c>
      <c r="H1839" s="4">
        <f>IFERROR(__xludf.DUMMYFUNCTION("DATE(INDEX(SPLIT(G1839,""/""),,3),INDEX(SPLIT(G1839,""/""),,2),INDEX(SPLIT(G1839,""/""),,1))"),44608.0)</f>
        <v>44608</v>
      </c>
      <c r="I1839" s="1" t="s">
        <v>85</v>
      </c>
      <c r="J1839" s="4">
        <f>IFERROR(__xludf.DUMMYFUNCTION("DATE(INDEX(SPLIT(I1839,""/""),,3),INDEX(SPLIT(I1839,""/""),,2),INDEX(SPLIT(I1839,""/""),,1))"),44799.0)</f>
        <v>44799</v>
      </c>
      <c r="L1839" s="1">
        <v>0.0</v>
      </c>
      <c r="M1839" s="1" t="s">
        <v>1514</v>
      </c>
      <c r="N1839" s="1"/>
      <c r="O1839" s="1" t="s">
        <v>30</v>
      </c>
      <c r="P1839" s="1" t="s">
        <v>31</v>
      </c>
      <c r="Q1839" s="1" t="s">
        <v>71</v>
      </c>
      <c r="R1839" s="1" t="s">
        <v>71</v>
      </c>
      <c r="S1839" s="1" t="s">
        <v>72</v>
      </c>
      <c r="T1839" s="1" t="s">
        <v>615</v>
      </c>
      <c r="U1839" s="1">
        <v>1.006324E8</v>
      </c>
      <c r="X1839" s="1" t="s">
        <v>490</v>
      </c>
      <c r="Y1839" s="1" t="s">
        <v>5759</v>
      </c>
      <c r="Z1839" s="1" t="s">
        <v>37</v>
      </c>
    </row>
    <row r="1840" hidden="1">
      <c r="A1840" s="1" t="s">
        <v>5991</v>
      </c>
      <c r="B1840" s="1" t="s">
        <v>4066</v>
      </c>
      <c r="C1840" s="1" t="s">
        <v>5992</v>
      </c>
      <c r="D1840" s="1" t="s">
        <v>78</v>
      </c>
      <c r="E1840" s="1" t="s">
        <v>28</v>
      </c>
      <c r="F1840" s="2">
        <v>500000.0</v>
      </c>
      <c r="G1840" s="4">
        <v>44350.0</v>
      </c>
      <c r="H1840" s="4">
        <f>IFERROR(__xludf.DUMMYFUNCTION("DATE(INDEX(SPLIT(G1840,""/""),,3),INDEX(SPLIT(G1840,""/""),,2),INDEX(SPLIT(G1840,""/""),,1))"),44261.0)</f>
        <v>44261</v>
      </c>
      <c r="I1840" s="4">
        <v>45114.0</v>
      </c>
      <c r="J1840" s="4">
        <f>IFERROR(__xludf.DUMMYFUNCTION("DATE(INDEX(SPLIT(I1840,""/""),,3),INDEX(SPLIT(I1840,""/""),,2),INDEX(SPLIT(I1840,""/""),,1))"),45114.0)</f>
        <v>45114</v>
      </c>
      <c r="L1840" s="1">
        <v>0.0</v>
      </c>
      <c r="M1840" s="1" t="s">
        <v>1040</v>
      </c>
      <c r="N1840" s="1"/>
      <c r="O1840" s="1" t="s">
        <v>30</v>
      </c>
      <c r="P1840" s="1" t="s">
        <v>31</v>
      </c>
      <c r="Q1840" s="1" t="s">
        <v>71</v>
      </c>
      <c r="R1840" s="1" t="s">
        <v>71</v>
      </c>
      <c r="S1840" s="1" t="s">
        <v>72</v>
      </c>
      <c r="T1840" s="1" t="s">
        <v>73</v>
      </c>
      <c r="U1840" s="1">
        <v>1.00619899E8</v>
      </c>
      <c r="X1840" s="1" t="s">
        <v>74</v>
      </c>
      <c r="Y1840" s="1" t="s">
        <v>2623</v>
      </c>
      <c r="Z1840" s="1" t="s">
        <v>37</v>
      </c>
    </row>
    <row r="1841" hidden="1">
      <c r="A1841" s="1" t="s">
        <v>5993</v>
      </c>
      <c r="B1841" s="1" t="s">
        <v>645</v>
      </c>
      <c r="C1841" s="1" t="s">
        <v>648</v>
      </c>
      <c r="D1841" s="1" t="s">
        <v>78</v>
      </c>
      <c r="E1841" s="1" t="s">
        <v>28</v>
      </c>
      <c r="F1841" s="2">
        <v>500000.0</v>
      </c>
      <c r="G1841" s="1" t="s">
        <v>1136</v>
      </c>
      <c r="H1841" s="4">
        <f>IFERROR(__xludf.DUMMYFUNCTION("DATE(INDEX(SPLIT(G1841,""/""),,3),INDEX(SPLIT(G1841,""/""),,2),INDEX(SPLIT(G1841,""/""),,1))"),44608.0)</f>
        <v>44608</v>
      </c>
      <c r="I1841" s="1" t="s">
        <v>130</v>
      </c>
      <c r="J1841" s="4">
        <f>IFERROR(__xludf.DUMMYFUNCTION("DATE(INDEX(SPLIT(I1841,""/""),,3),INDEX(SPLIT(I1841,""/""),,2),INDEX(SPLIT(I1841,""/""),,1))"),44804.0)</f>
        <v>44804</v>
      </c>
      <c r="L1841" s="1">
        <v>0.0</v>
      </c>
      <c r="M1841" s="1" t="s">
        <v>1129</v>
      </c>
      <c r="N1841" s="1"/>
      <c r="O1841" s="1" t="s">
        <v>30</v>
      </c>
      <c r="P1841" s="1" t="s">
        <v>31</v>
      </c>
      <c r="Q1841" s="1" t="s">
        <v>157</v>
      </c>
      <c r="R1841" s="1" t="s">
        <v>157</v>
      </c>
      <c r="S1841" s="1" t="s">
        <v>158</v>
      </c>
      <c r="T1841" s="1" t="s">
        <v>647</v>
      </c>
      <c r="U1841" s="1">
        <v>1.00650786E8</v>
      </c>
      <c r="W1841" s="1" t="s">
        <v>389</v>
      </c>
      <c r="X1841" s="1" t="s">
        <v>46</v>
      </c>
      <c r="Y1841" s="1" t="s">
        <v>847</v>
      </c>
      <c r="Z1841" s="1" t="s">
        <v>37</v>
      </c>
    </row>
    <row r="1842" hidden="1">
      <c r="A1842" s="1" t="s">
        <v>5994</v>
      </c>
      <c r="B1842" s="1" t="s">
        <v>5995</v>
      </c>
      <c r="C1842" s="1" t="s">
        <v>5996</v>
      </c>
      <c r="D1842" s="1" t="s">
        <v>78</v>
      </c>
      <c r="E1842" s="1" t="s">
        <v>28</v>
      </c>
      <c r="F1842" s="2">
        <v>500000.0</v>
      </c>
      <c r="G1842" s="1" t="s">
        <v>518</v>
      </c>
      <c r="H1842" s="4">
        <f>IFERROR(__xludf.DUMMYFUNCTION("DATE(INDEX(SPLIT(G1842,""/""),,3),INDEX(SPLIT(G1842,""/""),,2),INDEX(SPLIT(G1842,""/""),,1))"),44757.0)</f>
        <v>44757</v>
      </c>
      <c r="I1842" s="4">
        <v>44689.0</v>
      </c>
      <c r="J1842" s="4">
        <f>IFERROR(__xludf.DUMMYFUNCTION("DATE(INDEX(SPLIT(I1842,""/""),,3),INDEX(SPLIT(I1842,""/""),,2),INDEX(SPLIT(I1842,""/""),,1))"),44778.0)</f>
        <v>44778</v>
      </c>
      <c r="L1842" s="1">
        <v>0.0</v>
      </c>
      <c r="M1842" s="1" t="s">
        <v>1944</v>
      </c>
      <c r="N1842" s="1"/>
      <c r="O1842" s="1" t="s">
        <v>30</v>
      </c>
      <c r="P1842" s="1" t="s">
        <v>31</v>
      </c>
      <c r="Q1842" s="1" t="s">
        <v>235</v>
      </c>
      <c r="R1842" s="1" t="s">
        <v>235</v>
      </c>
      <c r="S1842" s="1" t="s">
        <v>236</v>
      </c>
      <c r="T1842" s="1" t="s">
        <v>753</v>
      </c>
      <c r="U1842" s="1">
        <v>1.00628186E8</v>
      </c>
      <c r="X1842" s="1" t="s">
        <v>88</v>
      </c>
      <c r="Y1842" s="1" t="s">
        <v>5997</v>
      </c>
      <c r="Z1842" s="1" t="s">
        <v>37</v>
      </c>
    </row>
    <row r="1843" hidden="1">
      <c r="A1843" s="1" t="s">
        <v>5998</v>
      </c>
      <c r="B1843" s="1" t="s">
        <v>91</v>
      </c>
      <c r="C1843" s="1" t="s">
        <v>5999</v>
      </c>
      <c r="D1843" s="1" t="s">
        <v>68</v>
      </c>
      <c r="E1843" s="1" t="s">
        <v>28</v>
      </c>
      <c r="F1843" s="2">
        <v>500000.0</v>
      </c>
      <c r="G1843" s="1" t="s">
        <v>330</v>
      </c>
      <c r="H1843" s="4">
        <f>IFERROR(__xludf.DUMMYFUNCTION("DATE(INDEX(SPLIT(G1843,""/""),,3),INDEX(SPLIT(G1843,""/""),,2),INDEX(SPLIT(G1843,""/""),,1))"),44728.0)</f>
        <v>44728</v>
      </c>
      <c r="I1843" s="4">
        <v>44903.0</v>
      </c>
      <c r="J1843" s="4">
        <f>IFERROR(__xludf.DUMMYFUNCTION("DATE(INDEX(SPLIT(I1843,""/""),,3),INDEX(SPLIT(I1843,""/""),,2),INDEX(SPLIT(I1843,""/""),,1))"),44785.0)</f>
        <v>44785</v>
      </c>
      <c r="L1843" s="1">
        <v>0.0</v>
      </c>
      <c r="M1843" s="1" t="s">
        <v>1704</v>
      </c>
      <c r="N1843" s="1"/>
      <c r="O1843" s="1" t="s">
        <v>30</v>
      </c>
      <c r="P1843" s="1" t="s">
        <v>31</v>
      </c>
      <c r="Q1843" s="1" t="s">
        <v>157</v>
      </c>
      <c r="R1843" s="1" t="s">
        <v>157</v>
      </c>
      <c r="S1843" s="1" t="s">
        <v>158</v>
      </c>
      <c r="T1843" s="1" t="s">
        <v>442</v>
      </c>
      <c r="U1843" s="1">
        <v>1.00654991E8</v>
      </c>
      <c r="X1843" s="1" t="s">
        <v>98</v>
      </c>
      <c r="Y1843" s="1" t="s">
        <v>1704</v>
      </c>
      <c r="Z1843" s="1" t="s">
        <v>37</v>
      </c>
    </row>
    <row r="1844" hidden="1">
      <c r="A1844" s="1" t="s">
        <v>6000</v>
      </c>
      <c r="B1844" s="1" t="s">
        <v>6001</v>
      </c>
      <c r="C1844" s="1" t="s">
        <v>6002</v>
      </c>
      <c r="D1844" s="1" t="s">
        <v>27</v>
      </c>
      <c r="E1844" s="1" t="s">
        <v>28</v>
      </c>
      <c r="F1844" s="2">
        <v>500000.0</v>
      </c>
      <c r="G1844" s="4">
        <v>44656.0</v>
      </c>
      <c r="H1844" s="4">
        <f>IFERROR(__xludf.DUMMYFUNCTION("DATE(INDEX(SPLIT(G1844,""/""),,3),INDEX(SPLIT(G1844,""/""),,2),INDEX(SPLIT(G1844,""/""),,1))"),44685.0)</f>
        <v>44685</v>
      </c>
      <c r="I1844" s="1" t="s">
        <v>109</v>
      </c>
      <c r="J1844" s="4">
        <f>IFERROR(__xludf.DUMMYFUNCTION("DATE(INDEX(SPLIT(I1844,""/""),,3),INDEX(SPLIT(I1844,""/""),,2),INDEX(SPLIT(I1844,""/""),,1))"),44834.0)</f>
        <v>44834</v>
      </c>
      <c r="L1844" s="1">
        <v>0.0</v>
      </c>
      <c r="M1844" s="1" t="s">
        <v>6003</v>
      </c>
      <c r="N1844" s="1"/>
      <c r="O1844" s="1" t="s">
        <v>30</v>
      </c>
      <c r="P1844" s="1" t="s">
        <v>31</v>
      </c>
      <c r="Q1844" s="1" t="s">
        <v>235</v>
      </c>
      <c r="R1844" s="1" t="s">
        <v>235</v>
      </c>
      <c r="S1844" s="1" t="s">
        <v>236</v>
      </c>
      <c r="T1844" s="1" t="s">
        <v>753</v>
      </c>
      <c r="U1844" s="1">
        <v>1.00623535E8</v>
      </c>
      <c r="X1844" s="1" t="s">
        <v>88</v>
      </c>
      <c r="Y1844" s="1" t="s">
        <v>6003</v>
      </c>
      <c r="Z1844" s="1" t="s">
        <v>37</v>
      </c>
    </row>
    <row r="1845" hidden="1">
      <c r="A1845" s="1" t="s">
        <v>6004</v>
      </c>
      <c r="B1845" s="1" t="s">
        <v>1144</v>
      </c>
      <c r="C1845" s="1" t="s">
        <v>6005</v>
      </c>
      <c r="D1845" s="1" t="s">
        <v>78</v>
      </c>
      <c r="E1845" s="1" t="s">
        <v>28</v>
      </c>
      <c r="F1845" s="2">
        <v>500000.0</v>
      </c>
      <c r="G1845" s="1" t="s">
        <v>518</v>
      </c>
      <c r="H1845" s="4">
        <f>IFERROR(__xludf.DUMMYFUNCTION("DATE(INDEX(SPLIT(G1845,""/""),,3),INDEX(SPLIT(G1845,""/""),,2),INDEX(SPLIT(G1845,""/""),,1))"),44757.0)</f>
        <v>44757</v>
      </c>
      <c r="I1845" s="1" t="s">
        <v>42</v>
      </c>
      <c r="J1845" s="4">
        <f>IFERROR(__xludf.DUMMYFUNCTION("DATE(INDEX(SPLIT(I1845,""/""),,3),INDEX(SPLIT(I1845,""/""),,2),INDEX(SPLIT(I1845,""/""),,1))"),44926.0)</f>
        <v>44926</v>
      </c>
      <c r="L1845" s="1">
        <v>0.0</v>
      </c>
      <c r="M1845" s="1" t="s">
        <v>1146</v>
      </c>
      <c r="N1845" s="1"/>
      <c r="O1845" s="1" t="s">
        <v>30</v>
      </c>
      <c r="P1845" s="1" t="s">
        <v>31</v>
      </c>
      <c r="Q1845" s="1" t="s">
        <v>228</v>
      </c>
      <c r="R1845" s="1" t="s">
        <v>228</v>
      </c>
      <c r="S1845" s="1" t="s">
        <v>229</v>
      </c>
      <c r="T1845" s="1" t="s">
        <v>640</v>
      </c>
      <c r="U1845" s="1">
        <v>1.0061139E8</v>
      </c>
      <c r="X1845" s="1" t="s">
        <v>63</v>
      </c>
      <c r="Y1845" s="1" t="s">
        <v>1147</v>
      </c>
      <c r="Z1845" s="1" t="s">
        <v>37</v>
      </c>
    </row>
    <row r="1846" hidden="1">
      <c r="A1846" s="1" t="s">
        <v>6006</v>
      </c>
      <c r="B1846" s="1" t="s">
        <v>6007</v>
      </c>
      <c r="C1846" s="1" t="s">
        <v>6008</v>
      </c>
      <c r="D1846" s="1" t="s">
        <v>27</v>
      </c>
      <c r="E1846" s="1" t="s">
        <v>28</v>
      </c>
      <c r="F1846" s="2">
        <v>500000.0</v>
      </c>
      <c r="G1846" s="4">
        <v>44902.0</v>
      </c>
      <c r="H1846" s="4">
        <f>IFERROR(__xludf.DUMMYFUNCTION("DATE(INDEX(SPLIT(G1846,""/""),,3),INDEX(SPLIT(G1846,""/""),,2),INDEX(SPLIT(G1846,""/""),,1))"),44754.0)</f>
        <v>44754</v>
      </c>
      <c r="I1846" s="4">
        <v>44689.0</v>
      </c>
      <c r="J1846" s="4">
        <f>IFERROR(__xludf.DUMMYFUNCTION("DATE(INDEX(SPLIT(I1846,""/""),,3),INDEX(SPLIT(I1846,""/""),,2),INDEX(SPLIT(I1846,""/""),,1))"),44778.0)</f>
        <v>44778</v>
      </c>
      <c r="L1846" s="1">
        <v>0.0</v>
      </c>
      <c r="M1846" s="1" t="s">
        <v>5095</v>
      </c>
      <c r="N1846" s="1"/>
      <c r="O1846" s="1" t="s">
        <v>30</v>
      </c>
      <c r="P1846" s="1" t="s">
        <v>31</v>
      </c>
      <c r="Q1846" s="1" t="s">
        <v>235</v>
      </c>
      <c r="R1846" s="1" t="s">
        <v>235</v>
      </c>
      <c r="S1846" s="1" t="s">
        <v>236</v>
      </c>
      <c r="T1846" s="1" t="s">
        <v>237</v>
      </c>
      <c r="U1846" s="1">
        <v>1.00600653E8</v>
      </c>
      <c r="X1846" s="1" t="s">
        <v>239</v>
      </c>
      <c r="Y1846" s="1" t="s">
        <v>234</v>
      </c>
      <c r="Z1846" s="1" t="s">
        <v>37</v>
      </c>
    </row>
    <row r="1847" hidden="1">
      <c r="A1847" s="1" t="s">
        <v>6009</v>
      </c>
      <c r="B1847" s="1" t="s">
        <v>301</v>
      </c>
      <c r="C1847" s="1" t="s">
        <v>6010</v>
      </c>
      <c r="D1847" s="1" t="s">
        <v>78</v>
      </c>
      <c r="E1847" s="1" t="s">
        <v>28</v>
      </c>
      <c r="F1847" s="2">
        <v>500000.0</v>
      </c>
      <c r="G1847" s="4">
        <v>44717.0</v>
      </c>
      <c r="H1847" s="4">
        <f>IFERROR(__xludf.DUMMYFUNCTION("DATE(INDEX(SPLIT(G1847,""/""),,3),INDEX(SPLIT(G1847,""/""),,2),INDEX(SPLIT(G1847,""/""),,1))"),44687.0)</f>
        <v>44687</v>
      </c>
      <c r="I1847" s="1" t="s">
        <v>109</v>
      </c>
      <c r="J1847" s="4">
        <f>IFERROR(__xludf.DUMMYFUNCTION("DATE(INDEX(SPLIT(I1847,""/""),,3),INDEX(SPLIT(I1847,""/""),,2),INDEX(SPLIT(I1847,""/""),,1))"),44834.0)</f>
        <v>44834</v>
      </c>
      <c r="L1847" s="1">
        <v>0.0</v>
      </c>
      <c r="M1847" s="1" t="s">
        <v>873</v>
      </c>
      <c r="N1847" s="1"/>
      <c r="O1847" s="1" t="s">
        <v>30</v>
      </c>
      <c r="P1847" s="1" t="s">
        <v>31</v>
      </c>
      <c r="Q1847" s="1" t="s">
        <v>157</v>
      </c>
      <c r="R1847" s="1" t="s">
        <v>157</v>
      </c>
      <c r="S1847" s="1" t="s">
        <v>158</v>
      </c>
      <c r="U1847" s="1">
        <v>1.00586701E8</v>
      </c>
      <c r="X1847" s="1" t="s">
        <v>305</v>
      </c>
      <c r="Y1847" s="1" t="s">
        <v>1103</v>
      </c>
      <c r="Z1847" s="1" t="s">
        <v>37</v>
      </c>
    </row>
    <row r="1848" hidden="1">
      <c r="A1848" s="1" t="s">
        <v>6011</v>
      </c>
      <c r="B1848" s="1" t="s">
        <v>889</v>
      </c>
      <c r="C1848" s="1" t="s">
        <v>6012</v>
      </c>
      <c r="D1848" s="1" t="s">
        <v>27</v>
      </c>
      <c r="E1848" s="1" t="s">
        <v>28</v>
      </c>
      <c r="F1848" s="2">
        <v>500000.0</v>
      </c>
      <c r="G1848" s="1" t="s">
        <v>3467</v>
      </c>
      <c r="H1848" s="4">
        <f>IFERROR(__xludf.DUMMYFUNCTION("DATE(INDEX(SPLIT(G1848,""/""),,3),INDEX(SPLIT(G1848,""/""),,2),INDEX(SPLIT(G1848,""/""),,1))"),44615.0)</f>
        <v>44615</v>
      </c>
      <c r="I1848" s="1" t="s">
        <v>203</v>
      </c>
      <c r="J1848" s="4">
        <f>IFERROR(__xludf.DUMMYFUNCTION("DATE(INDEX(SPLIT(I1848,""/""),,3),INDEX(SPLIT(I1848,""/""),,2),INDEX(SPLIT(I1848,""/""),,1))"),44925.0)</f>
        <v>44925</v>
      </c>
      <c r="L1848" s="1">
        <v>0.0</v>
      </c>
      <c r="M1848" s="1" t="s">
        <v>868</v>
      </c>
      <c r="N1848" s="1"/>
      <c r="O1848" s="1" t="s">
        <v>30</v>
      </c>
      <c r="P1848" s="1" t="s">
        <v>31</v>
      </c>
      <c r="Q1848" s="1" t="s">
        <v>157</v>
      </c>
      <c r="R1848" s="1" t="s">
        <v>157</v>
      </c>
      <c r="S1848" s="1" t="s">
        <v>158</v>
      </c>
      <c r="T1848" s="1" t="s">
        <v>442</v>
      </c>
      <c r="U1848" s="1">
        <v>1.00655091E8</v>
      </c>
      <c r="X1848" s="1" t="s">
        <v>125</v>
      </c>
      <c r="Y1848" s="1" t="s">
        <v>852</v>
      </c>
      <c r="Z1848" s="1" t="s">
        <v>37</v>
      </c>
    </row>
    <row r="1849">
      <c r="A1849" s="1" t="s">
        <v>6013</v>
      </c>
      <c r="B1849" s="1" t="s">
        <v>373</v>
      </c>
      <c r="C1849" s="1" t="s">
        <v>6014</v>
      </c>
      <c r="D1849" s="1" t="s">
        <v>27</v>
      </c>
      <c r="E1849" s="1" t="s">
        <v>28</v>
      </c>
      <c r="F1849" s="2">
        <v>500000.0</v>
      </c>
      <c r="G1849" s="1" t="s">
        <v>5115</v>
      </c>
      <c r="H1849" s="4">
        <f>IFERROR(__xludf.DUMMYFUNCTION("DATE(INDEX(SPLIT(G1849,""/""),,3),INDEX(SPLIT(G1849,""/""),,2),INDEX(SPLIT(G1849,""/""),,1))"),44530.0)</f>
        <v>44530</v>
      </c>
      <c r="I1849" s="1" t="s">
        <v>607</v>
      </c>
      <c r="J1849" s="4">
        <f>IFERROR(__xludf.DUMMYFUNCTION("DATE(INDEX(SPLIT(I1849,""/""),,3),INDEX(SPLIT(I1849,""/""),,2),INDEX(SPLIT(I1849,""/""),,1))"),44770.0)</f>
        <v>44770</v>
      </c>
      <c r="L1849" s="1">
        <v>0.0</v>
      </c>
      <c r="M1849" s="1" t="s">
        <v>4011</v>
      </c>
      <c r="N1849" s="1"/>
      <c r="O1849" s="1" t="s">
        <v>30</v>
      </c>
      <c r="P1849" s="1" t="s">
        <v>31</v>
      </c>
      <c r="Q1849" s="1" t="s">
        <v>95</v>
      </c>
      <c r="R1849" s="1" t="s">
        <v>95</v>
      </c>
      <c r="S1849" s="1" t="s">
        <v>96</v>
      </c>
      <c r="T1849" s="1" t="s">
        <v>97</v>
      </c>
      <c r="U1849" s="1">
        <v>1.00702554E8</v>
      </c>
      <c r="X1849" s="1" t="s">
        <v>375</v>
      </c>
      <c r="Y1849" s="1" t="s">
        <v>4011</v>
      </c>
      <c r="Z1849" s="1" t="s">
        <v>206</v>
      </c>
    </row>
    <row r="1850">
      <c r="A1850" s="1" t="s">
        <v>6015</v>
      </c>
      <c r="B1850" s="1" t="s">
        <v>169</v>
      </c>
      <c r="C1850" s="1" t="s">
        <v>6016</v>
      </c>
      <c r="D1850" s="1" t="s">
        <v>27</v>
      </c>
      <c r="E1850" s="1" t="s">
        <v>28</v>
      </c>
      <c r="F1850" s="2">
        <v>500000.0</v>
      </c>
      <c r="G1850" s="4">
        <v>44682.0</v>
      </c>
      <c r="H1850" s="4">
        <f>IFERROR(__xludf.DUMMYFUNCTION("DATE(INDEX(SPLIT(G1850,""/""),,3),INDEX(SPLIT(G1850,""/""),,2),INDEX(SPLIT(G1850,""/""),,1))"),44566.0)</f>
        <v>44566</v>
      </c>
      <c r="I1850" s="1" t="s">
        <v>69</v>
      </c>
      <c r="J1850" s="4">
        <f>IFERROR(__xludf.DUMMYFUNCTION("DATE(INDEX(SPLIT(I1850,""/""),,3),INDEX(SPLIT(I1850,""/""),,2),INDEX(SPLIT(I1850,""/""),,1))"),44773.0)</f>
        <v>44773</v>
      </c>
      <c r="L1850" s="1">
        <v>0.0</v>
      </c>
      <c r="M1850" s="1" t="s">
        <v>172</v>
      </c>
      <c r="N1850" s="1"/>
      <c r="O1850" s="1" t="s">
        <v>30</v>
      </c>
      <c r="P1850" s="1" t="s">
        <v>31</v>
      </c>
      <c r="Q1850" s="1" t="s">
        <v>95</v>
      </c>
      <c r="R1850" s="1" t="s">
        <v>95</v>
      </c>
      <c r="S1850" s="1" t="s">
        <v>96</v>
      </c>
      <c r="T1850" s="1" t="s">
        <v>97</v>
      </c>
      <c r="U1850" s="1">
        <v>1.00658519E8</v>
      </c>
      <c r="X1850" s="1" t="s">
        <v>117</v>
      </c>
      <c r="Y1850" s="1" t="s">
        <v>173</v>
      </c>
      <c r="Z1850" s="1" t="s">
        <v>37</v>
      </c>
    </row>
    <row r="1851" hidden="1">
      <c r="A1851" s="1" t="s">
        <v>6017</v>
      </c>
      <c r="B1851" s="1" t="s">
        <v>889</v>
      </c>
      <c r="C1851" s="1" t="s">
        <v>6018</v>
      </c>
      <c r="D1851" s="1" t="s">
        <v>27</v>
      </c>
      <c r="E1851" s="1" t="s">
        <v>28</v>
      </c>
      <c r="F1851" s="2">
        <v>500000.0</v>
      </c>
      <c r="G1851" s="1" t="s">
        <v>3467</v>
      </c>
      <c r="H1851" s="4">
        <f>IFERROR(__xludf.DUMMYFUNCTION("DATE(INDEX(SPLIT(G1851,""/""),,3),INDEX(SPLIT(G1851,""/""),,2),INDEX(SPLIT(G1851,""/""),,1))"),44615.0)</f>
        <v>44615</v>
      </c>
      <c r="I1851" s="1" t="s">
        <v>203</v>
      </c>
      <c r="J1851" s="4">
        <f>IFERROR(__xludf.DUMMYFUNCTION("DATE(INDEX(SPLIT(I1851,""/""),,3),INDEX(SPLIT(I1851,""/""),,2),INDEX(SPLIT(I1851,""/""),,1))"),44925.0)</f>
        <v>44925</v>
      </c>
      <c r="L1851" s="1">
        <v>0.0</v>
      </c>
      <c r="M1851" s="1" t="s">
        <v>868</v>
      </c>
      <c r="N1851" s="1"/>
      <c r="O1851" s="1" t="s">
        <v>30</v>
      </c>
      <c r="P1851" s="1" t="s">
        <v>31</v>
      </c>
      <c r="Q1851" s="1" t="s">
        <v>157</v>
      </c>
      <c r="R1851" s="1" t="s">
        <v>157</v>
      </c>
      <c r="S1851" s="1" t="s">
        <v>158</v>
      </c>
      <c r="T1851" s="1" t="s">
        <v>442</v>
      </c>
      <c r="U1851" s="1">
        <v>1.00655091E8</v>
      </c>
      <c r="X1851" s="1" t="s">
        <v>125</v>
      </c>
      <c r="Y1851" s="1" t="s">
        <v>852</v>
      </c>
      <c r="Z1851" s="1" t="s">
        <v>37</v>
      </c>
    </row>
    <row r="1852" hidden="1">
      <c r="A1852" s="1" t="s">
        <v>6019</v>
      </c>
      <c r="B1852" s="1" t="s">
        <v>889</v>
      </c>
      <c r="C1852" s="1" t="s">
        <v>6020</v>
      </c>
      <c r="D1852" s="1" t="s">
        <v>27</v>
      </c>
      <c r="E1852" s="1" t="s">
        <v>28</v>
      </c>
      <c r="F1852" s="2">
        <v>500000.0</v>
      </c>
      <c r="G1852" s="1" t="s">
        <v>3467</v>
      </c>
      <c r="H1852" s="4">
        <f>IFERROR(__xludf.DUMMYFUNCTION("DATE(INDEX(SPLIT(G1852,""/""),,3),INDEX(SPLIT(G1852,""/""),,2),INDEX(SPLIT(G1852,""/""),,1))"),44615.0)</f>
        <v>44615</v>
      </c>
      <c r="I1852" s="1" t="s">
        <v>203</v>
      </c>
      <c r="J1852" s="4">
        <f>IFERROR(__xludf.DUMMYFUNCTION("DATE(INDEX(SPLIT(I1852,""/""),,3),INDEX(SPLIT(I1852,""/""),,2),INDEX(SPLIT(I1852,""/""),,1))"),44925.0)</f>
        <v>44925</v>
      </c>
      <c r="L1852" s="1">
        <v>0.0</v>
      </c>
      <c r="M1852" s="1" t="s">
        <v>852</v>
      </c>
      <c r="N1852" s="1"/>
      <c r="O1852" s="1" t="s">
        <v>30</v>
      </c>
      <c r="P1852" s="1" t="s">
        <v>31</v>
      </c>
      <c r="Q1852" s="1" t="s">
        <v>157</v>
      </c>
      <c r="R1852" s="1" t="s">
        <v>157</v>
      </c>
      <c r="S1852" s="1" t="s">
        <v>158</v>
      </c>
      <c r="T1852" s="1" t="s">
        <v>442</v>
      </c>
      <c r="U1852" s="1">
        <v>1.00648457E8</v>
      </c>
      <c r="X1852" s="1" t="s">
        <v>125</v>
      </c>
      <c r="Y1852" s="1" t="s">
        <v>852</v>
      </c>
      <c r="Z1852" s="1" t="s">
        <v>37</v>
      </c>
    </row>
    <row r="1853" hidden="1">
      <c r="A1853" s="1" t="s">
        <v>6021</v>
      </c>
      <c r="B1853" s="1" t="s">
        <v>427</v>
      </c>
      <c r="C1853" s="1" t="s">
        <v>6022</v>
      </c>
      <c r="D1853" s="1" t="s">
        <v>78</v>
      </c>
      <c r="E1853" s="1" t="s">
        <v>28</v>
      </c>
      <c r="F1853" s="2">
        <v>500000.0</v>
      </c>
      <c r="G1853" s="1" t="s">
        <v>6023</v>
      </c>
      <c r="H1853" s="4">
        <f>IFERROR(__xludf.DUMMYFUNCTION("DATE(INDEX(SPLIT(G1853,""/""),,3),INDEX(SPLIT(G1853,""/""),,2),INDEX(SPLIT(G1853,""/""),,1))"),43857.0)</f>
        <v>43857</v>
      </c>
      <c r="I1853" s="1" t="s">
        <v>102</v>
      </c>
      <c r="J1853" s="4">
        <f>IFERROR(__xludf.DUMMYFUNCTION("DATE(INDEX(SPLIT(I1853,""/""),,3),INDEX(SPLIT(I1853,""/""),,2),INDEX(SPLIT(I1853,""/""),,1))"),45046.0)</f>
        <v>45046</v>
      </c>
      <c r="L1853" s="1">
        <v>0.0</v>
      </c>
      <c r="M1853" s="1" t="s">
        <v>303</v>
      </c>
      <c r="N1853" s="1"/>
      <c r="O1853" s="1" t="s">
        <v>30</v>
      </c>
      <c r="P1853" s="1" t="s">
        <v>31</v>
      </c>
      <c r="Q1853" s="1" t="s">
        <v>95</v>
      </c>
      <c r="R1853" s="1" t="s">
        <v>95</v>
      </c>
      <c r="S1853" s="1" t="s">
        <v>96</v>
      </c>
      <c r="T1853" s="1" t="s">
        <v>2812</v>
      </c>
      <c r="U1853" s="1">
        <v>1.00623914E8</v>
      </c>
      <c r="X1853" s="1" t="s">
        <v>125</v>
      </c>
      <c r="Y1853" s="1" t="s">
        <v>303</v>
      </c>
      <c r="Z1853" s="1" t="s">
        <v>37</v>
      </c>
    </row>
    <row r="1854" hidden="1">
      <c r="A1854" s="1" t="s">
        <v>6024</v>
      </c>
      <c r="B1854" s="1" t="s">
        <v>532</v>
      </c>
      <c r="C1854" s="1" t="s">
        <v>6025</v>
      </c>
      <c r="D1854" s="1" t="s">
        <v>27</v>
      </c>
      <c r="E1854" s="1" t="s">
        <v>28</v>
      </c>
      <c r="F1854" s="2">
        <v>500000.0</v>
      </c>
      <c r="G1854" s="4">
        <v>44595.0</v>
      </c>
      <c r="H1854" s="4">
        <f>IFERROR(__xludf.DUMMYFUNCTION("DATE(INDEX(SPLIT(G1854,""/""),,3),INDEX(SPLIT(G1854,""/""),,2),INDEX(SPLIT(G1854,""/""),,1))"),44622.0)</f>
        <v>44622</v>
      </c>
      <c r="I1854" s="1" t="s">
        <v>130</v>
      </c>
      <c r="J1854" s="4">
        <f>IFERROR(__xludf.DUMMYFUNCTION("DATE(INDEX(SPLIT(I1854,""/""),,3),INDEX(SPLIT(I1854,""/""),,2),INDEX(SPLIT(I1854,""/""),,1))"),44804.0)</f>
        <v>44804</v>
      </c>
      <c r="L1854" s="1">
        <v>0.0</v>
      </c>
      <c r="M1854" s="1" t="s">
        <v>3503</v>
      </c>
      <c r="N1854" s="1"/>
      <c r="O1854" s="1" t="s">
        <v>30</v>
      </c>
      <c r="P1854" s="1" t="s">
        <v>31</v>
      </c>
      <c r="Q1854" s="1" t="s">
        <v>95</v>
      </c>
      <c r="R1854" s="1" t="s">
        <v>95</v>
      </c>
      <c r="S1854" s="1" t="s">
        <v>96</v>
      </c>
      <c r="T1854" s="1" t="s">
        <v>489</v>
      </c>
      <c r="U1854" s="1">
        <v>1.00625578E8</v>
      </c>
      <c r="X1854" s="1" t="s">
        <v>490</v>
      </c>
      <c r="Y1854" s="1" t="s">
        <v>3503</v>
      </c>
      <c r="Z1854" s="1" t="s">
        <v>37</v>
      </c>
    </row>
    <row r="1855" hidden="1">
      <c r="A1855" s="1" t="s">
        <v>6026</v>
      </c>
      <c r="B1855" s="1" t="s">
        <v>444</v>
      </c>
      <c r="C1855" s="1" t="s">
        <v>6027</v>
      </c>
      <c r="D1855" s="1" t="s">
        <v>78</v>
      </c>
      <c r="E1855" s="1" t="s">
        <v>28</v>
      </c>
      <c r="F1855" s="2">
        <v>500000.0</v>
      </c>
      <c r="G1855" s="1" t="s">
        <v>1467</v>
      </c>
      <c r="H1855" s="4">
        <f>IFERROR(__xludf.DUMMYFUNCTION("DATE(INDEX(SPLIT(G1855,""/""),,3),INDEX(SPLIT(G1855,""/""),,2),INDEX(SPLIT(G1855,""/""),,1))"),44396.0)</f>
        <v>44396</v>
      </c>
      <c r="I1855" s="1" t="s">
        <v>281</v>
      </c>
      <c r="J1855" s="4">
        <f>IFERROR(__xludf.DUMMYFUNCTION("DATE(INDEX(SPLIT(I1855,""/""),,3),INDEX(SPLIT(I1855,""/""),,2),INDEX(SPLIT(I1855,""/""),,1))"),44865.0)</f>
        <v>44865</v>
      </c>
      <c r="L1855" s="1">
        <v>0.0</v>
      </c>
      <c r="M1855" s="1" t="s">
        <v>2371</v>
      </c>
      <c r="N1855" s="1"/>
      <c r="O1855" s="1" t="s">
        <v>30</v>
      </c>
      <c r="P1855" s="1" t="s">
        <v>31</v>
      </c>
      <c r="Q1855" s="1" t="s">
        <v>53</v>
      </c>
      <c r="R1855" s="1" t="s">
        <v>53</v>
      </c>
      <c r="S1855" s="1" t="s">
        <v>54</v>
      </c>
      <c r="T1855" s="1" t="s">
        <v>2372</v>
      </c>
      <c r="U1855" s="1">
        <v>1.00649936E8</v>
      </c>
      <c r="X1855" s="1" t="s">
        <v>239</v>
      </c>
      <c r="Y1855" s="1" t="s">
        <v>2371</v>
      </c>
      <c r="Z1855" s="1" t="s">
        <v>37</v>
      </c>
    </row>
    <row r="1856" hidden="1">
      <c r="A1856" s="1" t="s">
        <v>6028</v>
      </c>
      <c r="B1856" s="1" t="s">
        <v>532</v>
      </c>
      <c r="C1856" s="1" t="s">
        <v>6029</v>
      </c>
      <c r="D1856" s="1" t="s">
        <v>27</v>
      </c>
      <c r="E1856" s="1" t="s">
        <v>28</v>
      </c>
      <c r="F1856" s="2">
        <v>500000.0</v>
      </c>
      <c r="G1856" s="4">
        <v>44595.0</v>
      </c>
      <c r="H1856" s="4">
        <f>IFERROR(__xludf.DUMMYFUNCTION("DATE(INDEX(SPLIT(G1856,""/""),,3),INDEX(SPLIT(G1856,""/""),,2),INDEX(SPLIT(G1856,""/""),,1))"),44622.0)</f>
        <v>44622</v>
      </c>
      <c r="I1856" s="1" t="s">
        <v>109</v>
      </c>
      <c r="J1856" s="4">
        <f>IFERROR(__xludf.DUMMYFUNCTION("DATE(INDEX(SPLIT(I1856,""/""),,3),INDEX(SPLIT(I1856,""/""),,2),INDEX(SPLIT(I1856,""/""),,1))"),44834.0)</f>
        <v>44834</v>
      </c>
      <c r="L1856" s="1">
        <v>0.0</v>
      </c>
      <c r="M1856" s="1" t="s">
        <v>3503</v>
      </c>
      <c r="N1856" s="1"/>
      <c r="O1856" s="1" t="s">
        <v>30</v>
      </c>
      <c r="P1856" s="1" t="s">
        <v>31</v>
      </c>
      <c r="Q1856" s="1" t="s">
        <v>95</v>
      </c>
      <c r="R1856" s="1" t="s">
        <v>95</v>
      </c>
      <c r="S1856" s="1" t="s">
        <v>96</v>
      </c>
      <c r="T1856" s="1" t="s">
        <v>489</v>
      </c>
      <c r="U1856" s="1">
        <v>1.00625578E8</v>
      </c>
      <c r="X1856" s="1" t="s">
        <v>490</v>
      </c>
      <c r="Y1856" s="1" t="s">
        <v>3503</v>
      </c>
      <c r="Z1856" s="1" t="s">
        <v>37</v>
      </c>
    </row>
    <row r="1857">
      <c r="A1857" s="1" t="s">
        <v>6030</v>
      </c>
      <c r="B1857" s="1" t="s">
        <v>1216</v>
      </c>
      <c r="C1857" s="1" t="s">
        <v>6031</v>
      </c>
      <c r="D1857" s="1" t="s">
        <v>27</v>
      </c>
      <c r="E1857" s="1" t="s">
        <v>28</v>
      </c>
      <c r="F1857" s="2">
        <v>500000.0</v>
      </c>
      <c r="G1857" s="1" t="s">
        <v>2300</v>
      </c>
      <c r="H1857" s="4">
        <f>IFERROR(__xludf.DUMMYFUNCTION("DATE(INDEX(SPLIT(G1857,""/""),,3),INDEX(SPLIT(G1857,""/""),,2),INDEX(SPLIT(G1857,""/""),,1))"),44712.0)</f>
        <v>44712</v>
      </c>
      <c r="I1857" s="1" t="s">
        <v>1244</v>
      </c>
      <c r="J1857" s="4">
        <f>IFERROR(__xludf.DUMMYFUNCTION("DATE(INDEX(SPLIT(I1857,""/""),,3),INDEX(SPLIT(I1857,""/""),,2),INDEX(SPLIT(I1857,""/""),,1))"),44742.0)</f>
        <v>44742</v>
      </c>
      <c r="L1857" s="1">
        <v>0.0</v>
      </c>
      <c r="M1857" s="1" t="s">
        <v>4397</v>
      </c>
      <c r="N1857" s="1"/>
      <c r="O1857" s="1" t="s">
        <v>30</v>
      </c>
      <c r="P1857" s="1" t="s">
        <v>31</v>
      </c>
      <c r="Q1857" s="1" t="s">
        <v>235</v>
      </c>
      <c r="R1857" s="1" t="s">
        <v>235</v>
      </c>
      <c r="S1857" s="1" t="s">
        <v>236</v>
      </c>
      <c r="T1857" s="1" t="s">
        <v>753</v>
      </c>
      <c r="U1857" s="1">
        <v>1.0064547E8</v>
      </c>
      <c r="X1857" s="1" t="s">
        <v>88</v>
      </c>
      <c r="Y1857" s="1" t="s">
        <v>1922</v>
      </c>
      <c r="Z1857" s="1" t="s">
        <v>37</v>
      </c>
    </row>
    <row r="1858">
      <c r="A1858" s="1" t="s">
        <v>6032</v>
      </c>
      <c r="B1858" s="1" t="s">
        <v>3078</v>
      </c>
      <c r="C1858" s="1" t="s">
        <v>6033</v>
      </c>
      <c r="D1858" s="1" t="s">
        <v>122</v>
      </c>
      <c r="E1858" s="1" t="s">
        <v>28</v>
      </c>
      <c r="F1858" s="2">
        <v>500000.0</v>
      </c>
      <c r="G1858" s="1" t="s">
        <v>185</v>
      </c>
      <c r="H1858" s="4">
        <f>IFERROR(__xludf.DUMMYFUNCTION("DATE(INDEX(SPLIT(G1858,""/""),,3),INDEX(SPLIT(G1858,""/""),,2),INDEX(SPLIT(G1858,""/""),,1))"),44741.0)</f>
        <v>44741</v>
      </c>
      <c r="I1858" s="4">
        <v>44780.0</v>
      </c>
      <c r="J1858" s="4">
        <f>IFERROR(__xludf.DUMMYFUNCTION("DATE(INDEX(SPLIT(I1858,""/""),,3),INDEX(SPLIT(I1858,""/""),,2),INDEX(SPLIT(I1858,""/""),,1))"),44750.0)</f>
        <v>44750</v>
      </c>
      <c r="L1858" s="1">
        <v>0.0</v>
      </c>
      <c r="M1858" s="1" t="s">
        <v>2247</v>
      </c>
      <c r="N1858" s="1"/>
      <c r="O1858" s="1" t="s">
        <v>30</v>
      </c>
      <c r="P1858" s="1" t="s">
        <v>31</v>
      </c>
      <c r="Q1858" s="1" t="s">
        <v>32</v>
      </c>
      <c r="R1858" s="1" t="s">
        <v>32</v>
      </c>
      <c r="S1858" s="1" t="s">
        <v>33</v>
      </c>
      <c r="T1858" s="1" t="s">
        <v>6034</v>
      </c>
      <c r="U1858" s="1">
        <v>1.01076271E8</v>
      </c>
      <c r="X1858" s="1" t="s">
        <v>125</v>
      </c>
      <c r="Y1858" s="1" t="s">
        <v>2247</v>
      </c>
      <c r="Z1858" s="1" t="s">
        <v>206</v>
      </c>
    </row>
    <row r="1859" hidden="1">
      <c r="A1859" s="1" t="s">
        <v>6035</v>
      </c>
      <c r="B1859" s="1" t="s">
        <v>6036</v>
      </c>
      <c r="C1859" s="1" t="s">
        <v>5939</v>
      </c>
      <c r="D1859" s="1" t="s">
        <v>78</v>
      </c>
      <c r="E1859" s="1" t="s">
        <v>28</v>
      </c>
      <c r="F1859" s="2">
        <v>500000.0</v>
      </c>
      <c r="G1859" s="4">
        <v>44198.0</v>
      </c>
      <c r="H1859" s="4">
        <f>IFERROR(__xludf.DUMMYFUNCTION("DATE(INDEX(SPLIT(G1859,""/""),,3),INDEX(SPLIT(G1859,""/""),,2),INDEX(SPLIT(G1859,""/""),,1))"),44228.0)</f>
        <v>44228</v>
      </c>
      <c r="I1859" s="1" t="s">
        <v>42</v>
      </c>
      <c r="J1859" s="4">
        <f>IFERROR(__xludf.DUMMYFUNCTION("DATE(INDEX(SPLIT(I1859,""/""),,3),INDEX(SPLIT(I1859,""/""),,2),INDEX(SPLIT(I1859,""/""),,1))"),44926.0)</f>
        <v>44926</v>
      </c>
      <c r="L1859" s="1">
        <v>0.0</v>
      </c>
      <c r="M1859" s="1" t="s">
        <v>4477</v>
      </c>
      <c r="N1859" s="1"/>
      <c r="O1859" s="1" t="s">
        <v>30</v>
      </c>
      <c r="P1859" s="1" t="s">
        <v>31</v>
      </c>
      <c r="Q1859" s="1" t="s">
        <v>228</v>
      </c>
      <c r="R1859" s="1" t="s">
        <v>228</v>
      </c>
      <c r="S1859" s="1" t="s">
        <v>229</v>
      </c>
      <c r="T1859" s="1" t="s">
        <v>513</v>
      </c>
      <c r="U1859" s="1">
        <v>1.00592715E8</v>
      </c>
      <c r="X1859" s="1" t="s">
        <v>98</v>
      </c>
      <c r="Y1859" s="1" t="s">
        <v>4477</v>
      </c>
      <c r="Z1859" s="1" t="s">
        <v>37</v>
      </c>
    </row>
    <row r="1860" hidden="1">
      <c r="A1860" s="1" t="s">
        <v>6037</v>
      </c>
      <c r="B1860" s="1" t="s">
        <v>2483</v>
      </c>
      <c r="C1860" s="1" t="s">
        <v>6038</v>
      </c>
      <c r="D1860" s="1" t="s">
        <v>78</v>
      </c>
      <c r="E1860" s="1" t="s">
        <v>28</v>
      </c>
      <c r="F1860" s="2">
        <v>500000.0</v>
      </c>
      <c r="G1860" s="1" t="s">
        <v>6039</v>
      </c>
      <c r="H1860" s="4">
        <f>IFERROR(__xludf.DUMMYFUNCTION("DATE(INDEX(SPLIT(G1860,""/""),,3),INDEX(SPLIT(G1860,""/""),,2),INDEX(SPLIT(G1860,""/""),,1))"),44316.0)</f>
        <v>44316</v>
      </c>
      <c r="I1860" s="1" t="s">
        <v>130</v>
      </c>
      <c r="J1860" s="4">
        <f>IFERROR(__xludf.DUMMYFUNCTION("DATE(INDEX(SPLIT(I1860,""/""),,3),INDEX(SPLIT(I1860,""/""),,2),INDEX(SPLIT(I1860,""/""),,1))"),44804.0)</f>
        <v>44804</v>
      </c>
      <c r="L1860" s="1">
        <v>0.0</v>
      </c>
      <c r="M1860" s="1" t="s">
        <v>3601</v>
      </c>
      <c r="N1860" s="1"/>
      <c r="O1860" s="1" t="s">
        <v>30</v>
      </c>
      <c r="P1860" s="1" t="s">
        <v>31</v>
      </c>
      <c r="Q1860" s="1" t="s">
        <v>71</v>
      </c>
      <c r="R1860" s="1" t="s">
        <v>71</v>
      </c>
      <c r="S1860" s="1" t="s">
        <v>72</v>
      </c>
      <c r="T1860" s="1" t="s">
        <v>136</v>
      </c>
      <c r="U1860" s="1">
        <v>1.00611547E8</v>
      </c>
      <c r="X1860" s="1" t="s">
        <v>2028</v>
      </c>
      <c r="Y1860" s="1" t="s">
        <v>3601</v>
      </c>
      <c r="Z1860" s="1" t="s">
        <v>37</v>
      </c>
    </row>
    <row r="1861" hidden="1">
      <c r="A1861" s="1" t="s">
        <v>6040</v>
      </c>
      <c r="B1861" s="1" t="s">
        <v>6041</v>
      </c>
      <c r="C1861" s="1" t="s">
        <v>6042</v>
      </c>
      <c r="D1861" s="1" t="s">
        <v>27</v>
      </c>
      <c r="E1861" s="1" t="s">
        <v>28</v>
      </c>
      <c r="F1861" s="2">
        <v>500000.0</v>
      </c>
      <c r="G1861" s="1" t="s">
        <v>6039</v>
      </c>
      <c r="H1861" s="4">
        <f>IFERROR(__xludf.DUMMYFUNCTION("DATE(INDEX(SPLIT(G1861,""/""),,3),INDEX(SPLIT(G1861,""/""),,2),INDEX(SPLIT(G1861,""/""),,1))"),44316.0)</f>
        <v>44316</v>
      </c>
      <c r="I1861" s="1" t="s">
        <v>109</v>
      </c>
      <c r="J1861" s="4">
        <f>IFERROR(__xludf.DUMMYFUNCTION("DATE(INDEX(SPLIT(I1861,""/""),,3),INDEX(SPLIT(I1861,""/""),,2),INDEX(SPLIT(I1861,""/""),,1))"),44834.0)</f>
        <v>44834</v>
      </c>
      <c r="L1861" s="1">
        <v>0.0</v>
      </c>
      <c r="M1861" s="1" t="s">
        <v>3601</v>
      </c>
      <c r="N1861" s="1"/>
      <c r="O1861" s="1" t="s">
        <v>30</v>
      </c>
      <c r="P1861" s="1" t="s">
        <v>31</v>
      </c>
      <c r="Q1861" s="1" t="s">
        <v>71</v>
      </c>
      <c r="R1861" s="1" t="s">
        <v>71</v>
      </c>
      <c r="S1861" s="1" t="s">
        <v>72</v>
      </c>
      <c r="T1861" s="1" t="s">
        <v>136</v>
      </c>
      <c r="U1861" s="1">
        <v>1.00611547E8</v>
      </c>
      <c r="X1861" s="1" t="s">
        <v>2028</v>
      </c>
      <c r="Y1861" s="1" t="s">
        <v>3601</v>
      </c>
      <c r="Z1861" s="1" t="s">
        <v>37</v>
      </c>
    </row>
    <row r="1862" hidden="1">
      <c r="A1862" s="1" t="s">
        <v>6043</v>
      </c>
      <c r="B1862" s="1" t="s">
        <v>4090</v>
      </c>
      <c r="C1862" s="1" t="s">
        <v>6044</v>
      </c>
      <c r="D1862" s="1" t="s">
        <v>27</v>
      </c>
      <c r="E1862" s="1" t="s">
        <v>28</v>
      </c>
      <c r="F1862" s="2">
        <v>500000.0</v>
      </c>
      <c r="G1862" s="1" t="s">
        <v>50</v>
      </c>
      <c r="H1862" s="4">
        <f>IFERROR(__xludf.DUMMYFUNCTION("DATE(INDEX(SPLIT(G1862,""/""),,3),INDEX(SPLIT(G1862,""/""),,2),INDEX(SPLIT(G1862,""/""),,1))"),44547.0)</f>
        <v>44547</v>
      </c>
      <c r="I1862" s="1" t="s">
        <v>42</v>
      </c>
      <c r="J1862" s="4">
        <f>IFERROR(__xludf.DUMMYFUNCTION("DATE(INDEX(SPLIT(I1862,""/""),,3),INDEX(SPLIT(I1862,""/""),,2),INDEX(SPLIT(I1862,""/""),,1))"),44926.0)</f>
        <v>44926</v>
      </c>
      <c r="L1862" s="1">
        <v>0.0</v>
      </c>
      <c r="M1862" s="1" t="s">
        <v>6045</v>
      </c>
      <c r="N1862" s="1"/>
      <c r="O1862" s="1" t="s">
        <v>30</v>
      </c>
      <c r="P1862" s="1" t="s">
        <v>31</v>
      </c>
      <c r="Q1862" s="1" t="s">
        <v>228</v>
      </c>
      <c r="R1862" s="1" t="s">
        <v>228</v>
      </c>
      <c r="S1862" s="1" t="s">
        <v>229</v>
      </c>
      <c r="T1862" s="1" t="s">
        <v>513</v>
      </c>
      <c r="U1862" s="1">
        <v>1.00652479E8</v>
      </c>
      <c r="X1862" s="1" t="s">
        <v>190</v>
      </c>
      <c r="Y1862" s="1" t="s">
        <v>6046</v>
      </c>
      <c r="Z1862" s="1" t="s">
        <v>37</v>
      </c>
    </row>
    <row r="1863">
      <c r="A1863" s="1" t="s">
        <v>6047</v>
      </c>
      <c r="B1863" s="1" t="s">
        <v>6048</v>
      </c>
      <c r="C1863" s="1" t="s">
        <v>6049</v>
      </c>
      <c r="D1863" s="1" t="s">
        <v>27</v>
      </c>
      <c r="E1863" s="1" t="s">
        <v>28</v>
      </c>
      <c r="F1863" s="2">
        <v>500000.0</v>
      </c>
      <c r="G1863" s="4">
        <v>44625.0</v>
      </c>
      <c r="H1863" s="4">
        <f>IFERROR(__xludf.DUMMYFUNCTION("DATE(INDEX(SPLIT(G1863,""/""),,3),INDEX(SPLIT(G1863,""/""),,2),INDEX(SPLIT(G1863,""/""),,1))"),44684.0)</f>
        <v>44684</v>
      </c>
      <c r="I1863" s="1" t="s">
        <v>414</v>
      </c>
      <c r="J1863" s="4">
        <f>IFERROR(__xludf.DUMMYFUNCTION("DATE(INDEX(SPLIT(I1863,""/""),,3),INDEX(SPLIT(I1863,""/""),,2),INDEX(SPLIT(I1863,""/""),,1))"),44772.0)</f>
        <v>44772</v>
      </c>
      <c r="L1863" s="1">
        <v>0.0</v>
      </c>
      <c r="M1863" s="1" t="s">
        <v>6045</v>
      </c>
      <c r="N1863" s="1"/>
      <c r="O1863" s="1" t="s">
        <v>30</v>
      </c>
      <c r="P1863" s="1" t="s">
        <v>31</v>
      </c>
      <c r="Q1863" s="1" t="s">
        <v>228</v>
      </c>
      <c r="R1863" s="1" t="s">
        <v>228</v>
      </c>
      <c r="S1863" s="1" t="s">
        <v>229</v>
      </c>
      <c r="T1863" s="1" t="s">
        <v>513</v>
      </c>
      <c r="U1863" s="1">
        <v>1.00652479E8</v>
      </c>
      <c r="X1863" s="1" t="s">
        <v>190</v>
      </c>
      <c r="Y1863" s="1" t="s">
        <v>6050</v>
      </c>
      <c r="Z1863" s="1" t="s">
        <v>37</v>
      </c>
    </row>
    <row r="1864">
      <c r="A1864" s="1" t="s">
        <v>6051</v>
      </c>
      <c r="B1864" s="1" t="s">
        <v>1665</v>
      </c>
      <c r="C1864" s="1" t="s">
        <v>6052</v>
      </c>
      <c r="D1864" s="1" t="s">
        <v>27</v>
      </c>
      <c r="E1864" s="1" t="s">
        <v>28</v>
      </c>
      <c r="F1864" s="2">
        <v>500000.0</v>
      </c>
      <c r="G1864" s="4">
        <v>44625.0</v>
      </c>
      <c r="H1864" s="4">
        <f>IFERROR(__xludf.DUMMYFUNCTION("DATE(INDEX(SPLIT(G1864,""/""),,3),INDEX(SPLIT(G1864,""/""),,2),INDEX(SPLIT(G1864,""/""),,1))"),44684.0)</f>
        <v>44684</v>
      </c>
      <c r="I1864" s="1" t="s">
        <v>226</v>
      </c>
      <c r="J1864" s="4">
        <f>IFERROR(__xludf.DUMMYFUNCTION("DATE(INDEX(SPLIT(I1864,""/""),,3),INDEX(SPLIT(I1864,""/""),,2),INDEX(SPLIT(I1864,""/""),,1))"),44771.0)</f>
        <v>44771</v>
      </c>
      <c r="L1864" s="1">
        <v>0.0</v>
      </c>
      <c r="M1864" s="1" t="s">
        <v>1833</v>
      </c>
      <c r="N1864" s="1"/>
      <c r="O1864" s="1" t="s">
        <v>30</v>
      </c>
      <c r="P1864" s="1" t="s">
        <v>31</v>
      </c>
      <c r="Q1864" s="1" t="s">
        <v>53</v>
      </c>
      <c r="R1864" s="1" t="s">
        <v>53</v>
      </c>
      <c r="S1864" s="1" t="s">
        <v>54</v>
      </c>
      <c r="T1864" s="1" t="s">
        <v>634</v>
      </c>
      <c r="U1864" s="1">
        <v>1.0105484E8</v>
      </c>
      <c r="X1864" s="1" t="s">
        <v>490</v>
      </c>
      <c r="Y1864" s="1" t="s">
        <v>1833</v>
      </c>
      <c r="Z1864" s="1" t="s">
        <v>37</v>
      </c>
    </row>
    <row r="1865" hidden="1">
      <c r="A1865" s="1" t="s">
        <v>6053</v>
      </c>
      <c r="B1865" s="1" t="s">
        <v>2231</v>
      </c>
      <c r="C1865" s="1" t="s">
        <v>6054</v>
      </c>
      <c r="D1865" s="1" t="s">
        <v>78</v>
      </c>
      <c r="E1865" s="1" t="s">
        <v>28</v>
      </c>
      <c r="F1865" s="2">
        <v>500000.0</v>
      </c>
      <c r="G1865" s="4">
        <v>43962.0</v>
      </c>
      <c r="H1865" s="4">
        <f>IFERROR(__xludf.DUMMYFUNCTION("DATE(INDEX(SPLIT(G1865,""/""),,3),INDEX(SPLIT(G1865,""/""),,2),INDEX(SPLIT(G1865,""/""),,1))"),44140.0)</f>
        <v>44140</v>
      </c>
      <c r="I1865" s="1" t="s">
        <v>109</v>
      </c>
      <c r="J1865" s="4">
        <f>IFERROR(__xludf.DUMMYFUNCTION("DATE(INDEX(SPLIT(I1865,""/""),,3),INDEX(SPLIT(I1865,""/""),,2),INDEX(SPLIT(I1865,""/""),,1))"),44834.0)</f>
        <v>44834</v>
      </c>
      <c r="L1865" s="1">
        <v>0.0</v>
      </c>
      <c r="M1865" s="1" t="s">
        <v>6055</v>
      </c>
      <c r="N1865" s="1"/>
      <c r="O1865" s="1" t="s">
        <v>30</v>
      </c>
      <c r="P1865" s="1" t="s">
        <v>31</v>
      </c>
      <c r="Q1865" s="1" t="s">
        <v>1320</v>
      </c>
      <c r="R1865" s="1" t="s">
        <v>1320</v>
      </c>
      <c r="S1865" s="1" t="s">
        <v>54</v>
      </c>
      <c r="U1865" s="1">
        <v>1.00591095E8</v>
      </c>
      <c r="X1865" s="1" t="s">
        <v>125</v>
      </c>
      <c r="Y1865" s="1" t="s">
        <v>1321</v>
      </c>
      <c r="Z1865" s="1" t="s">
        <v>37</v>
      </c>
    </row>
    <row r="1866" hidden="1">
      <c r="A1866" s="1" t="s">
        <v>6056</v>
      </c>
      <c r="B1866" s="1" t="s">
        <v>2030</v>
      </c>
      <c r="C1866" s="1" t="s">
        <v>6057</v>
      </c>
      <c r="D1866" s="1" t="s">
        <v>27</v>
      </c>
      <c r="E1866" s="1" t="s">
        <v>28</v>
      </c>
      <c r="F1866" s="2">
        <v>500000.0</v>
      </c>
      <c r="G1866" s="1" t="s">
        <v>1475</v>
      </c>
      <c r="H1866" s="4">
        <f>IFERROR(__xludf.DUMMYFUNCTION("DATE(INDEX(SPLIT(G1866,""/""),,3),INDEX(SPLIT(G1866,""/""),,2),INDEX(SPLIT(G1866,""/""),,1))"),44425.0)</f>
        <v>44425</v>
      </c>
      <c r="I1866" s="1" t="s">
        <v>42</v>
      </c>
      <c r="J1866" s="4">
        <f>IFERROR(__xludf.DUMMYFUNCTION("DATE(INDEX(SPLIT(I1866,""/""),,3),INDEX(SPLIT(I1866,""/""),,2),INDEX(SPLIT(I1866,""/""),,1))"),44926.0)</f>
        <v>44926</v>
      </c>
      <c r="L1866" s="1">
        <v>0.0</v>
      </c>
      <c r="M1866" s="1" t="s">
        <v>2107</v>
      </c>
      <c r="N1866" s="1"/>
      <c r="O1866" s="1" t="s">
        <v>30</v>
      </c>
      <c r="P1866" s="1" t="s">
        <v>31</v>
      </c>
      <c r="Q1866" s="1" t="s">
        <v>71</v>
      </c>
      <c r="R1866" s="1" t="s">
        <v>71</v>
      </c>
      <c r="S1866" s="1" t="s">
        <v>72</v>
      </c>
      <c r="T1866" s="1" t="s">
        <v>73</v>
      </c>
      <c r="U1866" s="1">
        <v>1.0061233E8</v>
      </c>
      <c r="X1866" s="1" t="s">
        <v>74</v>
      </c>
      <c r="Y1866" s="1" t="s">
        <v>2107</v>
      </c>
      <c r="Z1866" s="1" t="s">
        <v>37</v>
      </c>
    </row>
    <row r="1867" hidden="1">
      <c r="A1867" s="1" t="s">
        <v>6058</v>
      </c>
      <c r="B1867" s="1" t="s">
        <v>4929</v>
      </c>
      <c r="C1867" s="1" t="s">
        <v>6059</v>
      </c>
      <c r="D1867" s="1" t="s">
        <v>27</v>
      </c>
      <c r="E1867" s="1" t="s">
        <v>28</v>
      </c>
      <c r="F1867" s="2">
        <v>500000.0</v>
      </c>
      <c r="G1867" s="1" t="s">
        <v>935</v>
      </c>
      <c r="H1867" s="4">
        <f>IFERROR(__xludf.DUMMYFUNCTION("DATE(INDEX(SPLIT(G1867,""/""),,3),INDEX(SPLIT(G1867,""/""),,2),INDEX(SPLIT(G1867,""/""),,1))"),44764.0)</f>
        <v>44764</v>
      </c>
      <c r="I1867" s="4">
        <v>44903.0</v>
      </c>
      <c r="J1867" s="4">
        <f>IFERROR(__xludf.DUMMYFUNCTION("DATE(INDEX(SPLIT(I1867,""/""),,3),INDEX(SPLIT(I1867,""/""),,2),INDEX(SPLIT(I1867,""/""),,1))"),44785.0)</f>
        <v>44785</v>
      </c>
      <c r="L1867" s="1">
        <v>0.0</v>
      </c>
      <c r="M1867" s="1" t="s">
        <v>6060</v>
      </c>
      <c r="N1867" s="1"/>
      <c r="O1867" s="1" t="s">
        <v>30</v>
      </c>
      <c r="P1867" s="1" t="s">
        <v>31</v>
      </c>
      <c r="Q1867" s="1" t="s">
        <v>32</v>
      </c>
      <c r="R1867" s="1" t="s">
        <v>32</v>
      </c>
      <c r="S1867" s="1" t="s">
        <v>33</v>
      </c>
      <c r="U1867" s="1">
        <v>1.00610875E8</v>
      </c>
      <c r="X1867" s="1" t="s">
        <v>74</v>
      </c>
      <c r="Y1867" s="1" t="s">
        <v>1675</v>
      </c>
      <c r="Z1867" s="1" t="s">
        <v>37</v>
      </c>
    </row>
    <row r="1868" hidden="1">
      <c r="A1868" s="1" t="s">
        <v>6061</v>
      </c>
      <c r="B1868" s="1" t="s">
        <v>1198</v>
      </c>
      <c r="C1868" s="1" t="s">
        <v>6062</v>
      </c>
      <c r="D1868" s="1" t="s">
        <v>27</v>
      </c>
      <c r="E1868" s="1" t="s">
        <v>28</v>
      </c>
      <c r="F1868" s="2">
        <v>500000.0</v>
      </c>
      <c r="G1868" s="4">
        <v>44596.0</v>
      </c>
      <c r="H1868" s="4">
        <f>IFERROR(__xludf.DUMMYFUNCTION("DATE(INDEX(SPLIT(G1868,""/""),,3),INDEX(SPLIT(G1868,""/""),,2),INDEX(SPLIT(G1868,""/""),,1))"),44653.0)</f>
        <v>44653</v>
      </c>
      <c r="I1868" s="1" t="s">
        <v>109</v>
      </c>
      <c r="J1868" s="4">
        <f>IFERROR(__xludf.DUMMYFUNCTION("DATE(INDEX(SPLIT(I1868,""/""),,3),INDEX(SPLIT(I1868,""/""),,2),INDEX(SPLIT(I1868,""/""),,1))"),44834.0)</f>
        <v>44834</v>
      </c>
      <c r="L1868" s="1">
        <v>0.0</v>
      </c>
      <c r="M1868" s="1" t="s">
        <v>1814</v>
      </c>
      <c r="N1868" s="1"/>
      <c r="O1868" s="1" t="s">
        <v>30</v>
      </c>
      <c r="P1868" s="1" t="s">
        <v>31</v>
      </c>
      <c r="Q1868" s="1" t="s">
        <v>95</v>
      </c>
      <c r="R1868" s="1" t="s">
        <v>95</v>
      </c>
      <c r="S1868" s="1" t="s">
        <v>96</v>
      </c>
      <c r="T1868" s="1" t="s">
        <v>602</v>
      </c>
      <c r="U1868" s="1">
        <v>1.00597983E8</v>
      </c>
      <c r="X1868" s="1" t="s">
        <v>88</v>
      </c>
      <c r="Y1868" s="1" t="s">
        <v>2133</v>
      </c>
      <c r="Z1868" s="1" t="s">
        <v>206</v>
      </c>
    </row>
    <row r="1869" hidden="1">
      <c r="A1869" s="1" t="s">
        <v>6063</v>
      </c>
      <c r="B1869" s="1" t="s">
        <v>6064</v>
      </c>
      <c r="C1869" s="1" t="s">
        <v>6065</v>
      </c>
      <c r="D1869" s="1" t="s">
        <v>78</v>
      </c>
      <c r="E1869" s="1" t="s">
        <v>28</v>
      </c>
      <c r="F1869" s="2">
        <v>500000.0</v>
      </c>
      <c r="G1869" s="1" t="s">
        <v>1521</v>
      </c>
      <c r="H1869" s="4">
        <f>IFERROR(__xludf.DUMMYFUNCTION("DATE(INDEX(SPLIT(G1869,""/""),,3),INDEX(SPLIT(G1869,""/""),,2),INDEX(SPLIT(G1869,""/""),,1))"),44756.0)</f>
        <v>44756</v>
      </c>
      <c r="I1869" s="4">
        <v>44903.0</v>
      </c>
      <c r="J1869" s="4">
        <f>IFERROR(__xludf.DUMMYFUNCTION("DATE(INDEX(SPLIT(I1869,""/""),,3),INDEX(SPLIT(I1869,""/""),,2),INDEX(SPLIT(I1869,""/""),,1))"),44785.0)</f>
        <v>44785</v>
      </c>
      <c r="L1869" s="1">
        <v>0.0</v>
      </c>
      <c r="M1869" s="1" t="s">
        <v>294</v>
      </c>
      <c r="N1869" s="1"/>
      <c r="O1869" s="1" t="s">
        <v>30</v>
      </c>
      <c r="P1869" s="1" t="s">
        <v>31</v>
      </c>
      <c r="Q1869" s="1" t="s">
        <v>157</v>
      </c>
      <c r="R1869" s="1" t="s">
        <v>157</v>
      </c>
      <c r="S1869" s="1" t="s">
        <v>158</v>
      </c>
      <c r="U1869" s="1">
        <v>1.00642806E8</v>
      </c>
      <c r="X1869" s="1" t="s">
        <v>239</v>
      </c>
      <c r="Y1869" s="1" t="s">
        <v>6066</v>
      </c>
      <c r="Z1869" s="1" t="s">
        <v>37</v>
      </c>
    </row>
    <row r="1870" hidden="1">
      <c r="A1870" s="1" t="s">
        <v>6067</v>
      </c>
      <c r="B1870" s="1" t="s">
        <v>6068</v>
      </c>
      <c r="C1870" s="1" t="s">
        <v>6062</v>
      </c>
      <c r="D1870" s="1" t="s">
        <v>27</v>
      </c>
      <c r="E1870" s="1" t="s">
        <v>28</v>
      </c>
      <c r="F1870" s="2">
        <v>500000.0</v>
      </c>
      <c r="G1870" s="4">
        <v>44596.0</v>
      </c>
      <c r="H1870" s="4">
        <f>IFERROR(__xludf.DUMMYFUNCTION("DATE(INDEX(SPLIT(G1870,""/""),,3),INDEX(SPLIT(G1870,""/""),,2),INDEX(SPLIT(G1870,""/""),,1))"),44653.0)</f>
        <v>44653</v>
      </c>
      <c r="I1870" s="1" t="s">
        <v>109</v>
      </c>
      <c r="J1870" s="4">
        <f>IFERROR(__xludf.DUMMYFUNCTION("DATE(INDEX(SPLIT(I1870,""/""),,3),INDEX(SPLIT(I1870,""/""),,2),INDEX(SPLIT(I1870,""/""),,1))"),44834.0)</f>
        <v>44834</v>
      </c>
      <c r="L1870" s="1">
        <v>0.0</v>
      </c>
      <c r="M1870" s="1" t="s">
        <v>1814</v>
      </c>
      <c r="N1870" s="1"/>
      <c r="O1870" s="1" t="s">
        <v>30</v>
      </c>
      <c r="P1870" s="1" t="s">
        <v>31</v>
      </c>
      <c r="Q1870" s="1" t="s">
        <v>95</v>
      </c>
      <c r="R1870" s="1" t="s">
        <v>95</v>
      </c>
      <c r="S1870" s="1" t="s">
        <v>96</v>
      </c>
      <c r="T1870" s="1" t="s">
        <v>602</v>
      </c>
      <c r="U1870" s="1">
        <v>1.00597983E8</v>
      </c>
      <c r="X1870" s="1" t="s">
        <v>88</v>
      </c>
      <c r="Y1870" s="1" t="s">
        <v>2133</v>
      </c>
      <c r="Z1870" s="1" t="s">
        <v>206</v>
      </c>
    </row>
    <row r="1871" hidden="1">
      <c r="A1871" s="1" t="s">
        <v>6069</v>
      </c>
      <c r="B1871" s="1" t="s">
        <v>76</v>
      </c>
      <c r="C1871" s="1" t="s">
        <v>2451</v>
      </c>
      <c r="D1871" s="1" t="s">
        <v>27</v>
      </c>
      <c r="E1871" s="1" t="s">
        <v>28</v>
      </c>
      <c r="F1871" s="2">
        <v>500000.0</v>
      </c>
      <c r="G1871" s="1" t="s">
        <v>518</v>
      </c>
      <c r="H1871" s="4">
        <f>IFERROR(__xludf.DUMMYFUNCTION("DATE(INDEX(SPLIT(G1871,""/""),,3),INDEX(SPLIT(G1871,""/""),,2),INDEX(SPLIT(G1871,""/""),,1))"),44757.0)</f>
        <v>44757</v>
      </c>
      <c r="I1871" s="1" t="s">
        <v>317</v>
      </c>
      <c r="J1871" s="4">
        <f>IFERROR(__xludf.DUMMYFUNCTION("DATE(INDEX(SPLIT(I1871,""/""),,3),INDEX(SPLIT(I1871,""/""),,2),INDEX(SPLIT(I1871,""/""),,1))"),44862.0)</f>
        <v>44862</v>
      </c>
      <c r="L1871" s="1">
        <v>0.0</v>
      </c>
      <c r="M1871" s="1" t="s">
        <v>1084</v>
      </c>
      <c r="N1871" s="1"/>
      <c r="O1871" s="1" t="s">
        <v>30</v>
      </c>
      <c r="P1871" s="1" t="s">
        <v>31</v>
      </c>
      <c r="Q1871" s="1" t="s">
        <v>32</v>
      </c>
      <c r="R1871" s="1" t="s">
        <v>32</v>
      </c>
      <c r="S1871" s="1" t="s">
        <v>33</v>
      </c>
      <c r="U1871" s="1">
        <v>1.00601386E8</v>
      </c>
      <c r="W1871" s="1" t="s">
        <v>56</v>
      </c>
      <c r="X1871" s="1" t="s">
        <v>81</v>
      </c>
      <c r="Y1871" s="1" t="s">
        <v>1084</v>
      </c>
      <c r="Z1871" s="1" t="s">
        <v>37</v>
      </c>
    </row>
    <row r="1872">
      <c r="A1872" s="1" t="s">
        <v>6070</v>
      </c>
      <c r="B1872" s="1" t="s">
        <v>392</v>
      </c>
      <c r="C1872" s="1" t="s">
        <v>6071</v>
      </c>
      <c r="D1872" s="1" t="s">
        <v>122</v>
      </c>
      <c r="E1872" s="1" t="s">
        <v>28</v>
      </c>
      <c r="F1872" s="2">
        <v>500000.0</v>
      </c>
      <c r="G1872" s="1" t="s">
        <v>394</v>
      </c>
      <c r="H1872" s="4">
        <f>IFERROR(__xludf.DUMMYFUNCTION("DATE(INDEX(SPLIT(G1872,""/""),,3),INDEX(SPLIT(G1872,""/""),,2),INDEX(SPLIT(G1872,""/""),,1))"),44677.0)</f>
        <v>44677</v>
      </c>
      <c r="I1872" s="1" t="s">
        <v>518</v>
      </c>
      <c r="J1872" s="4">
        <f>IFERROR(__xludf.DUMMYFUNCTION("DATE(INDEX(SPLIT(I1872,""/""),,3),INDEX(SPLIT(I1872,""/""),,2),INDEX(SPLIT(I1872,""/""),,1))"),44757.0)</f>
        <v>44757</v>
      </c>
      <c r="L1872" s="1">
        <v>0.0</v>
      </c>
      <c r="M1872" s="1" t="s">
        <v>234</v>
      </c>
      <c r="N1872" s="1"/>
      <c r="O1872" s="1" t="s">
        <v>30</v>
      </c>
      <c r="P1872" s="1" t="s">
        <v>31</v>
      </c>
      <c r="Q1872" s="1" t="s">
        <v>235</v>
      </c>
      <c r="R1872" s="1" t="s">
        <v>235</v>
      </c>
      <c r="S1872" s="1" t="s">
        <v>236</v>
      </c>
      <c r="T1872" s="1" t="s">
        <v>237</v>
      </c>
      <c r="U1872" s="1">
        <v>1.00658132E8</v>
      </c>
      <c r="X1872" s="1" t="s">
        <v>239</v>
      </c>
      <c r="Y1872" s="1" t="s">
        <v>234</v>
      </c>
      <c r="Z1872" s="1" t="s">
        <v>37</v>
      </c>
    </row>
    <row r="1873" hidden="1">
      <c r="A1873" s="1" t="s">
        <v>6072</v>
      </c>
      <c r="B1873" s="1" t="s">
        <v>1131</v>
      </c>
      <c r="C1873" s="1" t="s">
        <v>6073</v>
      </c>
      <c r="D1873" s="1" t="s">
        <v>27</v>
      </c>
      <c r="E1873" s="1" t="s">
        <v>28</v>
      </c>
      <c r="F1873" s="2">
        <v>500000.0</v>
      </c>
      <c r="G1873" s="1" t="s">
        <v>6074</v>
      </c>
      <c r="H1873" s="4">
        <f>IFERROR(__xludf.DUMMYFUNCTION("DATE(INDEX(SPLIT(G1873,""/""),,3),INDEX(SPLIT(G1873,""/""),,2),INDEX(SPLIT(G1873,""/""),,1))"),44284.0)</f>
        <v>44284</v>
      </c>
      <c r="I1873" s="1" t="s">
        <v>317</v>
      </c>
      <c r="J1873" s="4">
        <f>IFERROR(__xludf.DUMMYFUNCTION("DATE(INDEX(SPLIT(I1873,""/""),,3),INDEX(SPLIT(I1873,""/""),,2),INDEX(SPLIT(I1873,""/""),,1))"),44862.0)</f>
        <v>44862</v>
      </c>
      <c r="L1873" s="1">
        <v>0.0</v>
      </c>
      <c r="M1873" s="1" t="s">
        <v>70</v>
      </c>
      <c r="N1873" s="1"/>
      <c r="O1873" s="1" t="s">
        <v>30</v>
      </c>
      <c r="P1873" s="1" t="s">
        <v>31</v>
      </c>
      <c r="Q1873" s="1" t="s">
        <v>71</v>
      </c>
      <c r="R1873" s="1" t="s">
        <v>71</v>
      </c>
      <c r="S1873" s="1" t="s">
        <v>72</v>
      </c>
      <c r="T1873" s="1" t="s">
        <v>73</v>
      </c>
      <c r="U1873" s="1">
        <v>1.00640331E8</v>
      </c>
      <c r="X1873" s="1" t="s">
        <v>74</v>
      </c>
      <c r="Y1873" s="1" t="s">
        <v>2241</v>
      </c>
      <c r="Z1873" s="1" t="s">
        <v>37</v>
      </c>
    </row>
    <row r="1874" hidden="1">
      <c r="A1874" s="1" t="s">
        <v>6075</v>
      </c>
      <c r="B1874" s="1" t="s">
        <v>5483</v>
      </c>
      <c r="C1874" s="1" t="s">
        <v>6076</v>
      </c>
      <c r="D1874" s="1" t="s">
        <v>78</v>
      </c>
      <c r="E1874" s="1" t="s">
        <v>28</v>
      </c>
      <c r="F1874" s="2">
        <v>500000.0</v>
      </c>
      <c r="G1874" s="4">
        <v>44836.0</v>
      </c>
      <c r="H1874" s="4">
        <f>IFERROR(__xludf.DUMMYFUNCTION("DATE(INDEX(SPLIT(G1874,""/""),,3),INDEX(SPLIT(G1874,""/""),,2),INDEX(SPLIT(G1874,""/""),,1))"),44602.0)</f>
        <v>44602</v>
      </c>
      <c r="I1874" s="1" t="s">
        <v>203</v>
      </c>
      <c r="J1874" s="4">
        <f>IFERROR(__xludf.DUMMYFUNCTION("DATE(INDEX(SPLIT(I1874,""/""),,3),INDEX(SPLIT(I1874,""/""),,2),INDEX(SPLIT(I1874,""/""),,1))"),44925.0)</f>
        <v>44925</v>
      </c>
      <c r="L1874" s="1">
        <v>0.0</v>
      </c>
      <c r="M1874" s="1" t="s">
        <v>1565</v>
      </c>
      <c r="N1874" s="1"/>
      <c r="O1874" s="1" t="s">
        <v>30</v>
      </c>
      <c r="P1874" s="1" t="s">
        <v>31</v>
      </c>
      <c r="Q1874" s="1" t="s">
        <v>157</v>
      </c>
      <c r="R1874" s="1" t="s">
        <v>157</v>
      </c>
      <c r="S1874" s="1" t="s">
        <v>158</v>
      </c>
      <c r="T1874" s="1" t="s">
        <v>442</v>
      </c>
      <c r="U1874" s="1">
        <v>1.00646908E8</v>
      </c>
      <c r="X1874" s="1" t="s">
        <v>190</v>
      </c>
      <c r="Y1874" s="1" t="s">
        <v>852</v>
      </c>
      <c r="Z1874" s="1" t="s">
        <v>37</v>
      </c>
    </row>
    <row r="1875">
      <c r="A1875" s="1" t="s">
        <v>6077</v>
      </c>
      <c r="B1875" s="1" t="s">
        <v>4045</v>
      </c>
      <c r="C1875" s="1" t="s">
        <v>6078</v>
      </c>
      <c r="D1875" s="1" t="s">
        <v>27</v>
      </c>
      <c r="E1875" s="1" t="s">
        <v>28</v>
      </c>
      <c r="F1875" s="2">
        <v>500000.0</v>
      </c>
      <c r="G1875" s="1" t="s">
        <v>2251</v>
      </c>
      <c r="H1875" s="4">
        <f>IFERROR(__xludf.DUMMYFUNCTION("DATE(INDEX(SPLIT(G1875,""/""),,3),INDEX(SPLIT(G1875,""/""),,2),INDEX(SPLIT(G1875,""/""),,1))"),44498.0)</f>
        <v>44498</v>
      </c>
      <c r="I1875" s="1" t="s">
        <v>226</v>
      </c>
      <c r="J1875" s="4">
        <f>IFERROR(__xludf.DUMMYFUNCTION("DATE(INDEX(SPLIT(I1875,""/""),,3),INDEX(SPLIT(I1875,""/""),,2),INDEX(SPLIT(I1875,""/""),,1))"),44771.0)</f>
        <v>44771</v>
      </c>
      <c r="L1875" s="1">
        <v>0.0</v>
      </c>
      <c r="M1875" s="1" t="s">
        <v>4098</v>
      </c>
      <c r="N1875" s="1"/>
      <c r="O1875" s="1" t="s">
        <v>30</v>
      </c>
      <c r="P1875" s="1" t="s">
        <v>31</v>
      </c>
      <c r="Q1875" s="1" t="s">
        <v>32</v>
      </c>
      <c r="R1875" s="1" t="s">
        <v>32</v>
      </c>
      <c r="S1875" s="1" t="s">
        <v>33</v>
      </c>
      <c r="T1875" s="1" t="s">
        <v>34</v>
      </c>
      <c r="U1875" s="1">
        <v>1.00586097E8</v>
      </c>
      <c r="X1875" s="1" t="s">
        <v>35</v>
      </c>
      <c r="Y1875" s="1" t="s">
        <v>160</v>
      </c>
      <c r="Z1875" s="1" t="s">
        <v>37</v>
      </c>
    </row>
    <row r="1876" hidden="1">
      <c r="A1876" s="1" t="s">
        <v>6079</v>
      </c>
      <c r="B1876" s="1" t="s">
        <v>4090</v>
      </c>
      <c r="C1876" s="1" t="s">
        <v>6020</v>
      </c>
      <c r="D1876" s="1" t="s">
        <v>27</v>
      </c>
      <c r="E1876" s="1" t="s">
        <v>28</v>
      </c>
      <c r="F1876" s="2">
        <v>500000.0</v>
      </c>
      <c r="G1876" s="4">
        <v>44836.0</v>
      </c>
      <c r="H1876" s="4">
        <f>IFERROR(__xludf.DUMMYFUNCTION("DATE(INDEX(SPLIT(G1876,""/""),,3),INDEX(SPLIT(G1876,""/""),,2),INDEX(SPLIT(G1876,""/""),,1))"),44602.0)</f>
        <v>44602</v>
      </c>
      <c r="I1876" s="1" t="s">
        <v>203</v>
      </c>
      <c r="J1876" s="4">
        <f>IFERROR(__xludf.DUMMYFUNCTION("DATE(INDEX(SPLIT(I1876,""/""),,3),INDEX(SPLIT(I1876,""/""),,2),INDEX(SPLIT(I1876,""/""),,1))"),44925.0)</f>
        <v>44925</v>
      </c>
      <c r="L1876" s="1">
        <v>0.0</v>
      </c>
      <c r="M1876" s="1" t="s">
        <v>852</v>
      </c>
      <c r="N1876" s="1"/>
      <c r="O1876" s="1" t="s">
        <v>30</v>
      </c>
      <c r="P1876" s="1" t="s">
        <v>31</v>
      </c>
      <c r="Q1876" s="1" t="s">
        <v>157</v>
      </c>
      <c r="R1876" s="1" t="s">
        <v>157</v>
      </c>
      <c r="S1876" s="1" t="s">
        <v>158</v>
      </c>
      <c r="T1876" s="1" t="s">
        <v>442</v>
      </c>
      <c r="U1876" s="1">
        <v>1.00648457E8</v>
      </c>
      <c r="X1876" s="1" t="s">
        <v>190</v>
      </c>
      <c r="Y1876" s="1" t="s">
        <v>852</v>
      </c>
      <c r="Z1876" s="1" t="s">
        <v>37</v>
      </c>
    </row>
    <row r="1877" hidden="1">
      <c r="A1877" s="1" t="s">
        <v>6080</v>
      </c>
      <c r="B1877" s="1" t="s">
        <v>645</v>
      </c>
      <c r="C1877" s="1" t="s">
        <v>6081</v>
      </c>
      <c r="D1877" s="1" t="s">
        <v>78</v>
      </c>
      <c r="E1877" s="1" t="s">
        <v>28</v>
      </c>
      <c r="F1877" s="2">
        <v>500000.0</v>
      </c>
      <c r="G1877" s="4">
        <v>44713.0</v>
      </c>
      <c r="H1877" s="4">
        <f>IFERROR(__xludf.DUMMYFUNCTION("DATE(INDEX(SPLIT(G1877,""/""),,3),INDEX(SPLIT(G1877,""/""),,2),INDEX(SPLIT(G1877,""/""),,1))"),44567.0)</f>
        <v>44567</v>
      </c>
      <c r="I1877" s="1" t="s">
        <v>109</v>
      </c>
      <c r="J1877" s="4">
        <f>IFERROR(__xludf.DUMMYFUNCTION("DATE(INDEX(SPLIT(I1877,""/""),,3),INDEX(SPLIT(I1877,""/""),,2),INDEX(SPLIT(I1877,""/""),,1))"),44834.0)</f>
        <v>44834</v>
      </c>
      <c r="L1877" s="1">
        <v>0.0</v>
      </c>
      <c r="M1877" s="1" t="s">
        <v>467</v>
      </c>
      <c r="N1877" s="1"/>
      <c r="O1877" s="1" t="s">
        <v>30</v>
      </c>
      <c r="P1877" s="1" t="s">
        <v>31</v>
      </c>
      <c r="Q1877" s="1" t="s">
        <v>32</v>
      </c>
      <c r="R1877" s="1" t="s">
        <v>32</v>
      </c>
      <c r="S1877" s="1" t="s">
        <v>33</v>
      </c>
      <c r="T1877" s="1" t="s">
        <v>4334</v>
      </c>
      <c r="U1877" s="1">
        <v>1.00619817E8</v>
      </c>
      <c r="X1877" s="1" t="s">
        <v>361</v>
      </c>
      <c r="Y1877" s="1" t="s">
        <v>467</v>
      </c>
      <c r="Z1877" s="1" t="s">
        <v>37</v>
      </c>
    </row>
    <row r="1878">
      <c r="A1878" s="1" t="s">
        <v>6082</v>
      </c>
      <c r="B1878" s="1" t="s">
        <v>1748</v>
      </c>
      <c r="C1878" s="1" t="s">
        <v>6083</v>
      </c>
      <c r="D1878" s="1" t="s">
        <v>27</v>
      </c>
      <c r="E1878" s="1" t="s">
        <v>28</v>
      </c>
      <c r="F1878" s="2">
        <v>500000.0</v>
      </c>
      <c r="G1878" s="4">
        <v>44471.0</v>
      </c>
      <c r="H1878" s="4">
        <f>IFERROR(__xludf.DUMMYFUNCTION("DATE(INDEX(SPLIT(G1878,""/""),,3),INDEX(SPLIT(G1878,""/""),,2),INDEX(SPLIT(G1878,""/""),,1))"),44237.0)</f>
        <v>44237</v>
      </c>
      <c r="I1878" s="1" t="s">
        <v>1141</v>
      </c>
      <c r="J1878" s="4">
        <f>IFERROR(__xludf.DUMMYFUNCTION("DATE(INDEX(SPLIT(I1878,""/""),,3),INDEX(SPLIT(I1878,""/""),,2),INDEX(SPLIT(I1878,""/""),,1))"),44767.0)</f>
        <v>44767</v>
      </c>
      <c r="L1878" s="1">
        <v>0.0</v>
      </c>
      <c r="M1878" s="1" t="s">
        <v>5684</v>
      </c>
      <c r="N1878" s="1"/>
      <c r="O1878" s="1" t="s">
        <v>30</v>
      </c>
      <c r="P1878" s="1" t="s">
        <v>31</v>
      </c>
      <c r="Q1878" s="1" t="s">
        <v>53</v>
      </c>
      <c r="R1878" s="1" t="s">
        <v>53</v>
      </c>
      <c r="S1878" s="1" t="s">
        <v>54</v>
      </c>
      <c r="T1878" s="1" t="s">
        <v>1349</v>
      </c>
      <c r="U1878" s="1">
        <v>1.00649463E8</v>
      </c>
      <c r="X1878" s="1" t="s">
        <v>88</v>
      </c>
      <c r="Y1878" s="1" t="s">
        <v>5075</v>
      </c>
      <c r="Z1878" s="1" t="s">
        <v>37</v>
      </c>
    </row>
    <row r="1879">
      <c r="A1879" s="1" t="s">
        <v>6084</v>
      </c>
      <c r="B1879" s="1" t="s">
        <v>5003</v>
      </c>
      <c r="C1879" s="1" t="s">
        <v>6085</v>
      </c>
      <c r="D1879" s="1" t="s">
        <v>78</v>
      </c>
      <c r="E1879" s="1" t="s">
        <v>28</v>
      </c>
      <c r="F1879" s="2">
        <v>500000.0</v>
      </c>
      <c r="G1879" s="1" t="s">
        <v>185</v>
      </c>
      <c r="H1879" s="4">
        <f>IFERROR(__xludf.DUMMYFUNCTION("DATE(INDEX(SPLIT(G1879,""/""),,3),INDEX(SPLIT(G1879,""/""),,2),INDEX(SPLIT(G1879,""/""),,1))"),44741.0)</f>
        <v>44741</v>
      </c>
      <c r="I1879" s="1" t="s">
        <v>226</v>
      </c>
      <c r="J1879" s="4">
        <f>IFERROR(__xludf.DUMMYFUNCTION("DATE(INDEX(SPLIT(I1879,""/""),,3),INDEX(SPLIT(I1879,""/""),,2),INDEX(SPLIT(I1879,""/""),,1))"),44771.0)</f>
        <v>44771</v>
      </c>
      <c r="L1879" s="1">
        <v>0.0</v>
      </c>
      <c r="M1879" s="1" t="s">
        <v>1439</v>
      </c>
      <c r="N1879" s="1"/>
      <c r="O1879" s="1" t="s">
        <v>30</v>
      </c>
      <c r="P1879" s="1" t="s">
        <v>31</v>
      </c>
      <c r="Q1879" s="1" t="s">
        <v>32</v>
      </c>
      <c r="R1879" s="1" t="s">
        <v>32</v>
      </c>
      <c r="S1879" s="1" t="s">
        <v>33</v>
      </c>
      <c r="T1879" s="1" t="s">
        <v>402</v>
      </c>
      <c r="U1879" s="1">
        <v>1.00585872E8</v>
      </c>
      <c r="X1879" s="1" t="s">
        <v>781</v>
      </c>
      <c r="Y1879" s="1" t="s">
        <v>1439</v>
      </c>
      <c r="Z1879" s="1" t="s">
        <v>37</v>
      </c>
    </row>
    <row r="1880" hidden="1">
      <c r="A1880" s="1" t="s">
        <v>6086</v>
      </c>
      <c r="B1880" s="1" t="s">
        <v>6087</v>
      </c>
      <c r="C1880" s="1" t="s">
        <v>6088</v>
      </c>
      <c r="D1880" s="1" t="s">
        <v>27</v>
      </c>
      <c r="E1880" s="1" t="s">
        <v>28</v>
      </c>
      <c r="F1880" s="2">
        <v>500000.0</v>
      </c>
      <c r="G1880" s="1" t="s">
        <v>164</v>
      </c>
      <c r="H1880" s="4">
        <f>IFERROR(__xludf.DUMMYFUNCTION("DATE(INDEX(SPLIT(G1880,""/""),,3),INDEX(SPLIT(G1880,""/""),,2),INDEX(SPLIT(G1880,""/""),,1))"),44706.0)</f>
        <v>44706</v>
      </c>
      <c r="I1880" s="1" t="s">
        <v>130</v>
      </c>
      <c r="J1880" s="4">
        <f>IFERROR(__xludf.DUMMYFUNCTION("DATE(INDEX(SPLIT(I1880,""/""),,3),INDEX(SPLIT(I1880,""/""),,2),INDEX(SPLIT(I1880,""/""),,1))"),44804.0)</f>
        <v>44804</v>
      </c>
      <c r="L1880" s="1">
        <v>0.0</v>
      </c>
      <c r="M1880" s="1" t="s">
        <v>5765</v>
      </c>
      <c r="N1880" s="1"/>
      <c r="O1880" s="1" t="s">
        <v>30</v>
      </c>
      <c r="P1880" s="1" t="s">
        <v>31</v>
      </c>
      <c r="Q1880" s="1" t="s">
        <v>157</v>
      </c>
      <c r="R1880" s="1" t="s">
        <v>157</v>
      </c>
      <c r="S1880" s="1" t="s">
        <v>158</v>
      </c>
      <c r="T1880" s="1" t="s">
        <v>442</v>
      </c>
      <c r="U1880" s="1">
        <v>1.00612746E8</v>
      </c>
      <c r="X1880" s="1" t="s">
        <v>305</v>
      </c>
      <c r="Y1880" s="1" t="s">
        <v>3520</v>
      </c>
      <c r="Z1880" s="1" t="s">
        <v>37</v>
      </c>
    </row>
    <row r="1881" hidden="1">
      <c r="A1881" s="1" t="s">
        <v>6089</v>
      </c>
      <c r="B1881" s="1" t="s">
        <v>6090</v>
      </c>
      <c r="C1881" s="1" t="s">
        <v>5939</v>
      </c>
      <c r="D1881" s="1" t="s">
        <v>27</v>
      </c>
      <c r="E1881" s="1" t="s">
        <v>28</v>
      </c>
      <c r="F1881" s="2">
        <v>500000.0</v>
      </c>
      <c r="G1881" s="1" t="s">
        <v>6091</v>
      </c>
      <c r="H1881" s="4">
        <f>IFERROR(__xludf.DUMMYFUNCTION("DATE(INDEX(SPLIT(G1881,""/""),,3),INDEX(SPLIT(G1881,""/""),,2),INDEX(SPLIT(G1881,""/""),,1))"),44278.0)</f>
        <v>44278</v>
      </c>
      <c r="I1881" s="1" t="s">
        <v>1097</v>
      </c>
      <c r="J1881" s="4">
        <f>IFERROR(__xludf.DUMMYFUNCTION("DATE(INDEX(SPLIT(I1881,""/""),,3),INDEX(SPLIT(I1881,""/""),,2),INDEX(SPLIT(I1881,""/""),,1))"),45107.0)</f>
        <v>45107</v>
      </c>
      <c r="L1881" s="1">
        <v>0.0</v>
      </c>
      <c r="M1881" s="1" t="s">
        <v>4477</v>
      </c>
      <c r="N1881" s="1"/>
      <c r="O1881" s="1" t="s">
        <v>30</v>
      </c>
      <c r="P1881" s="1" t="s">
        <v>31</v>
      </c>
      <c r="Q1881" s="1" t="s">
        <v>228</v>
      </c>
      <c r="R1881" s="1" t="s">
        <v>228</v>
      </c>
      <c r="S1881" s="1" t="s">
        <v>229</v>
      </c>
      <c r="T1881" s="1" t="s">
        <v>513</v>
      </c>
      <c r="U1881" s="1">
        <v>1.00592715E8</v>
      </c>
      <c r="X1881" s="1" t="s">
        <v>98</v>
      </c>
      <c r="Y1881" s="1" t="s">
        <v>4477</v>
      </c>
      <c r="Z1881" s="1" t="s">
        <v>37</v>
      </c>
    </row>
    <row r="1882" hidden="1">
      <c r="A1882" s="1" t="s">
        <v>6092</v>
      </c>
      <c r="B1882" s="1" t="s">
        <v>2642</v>
      </c>
      <c r="C1882" s="1" t="s">
        <v>2644</v>
      </c>
      <c r="D1882" s="1" t="s">
        <v>78</v>
      </c>
      <c r="E1882" s="1" t="s">
        <v>28</v>
      </c>
      <c r="F1882" s="2">
        <v>500000.0</v>
      </c>
      <c r="G1882" s="1" t="s">
        <v>2101</v>
      </c>
      <c r="H1882" s="4">
        <f>IFERROR(__xludf.DUMMYFUNCTION("DATE(INDEX(SPLIT(G1882,""/""),,3),INDEX(SPLIT(G1882,""/""),,2),INDEX(SPLIT(G1882,""/""),,1))"),44579.0)</f>
        <v>44579</v>
      </c>
      <c r="I1882" s="1" t="s">
        <v>109</v>
      </c>
      <c r="J1882" s="4">
        <f>IFERROR(__xludf.DUMMYFUNCTION("DATE(INDEX(SPLIT(I1882,""/""),,3),INDEX(SPLIT(I1882,""/""),,2),INDEX(SPLIT(I1882,""/""),,1))"),44834.0)</f>
        <v>44834</v>
      </c>
      <c r="L1882" s="1">
        <v>0.0</v>
      </c>
      <c r="M1882" s="1" t="s">
        <v>2072</v>
      </c>
      <c r="N1882" s="1"/>
      <c r="O1882" s="1" t="s">
        <v>30</v>
      </c>
      <c r="P1882" s="1" t="s">
        <v>31</v>
      </c>
      <c r="Q1882" s="1" t="s">
        <v>71</v>
      </c>
      <c r="R1882" s="1" t="s">
        <v>71</v>
      </c>
      <c r="S1882" s="1" t="s">
        <v>72</v>
      </c>
      <c r="T1882" s="1" t="s">
        <v>136</v>
      </c>
      <c r="U1882" s="1">
        <v>1.00628181E8</v>
      </c>
      <c r="W1882" s="1" t="s">
        <v>389</v>
      </c>
      <c r="X1882" s="1" t="s">
        <v>74</v>
      </c>
      <c r="Y1882" s="1" t="s">
        <v>1239</v>
      </c>
      <c r="Z1882" s="1" t="s">
        <v>37</v>
      </c>
    </row>
    <row r="1883">
      <c r="A1883" s="1" t="s">
        <v>6093</v>
      </c>
      <c r="B1883" s="1" t="s">
        <v>672</v>
      </c>
      <c r="C1883" s="1" t="s">
        <v>6094</v>
      </c>
      <c r="D1883" s="1" t="s">
        <v>122</v>
      </c>
      <c r="E1883" s="1" t="s">
        <v>28</v>
      </c>
      <c r="F1883" s="2">
        <v>500000.0</v>
      </c>
      <c r="G1883" s="1" t="s">
        <v>2077</v>
      </c>
      <c r="H1883" s="4">
        <f>IFERROR(__xludf.DUMMYFUNCTION("DATE(INDEX(SPLIT(G1883,""/""),,3),INDEX(SPLIT(G1883,""/""),,2),INDEX(SPLIT(G1883,""/""),,1))"),44700.0)</f>
        <v>44700</v>
      </c>
      <c r="I1883" s="1" t="s">
        <v>69</v>
      </c>
      <c r="J1883" s="4">
        <f>IFERROR(__xludf.DUMMYFUNCTION("DATE(INDEX(SPLIT(I1883,""/""),,3),INDEX(SPLIT(I1883,""/""),,2),INDEX(SPLIT(I1883,""/""),,1))"),44773.0)</f>
        <v>44773</v>
      </c>
      <c r="L1883" s="1">
        <v>0.0</v>
      </c>
      <c r="M1883" s="1" t="s">
        <v>3123</v>
      </c>
      <c r="N1883" s="1"/>
      <c r="O1883" s="1" t="s">
        <v>30</v>
      </c>
      <c r="P1883" s="1" t="s">
        <v>31</v>
      </c>
      <c r="Q1883" s="1" t="s">
        <v>157</v>
      </c>
      <c r="R1883" s="1" t="s">
        <v>157</v>
      </c>
      <c r="S1883" s="1" t="s">
        <v>158</v>
      </c>
      <c r="T1883" s="1" t="s">
        <v>442</v>
      </c>
      <c r="U1883" s="1">
        <v>1.00875111E8</v>
      </c>
      <c r="V1883" s="1" t="s">
        <v>6095</v>
      </c>
      <c r="W1883" s="1" t="s">
        <v>45</v>
      </c>
      <c r="X1883" s="1" t="s">
        <v>88</v>
      </c>
      <c r="Y1883" s="1" t="s">
        <v>3124</v>
      </c>
      <c r="Z1883" s="1" t="s">
        <v>37</v>
      </c>
    </row>
    <row r="1884" hidden="1">
      <c r="A1884" s="1" t="s">
        <v>6096</v>
      </c>
      <c r="B1884" s="1" t="s">
        <v>1772</v>
      </c>
      <c r="C1884" s="1" t="s">
        <v>6097</v>
      </c>
      <c r="D1884" s="1" t="s">
        <v>27</v>
      </c>
      <c r="E1884" s="1" t="s">
        <v>28</v>
      </c>
      <c r="F1884" s="2">
        <v>500000.0</v>
      </c>
      <c r="G1884" s="1" t="s">
        <v>969</v>
      </c>
      <c r="H1884" s="4">
        <f>IFERROR(__xludf.DUMMYFUNCTION("DATE(INDEX(SPLIT(G1884,""/""),,3),INDEX(SPLIT(G1884,""/""),,2),INDEX(SPLIT(G1884,""/""),,1))"),44306.0)</f>
        <v>44306</v>
      </c>
      <c r="I1884" s="1" t="s">
        <v>130</v>
      </c>
      <c r="J1884" s="4">
        <f>IFERROR(__xludf.DUMMYFUNCTION("DATE(INDEX(SPLIT(I1884,""/""),,3),INDEX(SPLIT(I1884,""/""),,2),INDEX(SPLIT(I1884,""/""),,1))"),44804.0)</f>
        <v>44804</v>
      </c>
      <c r="L1884" s="1">
        <v>0.0</v>
      </c>
      <c r="M1884" s="1" t="s">
        <v>563</v>
      </c>
      <c r="N1884" s="1"/>
      <c r="O1884" s="1" t="s">
        <v>30</v>
      </c>
      <c r="P1884" s="1" t="s">
        <v>31</v>
      </c>
      <c r="Q1884" s="1" t="s">
        <v>95</v>
      </c>
      <c r="R1884" s="1" t="s">
        <v>95</v>
      </c>
      <c r="S1884" s="1" t="s">
        <v>96</v>
      </c>
      <c r="T1884" s="1" t="s">
        <v>217</v>
      </c>
      <c r="U1884" s="1">
        <v>1.00646702E8</v>
      </c>
      <c r="X1884" s="1" t="s">
        <v>81</v>
      </c>
      <c r="Y1884" s="1" t="s">
        <v>1775</v>
      </c>
      <c r="Z1884" s="1" t="s">
        <v>37</v>
      </c>
    </row>
    <row r="1885" hidden="1">
      <c r="A1885" s="1" t="s">
        <v>6098</v>
      </c>
      <c r="B1885" s="1" t="s">
        <v>6099</v>
      </c>
      <c r="C1885" s="1" t="s">
        <v>6100</v>
      </c>
      <c r="D1885" s="1" t="s">
        <v>27</v>
      </c>
      <c r="E1885" s="1" t="s">
        <v>28</v>
      </c>
      <c r="F1885" s="2">
        <v>500000.0</v>
      </c>
      <c r="G1885" s="1" t="s">
        <v>185</v>
      </c>
      <c r="H1885" s="4">
        <f>IFERROR(__xludf.DUMMYFUNCTION("DATE(INDEX(SPLIT(G1885,""/""),,3),INDEX(SPLIT(G1885,""/""),,2),INDEX(SPLIT(G1885,""/""),,1))"),44741.0)</f>
        <v>44741</v>
      </c>
      <c r="I1885" s="4">
        <v>44813.0</v>
      </c>
      <c r="J1885" s="4">
        <f>IFERROR(__xludf.DUMMYFUNCTION("DATE(INDEX(SPLIT(I1885,""/""),,3),INDEX(SPLIT(I1885,""/""),,2),INDEX(SPLIT(I1885,""/""),,1))"),44813.0)</f>
        <v>44813</v>
      </c>
      <c r="L1885" s="1">
        <v>0.0</v>
      </c>
      <c r="M1885" s="1" t="s">
        <v>2312</v>
      </c>
      <c r="N1885" s="1"/>
      <c r="O1885" s="1" t="s">
        <v>30</v>
      </c>
      <c r="P1885" s="1" t="s">
        <v>31</v>
      </c>
      <c r="Q1885" s="1" t="s">
        <v>32</v>
      </c>
      <c r="R1885" s="1" t="s">
        <v>32</v>
      </c>
      <c r="S1885" s="1" t="s">
        <v>33</v>
      </c>
      <c r="T1885" s="1" t="s">
        <v>103</v>
      </c>
      <c r="U1885" s="1">
        <v>1.00610903E8</v>
      </c>
      <c r="X1885" s="1" t="s">
        <v>361</v>
      </c>
      <c r="Y1885" s="1" t="s">
        <v>2312</v>
      </c>
      <c r="Z1885" s="1" t="s">
        <v>37</v>
      </c>
    </row>
    <row r="1886" hidden="1">
      <c r="A1886" s="1" t="s">
        <v>6101</v>
      </c>
      <c r="B1886" s="1" t="s">
        <v>1300</v>
      </c>
      <c r="C1886" s="1" t="s">
        <v>6102</v>
      </c>
      <c r="D1886" s="1" t="s">
        <v>122</v>
      </c>
      <c r="E1886" s="1" t="s">
        <v>28</v>
      </c>
      <c r="F1886" s="2">
        <v>500000.0</v>
      </c>
      <c r="G1886" s="1" t="s">
        <v>568</v>
      </c>
      <c r="H1886" s="4">
        <f>IFERROR(__xludf.DUMMYFUNCTION("DATE(INDEX(SPLIT(G1886,""/""),,3),INDEX(SPLIT(G1886,""/""),,2),INDEX(SPLIT(G1886,""/""),,1))"),44587.0)</f>
        <v>44587</v>
      </c>
      <c r="I1886" s="1" t="s">
        <v>1495</v>
      </c>
      <c r="J1886" s="4">
        <f>IFERROR(__xludf.DUMMYFUNCTION("DATE(INDEX(SPLIT(I1886,""/""),,3),INDEX(SPLIT(I1886,""/""),,2),INDEX(SPLIT(I1886,""/""),,1))"),44864.0)</f>
        <v>44864</v>
      </c>
      <c r="L1886" s="1">
        <v>0.0</v>
      </c>
      <c r="M1886" s="1" t="s">
        <v>4022</v>
      </c>
      <c r="N1886" s="1"/>
      <c r="O1886" s="1" t="s">
        <v>30</v>
      </c>
      <c r="P1886" s="1" t="s">
        <v>31</v>
      </c>
      <c r="Q1886" s="1" t="s">
        <v>235</v>
      </c>
      <c r="R1886" s="1" t="s">
        <v>235</v>
      </c>
      <c r="S1886" s="1" t="s">
        <v>236</v>
      </c>
      <c r="T1886" s="1" t="s">
        <v>753</v>
      </c>
      <c r="U1886" s="1">
        <v>1.00648421E8</v>
      </c>
      <c r="X1886" s="1" t="s">
        <v>88</v>
      </c>
      <c r="Y1886" s="1" t="s">
        <v>1304</v>
      </c>
      <c r="Z1886" s="1" t="s">
        <v>37</v>
      </c>
    </row>
    <row r="1887" hidden="1">
      <c r="A1887" s="1" t="s">
        <v>6103</v>
      </c>
      <c r="B1887" s="1" t="s">
        <v>1479</v>
      </c>
      <c r="C1887" s="1" t="s">
        <v>6104</v>
      </c>
      <c r="D1887" s="1" t="s">
        <v>78</v>
      </c>
      <c r="E1887" s="1" t="s">
        <v>28</v>
      </c>
      <c r="F1887" s="2">
        <v>500000.0</v>
      </c>
      <c r="G1887" s="1" t="s">
        <v>1851</v>
      </c>
      <c r="H1887" s="4">
        <f>IFERROR(__xludf.DUMMYFUNCTION("DATE(INDEX(SPLIT(G1887,""/""),,3),INDEX(SPLIT(G1887,""/""),,2),INDEX(SPLIT(G1887,""/""),,1))"),44646.0)</f>
        <v>44646</v>
      </c>
      <c r="I1887" s="1" t="s">
        <v>85</v>
      </c>
      <c r="J1887" s="4">
        <f>IFERROR(__xludf.DUMMYFUNCTION("DATE(INDEX(SPLIT(I1887,""/""),,3),INDEX(SPLIT(I1887,""/""),,2),INDEX(SPLIT(I1887,""/""),,1))"),44799.0)</f>
        <v>44799</v>
      </c>
      <c r="L1887" s="1">
        <v>0.0</v>
      </c>
      <c r="M1887" s="1" t="s">
        <v>3503</v>
      </c>
      <c r="N1887" s="1"/>
      <c r="O1887" s="1" t="s">
        <v>30</v>
      </c>
      <c r="P1887" s="1" t="s">
        <v>31</v>
      </c>
      <c r="Q1887" s="1" t="s">
        <v>95</v>
      </c>
      <c r="R1887" s="1" t="s">
        <v>95</v>
      </c>
      <c r="S1887" s="1" t="s">
        <v>96</v>
      </c>
      <c r="T1887" s="1" t="s">
        <v>111</v>
      </c>
      <c r="U1887" s="1">
        <v>1.00625578E8</v>
      </c>
      <c r="X1887" s="1" t="s">
        <v>305</v>
      </c>
      <c r="Y1887" s="1" t="s">
        <v>1770</v>
      </c>
      <c r="Z1887" s="1" t="s">
        <v>37</v>
      </c>
    </row>
    <row r="1888" hidden="1">
      <c r="A1888" s="1" t="s">
        <v>6105</v>
      </c>
      <c r="B1888" s="1" t="s">
        <v>127</v>
      </c>
      <c r="C1888" s="1" t="s">
        <v>6106</v>
      </c>
      <c r="D1888" s="1" t="s">
        <v>27</v>
      </c>
      <c r="E1888" s="1" t="s">
        <v>28</v>
      </c>
      <c r="F1888" s="2">
        <v>500000.0</v>
      </c>
      <c r="G1888" s="4">
        <v>44357.0</v>
      </c>
      <c r="H1888" s="4">
        <f>IFERROR(__xludf.DUMMYFUNCTION("DATE(INDEX(SPLIT(G1888,""/""),,3),INDEX(SPLIT(G1888,""/""),,2),INDEX(SPLIT(G1888,""/""),,1))"),44475.0)</f>
        <v>44475</v>
      </c>
      <c r="I1888" s="1" t="s">
        <v>85</v>
      </c>
      <c r="J1888" s="4">
        <f>IFERROR(__xludf.DUMMYFUNCTION("DATE(INDEX(SPLIT(I1888,""/""),,3),INDEX(SPLIT(I1888,""/""),,2),INDEX(SPLIT(I1888,""/""),,1))"),44799.0)</f>
        <v>44799</v>
      </c>
      <c r="L1888" s="1">
        <v>0.0</v>
      </c>
      <c r="M1888" s="1" t="s">
        <v>1084</v>
      </c>
      <c r="N1888" s="1"/>
      <c r="O1888" s="1" t="s">
        <v>30</v>
      </c>
      <c r="P1888" s="1" t="s">
        <v>31</v>
      </c>
      <c r="Q1888" s="1" t="s">
        <v>32</v>
      </c>
      <c r="R1888" s="1" t="s">
        <v>32</v>
      </c>
      <c r="S1888" s="1" t="s">
        <v>33</v>
      </c>
      <c r="U1888" s="1">
        <v>1.00601386E8</v>
      </c>
      <c r="X1888" s="1" t="s">
        <v>81</v>
      </c>
      <c r="Y1888" s="1" t="s">
        <v>621</v>
      </c>
      <c r="Z1888" s="1" t="s">
        <v>37</v>
      </c>
    </row>
    <row r="1889" hidden="1">
      <c r="A1889" s="1" t="s">
        <v>6107</v>
      </c>
      <c r="B1889" s="1" t="s">
        <v>1070</v>
      </c>
      <c r="C1889" s="1" t="s">
        <v>6108</v>
      </c>
      <c r="D1889" s="1" t="s">
        <v>27</v>
      </c>
      <c r="E1889" s="1" t="s">
        <v>28</v>
      </c>
      <c r="F1889" s="2">
        <v>500000.0</v>
      </c>
      <c r="G1889" s="4">
        <v>44748.0</v>
      </c>
      <c r="H1889" s="4">
        <f>IFERROR(__xludf.DUMMYFUNCTION("DATE(INDEX(SPLIT(G1889,""/""),,3),INDEX(SPLIT(G1889,""/""),,2),INDEX(SPLIT(G1889,""/""),,1))"),44719.0)</f>
        <v>44719</v>
      </c>
      <c r="I1889" s="1" t="s">
        <v>109</v>
      </c>
      <c r="J1889" s="4">
        <f>IFERROR(__xludf.DUMMYFUNCTION("DATE(INDEX(SPLIT(I1889,""/""),,3),INDEX(SPLIT(I1889,""/""),,2),INDEX(SPLIT(I1889,""/""),,1))"),44834.0)</f>
        <v>44834</v>
      </c>
      <c r="L1889" s="1">
        <v>0.0</v>
      </c>
      <c r="M1889" s="1" t="s">
        <v>1072</v>
      </c>
      <c r="N1889" s="1"/>
      <c r="O1889" s="1" t="s">
        <v>30</v>
      </c>
      <c r="P1889" s="1" t="s">
        <v>31</v>
      </c>
      <c r="Q1889" s="1" t="s">
        <v>157</v>
      </c>
      <c r="R1889" s="1" t="s">
        <v>157</v>
      </c>
      <c r="S1889" s="1" t="s">
        <v>158</v>
      </c>
      <c r="T1889" s="1" t="s">
        <v>571</v>
      </c>
      <c r="U1889" s="1">
        <v>1.00594872E8</v>
      </c>
      <c r="X1889" s="1" t="s">
        <v>305</v>
      </c>
      <c r="Y1889" s="1" t="s">
        <v>1072</v>
      </c>
      <c r="Z1889" s="1" t="s">
        <v>37</v>
      </c>
    </row>
    <row r="1890" hidden="1">
      <c r="A1890" s="1" t="s">
        <v>6109</v>
      </c>
      <c r="B1890" s="1" t="s">
        <v>6099</v>
      </c>
      <c r="C1890" s="1" t="s">
        <v>6110</v>
      </c>
      <c r="D1890" s="1" t="s">
        <v>27</v>
      </c>
      <c r="E1890" s="1" t="s">
        <v>28</v>
      </c>
      <c r="F1890" s="2">
        <v>500000.0</v>
      </c>
      <c r="G1890" s="4">
        <v>44713.0</v>
      </c>
      <c r="H1890" s="4">
        <f>IFERROR(__xludf.DUMMYFUNCTION("DATE(INDEX(SPLIT(G1890,""/""),,3),INDEX(SPLIT(G1890,""/""),,2),INDEX(SPLIT(G1890,""/""),,1))"),44567.0)</f>
        <v>44567</v>
      </c>
      <c r="I1890" s="1" t="s">
        <v>203</v>
      </c>
      <c r="J1890" s="4">
        <f>IFERROR(__xludf.DUMMYFUNCTION("DATE(INDEX(SPLIT(I1890,""/""),,3),INDEX(SPLIT(I1890,""/""),,2),INDEX(SPLIT(I1890,""/""),,1))"),44925.0)</f>
        <v>44925</v>
      </c>
      <c r="L1890" s="1">
        <v>0.0</v>
      </c>
      <c r="M1890" s="1" t="s">
        <v>563</v>
      </c>
      <c r="N1890" s="1"/>
      <c r="O1890" s="1" t="s">
        <v>30</v>
      </c>
      <c r="P1890" s="1" t="s">
        <v>31</v>
      </c>
      <c r="Q1890" s="1" t="s">
        <v>95</v>
      </c>
      <c r="R1890" s="1" t="s">
        <v>95</v>
      </c>
      <c r="S1890" s="1" t="s">
        <v>96</v>
      </c>
      <c r="T1890" s="1" t="s">
        <v>311</v>
      </c>
      <c r="U1890" s="1">
        <v>1.00646702E8</v>
      </c>
      <c r="X1890" s="1" t="s">
        <v>361</v>
      </c>
      <c r="Y1890" s="1" t="s">
        <v>6111</v>
      </c>
      <c r="Z1890" s="1" t="s">
        <v>37</v>
      </c>
    </row>
    <row r="1891">
      <c r="A1891" s="1" t="s">
        <v>6112</v>
      </c>
      <c r="B1891" s="1" t="s">
        <v>1216</v>
      </c>
      <c r="C1891" s="1" t="s">
        <v>6113</v>
      </c>
      <c r="D1891" s="1" t="s">
        <v>78</v>
      </c>
      <c r="E1891" s="1" t="s">
        <v>28</v>
      </c>
      <c r="F1891" s="2">
        <v>500000.0</v>
      </c>
      <c r="G1891" s="4">
        <v>44538.0</v>
      </c>
      <c r="H1891" s="4">
        <f>IFERROR(__xludf.DUMMYFUNCTION("DATE(INDEX(SPLIT(G1891,""/""),,3),INDEX(SPLIT(G1891,""/""),,2),INDEX(SPLIT(G1891,""/""),,1))"),44420.0)</f>
        <v>44420</v>
      </c>
      <c r="I1891" s="1" t="s">
        <v>518</v>
      </c>
      <c r="J1891" s="4">
        <f>IFERROR(__xludf.DUMMYFUNCTION("DATE(INDEX(SPLIT(I1891,""/""),,3),INDEX(SPLIT(I1891,""/""),,2),INDEX(SPLIT(I1891,""/""),,1))"),44757.0)</f>
        <v>44757</v>
      </c>
      <c r="L1891" s="1">
        <v>0.0</v>
      </c>
      <c r="M1891" s="1" t="s">
        <v>4397</v>
      </c>
      <c r="N1891" s="1"/>
      <c r="O1891" s="1" t="s">
        <v>30</v>
      </c>
      <c r="P1891" s="1" t="s">
        <v>31</v>
      </c>
      <c r="Q1891" s="1" t="s">
        <v>235</v>
      </c>
      <c r="R1891" s="1" t="s">
        <v>235</v>
      </c>
      <c r="S1891" s="1" t="s">
        <v>236</v>
      </c>
      <c r="T1891" s="1" t="s">
        <v>753</v>
      </c>
      <c r="U1891" s="1">
        <v>1.0064547E8</v>
      </c>
      <c r="X1891" s="1" t="s">
        <v>88</v>
      </c>
      <c r="Y1891" s="1" t="s">
        <v>6114</v>
      </c>
      <c r="Z1891" s="1" t="s">
        <v>37</v>
      </c>
    </row>
    <row r="1892" hidden="1">
      <c r="A1892" s="1" t="s">
        <v>6115</v>
      </c>
      <c r="B1892" s="1" t="s">
        <v>3429</v>
      </c>
      <c r="C1892" s="1" t="s">
        <v>6116</v>
      </c>
      <c r="D1892" s="1" t="s">
        <v>78</v>
      </c>
      <c r="E1892" s="1" t="s">
        <v>28</v>
      </c>
      <c r="F1892" s="2">
        <v>500000.0</v>
      </c>
      <c r="G1892" s="4">
        <v>44475.0</v>
      </c>
      <c r="H1892" s="4">
        <f>IFERROR(__xludf.DUMMYFUNCTION("DATE(INDEX(SPLIT(G1892,""/""),,3),INDEX(SPLIT(G1892,""/""),,2),INDEX(SPLIT(G1892,""/""),,1))"),44357.0)</f>
        <v>44357</v>
      </c>
      <c r="I1892" s="1" t="s">
        <v>85</v>
      </c>
      <c r="J1892" s="4">
        <f>IFERROR(__xludf.DUMMYFUNCTION("DATE(INDEX(SPLIT(I1892,""/""),,3),INDEX(SPLIT(I1892,""/""),,2),INDEX(SPLIT(I1892,""/""),,1))"),44799.0)</f>
        <v>44799</v>
      </c>
      <c r="L1892" s="1">
        <v>0.0</v>
      </c>
      <c r="M1892" s="1" t="s">
        <v>61</v>
      </c>
      <c r="N1892" s="1"/>
      <c r="O1892" s="1" t="s">
        <v>30</v>
      </c>
      <c r="P1892" s="1" t="s">
        <v>31</v>
      </c>
      <c r="Q1892" s="1" t="s">
        <v>32</v>
      </c>
      <c r="R1892" s="1" t="s">
        <v>32</v>
      </c>
      <c r="S1892" s="1" t="s">
        <v>33</v>
      </c>
      <c r="T1892" s="1" t="s">
        <v>197</v>
      </c>
      <c r="U1892" s="1">
        <v>1.0060843E8</v>
      </c>
      <c r="X1892" s="1" t="s">
        <v>63</v>
      </c>
      <c r="Y1892" s="1" t="s">
        <v>61</v>
      </c>
      <c r="Z1892" s="1" t="s">
        <v>37</v>
      </c>
    </row>
    <row r="1893" hidden="1">
      <c r="A1893" s="1" t="s">
        <v>6117</v>
      </c>
      <c r="B1893" s="1" t="s">
        <v>6118</v>
      </c>
      <c r="C1893" s="1" t="s">
        <v>6119</v>
      </c>
      <c r="D1893" s="1" t="s">
        <v>27</v>
      </c>
      <c r="E1893" s="1" t="s">
        <v>28</v>
      </c>
      <c r="F1893" s="2">
        <v>500000.0</v>
      </c>
      <c r="G1893" s="1" t="s">
        <v>518</v>
      </c>
      <c r="H1893" s="4">
        <f>IFERROR(__xludf.DUMMYFUNCTION("DATE(INDEX(SPLIT(G1893,""/""),,3),INDEX(SPLIT(G1893,""/""),,2),INDEX(SPLIT(G1893,""/""),,1))"),44757.0)</f>
        <v>44757</v>
      </c>
      <c r="I1893" s="4">
        <v>44571.0</v>
      </c>
      <c r="J1893" s="4">
        <f>IFERROR(__xludf.DUMMYFUNCTION("DATE(INDEX(SPLIT(I1893,""/""),,3),INDEX(SPLIT(I1893,""/""),,2),INDEX(SPLIT(I1893,""/""),,1))"),44835.0)</f>
        <v>44835</v>
      </c>
      <c r="L1893" s="1">
        <v>0.0</v>
      </c>
      <c r="M1893" s="1" t="s">
        <v>1741</v>
      </c>
      <c r="N1893" s="1"/>
      <c r="O1893" s="1" t="s">
        <v>30</v>
      </c>
      <c r="P1893" s="1" t="s">
        <v>31</v>
      </c>
      <c r="Q1893" s="1" t="s">
        <v>32</v>
      </c>
      <c r="R1893" s="1" t="s">
        <v>32</v>
      </c>
      <c r="S1893" s="1" t="s">
        <v>33</v>
      </c>
      <c r="U1893" s="1">
        <v>1.00645852E8</v>
      </c>
      <c r="X1893" s="1" t="s">
        <v>361</v>
      </c>
      <c r="Y1893" s="1" t="s">
        <v>1741</v>
      </c>
      <c r="Z1893" s="1" t="s">
        <v>37</v>
      </c>
    </row>
    <row r="1894" hidden="1">
      <c r="A1894" s="1" t="s">
        <v>6120</v>
      </c>
      <c r="B1894" s="1" t="s">
        <v>6121</v>
      </c>
      <c r="C1894" s="1" t="s">
        <v>6122</v>
      </c>
      <c r="D1894" s="1" t="s">
        <v>27</v>
      </c>
      <c r="E1894" s="1" t="s">
        <v>28</v>
      </c>
      <c r="F1894" s="2">
        <v>500000.0</v>
      </c>
      <c r="G1894" s="1" t="s">
        <v>298</v>
      </c>
      <c r="H1894" s="4">
        <f>IFERROR(__xludf.DUMMYFUNCTION("DATE(INDEX(SPLIT(G1894,""/""),,3),INDEX(SPLIT(G1894,""/""),,2),INDEX(SPLIT(G1894,""/""),,1))"),44762.0)</f>
        <v>44762</v>
      </c>
      <c r="I1894" s="1" t="s">
        <v>109</v>
      </c>
      <c r="J1894" s="4">
        <f>IFERROR(__xludf.DUMMYFUNCTION("DATE(INDEX(SPLIT(I1894,""/""),,3),INDEX(SPLIT(I1894,""/""),,2),INDEX(SPLIT(I1894,""/""),,1))"),44834.0)</f>
        <v>44834</v>
      </c>
      <c r="L1894" s="1">
        <v>0.0</v>
      </c>
      <c r="M1894" s="1" t="s">
        <v>542</v>
      </c>
      <c r="N1894" s="1"/>
      <c r="O1894" s="1" t="s">
        <v>30</v>
      </c>
      <c r="P1894" s="1" t="s">
        <v>31</v>
      </c>
      <c r="Q1894" s="1" t="s">
        <v>53</v>
      </c>
      <c r="R1894" s="1" t="s">
        <v>53</v>
      </c>
      <c r="S1894" s="1" t="s">
        <v>54</v>
      </c>
      <c r="T1894" s="1" t="s">
        <v>181</v>
      </c>
      <c r="U1894" s="1">
        <v>1.01001596E8</v>
      </c>
      <c r="X1894" s="1" t="s">
        <v>74</v>
      </c>
      <c r="Y1894" s="1" t="s">
        <v>542</v>
      </c>
      <c r="Z1894" s="1" t="s">
        <v>37</v>
      </c>
    </row>
    <row r="1895" hidden="1">
      <c r="A1895" s="1" t="s">
        <v>6123</v>
      </c>
      <c r="B1895" s="1" t="s">
        <v>6121</v>
      </c>
      <c r="C1895" s="1" t="s">
        <v>6124</v>
      </c>
      <c r="D1895" s="1" t="s">
        <v>27</v>
      </c>
      <c r="E1895" s="1" t="s">
        <v>28</v>
      </c>
      <c r="F1895" s="2">
        <v>500000.0</v>
      </c>
      <c r="G1895" s="1" t="s">
        <v>298</v>
      </c>
      <c r="H1895" s="4">
        <f>IFERROR(__xludf.DUMMYFUNCTION("DATE(INDEX(SPLIT(G1895,""/""),,3),INDEX(SPLIT(G1895,""/""),,2),INDEX(SPLIT(G1895,""/""),,1))"),44762.0)</f>
        <v>44762</v>
      </c>
      <c r="I1895" s="1" t="s">
        <v>109</v>
      </c>
      <c r="J1895" s="4">
        <f>IFERROR(__xludf.DUMMYFUNCTION("DATE(INDEX(SPLIT(I1895,""/""),,3),INDEX(SPLIT(I1895,""/""),,2),INDEX(SPLIT(I1895,""/""),,1))"),44834.0)</f>
        <v>44834</v>
      </c>
      <c r="L1895" s="1">
        <v>0.0</v>
      </c>
      <c r="M1895" s="1" t="s">
        <v>542</v>
      </c>
      <c r="N1895" s="1"/>
      <c r="O1895" s="1" t="s">
        <v>30</v>
      </c>
      <c r="P1895" s="1" t="s">
        <v>31</v>
      </c>
      <c r="Q1895" s="1" t="s">
        <v>53</v>
      </c>
      <c r="R1895" s="1" t="s">
        <v>53</v>
      </c>
      <c r="S1895" s="1" t="s">
        <v>54</v>
      </c>
      <c r="U1895" s="1">
        <v>1.01001596E8</v>
      </c>
      <c r="X1895" s="1" t="s">
        <v>74</v>
      </c>
      <c r="Y1895" s="1" t="s">
        <v>542</v>
      </c>
      <c r="Z1895" s="1" t="s">
        <v>37</v>
      </c>
    </row>
    <row r="1896" hidden="1">
      <c r="A1896" s="1" t="s">
        <v>6125</v>
      </c>
      <c r="B1896" s="1" t="s">
        <v>4109</v>
      </c>
      <c r="C1896" s="1" t="s">
        <v>6126</v>
      </c>
      <c r="D1896" s="1" t="s">
        <v>122</v>
      </c>
      <c r="E1896" s="1" t="s">
        <v>28</v>
      </c>
      <c r="F1896" s="2">
        <v>500000.0</v>
      </c>
      <c r="G1896" s="1" t="s">
        <v>518</v>
      </c>
      <c r="H1896" s="4">
        <f>IFERROR(__xludf.DUMMYFUNCTION("DATE(INDEX(SPLIT(G1896,""/""),,3),INDEX(SPLIT(G1896,""/""),,2),INDEX(SPLIT(G1896,""/""),,1))"),44757.0)</f>
        <v>44757</v>
      </c>
      <c r="I1896" s="4">
        <v>44689.0</v>
      </c>
      <c r="J1896" s="4">
        <f>IFERROR(__xludf.DUMMYFUNCTION("DATE(INDEX(SPLIT(I1896,""/""),,3),INDEX(SPLIT(I1896,""/""),,2),INDEX(SPLIT(I1896,""/""),,1))"),44778.0)</f>
        <v>44778</v>
      </c>
      <c r="L1896" s="1">
        <v>0.0</v>
      </c>
      <c r="M1896" s="1" t="s">
        <v>166</v>
      </c>
      <c r="N1896" s="1"/>
      <c r="O1896" s="1" t="s">
        <v>30</v>
      </c>
      <c r="P1896" s="1" t="s">
        <v>31</v>
      </c>
      <c r="Q1896" s="1" t="s">
        <v>53</v>
      </c>
      <c r="R1896" s="1" t="s">
        <v>53</v>
      </c>
      <c r="S1896" s="1" t="s">
        <v>54</v>
      </c>
      <c r="U1896" s="1">
        <v>1.00651094E8</v>
      </c>
      <c r="X1896" s="1" t="s">
        <v>117</v>
      </c>
      <c r="Y1896" s="1" t="s">
        <v>1669</v>
      </c>
      <c r="Z1896" s="1" t="s">
        <v>37</v>
      </c>
    </row>
    <row r="1897">
      <c r="A1897" s="1" t="s">
        <v>6127</v>
      </c>
      <c r="B1897" s="1" t="s">
        <v>456</v>
      </c>
      <c r="C1897" s="1" t="s">
        <v>6128</v>
      </c>
      <c r="D1897" s="1" t="s">
        <v>122</v>
      </c>
      <c r="E1897" s="1" t="s">
        <v>28</v>
      </c>
      <c r="F1897" s="2">
        <v>500000.0</v>
      </c>
      <c r="G1897" s="1" t="s">
        <v>330</v>
      </c>
      <c r="H1897" s="4">
        <f>IFERROR(__xludf.DUMMYFUNCTION("DATE(INDEX(SPLIT(G1897,""/""),,3),INDEX(SPLIT(G1897,""/""),,2),INDEX(SPLIT(G1897,""/""),,1))"),44728.0)</f>
        <v>44728</v>
      </c>
      <c r="I1897" s="1" t="s">
        <v>607</v>
      </c>
      <c r="J1897" s="4">
        <f>IFERROR(__xludf.DUMMYFUNCTION("DATE(INDEX(SPLIT(I1897,""/""),,3),INDEX(SPLIT(I1897,""/""),,2),INDEX(SPLIT(I1897,""/""),,1))"),44770.0)</f>
        <v>44770</v>
      </c>
      <c r="L1897" s="1">
        <v>0.0</v>
      </c>
      <c r="M1897" s="1" t="s">
        <v>459</v>
      </c>
      <c r="N1897" s="1"/>
      <c r="O1897" s="1" t="s">
        <v>30</v>
      </c>
      <c r="P1897" s="1" t="s">
        <v>31</v>
      </c>
      <c r="Q1897" s="1" t="s">
        <v>53</v>
      </c>
      <c r="R1897" s="1" t="s">
        <v>53</v>
      </c>
      <c r="S1897" s="1" t="s">
        <v>54</v>
      </c>
      <c r="T1897" s="1" t="s">
        <v>87</v>
      </c>
      <c r="U1897" s="1">
        <v>1.00653756E8</v>
      </c>
      <c r="X1897" s="1" t="s">
        <v>375</v>
      </c>
      <c r="Y1897" s="1" t="s">
        <v>6129</v>
      </c>
      <c r="Z1897" s="1" t="s">
        <v>37</v>
      </c>
    </row>
    <row r="1898" hidden="1">
      <c r="A1898" s="1" t="s">
        <v>6130</v>
      </c>
      <c r="B1898" s="1" t="s">
        <v>6131</v>
      </c>
      <c r="C1898" s="1" t="s">
        <v>6132</v>
      </c>
      <c r="D1898" s="1" t="s">
        <v>78</v>
      </c>
      <c r="E1898" s="1" t="s">
        <v>28</v>
      </c>
      <c r="F1898" s="2">
        <v>500000.0</v>
      </c>
      <c r="G1898" s="1" t="s">
        <v>4242</v>
      </c>
      <c r="H1898" s="4">
        <f>IFERROR(__xludf.DUMMYFUNCTION("DATE(INDEX(SPLIT(G1898,""/""),,3),INDEX(SPLIT(G1898,""/""),,2),INDEX(SPLIT(G1898,""/""),,1))"),44285.0)</f>
        <v>44285</v>
      </c>
      <c r="I1898" s="1" t="s">
        <v>179</v>
      </c>
      <c r="J1898" s="4">
        <f>IFERROR(__xludf.DUMMYFUNCTION("DATE(INDEX(SPLIT(I1898,""/""),,3),INDEX(SPLIT(I1898,""/""),,2),INDEX(SPLIT(I1898,""/""),,1))"),44890.0)</f>
        <v>44890</v>
      </c>
      <c r="L1898" s="1">
        <v>0.0</v>
      </c>
      <c r="M1898" s="1" t="s">
        <v>2237</v>
      </c>
      <c r="N1898" s="1"/>
      <c r="O1898" s="1" t="s">
        <v>30</v>
      </c>
      <c r="P1898" s="1" t="s">
        <v>31</v>
      </c>
      <c r="Q1898" s="1" t="s">
        <v>32</v>
      </c>
      <c r="R1898" s="1" t="s">
        <v>32</v>
      </c>
      <c r="S1898" s="1" t="s">
        <v>33</v>
      </c>
      <c r="T1898" s="1" t="s">
        <v>6133</v>
      </c>
      <c r="U1898" s="1">
        <v>1.00611284E8</v>
      </c>
      <c r="V1898" s="1" t="s">
        <v>6134</v>
      </c>
      <c r="W1898" s="1" t="s">
        <v>45</v>
      </c>
      <c r="X1898" s="1" t="s">
        <v>375</v>
      </c>
      <c r="Y1898" s="1" t="s">
        <v>6135</v>
      </c>
      <c r="Z1898" s="1" t="s">
        <v>37</v>
      </c>
    </row>
    <row r="1899" hidden="1">
      <c r="A1899" s="1" t="s">
        <v>6136</v>
      </c>
      <c r="B1899" s="1" t="s">
        <v>695</v>
      </c>
      <c r="C1899" s="1" t="s">
        <v>6137</v>
      </c>
      <c r="D1899" s="1" t="s">
        <v>78</v>
      </c>
      <c r="E1899" s="1" t="s">
        <v>28</v>
      </c>
      <c r="F1899" s="2">
        <v>500000.0</v>
      </c>
      <c r="G1899" s="1" t="s">
        <v>6138</v>
      </c>
      <c r="H1899" s="4">
        <f>IFERROR(__xludf.DUMMYFUNCTION("DATE(INDEX(SPLIT(G1899,""/""),,3),INDEX(SPLIT(G1899,""/""),,2),INDEX(SPLIT(G1899,""/""),,1))"),43188.0)</f>
        <v>43188</v>
      </c>
      <c r="I1899" s="1" t="s">
        <v>109</v>
      </c>
      <c r="J1899" s="4">
        <f>IFERROR(__xludf.DUMMYFUNCTION("DATE(INDEX(SPLIT(I1899,""/""),,3),INDEX(SPLIT(I1899,""/""),,2),INDEX(SPLIT(I1899,""/""),,1))"),44834.0)</f>
        <v>44834</v>
      </c>
      <c r="L1899" s="1">
        <v>0.0</v>
      </c>
      <c r="M1899" s="1" t="s">
        <v>211</v>
      </c>
      <c r="N1899" s="1"/>
      <c r="O1899" s="1" t="s">
        <v>30</v>
      </c>
      <c r="P1899" s="1" t="s">
        <v>31</v>
      </c>
      <c r="Q1899" s="1" t="s">
        <v>71</v>
      </c>
      <c r="R1899" s="1" t="s">
        <v>71</v>
      </c>
      <c r="S1899" s="1" t="s">
        <v>72</v>
      </c>
      <c r="T1899" s="1" t="s">
        <v>136</v>
      </c>
      <c r="U1899" s="1">
        <v>1.00590896E8</v>
      </c>
      <c r="X1899" s="1" t="s">
        <v>74</v>
      </c>
      <c r="Y1899" s="1" t="s">
        <v>544</v>
      </c>
      <c r="Z1899" s="1" t="s">
        <v>37</v>
      </c>
    </row>
    <row r="1900">
      <c r="A1900" s="1" t="s">
        <v>6139</v>
      </c>
      <c r="B1900" s="1" t="s">
        <v>427</v>
      </c>
      <c r="C1900" s="1" t="s">
        <v>6140</v>
      </c>
      <c r="D1900" s="1" t="s">
        <v>78</v>
      </c>
      <c r="E1900" s="1" t="s">
        <v>28</v>
      </c>
      <c r="F1900" s="2">
        <v>500000.0</v>
      </c>
      <c r="G1900" s="1" t="s">
        <v>3391</v>
      </c>
      <c r="H1900" s="4">
        <f>IFERROR(__xludf.DUMMYFUNCTION("DATE(INDEX(SPLIT(G1900,""/""),,3),INDEX(SPLIT(G1900,""/""),,2),INDEX(SPLIT(G1900,""/""),,1))"),44272.0)</f>
        <v>44272</v>
      </c>
      <c r="I1900" s="1" t="s">
        <v>414</v>
      </c>
      <c r="J1900" s="4">
        <f>IFERROR(__xludf.DUMMYFUNCTION("DATE(INDEX(SPLIT(I1900,""/""),,3),INDEX(SPLIT(I1900,""/""),,2),INDEX(SPLIT(I1900,""/""),,1))"),44772.0)</f>
        <v>44772</v>
      </c>
      <c r="L1900" s="1">
        <v>0.0</v>
      </c>
      <c r="M1900" s="1" t="s">
        <v>431</v>
      </c>
      <c r="N1900" s="1"/>
      <c r="O1900" s="1" t="s">
        <v>30</v>
      </c>
      <c r="P1900" s="1" t="s">
        <v>31</v>
      </c>
      <c r="Q1900" s="1" t="s">
        <v>157</v>
      </c>
      <c r="R1900" s="1" t="s">
        <v>157</v>
      </c>
      <c r="S1900" s="1" t="s">
        <v>158</v>
      </c>
      <c r="T1900" s="1" t="s">
        <v>442</v>
      </c>
      <c r="U1900" s="1">
        <v>1.00650064E8</v>
      </c>
      <c r="X1900" s="1" t="s">
        <v>125</v>
      </c>
      <c r="Y1900" s="1" t="s">
        <v>432</v>
      </c>
      <c r="Z1900" s="1" t="s">
        <v>37</v>
      </c>
    </row>
    <row r="1901">
      <c r="A1901" s="1" t="s">
        <v>6141</v>
      </c>
      <c r="B1901" s="1" t="s">
        <v>5962</v>
      </c>
      <c r="C1901" s="1" t="s">
        <v>6142</v>
      </c>
      <c r="D1901" s="1" t="s">
        <v>122</v>
      </c>
      <c r="E1901" s="1" t="s">
        <v>28</v>
      </c>
      <c r="F1901" s="2">
        <v>500000.0</v>
      </c>
      <c r="G1901" s="1" t="s">
        <v>551</v>
      </c>
      <c r="H1901" s="4">
        <f>IFERROR(__xludf.DUMMYFUNCTION("DATE(INDEX(SPLIT(G1901,""/""),,3),INDEX(SPLIT(G1901,""/""),,2),INDEX(SPLIT(G1901,""/""),,1))"),44701.0)</f>
        <v>44701</v>
      </c>
      <c r="I1901" s="1" t="s">
        <v>1244</v>
      </c>
      <c r="J1901" s="4">
        <f>IFERROR(__xludf.DUMMYFUNCTION("DATE(INDEX(SPLIT(I1901,""/""),,3),INDEX(SPLIT(I1901,""/""),,2),INDEX(SPLIT(I1901,""/""),,1))"),44742.0)</f>
        <v>44742</v>
      </c>
      <c r="L1901" s="1">
        <v>0.0</v>
      </c>
      <c r="M1901" s="1" t="s">
        <v>4738</v>
      </c>
      <c r="N1901" s="1"/>
      <c r="O1901" s="1" t="s">
        <v>30</v>
      </c>
      <c r="P1901" s="1" t="s">
        <v>31</v>
      </c>
      <c r="Q1901" s="1" t="s">
        <v>228</v>
      </c>
      <c r="R1901" s="1" t="s">
        <v>228</v>
      </c>
      <c r="S1901" s="1" t="s">
        <v>229</v>
      </c>
      <c r="T1901" s="1" t="s">
        <v>513</v>
      </c>
      <c r="U1901" s="1">
        <v>1.00888587E8</v>
      </c>
      <c r="X1901" s="1" t="s">
        <v>74</v>
      </c>
      <c r="Y1901" s="1" t="s">
        <v>4738</v>
      </c>
      <c r="Z1901" s="1" t="s">
        <v>206</v>
      </c>
    </row>
    <row r="1902" hidden="1">
      <c r="A1902" s="1" t="s">
        <v>6143</v>
      </c>
      <c r="B1902" s="1" t="s">
        <v>3591</v>
      </c>
      <c r="C1902" s="1" t="s">
        <v>6144</v>
      </c>
      <c r="D1902" s="1" t="s">
        <v>78</v>
      </c>
      <c r="E1902" s="1" t="s">
        <v>28</v>
      </c>
      <c r="F1902" s="2">
        <v>500000.0</v>
      </c>
      <c r="G1902" s="4">
        <v>43989.0</v>
      </c>
      <c r="H1902" s="4">
        <f>IFERROR(__xludf.DUMMYFUNCTION("DATE(INDEX(SPLIT(G1902,""/""),,3),INDEX(SPLIT(G1902,""/""),,2),INDEX(SPLIT(G1902,""/""),,1))"),44018.0)</f>
        <v>44018</v>
      </c>
      <c r="I1902" s="1" t="s">
        <v>134</v>
      </c>
      <c r="J1902" s="4">
        <f>IFERROR(__xludf.DUMMYFUNCTION("DATE(INDEX(SPLIT(I1902,""/""),,3),INDEX(SPLIT(I1902,""/""),,2),INDEX(SPLIT(I1902,""/""),,1))"),44792.0)</f>
        <v>44792</v>
      </c>
      <c r="L1902" s="1">
        <v>0.0</v>
      </c>
      <c r="M1902" s="1" t="s">
        <v>318</v>
      </c>
      <c r="N1902" s="1"/>
      <c r="O1902" s="1" t="s">
        <v>30</v>
      </c>
      <c r="P1902" s="1" t="s">
        <v>31</v>
      </c>
      <c r="Q1902" s="1" t="s">
        <v>71</v>
      </c>
      <c r="R1902" s="1" t="s">
        <v>71</v>
      </c>
      <c r="S1902" s="1" t="s">
        <v>72</v>
      </c>
      <c r="T1902" s="1" t="s">
        <v>73</v>
      </c>
      <c r="U1902" s="1">
        <v>1.00654705E8</v>
      </c>
      <c r="X1902" s="1" t="s">
        <v>74</v>
      </c>
      <c r="Y1902" s="1" t="s">
        <v>318</v>
      </c>
      <c r="Z1902" s="1" t="s">
        <v>37</v>
      </c>
    </row>
    <row r="1903" hidden="1">
      <c r="A1903" s="1" t="s">
        <v>6145</v>
      </c>
      <c r="B1903" s="1" t="s">
        <v>39</v>
      </c>
      <c r="C1903" s="1" t="s">
        <v>6146</v>
      </c>
      <c r="D1903" s="1" t="s">
        <v>78</v>
      </c>
      <c r="E1903" s="1" t="s">
        <v>28</v>
      </c>
      <c r="F1903" s="2">
        <v>500000.0</v>
      </c>
      <c r="G1903" s="1" t="s">
        <v>714</v>
      </c>
      <c r="H1903" s="4">
        <f>IFERROR(__xludf.DUMMYFUNCTION("DATE(INDEX(SPLIT(G1903,""/""),,3),INDEX(SPLIT(G1903,""/""),,2),INDEX(SPLIT(G1903,""/""),,1))"),44546.0)</f>
        <v>44546</v>
      </c>
      <c r="I1903" s="1" t="s">
        <v>109</v>
      </c>
      <c r="J1903" s="4">
        <f>IFERROR(__xludf.DUMMYFUNCTION("DATE(INDEX(SPLIT(I1903,""/""),,3),INDEX(SPLIT(I1903,""/""),,2),INDEX(SPLIT(I1903,""/""),,1))"),44834.0)</f>
        <v>44834</v>
      </c>
      <c r="L1903" s="1">
        <v>0.0</v>
      </c>
      <c r="M1903" s="1" t="s">
        <v>3376</v>
      </c>
      <c r="N1903" s="1"/>
      <c r="O1903" s="1" t="s">
        <v>30</v>
      </c>
      <c r="P1903" s="1" t="s">
        <v>31</v>
      </c>
      <c r="Q1903" s="1" t="s">
        <v>32</v>
      </c>
      <c r="R1903" s="1" t="s">
        <v>32</v>
      </c>
      <c r="S1903" s="1" t="s">
        <v>33</v>
      </c>
      <c r="T1903" s="1" t="s">
        <v>103</v>
      </c>
      <c r="U1903" s="1">
        <v>1.00597272E8</v>
      </c>
      <c r="X1903" s="1" t="s">
        <v>46</v>
      </c>
      <c r="Y1903" s="1" t="s">
        <v>6147</v>
      </c>
      <c r="Z1903" s="1" t="s">
        <v>206</v>
      </c>
    </row>
    <row r="1904" hidden="1">
      <c r="A1904" s="1" t="s">
        <v>6148</v>
      </c>
      <c r="B1904" s="1" t="s">
        <v>1158</v>
      </c>
      <c r="C1904" s="1" t="s">
        <v>6149</v>
      </c>
      <c r="D1904" s="1" t="s">
        <v>27</v>
      </c>
      <c r="E1904" s="1" t="s">
        <v>28</v>
      </c>
      <c r="F1904" s="2">
        <v>500000.0</v>
      </c>
      <c r="G1904" s="1" t="s">
        <v>41</v>
      </c>
      <c r="H1904" s="4">
        <f>IFERROR(__xludf.DUMMYFUNCTION("DATE(INDEX(SPLIT(G1904,""/""),,3),INDEX(SPLIT(G1904,""/""),,2),INDEX(SPLIT(G1904,""/""),,1))"),44607.0)</f>
        <v>44607</v>
      </c>
      <c r="I1904" s="4">
        <v>44573.0</v>
      </c>
      <c r="J1904" s="4">
        <f>IFERROR(__xludf.DUMMYFUNCTION("DATE(INDEX(SPLIT(I1904,""/""),,3),INDEX(SPLIT(I1904,""/""),,2),INDEX(SPLIT(I1904,""/""),,1))"),44896.0)</f>
        <v>44896</v>
      </c>
      <c r="L1904" s="1">
        <v>0.0</v>
      </c>
      <c r="M1904" s="1" t="s">
        <v>1737</v>
      </c>
      <c r="N1904" s="1"/>
      <c r="O1904" s="1" t="s">
        <v>30</v>
      </c>
      <c r="P1904" s="1" t="s">
        <v>31</v>
      </c>
      <c r="Q1904" s="1" t="s">
        <v>53</v>
      </c>
      <c r="R1904" s="1" t="s">
        <v>53</v>
      </c>
      <c r="S1904" s="1" t="s">
        <v>54</v>
      </c>
      <c r="T1904" s="1" t="s">
        <v>1386</v>
      </c>
      <c r="U1904" s="1">
        <v>1.00642067E8</v>
      </c>
      <c r="X1904" s="1" t="s">
        <v>88</v>
      </c>
      <c r="Y1904" s="1" t="s">
        <v>1387</v>
      </c>
      <c r="Z1904" s="1" t="s">
        <v>37</v>
      </c>
    </row>
    <row r="1905" hidden="1">
      <c r="A1905" s="1" t="s">
        <v>6150</v>
      </c>
      <c r="B1905" s="1" t="s">
        <v>6151</v>
      </c>
      <c r="C1905" s="1" t="s">
        <v>6152</v>
      </c>
      <c r="D1905" s="1" t="s">
        <v>27</v>
      </c>
      <c r="E1905" s="1" t="s">
        <v>28</v>
      </c>
      <c r="F1905" s="2">
        <v>500000.0</v>
      </c>
      <c r="G1905" s="1" t="s">
        <v>41</v>
      </c>
      <c r="H1905" s="4">
        <f>IFERROR(__xludf.DUMMYFUNCTION("DATE(INDEX(SPLIT(G1905,""/""),,3),INDEX(SPLIT(G1905,""/""),,2),INDEX(SPLIT(G1905,""/""),,1))"),44607.0)</f>
        <v>44607</v>
      </c>
      <c r="I1905" s="4">
        <v>44573.0</v>
      </c>
      <c r="J1905" s="4">
        <f>IFERROR(__xludf.DUMMYFUNCTION("DATE(INDEX(SPLIT(I1905,""/""),,3),INDEX(SPLIT(I1905,""/""),,2),INDEX(SPLIT(I1905,""/""),,1))"),44896.0)</f>
        <v>44896</v>
      </c>
      <c r="L1905" s="1">
        <v>0.0</v>
      </c>
      <c r="M1905" s="1" t="s">
        <v>1385</v>
      </c>
      <c r="N1905" s="1"/>
      <c r="O1905" s="1" t="s">
        <v>30</v>
      </c>
      <c r="P1905" s="1" t="s">
        <v>31</v>
      </c>
      <c r="Q1905" s="1" t="s">
        <v>235</v>
      </c>
      <c r="R1905" s="1" t="s">
        <v>235</v>
      </c>
      <c r="S1905" s="1" t="s">
        <v>236</v>
      </c>
      <c r="T1905" s="1" t="s">
        <v>1386</v>
      </c>
      <c r="U1905" s="1">
        <v>1.00594397E8</v>
      </c>
      <c r="X1905" s="1" t="s">
        <v>239</v>
      </c>
      <c r="Y1905" s="1" t="s">
        <v>1387</v>
      </c>
      <c r="Z1905" s="1" t="s">
        <v>37</v>
      </c>
    </row>
    <row r="1906" hidden="1">
      <c r="A1906" s="1" t="s">
        <v>6153</v>
      </c>
      <c r="B1906" s="1" t="s">
        <v>1216</v>
      </c>
      <c r="C1906" s="1" t="s">
        <v>6154</v>
      </c>
      <c r="D1906" s="1" t="s">
        <v>78</v>
      </c>
      <c r="E1906" s="1" t="s">
        <v>28</v>
      </c>
      <c r="F1906" s="2">
        <v>500000.0</v>
      </c>
      <c r="G1906" s="1" t="s">
        <v>2684</v>
      </c>
      <c r="H1906" s="4">
        <f>IFERROR(__xludf.DUMMYFUNCTION("DATE(INDEX(SPLIT(G1906,""/""),,3),INDEX(SPLIT(G1906,""/""),,2),INDEX(SPLIT(G1906,""/""),,1))"),44333.0)</f>
        <v>44333</v>
      </c>
      <c r="I1906" s="1" t="s">
        <v>109</v>
      </c>
      <c r="J1906" s="4">
        <f>IFERROR(__xludf.DUMMYFUNCTION("DATE(INDEX(SPLIT(I1906,""/""),,3),INDEX(SPLIT(I1906,""/""),,2),INDEX(SPLIT(I1906,""/""),,1))"),44834.0)</f>
        <v>44834</v>
      </c>
      <c r="L1906" s="1">
        <v>0.0</v>
      </c>
      <c r="M1906" s="1" t="s">
        <v>1303</v>
      </c>
      <c r="N1906" s="1"/>
      <c r="O1906" s="1" t="s">
        <v>30</v>
      </c>
      <c r="P1906" s="1" t="s">
        <v>31</v>
      </c>
      <c r="Q1906" s="1" t="s">
        <v>235</v>
      </c>
      <c r="R1906" s="1" t="s">
        <v>235</v>
      </c>
      <c r="S1906" s="1" t="s">
        <v>236</v>
      </c>
      <c r="T1906" s="1" t="s">
        <v>438</v>
      </c>
      <c r="U1906" s="1">
        <v>1.00609073E8</v>
      </c>
      <c r="X1906" s="1" t="s">
        <v>88</v>
      </c>
      <c r="Y1906" s="1" t="s">
        <v>1045</v>
      </c>
      <c r="Z1906" s="1" t="s">
        <v>37</v>
      </c>
    </row>
    <row r="1907">
      <c r="A1907" s="1" t="s">
        <v>6155</v>
      </c>
      <c r="B1907" s="1" t="s">
        <v>4511</v>
      </c>
      <c r="C1907" s="1" t="s">
        <v>6156</v>
      </c>
      <c r="D1907" s="1" t="s">
        <v>122</v>
      </c>
      <c r="E1907" s="1" t="s">
        <v>28</v>
      </c>
      <c r="F1907" s="2">
        <v>500000.0</v>
      </c>
      <c r="G1907" s="1" t="s">
        <v>2684</v>
      </c>
      <c r="H1907" s="4">
        <f>IFERROR(__xludf.DUMMYFUNCTION("DATE(INDEX(SPLIT(G1907,""/""),,3),INDEX(SPLIT(G1907,""/""),,2),INDEX(SPLIT(G1907,""/""),,1))"),44333.0)</f>
        <v>44333</v>
      </c>
      <c r="I1907" s="1" t="s">
        <v>226</v>
      </c>
      <c r="J1907" s="4">
        <f>IFERROR(__xludf.DUMMYFUNCTION("DATE(INDEX(SPLIT(I1907,""/""),,3),INDEX(SPLIT(I1907,""/""),,2),INDEX(SPLIT(I1907,""/""),,1))"),44771.0)</f>
        <v>44771</v>
      </c>
      <c r="L1907" s="1">
        <v>0.0</v>
      </c>
      <c r="M1907" s="1" t="s">
        <v>4513</v>
      </c>
      <c r="N1907" s="1"/>
      <c r="O1907" s="1" t="s">
        <v>30</v>
      </c>
      <c r="P1907" s="1" t="s">
        <v>31</v>
      </c>
      <c r="Q1907" s="1" t="s">
        <v>157</v>
      </c>
      <c r="R1907" s="1" t="s">
        <v>157</v>
      </c>
      <c r="S1907" s="1" t="s">
        <v>158</v>
      </c>
      <c r="T1907" s="1" t="s">
        <v>159</v>
      </c>
      <c r="U1907" s="1">
        <v>1.00914325E8</v>
      </c>
      <c r="X1907" s="1" t="s">
        <v>490</v>
      </c>
      <c r="Y1907" s="1" t="s">
        <v>4513</v>
      </c>
      <c r="Z1907" s="1" t="s">
        <v>206</v>
      </c>
    </row>
    <row r="1908">
      <c r="A1908" s="1" t="s">
        <v>6157</v>
      </c>
      <c r="B1908" s="1" t="s">
        <v>5856</v>
      </c>
      <c r="C1908" s="1" t="s">
        <v>6158</v>
      </c>
      <c r="D1908" s="1" t="s">
        <v>27</v>
      </c>
      <c r="E1908" s="1" t="s">
        <v>28</v>
      </c>
      <c r="F1908" s="2">
        <v>500000.0</v>
      </c>
      <c r="G1908" s="1" t="s">
        <v>41</v>
      </c>
      <c r="H1908" s="4">
        <f>IFERROR(__xludf.DUMMYFUNCTION("DATE(INDEX(SPLIT(G1908,""/""),,3),INDEX(SPLIT(G1908,""/""),,2),INDEX(SPLIT(G1908,""/""),,1))"),44607.0)</f>
        <v>44607</v>
      </c>
      <c r="I1908" s="1" t="s">
        <v>226</v>
      </c>
      <c r="J1908" s="4">
        <f>IFERROR(__xludf.DUMMYFUNCTION("DATE(INDEX(SPLIT(I1908,""/""),,3),INDEX(SPLIT(I1908,""/""),,2),INDEX(SPLIT(I1908,""/""),,1))"),44771.0)</f>
        <v>44771</v>
      </c>
      <c r="L1908" s="1">
        <v>0.0</v>
      </c>
      <c r="M1908" s="1" t="s">
        <v>1032</v>
      </c>
      <c r="N1908" s="1"/>
      <c r="O1908" s="1" t="s">
        <v>30</v>
      </c>
      <c r="P1908" s="1" t="s">
        <v>31</v>
      </c>
      <c r="Q1908" s="1" t="s">
        <v>71</v>
      </c>
      <c r="R1908" s="1" t="s">
        <v>71</v>
      </c>
      <c r="S1908" s="1" t="s">
        <v>72</v>
      </c>
      <c r="T1908" s="1" t="s">
        <v>615</v>
      </c>
      <c r="U1908" s="1">
        <v>1.00609514E8</v>
      </c>
      <c r="X1908" s="1" t="s">
        <v>490</v>
      </c>
      <c r="Y1908" s="1" t="s">
        <v>1033</v>
      </c>
      <c r="Z1908" s="1" t="s">
        <v>37</v>
      </c>
    </row>
    <row r="1909" hidden="1">
      <c r="A1909" s="1" t="s">
        <v>6159</v>
      </c>
      <c r="B1909" s="1" t="s">
        <v>59</v>
      </c>
      <c r="C1909" s="1" t="s">
        <v>6160</v>
      </c>
      <c r="D1909" s="1" t="s">
        <v>27</v>
      </c>
      <c r="E1909" s="1" t="s">
        <v>28</v>
      </c>
      <c r="F1909" s="2">
        <v>500000.0</v>
      </c>
      <c r="G1909" s="1" t="s">
        <v>818</v>
      </c>
      <c r="H1909" s="4">
        <f>IFERROR(__xludf.DUMMYFUNCTION("DATE(INDEX(SPLIT(G1909,""/""),,3),INDEX(SPLIT(G1909,""/""),,2),INDEX(SPLIT(G1909,""/""),,1))"),44553.0)</f>
        <v>44553</v>
      </c>
      <c r="I1909" s="1" t="s">
        <v>317</v>
      </c>
      <c r="J1909" s="4">
        <f>IFERROR(__xludf.DUMMYFUNCTION("DATE(INDEX(SPLIT(I1909,""/""),,3),INDEX(SPLIT(I1909,""/""),,2),INDEX(SPLIT(I1909,""/""),,1))"),44862.0)</f>
        <v>44862</v>
      </c>
      <c r="L1909" s="1">
        <v>0.0</v>
      </c>
      <c r="M1909" s="1" t="s">
        <v>1856</v>
      </c>
      <c r="N1909" s="1"/>
      <c r="O1909" s="1" t="s">
        <v>30</v>
      </c>
      <c r="P1909" s="1" t="s">
        <v>31</v>
      </c>
      <c r="Q1909" s="1" t="s">
        <v>32</v>
      </c>
      <c r="R1909" s="1" t="s">
        <v>32</v>
      </c>
      <c r="S1909" s="1" t="s">
        <v>33</v>
      </c>
      <c r="T1909" s="1" t="s">
        <v>103</v>
      </c>
      <c r="U1909" s="1">
        <v>1.00587434E8</v>
      </c>
      <c r="X1909" s="1" t="s">
        <v>63</v>
      </c>
      <c r="Y1909" s="1" t="s">
        <v>64</v>
      </c>
      <c r="Z1909" s="1" t="s">
        <v>37</v>
      </c>
    </row>
    <row r="1910">
      <c r="A1910" s="1" t="s">
        <v>6161</v>
      </c>
      <c r="B1910" s="1" t="s">
        <v>816</v>
      </c>
      <c r="C1910" s="1" t="s">
        <v>6162</v>
      </c>
      <c r="D1910" s="1" t="s">
        <v>27</v>
      </c>
      <c r="E1910" s="1" t="s">
        <v>28</v>
      </c>
      <c r="F1910" s="2">
        <v>500000.0</v>
      </c>
      <c r="G1910" s="4">
        <v>44599.0</v>
      </c>
      <c r="H1910" s="4">
        <f>IFERROR(__xludf.DUMMYFUNCTION("DATE(INDEX(SPLIT(G1910,""/""),,3),INDEX(SPLIT(G1910,""/""),,2),INDEX(SPLIT(G1910,""/""),,1))"),44744.0)</f>
        <v>44744</v>
      </c>
      <c r="I1910" s="1" t="s">
        <v>226</v>
      </c>
      <c r="J1910" s="4">
        <f>IFERROR(__xludf.DUMMYFUNCTION("DATE(INDEX(SPLIT(I1910,""/""),,3),INDEX(SPLIT(I1910,""/""),,2),INDEX(SPLIT(I1910,""/""),,1))"),44771.0)</f>
        <v>44771</v>
      </c>
      <c r="L1910" s="1">
        <v>0.0</v>
      </c>
      <c r="M1910" s="1" t="s">
        <v>819</v>
      </c>
      <c r="N1910" s="1"/>
      <c r="O1910" s="1" t="s">
        <v>30</v>
      </c>
      <c r="P1910" s="1" t="s">
        <v>31</v>
      </c>
      <c r="Q1910" s="1" t="s">
        <v>53</v>
      </c>
      <c r="R1910" s="1" t="s">
        <v>53</v>
      </c>
      <c r="S1910" s="1" t="s">
        <v>54</v>
      </c>
      <c r="T1910" s="1" t="s">
        <v>634</v>
      </c>
      <c r="U1910" s="1">
        <v>1.00661738E8</v>
      </c>
      <c r="X1910" s="1" t="s">
        <v>490</v>
      </c>
      <c r="Y1910" s="1" t="s">
        <v>2119</v>
      </c>
      <c r="Z1910" s="1" t="s">
        <v>37</v>
      </c>
    </row>
    <row r="1911">
      <c r="A1911" s="1" t="s">
        <v>6163</v>
      </c>
      <c r="B1911" s="1" t="s">
        <v>6164</v>
      </c>
      <c r="C1911" s="1" t="s">
        <v>6165</v>
      </c>
      <c r="D1911" s="1" t="s">
        <v>78</v>
      </c>
      <c r="E1911" s="1" t="s">
        <v>28</v>
      </c>
      <c r="F1911" s="2">
        <v>500000.0</v>
      </c>
      <c r="G1911" s="1" t="s">
        <v>1442</v>
      </c>
      <c r="H1911" s="4">
        <f>IFERROR(__xludf.DUMMYFUNCTION("DATE(INDEX(SPLIT(G1911,""/""),,3),INDEX(SPLIT(G1911,""/""),,2),INDEX(SPLIT(G1911,""/""),,1))"),44727.0)</f>
        <v>44727</v>
      </c>
      <c r="I1911" s="4">
        <v>44658.0</v>
      </c>
      <c r="J1911" s="4">
        <f>IFERROR(__xludf.DUMMYFUNCTION("DATE(INDEX(SPLIT(I1911,""/""),,3),INDEX(SPLIT(I1911,""/""),,2),INDEX(SPLIT(I1911,""/""),,1))"),44746.0)</f>
        <v>44746</v>
      </c>
      <c r="L1911" s="1">
        <v>0.0</v>
      </c>
      <c r="M1911" s="1" t="s">
        <v>52</v>
      </c>
      <c r="N1911" s="1"/>
      <c r="O1911" s="1" t="s">
        <v>30</v>
      </c>
      <c r="P1911" s="1" t="s">
        <v>31</v>
      </c>
      <c r="Q1911" s="1" t="s">
        <v>53</v>
      </c>
      <c r="R1911" s="1" t="s">
        <v>53</v>
      </c>
      <c r="S1911" s="1" t="s">
        <v>54</v>
      </c>
      <c r="T1911" s="1" t="s">
        <v>103</v>
      </c>
      <c r="U1911" s="1">
        <v>1.01059432E8</v>
      </c>
      <c r="X1911" s="1" t="s">
        <v>46</v>
      </c>
      <c r="Y1911" s="1" t="s">
        <v>5360</v>
      </c>
      <c r="Z1911" s="1" t="s">
        <v>37</v>
      </c>
    </row>
    <row r="1912" hidden="1">
      <c r="A1912" s="1" t="s">
        <v>6166</v>
      </c>
      <c r="B1912" s="1" t="s">
        <v>1420</v>
      </c>
      <c r="C1912" s="1" t="s">
        <v>6167</v>
      </c>
      <c r="D1912" s="1" t="s">
        <v>122</v>
      </c>
      <c r="E1912" s="1" t="s">
        <v>28</v>
      </c>
      <c r="F1912" s="2">
        <v>500000.0</v>
      </c>
      <c r="G1912" s="1" t="s">
        <v>330</v>
      </c>
      <c r="H1912" s="4">
        <f>IFERROR(__xludf.DUMMYFUNCTION("DATE(INDEX(SPLIT(G1912,""/""),,3),INDEX(SPLIT(G1912,""/""),,2),INDEX(SPLIT(G1912,""/""),,1))"),44728.0)</f>
        <v>44728</v>
      </c>
      <c r="I1912" s="4">
        <v>44569.0</v>
      </c>
      <c r="J1912" s="4">
        <f>IFERROR(__xludf.DUMMYFUNCTION("DATE(INDEX(SPLIT(I1912,""/""),,3),INDEX(SPLIT(I1912,""/""),,2),INDEX(SPLIT(I1912,""/""),,1))"),44774.0)</f>
        <v>44774</v>
      </c>
      <c r="L1912" s="1">
        <v>0.0</v>
      </c>
      <c r="M1912" s="1" t="s">
        <v>1422</v>
      </c>
      <c r="N1912" s="1"/>
      <c r="O1912" s="1" t="s">
        <v>30</v>
      </c>
      <c r="P1912" s="1" t="s">
        <v>31</v>
      </c>
      <c r="Q1912" s="1" t="s">
        <v>157</v>
      </c>
      <c r="R1912" s="1" t="s">
        <v>157</v>
      </c>
      <c r="S1912" s="1" t="s">
        <v>158</v>
      </c>
      <c r="T1912" s="1" t="s">
        <v>159</v>
      </c>
      <c r="U1912" s="1">
        <v>1.00869794E8</v>
      </c>
      <c r="X1912" s="1" t="s">
        <v>46</v>
      </c>
      <c r="Y1912" s="1" t="s">
        <v>1422</v>
      </c>
      <c r="Z1912" s="1" t="s">
        <v>37</v>
      </c>
    </row>
    <row r="1913">
      <c r="A1913" s="1" t="s">
        <v>6168</v>
      </c>
      <c r="B1913" s="1" t="s">
        <v>6169</v>
      </c>
      <c r="C1913" s="1" t="s">
        <v>6170</v>
      </c>
      <c r="D1913" s="1" t="s">
        <v>122</v>
      </c>
      <c r="E1913" s="1" t="s">
        <v>28</v>
      </c>
      <c r="F1913" s="2">
        <v>500000.0</v>
      </c>
      <c r="G1913" s="4">
        <v>44746.0</v>
      </c>
      <c r="H1913" s="4">
        <f>IFERROR(__xludf.DUMMYFUNCTION("DATE(INDEX(SPLIT(G1913,""/""),,3),INDEX(SPLIT(G1913,""/""),,2),INDEX(SPLIT(G1913,""/""),,1))"),44658.0)</f>
        <v>44658</v>
      </c>
      <c r="I1913" s="1" t="s">
        <v>1244</v>
      </c>
      <c r="J1913" s="4">
        <f>IFERROR(__xludf.DUMMYFUNCTION("DATE(INDEX(SPLIT(I1913,""/""),,3),INDEX(SPLIT(I1913,""/""),,2),INDEX(SPLIT(I1913,""/""),,1))"),44742.0)</f>
        <v>44742</v>
      </c>
      <c r="L1913" s="1">
        <v>0.0</v>
      </c>
      <c r="M1913" s="1" t="s">
        <v>653</v>
      </c>
      <c r="N1913" s="1"/>
      <c r="O1913" s="1" t="s">
        <v>30</v>
      </c>
      <c r="P1913" s="1" t="s">
        <v>31</v>
      </c>
      <c r="Q1913" s="1" t="s">
        <v>157</v>
      </c>
      <c r="R1913" s="1" t="s">
        <v>157</v>
      </c>
      <c r="S1913" s="1" t="s">
        <v>158</v>
      </c>
      <c r="T1913" s="1" t="s">
        <v>442</v>
      </c>
      <c r="U1913" s="1">
        <v>1.00591141E8</v>
      </c>
      <c r="X1913" s="1" t="s">
        <v>63</v>
      </c>
      <c r="Y1913" s="1" t="s">
        <v>3880</v>
      </c>
      <c r="Z1913" s="1" t="s">
        <v>37</v>
      </c>
    </row>
    <row r="1914" hidden="1">
      <c r="A1914" s="1" t="s">
        <v>6171</v>
      </c>
      <c r="B1914" s="1" t="s">
        <v>1131</v>
      </c>
      <c r="C1914" s="1" t="s">
        <v>6172</v>
      </c>
      <c r="D1914" s="1" t="s">
        <v>122</v>
      </c>
      <c r="E1914" s="1" t="s">
        <v>28</v>
      </c>
      <c r="F1914" s="2">
        <v>500000.0</v>
      </c>
      <c r="G1914" s="4">
        <v>44625.0</v>
      </c>
      <c r="H1914" s="4">
        <f>IFERROR(__xludf.DUMMYFUNCTION("DATE(INDEX(SPLIT(G1914,""/""),,3),INDEX(SPLIT(G1914,""/""),,2),INDEX(SPLIT(G1914,""/""),,1))"),44684.0)</f>
        <v>44684</v>
      </c>
      <c r="I1914" s="1" t="s">
        <v>130</v>
      </c>
      <c r="J1914" s="4">
        <f>IFERROR(__xludf.DUMMYFUNCTION("DATE(INDEX(SPLIT(I1914,""/""),,3),INDEX(SPLIT(I1914,""/""),,2),INDEX(SPLIT(I1914,""/""),,1))"),44804.0)</f>
        <v>44804</v>
      </c>
      <c r="L1914" s="1">
        <v>0.0</v>
      </c>
      <c r="M1914" s="1" t="s">
        <v>1409</v>
      </c>
      <c r="N1914" s="1"/>
      <c r="O1914" s="1" t="s">
        <v>30</v>
      </c>
      <c r="P1914" s="1" t="s">
        <v>31</v>
      </c>
      <c r="Q1914" s="1" t="s">
        <v>71</v>
      </c>
      <c r="R1914" s="1" t="s">
        <v>71</v>
      </c>
      <c r="S1914" s="1" t="s">
        <v>72</v>
      </c>
      <c r="T1914" s="1" t="s">
        <v>73</v>
      </c>
      <c r="U1914" s="1">
        <v>1.00613761E8</v>
      </c>
      <c r="X1914" s="1" t="s">
        <v>74</v>
      </c>
      <c r="Y1914" s="1" t="s">
        <v>2241</v>
      </c>
      <c r="Z1914" s="1" t="s">
        <v>37</v>
      </c>
    </row>
    <row r="1915" hidden="1">
      <c r="A1915" s="1" t="s">
        <v>6173</v>
      </c>
      <c r="B1915" s="1" t="s">
        <v>4572</v>
      </c>
      <c r="C1915" s="1" t="s">
        <v>6174</v>
      </c>
      <c r="D1915" s="1" t="s">
        <v>27</v>
      </c>
      <c r="E1915" s="1" t="s">
        <v>28</v>
      </c>
      <c r="F1915" s="2">
        <v>500000.0</v>
      </c>
      <c r="G1915" s="1" t="s">
        <v>862</v>
      </c>
      <c r="H1915" s="4">
        <f>IFERROR(__xludf.DUMMYFUNCTION("DATE(INDEX(SPLIT(G1915,""/""),,3),INDEX(SPLIT(G1915,""/""),,2),INDEX(SPLIT(G1915,""/""),,1))"),44699.0)</f>
        <v>44699</v>
      </c>
      <c r="I1915" s="1" t="s">
        <v>109</v>
      </c>
      <c r="J1915" s="4">
        <f>IFERROR(__xludf.DUMMYFUNCTION("DATE(INDEX(SPLIT(I1915,""/""),,3),INDEX(SPLIT(I1915,""/""),,2),INDEX(SPLIT(I1915,""/""),,1))"),44834.0)</f>
        <v>44834</v>
      </c>
      <c r="L1915" s="1">
        <v>0.0</v>
      </c>
      <c r="M1915" s="1" t="s">
        <v>6175</v>
      </c>
      <c r="N1915" s="1"/>
      <c r="O1915" s="1" t="s">
        <v>30</v>
      </c>
      <c r="P1915" s="1" t="s">
        <v>31</v>
      </c>
      <c r="Q1915" s="1" t="s">
        <v>235</v>
      </c>
      <c r="R1915" s="1" t="s">
        <v>235</v>
      </c>
      <c r="S1915" s="1" t="s">
        <v>236</v>
      </c>
      <c r="U1915" s="1">
        <v>1.00624257E8</v>
      </c>
      <c r="X1915" s="1" t="s">
        <v>375</v>
      </c>
      <c r="Y1915" s="1" t="s">
        <v>6175</v>
      </c>
      <c r="Z1915" s="1" t="s">
        <v>37</v>
      </c>
    </row>
    <row r="1916" hidden="1">
      <c r="A1916" s="1" t="s">
        <v>6176</v>
      </c>
      <c r="B1916" s="1" t="s">
        <v>177</v>
      </c>
      <c r="C1916" s="1" t="s">
        <v>6177</v>
      </c>
      <c r="D1916" s="1" t="s">
        <v>78</v>
      </c>
      <c r="E1916" s="1" t="s">
        <v>28</v>
      </c>
      <c r="F1916" s="2">
        <v>500000.0</v>
      </c>
      <c r="G1916" s="4">
        <v>44564.0</v>
      </c>
      <c r="H1916" s="4">
        <f>IFERROR(__xludf.DUMMYFUNCTION("DATE(INDEX(SPLIT(G1916,""/""),,3),INDEX(SPLIT(G1916,""/""),,2),INDEX(SPLIT(G1916,""/""),,1))"),44621.0)</f>
        <v>44621</v>
      </c>
      <c r="I1916" s="1" t="s">
        <v>130</v>
      </c>
      <c r="J1916" s="4">
        <f>IFERROR(__xludf.DUMMYFUNCTION("DATE(INDEX(SPLIT(I1916,""/""),,3),INDEX(SPLIT(I1916,""/""),,2),INDEX(SPLIT(I1916,""/""),,1))"),44804.0)</f>
        <v>44804</v>
      </c>
      <c r="L1916" s="1">
        <v>0.0</v>
      </c>
      <c r="M1916" s="1" t="s">
        <v>1207</v>
      </c>
      <c r="N1916" s="1"/>
      <c r="O1916" s="1" t="s">
        <v>30</v>
      </c>
      <c r="P1916" s="1" t="s">
        <v>31</v>
      </c>
      <c r="Q1916" s="1" t="s">
        <v>157</v>
      </c>
      <c r="R1916" s="1" t="s">
        <v>157</v>
      </c>
      <c r="S1916" s="1" t="s">
        <v>158</v>
      </c>
      <c r="U1916" s="1">
        <v>1.00639495E8</v>
      </c>
      <c r="X1916" s="1" t="s">
        <v>74</v>
      </c>
      <c r="Y1916" s="1" t="s">
        <v>1208</v>
      </c>
      <c r="Z1916" s="1" t="s">
        <v>37</v>
      </c>
    </row>
    <row r="1917" hidden="1">
      <c r="A1917" s="1" t="s">
        <v>6178</v>
      </c>
      <c r="B1917" s="1" t="s">
        <v>2483</v>
      </c>
      <c r="C1917" s="1" t="s">
        <v>6179</v>
      </c>
      <c r="D1917" s="1" t="s">
        <v>68</v>
      </c>
      <c r="E1917" s="1" t="s">
        <v>28</v>
      </c>
      <c r="F1917" s="2">
        <v>500000.0</v>
      </c>
      <c r="G1917" s="1" t="s">
        <v>714</v>
      </c>
      <c r="H1917" s="4">
        <f>IFERROR(__xludf.DUMMYFUNCTION("DATE(INDEX(SPLIT(G1917,""/""),,3),INDEX(SPLIT(G1917,""/""),,2),INDEX(SPLIT(G1917,""/""),,1))"),44546.0)</f>
        <v>44546</v>
      </c>
      <c r="I1917" s="1" t="s">
        <v>130</v>
      </c>
      <c r="J1917" s="4">
        <f>IFERROR(__xludf.DUMMYFUNCTION("DATE(INDEX(SPLIT(I1917,""/""),,3),INDEX(SPLIT(I1917,""/""),,2),INDEX(SPLIT(I1917,""/""),,1))"),44804.0)</f>
        <v>44804</v>
      </c>
      <c r="L1917" s="1">
        <v>0.0</v>
      </c>
      <c r="M1917" s="1" t="s">
        <v>3601</v>
      </c>
      <c r="N1917" s="1"/>
      <c r="O1917" s="1" t="s">
        <v>30</v>
      </c>
      <c r="P1917" s="1" t="s">
        <v>31</v>
      </c>
      <c r="Q1917" s="1" t="s">
        <v>71</v>
      </c>
      <c r="R1917" s="1" t="s">
        <v>71</v>
      </c>
      <c r="S1917" s="1" t="s">
        <v>72</v>
      </c>
      <c r="T1917" s="1" t="s">
        <v>6180</v>
      </c>
      <c r="U1917" s="1">
        <v>1.00611547E8</v>
      </c>
      <c r="X1917" s="1" t="s">
        <v>74</v>
      </c>
      <c r="Y1917" s="1" t="s">
        <v>3601</v>
      </c>
      <c r="Z1917" s="1" t="s">
        <v>37</v>
      </c>
    </row>
    <row r="1918" hidden="1">
      <c r="A1918" s="1" t="s">
        <v>6181</v>
      </c>
      <c r="B1918" s="1" t="s">
        <v>4572</v>
      </c>
      <c r="C1918" s="1" t="s">
        <v>6182</v>
      </c>
      <c r="D1918" s="1" t="s">
        <v>78</v>
      </c>
      <c r="E1918" s="1" t="s">
        <v>28</v>
      </c>
      <c r="F1918" s="2">
        <v>500000.0</v>
      </c>
      <c r="G1918" s="4">
        <v>44657.0</v>
      </c>
      <c r="H1918" s="4">
        <f>IFERROR(__xludf.DUMMYFUNCTION("DATE(INDEX(SPLIT(G1918,""/""),,3),INDEX(SPLIT(G1918,""/""),,2),INDEX(SPLIT(G1918,""/""),,1))"),44716.0)</f>
        <v>44716</v>
      </c>
      <c r="I1918" s="1" t="s">
        <v>281</v>
      </c>
      <c r="J1918" s="4">
        <f>IFERROR(__xludf.DUMMYFUNCTION("DATE(INDEX(SPLIT(I1918,""/""),,3),INDEX(SPLIT(I1918,""/""),,2),INDEX(SPLIT(I1918,""/""),,1))"),44865.0)</f>
        <v>44865</v>
      </c>
      <c r="L1918" s="1">
        <v>0.0</v>
      </c>
      <c r="M1918" s="1" t="s">
        <v>4574</v>
      </c>
      <c r="N1918" s="1"/>
      <c r="O1918" s="1" t="s">
        <v>30</v>
      </c>
      <c r="P1918" s="1" t="s">
        <v>31</v>
      </c>
      <c r="Q1918" s="1" t="s">
        <v>235</v>
      </c>
      <c r="R1918" s="1" t="s">
        <v>235</v>
      </c>
      <c r="S1918" s="1" t="s">
        <v>236</v>
      </c>
      <c r="T1918" s="1" t="s">
        <v>438</v>
      </c>
      <c r="U1918" s="1">
        <v>1.00625459E8</v>
      </c>
      <c r="X1918" s="1" t="s">
        <v>88</v>
      </c>
      <c r="Y1918" s="1" t="s">
        <v>6183</v>
      </c>
      <c r="Z1918" s="1" t="s">
        <v>37</v>
      </c>
    </row>
    <row r="1919" hidden="1">
      <c r="A1919" s="1" t="s">
        <v>6184</v>
      </c>
      <c r="B1919" s="1" t="s">
        <v>114</v>
      </c>
      <c r="C1919" s="1" t="s">
        <v>6185</v>
      </c>
      <c r="D1919" s="1" t="s">
        <v>78</v>
      </c>
      <c r="E1919" s="1" t="s">
        <v>28</v>
      </c>
      <c r="F1919" s="2">
        <v>500000.0</v>
      </c>
      <c r="G1919" s="4">
        <v>44902.0</v>
      </c>
      <c r="H1919" s="4">
        <f>IFERROR(__xludf.DUMMYFUNCTION("DATE(INDEX(SPLIT(G1919,""/""),,3),INDEX(SPLIT(G1919,""/""),,2),INDEX(SPLIT(G1919,""/""),,1))"),44754.0)</f>
        <v>44754</v>
      </c>
      <c r="I1919" s="1" t="s">
        <v>130</v>
      </c>
      <c r="J1919" s="4">
        <f>IFERROR(__xludf.DUMMYFUNCTION("DATE(INDEX(SPLIT(I1919,""/""),,3),INDEX(SPLIT(I1919,""/""),,2),INDEX(SPLIT(I1919,""/""),,1))"),44804.0)</f>
        <v>44804</v>
      </c>
      <c r="L1919" s="1">
        <v>0.0</v>
      </c>
      <c r="M1919" s="1" t="s">
        <v>116</v>
      </c>
      <c r="N1919" s="1"/>
      <c r="O1919" s="1" t="s">
        <v>30</v>
      </c>
      <c r="P1919" s="1" t="s">
        <v>31</v>
      </c>
      <c r="Q1919" s="1" t="s">
        <v>95</v>
      </c>
      <c r="R1919" s="1" t="s">
        <v>95</v>
      </c>
      <c r="S1919" s="1" t="s">
        <v>96</v>
      </c>
      <c r="T1919" s="1" t="s">
        <v>97</v>
      </c>
      <c r="U1919" s="1">
        <v>1.00592496E8</v>
      </c>
      <c r="X1919" s="1" t="s">
        <v>117</v>
      </c>
      <c r="Y1919" s="1" t="s">
        <v>6186</v>
      </c>
      <c r="Z1919" s="1" t="s">
        <v>37</v>
      </c>
    </row>
    <row r="1920" hidden="1">
      <c r="A1920" s="1" t="s">
        <v>6187</v>
      </c>
      <c r="B1920" s="1" t="s">
        <v>6188</v>
      </c>
      <c r="C1920" s="1" t="s">
        <v>6189</v>
      </c>
      <c r="D1920" s="1" t="s">
        <v>122</v>
      </c>
      <c r="E1920" s="1" t="s">
        <v>28</v>
      </c>
      <c r="F1920" s="2">
        <v>500000.0</v>
      </c>
      <c r="G1920" s="1" t="s">
        <v>359</v>
      </c>
      <c r="H1920" s="4">
        <f>IFERROR(__xludf.DUMMYFUNCTION("DATE(INDEX(SPLIT(G1920,""/""),,3),INDEX(SPLIT(G1920,""/""),,2),INDEX(SPLIT(G1920,""/""),,1))"),44740.0)</f>
        <v>44740</v>
      </c>
      <c r="I1920" s="4">
        <v>44781.0</v>
      </c>
      <c r="J1920" s="4">
        <f>IFERROR(__xludf.DUMMYFUNCTION("DATE(INDEX(SPLIT(I1920,""/""),,3),INDEX(SPLIT(I1920,""/""),,2),INDEX(SPLIT(I1920,""/""),,1))"),44781.0)</f>
        <v>44781</v>
      </c>
      <c r="L1920" s="1">
        <v>0.0</v>
      </c>
      <c r="M1920" s="1" t="s">
        <v>3617</v>
      </c>
      <c r="N1920" s="1"/>
      <c r="O1920" s="1" t="s">
        <v>30</v>
      </c>
      <c r="P1920" s="1" t="s">
        <v>31</v>
      </c>
      <c r="Q1920" s="1" t="s">
        <v>53</v>
      </c>
      <c r="R1920" s="1" t="s">
        <v>53</v>
      </c>
      <c r="S1920" s="1" t="s">
        <v>54</v>
      </c>
      <c r="T1920" s="1" t="s">
        <v>634</v>
      </c>
      <c r="U1920" s="1">
        <v>1.00568413E8</v>
      </c>
      <c r="X1920" s="1" t="s">
        <v>490</v>
      </c>
      <c r="Y1920" s="1" t="s">
        <v>3617</v>
      </c>
      <c r="Z1920" s="1" t="s">
        <v>37</v>
      </c>
    </row>
    <row r="1921" hidden="1">
      <c r="A1921" s="1" t="s">
        <v>6190</v>
      </c>
      <c r="B1921" s="1" t="s">
        <v>1371</v>
      </c>
      <c r="C1921" s="1" t="s">
        <v>6191</v>
      </c>
      <c r="D1921" s="1" t="s">
        <v>27</v>
      </c>
      <c r="E1921" s="1" t="s">
        <v>28</v>
      </c>
      <c r="F1921" s="2">
        <v>500000.0</v>
      </c>
      <c r="G1921" s="4">
        <v>44872.0</v>
      </c>
      <c r="H1921" s="4">
        <f>IFERROR(__xludf.DUMMYFUNCTION("DATE(INDEX(SPLIT(G1921,""/""),,3),INDEX(SPLIT(G1921,""/""),,2),INDEX(SPLIT(G1921,""/""),,1))"),44753.0)</f>
        <v>44753</v>
      </c>
      <c r="I1921" s="1" t="s">
        <v>430</v>
      </c>
      <c r="J1921" s="4">
        <f>IFERROR(__xludf.DUMMYFUNCTION("DATE(INDEX(SPLIT(I1921,""/""),,3),INDEX(SPLIT(I1921,""/""),,2),INDEX(SPLIT(I1921,""/""),,1))"),44985.0)</f>
        <v>44985</v>
      </c>
      <c r="L1921" s="1">
        <v>0.0</v>
      </c>
      <c r="M1921" s="1" t="s">
        <v>1904</v>
      </c>
      <c r="N1921" s="1"/>
      <c r="O1921" s="1" t="s">
        <v>30</v>
      </c>
      <c r="P1921" s="1" t="s">
        <v>31</v>
      </c>
      <c r="Q1921" s="1" t="s">
        <v>95</v>
      </c>
      <c r="R1921" s="1" t="s">
        <v>95</v>
      </c>
      <c r="S1921" s="1" t="s">
        <v>96</v>
      </c>
      <c r="T1921" s="1" t="s">
        <v>111</v>
      </c>
      <c r="U1921" s="1">
        <v>1.0059365E8</v>
      </c>
      <c r="X1921" s="1" t="s">
        <v>63</v>
      </c>
      <c r="Y1921" s="1" t="s">
        <v>1904</v>
      </c>
      <c r="Z1921" s="1" t="s">
        <v>37</v>
      </c>
    </row>
    <row r="1922">
      <c r="A1922" s="1" t="s">
        <v>6192</v>
      </c>
      <c r="B1922" s="1" t="s">
        <v>6193</v>
      </c>
      <c r="C1922" s="1" t="s">
        <v>6194</v>
      </c>
      <c r="D1922" s="1" t="s">
        <v>78</v>
      </c>
      <c r="E1922" s="1" t="s">
        <v>28</v>
      </c>
      <c r="F1922" s="2">
        <v>500000.0</v>
      </c>
      <c r="G1922" s="1" t="s">
        <v>1521</v>
      </c>
      <c r="H1922" s="4">
        <f>IFERROR(__xludf.DUMMYFUNCTION("DATE(INDEX(SPLIT(G1922,""/""),,3),INDEX(SPLIT(G1922,""/""),,2),INDEX(SPLIT(G1922,""/""),,1))"),44756.0)</f>
        <v>44756</v>
      </c>
      <c r="I1922" s="1" t="s">
        <v>472</v>
      </c>
      <c r="J1922" s="4">
        <f>IFERROR(__xludf.DUMMYFUNCTION("DATE(INDEX(SPLIT(I1922,""/""),,3),INDEX(SPLIT(I1922,""/""),,2),INDEX(SPLIT(I1922,""/""),,1))"),44760.0)</f>
        <v>44760</v>
      </c>
      <c r="L1922" s="1">
        <v>0.0</v>
      </c>
      <c r="M1922" s="1" t="s">
        <v>6195</v>
      </c>
      <c r="N1922" s="1"/>
      <c r="O1922" s="1" t="s">
        <v>30</v>
      </c>
      <c r="P1922" s="1" t="s">
        <v>31</v>
      </c>
      <c r="Q1922" s="1" t="s">
        <v>228</v>
      </c>
      <c r="R1922" s="1" t="s">
        <v>228</v>
      </c>
      <c r="S1922" s="1" t="s">
        <v>229</v>
      </c>
      <c r="T1922" s="1" t="s">
        <v>505</v>
      </c>
      <c r="U1922" s="1">
        <v>1.01051394E8</v>
      </c>
      <c r="X1922" s="1" t="s">
        <v>88</v>
      </c>
      <c r="Y1922" s="1" t="s">
        <v>6196</v>
      </c>
      <c r="Z1922" s="1" t="s">
        <v>37</v>
      </c>
    </row>
    <row r="1923" hidden="1">
      <c r="A1923" s="1" t="s">
        <v>6197</v>
      </c>
      <c r="B1923" s="1" t="s">
        <v>464</v>
      </c>
      <c r="C1923" s="1" t="s">
        <v>6198</v>
      </c>
      <c r="D1923" s="1" t="s">
        <v>78</v>
      </c>
      <c r="E1923" s="1" t="s">
        <v>28</v>
      </c>
      <c r="F1923" s="2">
        <v>500000.0</v>
      </c>
      <c r="G1923" s="1" t="s">
        <v>330</v>
      </c>
      <c r="H1923" s="4">
        <f>IFERROR(__xludf.DUMMYFUNCTION("DATE(INDEX(SPLIT(G1923,""/""),,3),INDEX(SPLIT(G1923,""/""),,2),INDEX(SPLIT(G1923,""/""),,1))"),44728.0)</f>
        <v>44728</v>
      </c>
      <c r="I1923" s="4">
        <v>44601.0</v>
      </c>
      <c r="J1923" s="4">
        <f>IFERROR(__xludf.DUMMYFUNCTION("DATE(INDEX(SPLIT(I1923,""/""),,3),INDEX(SPLIT(I1923,""/""),,2),INDEX(SPLIT(I1923,""/""),,1))"),44806.0)</f>
        <v>44806</v>
      </c>
      <c r="L1923" s="1">
        <v>0.0</v>
      </c>
      <c r="M1923" s="1" t="s">
        <v>2312</v>
      </c>
      <c r="N1923" s="1"/>
      <c r="O1923" s="1" t="s">
        <v>30</v>
      </c>
      <c r="P1923" s="1" t="s">
        <v>31</v>
      </c>
      <c r="Q1923" s="1" t="s">
        <v>32</v>
      </c>
      <c r="R1923" s="1" t="s">
        <v>32</v>
      </c>
      <c r="S1923" s="1" t="s">
        <v>33</v>
      </c>
      <c r="T1923" s="1" t="s">
        <v>103</v>
      </c>
      <c r="U1923" s="1">
        <v>1.00610903E8</v>
      </c>
      <c r="X1923" s="1" t="s">
        <v>468</v>
      </c>
      <c r="Y1923" s="1" t="s">
        <v>6199</v>
      </c>
      <c r="Z1923" s="1" t="s">
        <v>37</v>
      </c>
    </row>
    <row r="1924" hidden="1">
      <c r="A1924" s="1" t="s">
        <v>6200</v>
      </c>
      <c r="B1924" s="1" t="s">
        <v>5699</v>
      </c>
      <c r="C1924" s="1" t="s">
        <v>6201</v>
      </c>
      <c r="D1924" s="1" t="s">
        <v>78</v>
      </c>
      <c r="E1924" s="1" t="s">
        <v>28</v>
      </c>
      <c r="F1924" s="2">
        <v>500000.0</v>
      </c>
      <c r="G1924" s="1" t="s">
        <v>359</v>
      </c>
      <c r="H1924" s="4">
        <f>IFERROR(__xludf.DUMMYFUNCTION("DATE(INDEX(SPLIT(G1924,""/""),,3),INDEX(SPLIT(G1924,""/""),,2),INDEX(SPLIT(G1924,""/""),,1))"),44740.0)</f>
        <v>44740</v>
      </c>
      <c r="I1924" s="1" t="s">
        <v>1799</v>
      </c>
      <c r="J1924" s="4">
        <f>IFERROR(__xludf.DUMMYFUNCTION("DATE(INDEX(SPLIT(I1924,""/""),,3),INDEX(SPLIT(I1924,""/""),,2),INDEX(SPLIT(I1924,""/""),,1))"),44788.0)</f>
        <v>44788</v>
      </c>
      <c r="L1924" s="1">
        <v>0.0</v>
      </c>
      <c r="M1924" s="1" t="s">
        <v>1115</v>
      </c>
      <c r="N1924" s="1"/>
      <c r="O1924" s="1" t="s">
        <v>30</v>
      </c>
      <c r="P1924" s="1" t="s">
        <v>31</v>
      </c>
      <c r="Q1924" s="1" t="s">
        <v>157</v>
      </c>
      <c r="R1924" s="1" t="s">
        <v>157</v>
      </c>
      <c r="S1924" s="1" t="s">
        <v>158</v>
      </c>
      <c r="U1924" s="1">
        <v>1.00609827E8</v>
      </c>
      <c r="X1924" s="1" t="s">
        <v>490</v>
      </c>
      <c r="Y1924" s="1" t="s">
        <v>1115</v>
      </c>
      <c r="Z1924" s="1" t="s">
        <v>37</v>
      </c>
    </row>
    <row r="1925" hidden="1">
      <c r="A1925" s="1" t="s">
        <v>6202</v>
      </c>
      <c r="B1925" s="1" t="s">
        <v>516</v>
      </c>
      <c r="C1925" s="1" t="s">
        <v>6203</v>
      </c>
      <c r="D1925" s="1" t="s">
        <v>122</v>
      </c>
      <c r="E1925" s="1" t="s">
        <v>28</v>
      </c>
      <c r="F1925" s="2">
        <v>500000.0</v>
      </c>
      <c r="G1925" s="4">
        <v>44200.0</v>
      </c>
      <c r="H1925" s="4">
        <f>IFERROR(__xludf.DUMMYFUNCTION("DATE(INDEX(SPLIT(G1925,""/""),,3),INDEX(SPLIT(G1925,""/""),,2),INDEX(SPLIT(G1925,""/""),,1))"),44287.0)</f>
        <v>44287</v>
      </c>
      <c r="I1925" s="1" t="s">
        <v>1097</v>
      </c>
      <c r="J1925" s="4">
        <f>IFERROR(__xludf.DUMMYFUNCTION("DATE(INDEX(SPLIT(I1925,""/""),,3),INDEX(SPLIT(I1925,""/""),,2),INDEX(SPLIT(I1925,""/""),,1))"),45107.0)</f>
        <v>45107</v>
      </c>
      <c r="L1925" s="1">
        <v>0.0</v>
      </c>
      <c r="M1925" s="1" t="s">
        <v>259</v>
      </c>
      <c r="N1925" s="1"/>
      <c r="O1925" s="1" t="s">
        <v>30</v>
      </c>
      <c r="P1925" s="1" t="s">
        <v>31</v>
      </c>
      <c r="Q1925" s="1" t="s">
        <v>95</v>
      </c>
      <c r="R1925" s="1" t="s">
        <v>95</v>
      </c>
      <c r="S1925" s="1" t="s">
        <v>96</v>
      </c>
      <c r="T1925" s="1" t="s">
        <v>260</v>
      </c>
      <c r="U1925" s="1">
        <v>1.00659114E8</v>
      </c>
      <c r="X1925" s="1" t="s">
        <v>239</v>
      </c>
      <c r="Y1925" s="1" t="s">
        <v>6204</v>
      </c>
      <c r="Z1925" s="1" t="s">
        <v>37</v>
      </c>
    </row>
    <row r="1926">
      <c r="A1926" s="1" t="s">
        <v>6205</v>
      </c>
      <c r="B1926" s="1" t="s">
        <v>315</v>
      </c>
      <c r="C1926" s="1" t="s">
        <v>6206</v>
      </c>
      <c r="D1926" s="1" t="s">
        <v>27</v>
      </c>
      <c r="E1926" s="1" t="s">
        <v>28</v>
      </c>
      <c r="F1926" s="2">
        <v>500000.0</v>
      </c>
      <c r="G1926" s="1" t="s">
        <v>6207</v>
      </c>
      <c r="H1926" s="4">
        <f>IFERROR(__xludf.DUMMYFUNCTION("DATE(INDEX(SPLIT(G1926,""/""),,3),INDEX(SPLIT(G1926,""/""),,2),INDEX(SPLIT(G1926,""/""),,1))"),44095.0)</f>
        <v>44095</v>
      </c>
      <c r="I1926" s="1" t="s">
        <v>518</v>
      </c>
      <c r="J1926" s="4">
        <f>IFERROR(__xludf.DUMMYFUNCTION("DATE(INDEX(SPLIT(I1926,""/""),,3),INDEX(SPLIT(I1926,""/""),,2),INDEX(SPLIT(I1926,""/""),,1))"),44757.0)</f>
        <v>44757</v>
      </c>
      <c r="L1926" s="1">
        <v>0.0</v>
      </c>
      <c r="M1926" s="1" t="s">
        <v>2444</v>
      </c>
      <c r="N1926" s="1"/>
      <c r="O1926" s="1" t="s">
        <v>30</v>
      </c>
      <c r="P1926" s="1" t="s">
        <v>31</v>
      </c>
      <c r="Q1926" s="1" t="s">
        <v>71</v>
      </c>
      <c r="R1926" s="1" t="s">
        <v>71</v>
      </c>
      <c r="S1926" s="1" t="s">
        <v>72</v>
      </c>
      <c r="T1926" s="1" t="s">
        <v>159</v>
      </c>
      <c r="U1926" s="1">
        <v>1.00612395E8</v>
      </c>
      <c r="X1926" s="1" t="s">
        <v>74</v>
      </c>
      <c r="Y1926" s="1" t="s">
        <v>3589</v>
      </c>
      <c r="Z1926" s="1" t="s">
        <v>37</v>
      </c>
    </row>
    <row r="1927" hidden="1">
      <c r="A1927" s="1" t="s">
        <v>6208</v>
      </c>
      <c r="B1927" s="1" t="s">
        <v>4354</v>
      </c>
      <c r="C1927" s="1" t="s">
        <v>6209</v>
      </c>
      <c r="D1927" s="1" t="s">
        <v>27</v>
      </c>
      <c r="E1927" s="1" t="s">
        <v>28</v>
      </c>
      <c r="F1927" s="2">
        <v>500000.0</v>
      </c>
      <c r="G1927" s="1" t="s">
        <v>359</v>
      </c>
      <c r="H1927" s="4">
        <f>IFERROR(__xludf.DUMMYFUNCTION("DATE(INDEX(SPLIT(G1927,""/""),,3),INDEX(SPLIT(G1927,""/""),,2),INDEX(SPLIT(G1927,""/""),,1))"),44740.0)</f>
        <v>44740</v>
      </c>
      <c r="I1927" s="1" t="s">
        <v>171</v>
      </c>
      <c r="J1927" s="4">
        <f>IFERROR(__xludf.DUMMYFUNCTION("DATE(INDEX(SPLIT(I1927,""/""),,3),INDEX(SPLIT(I1927,""/""),,2),INDEX(SPLIT(I1927,""/""),,1))"),45077.0)</f>
        <v>45077</v>
      </c>
      <c r="L1927" s="1">
        <v>0.0</v>
      </c>
      <c r="M1927" s="1" t="s">
        <v>6210</v>
      </c>
      <c r="N1927" s="1"/>
      <c r="O1927" s="1" t="s">
        <v>30</v>
      </c>
      <c r="P1927" s="1" t="s">
        <v>31</v>
      </c>
      <c r="Q1927" s="1" t="s">
        <v>188</v>
      </c>
      <c r="R1927" s="1" t="s">
        <v>188</v>
      </c>
      <c r="S1927" s="1" t="s">
        <v>189</v>
      </c>
      <c r="U1927" s="1">
        <v>1.00598307E8</v>
      </c>
      <c r="X1927" s="1" t="s">
        <v>98</v>
      </c>
      <c r="Y1927" s="1" t="s">
        <v>6210</v>
      </c>
      <c r="Z1927" s="1" t="s">
        <v>527</v>
      </c>
    </row>
    <row r="1928" hidden="1">
      <c r="A1928" s="1" t="s">
        <v>6211</v>
      </c>
      <c r="B1928" s="1" t="s">
        <v>352</v>
      </c>
      <c r="C1928" s="1" t="s">
        <v>6212</v>
      </c>
      <c r="D1928" s="1" t="s">
        <v>78</v>
      </c>
      <c r="E1928" s="1" t="s">
        <v>28</v>
      </c>
      <c r="F1928" s="2">
        <v>500000.0</v>
      </c>
      <c r="G1928" s="4">
        <v>44597.0</v>
      </c>
      <c r="H1928" s="4">
        <f>IFERROR(__xludf.DUMMYFUNCTION("DATE(INDEX(SPLIT(G1928,""/""),,3),INDEX(SPLIT(G1928,""/""),,2),INDEX(SPLIT(G1928,""/""),,1))"),44683.0)</f>
        <v>44683</v>
      </c>
      <c r="I1928" s="1" t="s">
        <v>85</v>
      </c>
      <c r="J1928" s="4">
        <f>IFERROR(__xludf.DUMMYFUNCTION("DATE(INDEX(SPLIT(I1928,""/""),,3),INDEX(SPLIT(I1928,""/""),,2),INDEX(SPLIT(I1928,""/""),,1))"),44799.0)</f>
        <v>44799</v>
      </c>
      <c r="L1928" s="1">
        <v>0.0</v>
      </c>
      <c r="M1928" s="1" t="s">
        <v>979</v>
      </c>
      <c r="N1928" s="1"/>
      <c r="O1928" s="1" t="s">
        <v>30</v>
      </c>
      <c r="P1928" s="1" t="s">
        <v>31</v>
      </c>
      <c r="Q1928" s="1" t="s">
        <v>235</v>
      </c>
      <c r="R1928" s="1" t="s">
        <v>235</v>
      </c>
      <c r="S1928" s="1" t="s">
        <v>236</v>
      </c>
      <c r="T1928" s="1" t="s">
        <v>438</v>
      </c>
      <c r="U1928" s="1">
        <v>1.00647262E8</v>
      </c>
      <c r="X1928" s="1" t="s">
        <v>88</v>
      </c>
      <c r="Y1928" s="1" t="s">
        <v>979</v>
      </c>
      <c r="Z1928" s="1" t="s">
        <v>37</v>
      </c>
    </row>
    <row r="1929" hidden="1">
      <c r="A1929" s="1" t="s">
        <v>6213</v>
      </c>
      <c r="B1929" s="1" t="s">
        <v>2265</v>
      </c>
      <c r="C1929" s="1" t="s">
        <v>6214</v>
      </c>
      <c r="D1929" s="1" t="s">
        <v>78</v>
      </c>
      <c r="E1929" s="1" t="s">
        <v>28</v>
      </c>
      <c r="F1929" s="2">
        <v>500000.0</v>
      </c>
      <c r="G1929" s="1" t="s">
        <v>1521</v>
      </c>
      <c r="H1929" s="4">
        <f>IFERROR(__xludf.DUMMYFUNCTION("DATE(INDEX(SPLIT(G1929,""/""),,3),INDEX(SPLIT(G1929,""/""),,2),INDEX(SPLIT(G1929,""/""),,1))"),44756.0)</f>
        <v>44756</v>
      </c>
      <c r="I1929" s="1" t="s">
        <v>130</v>
      </c>
      <c r="J1929" s="4">
        <f>IFERROR(__xludf.DUMMYFUNCTION("DATE(INDEX(SPLIT(I1929,""/""),,3),INDEX(SPLIT(I1929,""/""),,2),INDEX(SPLIT(I1929,""/""),,1))"),44804.0)</f>
        <v>44804</v>
      </c>
      <c r="L1929" s="1">
        <v>0.0</v>
      </c>
      <c r="M1929" s="1" t="s">
        <v>6175</v>
      </c>
      <c r="N1929" s="1"/>
      <c r="O1929" s="1" t="s">
        <v>30</v>
      </c>
      <c r="P1929" s="1" t="s">
        <v>31</v>
      </c>
      <c r="Q1929" s="1" t="s">
        <v>235</v>
      </c>
      <c r="R1929" s="1" t="s">
        <v>235</v>
      </c>
      <c r="S1929" s="1" t="s">
        <v>236</v>
      </c>
      <c r="U1929" s="1">
        <v>1.00624257E8</v>
      </c>
      <c r="X1929" s="1" t="s">
        <v>239</v>
      </c>
      <c r="Y1929" s="1" t="s">
        <v>6215</v>
      </c>
      <c r="Z1929" s="1" t="s">
        <v>37</v>
      </c>
    </row>
    <row r="1930" hidden="1">
      <c r="A1930" s="1" t="s">
        <v>6216</v>
      </c>
      <c r="B1930" s="1" t="s">
        <v>392</v>
      </c>
      <c r="C1930" s="1" t="s">
        <v>6217</v>
      </c>
      <c r="D1930" s="1" t="s">
        <v>78</v>
      </c>
      <c r="E1930" s="1" t="s">
        <v>28</v>
      </c>
      <c r="F1930" s="2">
        <v>500000.0</v>
      </c>
      <c r="G1930" s="4">
        <v>44597.0</v>
      </c>
      <c r="H1930" s="4">
        <f>IFERROR(__xludf.DUMMYFUNCTION("DATE(INDEX(SPLIT(G1930,""/""),,3),INDEX(SPLIT(G1930,""/""),,2),INDEX(SPLIT(G1930,""/""),,1))"),44683.0)</f>
        <v>44683</v>
      </c>
      <c r="I1930" s="1" t="s">
        <v>130</v>
      </c>
      <c r="J1930" s="4">
        <f>IFERROR(__xludf.DUMMYFUNCTION("DATE(INDEX(SPLIT(I1930,""/""),,3),INDEX(SPLIT(I1930,""/""),,2),INDEX(SPLIT(I1930,""/""),,1))"),44804.0)</f>
        <v>44804</v>
      </c>
      <c r="L1930" s="1">
        <v>0.0</v>
      </c>
      <c r="M1930" s="1" t="s">
        <v>234</v>
      </c>
      <c r="N1930" s="1"/>
      <c r="O1930" s="1" t="s">
        <v>30</v>
      </c>
      <c r="P1930" s="1" t="s">
        <v>31</v>
      </c>
      <c r="Q1930" s="1" t="s">
        <v>235</v>
      </c>
      <c r="R1930" s="1" t="s">
        <v>235</v>
      </c>
      <c r="S1930" s="1" t="s">
        <v>236</v>
      </c>
      <c r="T1930" s="1" t="s">
        <v>237</v>
      </c>
      <c r="U1930" s="1">
        <v>1.00658132E8</v>
      </c>
      <c r="X1930" s="1" t="s">
        <v>239</v>
      </c>
      <c r="Y1930" s="1" t="s">
        <v>5095</v>
      </c>
      <c r="Z1930" s="1" t="s">
        <v>37</v>
      </c>
    </row>
    <row r="1931" hidden="1">
      <c r="A1931" s="1" t="s">
        <v>6218</v>
      </c>
      <c r="B1931" s="1" t="s">
        <v>139</v>
      </c>
      <c r="C1931" s="1" t="s">
        <v>6219</v>
      </c>
      <c r="D1931" s="1" t="s">
        <v>27</v>
      </c>
      <c r="E1931" s="1" t="s">
        <v>28</v>
      </c>
      <c r="F1931" s="2">
        <v>500000.0</v>
      </c>
      <c r="G1931" s="4">
        <v>44746.0</v>
      </c>
      <c r="H1931" s="4">
        <f>IFERROR(__xludf.DUMMYFUNCTION("DATE(INDEX(SPLIT(G1931,""/""),,3),INDEX(SPLIT(G1931,""/""),,2),INDEX(SPLIT(G1931,""/""),,1))"),44658.0)</f>
        <v>44658</v>
      </c>
      <c r="I1931" s="1" t="s">
        <v>85</v>
      </c>
      <c r="J1931" s="4">
        <f>IFERROR(__xludf.DUMMYFUNCTION("DATE(INDEX(SPLIT(I1931,""/""),,3),INDEX(SPLIT(I1931,""/""),,2),INDEX(SPLIT(I1931,""/""),,1))"),44799.0)</f>
        <v>44799</v>
      </c>
      <c r="L1931" s="1">
        <v>0.0</v>
      </c>
      <c r="M1931" s="1" t="s">
        <v>467</v>
      </c>
      <c r="N1931" s="1"/>
      <c r="O1931" s="1" t="s">
        <v>30</v>
      </c>
      <c r="P1931" s="1" t="s">
        <v>31</v>
      </c>
      <c r="Q1931" s="1" t="s">
        <v>32</v>
      </c>
      <c r="R1931" s="1" t="s">
        <v>32</v>
      </c>
      <c r="S1931" s="1" t="s">
        <v>33</v>
      </c>
      <c r="U1931" s="1">
        <v>1.00619817E8</v>
      </c>
      <c r="X1931" s="1" t="s">
        <v>81</v>
      </c>
      <c r="Y1931" s="1" t="s">
        <v>4982</v>
      </c>
      <c r="Z1931" s="1" t="s">
        <v>37</v>
      </c>
    </row>
    <row r="1932">
      <c r="A1932" s="1" t="s">
        <v>6220</v>
      </c>
      <c r="B1932" s="1" t="s">
        <v>2501</v>
      </c>
      <c r="C1932" s="1" t="s">
        <v>6221</v>
      </c>
      <c r="D1932" s="1" t="s">
        <v>27</v>
      </c>
      <c r="E1932" s="1" t="s">
        <v>28</v>
      </c>
      <c r="F1932" s="2">
        <v>500000.0</v>
      </c>
      <c r="G1932" s="4">
        <v>44298.0</v>
      </c>
      <c r="H1932" s="4">
        <f>IFERROR(__xludf.DUMMYFUNCTION("DATE(INDEX(SPLIT(G1932,""/""),,3),INDEX(SPLIT(G1932,""/""),,2),INDEX(SPLIT(G1932,""/""),,1))"),44534.0)</f>
        <v>44534</v>
      </c>
      <c r="I1932" s="1" t="s">
        <v>1244</v>
      </c>
      <c r="J1932" s="4">
        <f>IFERROR(__xludf.DUMMYFUNCTION("DATE(INDEX(SPLIT(I1932,""/""),,3),INDEX(SPLIT(I1932,""/""),,2),INDEX(SPLIT(I1932,""/""),,1))"),44742.0)</f>
        <v>44742</v>
      </c>
      <c r="L1932" s="1">
        <v>0.0</v>
      </c>
      <c r="M1932" s="1" t="s">
        <v>819</v>
      </c>
      <c r="N1932" s="1"/>
      <c r="O1932" s="1" t="s">
        <v>30</v>
      </c>
      <c r="P1932" s="1" t="s">
        <v>31</v>
      </c>
      <c r="Q1932" s="1" t="s">
        <v>53</v>
      </c>
      <c r="R1932" s="1" t="s">
        <v>53</v>
      </c>
      <c r="S1932" s="1" t="s">
        <v>54</v>
      </c>
      <c r="T1932" s="1" t="s">
        <v>634</v>
      </c>
      <c r="U1932" s="1">
        <v>1.00661738E8</v>
      </c>
      <c r="X1932" s="1" t="s">
        <v>490</v>
      </c>
      <c r="Y1932" s="1" t="s">
        <v>2504</v>
      </c>
      <c r="Z1932" s="1" t="s">
        <v>37</v>
      </c>
    </row>
    <row r="1933">
      <c r="A1933" s="1" t="s">
        <v>6222</v>
      </c>
      <c r="B1933" s="1" t="s">
        <v>2501</v>
      </c>
      <c r="C1933" s="1" t="s">
        <v>6223</v>
      </c>
      <c r="D1933" s="1" t="s">
        <v>27</v>
      </c>
      <c r="E1933" s="1" t="s">
        <v>28</v>
      </c>
      <c r="F1933" s="2">
        <v>500000.0</v>
      </c>
      <c r="G1933" s="4">
        <v>44298.0</v>
      </c>
      <c r="H1933" s="4">
        <f>IFERROR(__xludf.DUMMYFUNCTION("DATE(INDEX(SPLIT(G1933,""/""),,3),INDEX(SPLIT(G1933,""/""),,2),INDEX(SPLIT(G1933,""/""),,1))"),44534.0)</f>
        <v>44534</v>
      </c>
      <c r="I1933" s="1" t="s">
        <v>1244</v>
      </c>
      <c r="J1933" s="4">
        <f>IFERROR(__xludf.DUMMYFUNCTION("DATE(INDEX(SPLIT(I1933,""/""),,3),INDEX(SPLIT(I1933,""/""),,2),INDEX(SPLIT(I1933,""/""),,1))"),44742.0)</f>
        <v>44742</v>
      </c>
      <c r="L1933" s="1">
        <v>0.0</v>
      </c>
      <c r="M1933" s="1" t="s">
        <v>819</v>
      </c>
      <c r="N1933" s="1"/>
      <c r="O1933" s="1" t="s">
        <v>30</v>
      </c>
      <c r="P1933" s="1" t="s">
        <v>31</v>
      </c>
      <c r="Q1933" s="1" t="s">
        <v>53</v>
      </c>
      <c r="R1933" s="1" t="s">
        <v>53</v>
      </c>
      <c r="S1933" s="1" t="s">
        <v>54</v>
      </c>
      <c r="T1933" s="1" t="s">
        <v>634</v>
      </c>
      <c r="U1933" s="1">
        <v>1.00661738E8</v>
      </c>
      <c r="X1933" s="1" t="s">
        <v>490</v>
      </c>
      <c r="Y1933" s="1" t="s">
        <v>2504</v>
      </c>
      <c r="Z1933" s="1" t="s">
        <v>37</v>
      </c>
    </row>
    <row r="1934" hidden="1">
      <c r="A1934" s="1" t="s">
        <v>6224</v>
      </c>
      <c r="B1934" s="1" t="s">
        <v>4546</v>
      </c>
      <c r="C1934" s="1" t="s">
        <v>6225</v>
      </c>
      <c r="D1934" s="1" t="s">
        <v>122</v>
      </c>
      <c r="E1934" s="1" t="s">
        <v>28</v>
      </c>
      <c r="F1934" s="2">
        <v>500000.0</v>
      </c>
      <c r="G1934" s="1" t="s">
        <v>2077</v>
      </c>
      <c r="H1934" s="4">
        <f>IFERROR(__xludf.DUMMYFUNCTION("DATE(INDEX(SPLIT(G1934,""/""),,3),INDEX(SPLIT(G1934,""/""),,2),INDEX(SPLIT(G1934,""/""),,1))"),44700.0)</f>
        <v>44700</v>
      </c>
      <c r="I1934" s="1" t="s">
        <v>360</v>
      </c>
      <c r="J1934" s="4">
        <f>IFERROR(__xludf.DUMMYFUNCTION("DATE(INDEX(SPLIT(I1934,""/""),,3),INDEX(SPLIT(I1934,""/""),,2),INDEX(SPLIT(I1934,""/""),,1))"),44895.0)</f>
        <v>44895</v>
      </c>
      <c r="L1934" s="1">
        <v>0.0</v>
      </c>
      <c r="M1934" s="1" t="s">
        <v>3138</v>
      </c>
      <c r="N1934" s="1"/>
      <c r="O1934" s="1" t="s">
        <v>30</v>
      </c>
      <c r="P1934" s="1" t="s">
        <v>31</v>
      </c>
      <c r="Q1934" s="1" t="s">
        <v>157</v>
      </c>
      <c r="R1934" s="1" t="s">
        <v>157</v>
      </c>
      <c r="S1934" s="1" t="s">
        <v>158</v>
      </c>
      <c r="U1934" s="1">
        <v>1.00616377E8</v>
      </c>
      <c r="X1934" s="1" t="s">
        <v>98</v>
      </c>
      <c r="Y1934" s="1" t="s">
        <v>6226</v>
      </c>
      <c r="Z1934" s="1" t="s">
        <v>37</v>
      </c>
    </row>
    <row r="1935">
      <c r="A1935" s="1" t="s">
        <v>6227</v>
      </c>
      <c r="B1935" s="1" t="s">
        <v>4546</v>
      </c>
      <c r="C1935" s="1" t="s">
        <v>6228</v>
      </c>
      <c r="D1935" s="1" t="s">
        <v>78</v>
      </c>
      <c r="E1935" s="1" t="s">
        <v>28</v>
      </c>
      <c r="F1935" s="2">
        <v>500000.0</v>
      </c>
      <c r="G1935" s="1" t="s">
        <v>3896</v>
      </c>
      <c r="H1935" s="4">
        <f>IFERROR(__xludf.DUMMYFUNCTION("DATE(INDEX(SPLIT(G1935,""/""),,3),INDEX(SPLIT(G1935,""/""),,2),INDEX(SPLIT(G1935,""/""),,1))"),44697.0)</f>
        <v>44697</v>
      </c>
      <c r="I1935" s="4">
        <v>44840.0</v>
      </c>
      <c r="J1935" s="4">
        <f>IFERROR(__xludf.DUMMYFUNCTION("DATE(INDEX(SPLIT(I1935,""/""),,3),INDEX(SPLIT(I1935,""/""),,2),INDEX(SPLIT(I1935,""/""),,1))"),44722.0)</f>
        <v>44722</v>
      </c>
      <c r="L1935" s="1">
        <v>0.0</v>
      </c>
      <c r="M1935" s="1" t="s">
        <v>653</v>
      </c>
      <c r="N1935" s="1"/>
      <c r="O1935" s="1" t="s">
        <v>30</v>
      </c>
      <c r="P1935" s="1" t="s">
        <v>31</v>
      </c>
      <c r="Q1935" s="1" t="s">
        <v>157</v>
      </c>
      <c r="R1935" s="1" t="s">
        <v>157</v>
      </c>
      <c r="S1935" s="1" t="s">
        <v>158</v>
      </c>
      <c r="U1935" s="1">
        <v>1.00591141E8</v>
      </c>
      <c r="X1935" s="1" t="s">
        <v>98</v>
      </c>
      <c r="Y1935" s="1" t="s">
        <v>6229</v>
      </c>
      <c r="Z1935" s="1" t="s">
        <v>37</v>
      </c>
    </row>
    <row r="1936" hidden="1">
      <c r="A1936" s="1" t="s">
        <v>6230</v>
      </c>
      <c r="B1936" s="1" t="s">
        <v>1429</v>
      </c>
      <c r="C1936" s="1" t="s">
        <v>6231</v>
      </c>
      <c r="D1936" s="1" t="s">
        <v>27</v>
      </c>
      <c r="E1936" s="1" t="s">
        <v>28</v>
      </c>
      <c r="F1936" s="2">
        <v>500000.0</v>
      </c>
      <c r="G1936" s="4">
        <v>44746.0</v>
      </c>
      <c r="H1936" s="4">
        <f>IFERROR(__xludf.DUMMYFUNCTION("DATE(INDEX(SPLIT(G1936,""/""),,3),INDEX(SPLIT(G1936,""/""),,2),INDEX(SPLIT(G1936,""/""),,1))"),44658.0)</f>
        <v>44658</v>
      </c>
      <c r="I1936" s="1" t="s">
        <v>42</v>
      </c>
      <c r="J1936" s="4">
        <f>IFERROR(__xludf.DUMMYFUNCTION("DATE(INDEX(SPLIT(I1936,""/""),,3),INDEX(SPLIT(I1936,""/""),,2),INDEX(SPLIT(I1936,""/""),,1))"),44926.0)</f>
        <v>44926</v>
      </c>
      <c r="L1936" s="1">
        <v>0.0</v>
      </c>
      <c r="M1936" s="1" t="s">
        <v>2935</v>
      </c>
      <c r="N1936" s="1"/>
      <c r="O1936" s="1" t="s">
        <v>30</v>
      </c>
      <c r="P1936" s="1" t="s">
        <v>31</v>
      </c>
      <c r="Q1936" s="1" t="s">
        <v>188</v>
      </c>
      <c r="R1936" s="1" t="s">
        <v>188</v>
      </c>
      <c r="S1936" s="1" t="s">
        <v>189</v>
      </c>
      <c r="U1936" s="1">
        <v>1.00602451E8</v>
      </c>
      <c r="X1936" s="1" t="s">
        <v>190</v>
      </c>
      <c r="Y1936" s="1" t="s">
        <v>6232</v>
      </c>
      <c r="Z1936" s="1" t="s">
        <v>37</v>
      </c>
    </row>
    <row r="1937" hidden="1">
      <c r="A1937" s="1" t="s">
        <v>6233</v>
      </c>
      <c r="B1937" s="1" t="s">
        <v>301</v>
      </c>
      <c r="C1937" s="1" t="s">
        <v>6234</v>
      </c>
      <c r="D1937" s="1" t="s">
        <v>27</v>
      </c>
      <c r="E1937" s="1" t="s">
        <v>28</v>
      </c>
      <c r="F1937" s="2">
        <v>500000.0</v>
      </c>
      <c r="G1937" s="4">
        <v>44746.0</v>
      </c>
      <c r="H1937" s="4">
        <f>IFERROR(__xludf.DUMMYFUNCTION("DATE(INDEX(SPLIT(G1937,""/""),,3),INDEX(SPLIT(G1937,""/""),,2),INDEX(SPLIT(G1937,""/""),,1))"),44658.0)</f>
        <v>44658</v>
      </c>
      <c r="I1937" s="1" t="s">
        <v>109</v>
      </c>
      <c r="J1937" s="4">
        <f>IFERROR(__xludf.DUMMYFUNCTION("DATE(INDEX(SPLIT(I1937,""/""),,3),INDEX(SPLIT(I1937,""/""),,2),INDEX(SPLIT(I1937,""/""),,1))"),44834.0)</f>
        <v>44834</v>
      </c>
      <c r="L1937" s="1">
        <v>0.0</v>
      </c>
      <c r="M1937" s="1" t="s">
        <v>5205</v>
      </c>
      <c r="N1937" s="1"/>
      <c r="O1937" s="1" t="s">
        <v>30</v>
      </c>
      <c r="P1937" s="1" t="s">
        <v>31</v>
      </c>
      <c r="Q1937" s="1" t="s">
        <v>32</v>
      </c>
      <c r="R1937" s="1" t="s">
        <v>32</v>
      </c>
      <c r="S1937" s="1" t="s">
        <v>33</v>
      </c>
      <c r="T1937" s="1" t="s">
        <v>6235</v>
      </c>
      <c r="U1937" s="1">
        <v>1.00587881E8</v>
      </c>
      <c r="X1937" s="1" t="s">
        <v>305</v>
      </c>
      <c r="Y1937" s="1" t="s">
        <v>5768</v>
      </c>
      <c r="Z1937" s="1" t="s">
        <v>37</v>
      </c>
    </row>
    <row r="1938" hidden="1">
      <c r="A1938" s="1" t="s">
        <v>6236</v>
      </c>
      <c r="B1938" s="1" t="s">
        <v>5652</v>
      </c>
      <c r="C1938" s="1" t="s">
        <v>6237</v>
      </c>
      <c r="D1938" s="1" t="s">
        <v>122</v>
      </c>
      <c r="E1938" s="1" t="s">
        <v>28</v>
      </c>
      <c r="F1938" s="2">
        <v>500000.0</v>
      </c>
      <c r="G1938" s="1" t="s">
        <v>1767</v>
      </c>
      <c r="H1938" s="4">
        <f>IFERROR(__xludf.DUMMYFUNCTION("DATE(INDEX(SPLIT(G1938,""/""),,3),INDEX(SPLIT(G1938,""/""),,2),INDEX(SPLIT(G1938,""/""),,1))"),44698.0)</f>
        <v>44698</v>
      </c>
      <c r="I1938" s="4">
        <v>44569.0</v>
      </c>
      <c r="J1938" s="4">
        <f>IFERROR(__xludf.DUMMYFUNCTION("DATE(INDEX(SPLIT(I1938,""/""),,3),INDEX(SPLIT(I1938,""/""),,2),INDEX(SPLIT(I1938,""/""),,1))"),44774.0)</f>
        <v>44774</v>
      </c>
      <c r="L1938" s="1">
        <v>0.0</v>
      </c>
      <c r="M1938" s="1" t="s">
        <v>4807</v>
      </c>
      <c r="N1938" s="1"/>
      <c r="O1938" s="1" t="s">
        <v>30</v>
      </c>
      <c r="P1938" s="1" t="s">
        <v>31</v>
      </c>
      <c r="Q1938" s="1" t="s">
        <v>95</v>
      </c>
      <c r="R1938" s="1" t="s">
        <v>95</v>
      </c>
      <c r="S1938" s="1" t="s">
        <v>96</v>
      </c>
      <c r="U1938" s="1">
        <v>1.00569225E8</v>
      </c>
      <c r="X1938" s="1" t="s">
        <v>361</v>
      </c>
      <c r="Y1938" s="1" t="s">
        <v>5654</v>
      </c>
      <c r="Z1938" s="1" t="s">
        <v>37</v>
      </c>
    </row>
    <row r="1939" hidden="1">
      <c r="A1939" s="1" t="s">
        <v>6238</v>
      </c>
      <c r="B1939" s="1" t="s">
        <v>427</v>
      </c>
      <c r="C1939" s="1" t="s">
        <v>6239</v>
      </c>
      <c r="D1939" s="1" t="s">
        <v>78</v>
      </c>
      <c r="E1939" s="1" t="s">
        <v>28</v>
      </c>
      <c r="F1939" s="2">
        <v>500000.0</v>
      </c>
      <c r="G1939" s="4">
        <v>44682.0</v>
      </c>
      <c r="H1939" s="4">
        <f>IFERROR(__xludf.DUMMYFUNCTION("DATE(INDEX(SPLIT(G1939,""/""),,3),INDEX(SPLIT(G1939,""/""),,2),INDEX(SPLIT(G1939,""/""),,1))"),44566.0)</f>
        <v>44566</v>
      </c>
      <c r="I1939" s="1" t="s">
        <v>109</v>
      </c>
      <c r="J1939" s="4">
        <f>IFERROR(__xludf.DUMMYFUNCTION("DATE(INDEX(SPLIT(I1939,""/""),,3),INDEX(SPLIT(I1939,""/""),,2),INDEX(SPLIT(I1939,""/""),,1))"),44834.0)</f>
        <v>44834</v>
      </c>
      <c r="L1939" s="1">
        <v>0.0</v>
      </c>
      <c r="M1939" s="1" t="s">
        <v>863</v>
      </c>
      <c r="N1939" s="1"/>
      <c r="O1939" s="1" t="s">
        <v>30</v>
      </c>
      <c r="P1939" s="1" t="s">
        <v>31</v>
      </c>
      <c r="Q1939" s="1" t="s">
        <v>32</v>
      </c>
      <c r="R1939" s="1" t="s">
        <v>32</v>
      </c>
      <c r="S1939" s="1" t="s">
        <v>33</v>
      </c>
      <c r="T1939" s="1" t="s">
        <v>402</v>
      </c>
      <c r="U1939" s="1">
        <v>1.00650568E8</v>
      </c>
      <c r="X1939" s="1" t="s">
        <v>125</v>
      </c>
      <c r="Y1939" s="1" t="s">
        <v>863</v>
      </c>
      <c r="Z1939" s="1" t="s">
        <v>37</v>
      </c>
    </row>
    <row r="1940">
      <c r="A1940" s="1" t="s">
        <v>6240</v>
      </c>
      <c r="B1940" s="1" t="s">
        <v>529</v>
      </c>
      <c r="C1940" s="1" t="s">
        <v>6241</v>
      </c>
      <c r="D1940" s="1" t="s">
        <v>78</v>
      </c>
      <c r="E1940" s="1" t="s">
        <v>28</v>
      </c>
      <c r="F1940" s="2">
        <v>500000.0</v>
      </c>
      <c r="G1940" s="1" t="s">
        <v>2540</v>
      </c>
      <c r="H1940" s="4">
        <f>IFERROR(__xludf.DUMMYFUNCTION("DATE(INDEX(SPLIT(G1940,""/""),,3),INDEX(SPLIT(G1940,""/""),,2),INDEX(SPLIT(G1940,""/""),,1))"),44491.0)</f>
        <v>44491</v>
      </c>
      <c r="I1940" s="1" t="s">
        <v>1244</v>
      </c>
      <c r="J1940" s="4">
        <f>IFERROR(__xludf.DUMMYFUNCTION("DATE(INDEX(SPLIT(I1940,""/""),,3),INDEX(SPLIT(I1940,""/""),,2),INDEX(SPLIT(I1940,""/""),,1))"),44742.0)</f>
        <v>44742</v>
      </c>
      <c r="L1940" s="1">
        <v>0.0</v>
      </c>
      <c r="M1940" s="1" t="s">
        <v>2842</v>
      </c>
      <c r="N1940" s="1"/>
      <c r="O1940" s="1" t="s">
        <v>30</v>
      </c>
      <c r="P1940" s="1" t="s">
        <v>31</v>
      </c>
      <c r="Q1940" s="1" t="s">
        <v>53</v>
      </c>
      <c r="R1940" s="1" t="s">
        <v>53</v>
      </c>
      <c r="S1940" s="1" t="s">
        <v>54</v>
      </c>
      <c r="U1940" s="1">
        <v>1.00586524E8</v>
      </c>
      <c r="X1940" s="1" t="s">
        <v>410</v>
      </c>
      <c r="Y1940" s="1" t="s">
        <v>6242</v>
      </c>
      <c r="Z1940" s="1" t="s">
        <v>206</v>
      </c>
    </row>
    <row r="1941" hidden="1">
      <c r="A1941" s="1" t="s">
        <v>6243</v>
      </c>
      <c r="B1941" s="1" t="s">
        <v>301</v>
      </c>
      <c r="C1941" s="1" t="s">
        <v>6244</v>
      </c>
      <c r="D1941" s="1" t="s">
        <v>27</v>
      </c>
      <c r="E1941" s="1" t="s">
        <v>28</v>
      </c>
      <c r="F1941" s="2">
        <v>500000.0</v>
      </c>
      <c r="G1941" s="1" t="s">
        <v>2540</v>
      </c>
      <c r="H1941" s="4">
        <f>IFERROR(__xludf.DUMMYFUNCTION("DATE(INDEX(SPLIT(G1941,""/""),,3),INDEX(SPLIT(G1941,""/""),,2),INDEX(SPLIT(G1941,""/""),,1))"),44491.0)</f>
        <v>44491</v>
      </c>
      <c r="I1941" s="1" t="s">
        <v>109</v>
      </c>
      <c r="J1941" s="4">
        <f>IFERROR(__xludf.DUMMYFUNCTION("DATE(INDEX(SPLIT(I1941,""/""),,3),INDEX(SPLIT(I1941,""/""),,2),INDEX(SPLIT(I1941,""/""),,1))"),44834.0)</f>
        <v>44834</v>
      </c>
      <c r="L1941" s="1">
        <v>0.0</v>
      </c>
      <c r="M1941" s="1" t="s">
        <v>5030</v>
      </c>
      <c r="N1941" s="1"/>
      <c r="O1941" s="1" t="s">
        <v>30</v>
      </c>
      <c r="P1941" s="1" t="s">
        <v>31</v>
      </c>
      <c r="Q1941" s="1" t="s">
        <v>228</v>
      </c>
      <c r="R1941" s="1" t="s">
        <v>228</v>
      </c>
      <c r="S1941" s="1" t="s">
        <v>229</v>
      </c>
      <c r="T1941" s="1" t="s">
        <v>640</v>
      </c>
      <c r="U1941" s="1">
        <v>1.00986592E8</v>
      </c>
      <c r="X1941" s="1" t="s">
        <v>305</v>
      </c>
      <c r="Y1941" s="1" t="s">
        <v>6245</v>
      </c>
      <c r="Z1941" s="1" t="s">
        <v>37</v>
      </c>
    </row>
    <row r="1942" hidden="1">
      <c r="A1942" s="1" t="s">
        <v>6246</v>
      </c>
      <c r="B1942" s="1" t="s">
        <v>6247</v>
      </c>
      <c r="C1942" s="1" t="s">
        <v>6248</v>
      </c>
      <c r="D1942" s="1" t="s">
        <v>78</v>
      </c>
      <c r="E1942" s="1" t="s">
        <v>28</v>
      </c>
      <c r="F1942" s="2">
        <v>500000.0</v>
      </c>
      <c r="G1942" s="1" t="s">
        <v>6249</v>
      </c>
      <c r="H1942" s="4">
        <f>IFERROR(__xludf.DUMMYFUNCTION("DATE(INDEX(SPLIT(G1942,""/""),,3),INDEX(SPLIT(G1942,""/""),,2),INDEX(SPLIT(G1942,""/""),,1))"),43887.0)</f>
        <v>43887</v>
      </c>
      <c r="I1942" s="1" t="s">
        <v>42</v>
      </c>
      <c r="J1942" s="4">
        <f>IFERROR(__xludf.DUMMYFUNCTION("DATE(INDEX(SPLIT(I1942,""/""),,3),INDEX(SPLIT(I1942,""/""),,2),INDEX(SPLIT(I1942,""/""),,1))"),44926.0)</f>
        <v>44926</v>
      </c>
      <c r="L1942" s="1">
        <v>0.0</v>
      </c>
      <c r="M1942" s="1" t="s">
        <v>4477</v>
      </c>
      <c r="N1942" s="1"/>
      <c r="O1942" s="1" t="s">
        <v>30</v>
      </c>
      <c r="P1942" s="1" t="s">
        <v>31</v>
      </c>
      <c r="Q1942" s="1" t="s">
        <v>228</v>
      </c>
      <c r="R1942" s="1" t="s">
        <v>228</v>
      </c>
      <c r="S1942" s="1" t="s">
        <v>229</v>
      </c>
      <c r="T1942" s="1" t="s">
        <v>513</v>
      </c>
      <c r="U1942" s="1">
        <v>1.00592715E8</v>
      </c>
      <c r="X1942" s="1" t="s">
        <v>98</v>
      </c>
      <c r="Y1942" s="1" t="s">
        <v>6250</v>
      </c>
      <c r="Z1942" s="1" t="s">
        <v>37</v>
      </c>
    </row>
    <row r="1943" hidden="1">
      <c r="A1943" s="1" t="s">
        <v>6251</v>
      </c>
      <c r="B1943" s="1" t="s">
        <v>2135</v>
      </c>
      <c r="C1943" s="1" t="s">
        <v>6252</v>
      </c>
      <c r="D1943" s="1" t="s">
        <v>27</v>
      </c>
      <c r="E1943" s="1" t="s">
        <v>28</v>
      </c>
      <c r="F1943" s="2">
        <v>500000.0</v>
      </c>
      <c r="G1943" s="1" t="s">
        <v>503</v>
      </c>
      <c r="H1943" s="4">
        <f>IFERROR(__xludf.DUMMYFUNCTION("DATE(INDEX(SPLIT(G1943,""/""),,3),INDEX(SPLIT(G1943,""/""),,2),INDEX(SPLIT(G1943,""/""),,1))"),44736.0)</f>
        <v>44736</v>
      </c>
      <c r="I1943" s="1" t="s">
        <v>42</v>
      </c>
      <c r="J1943" s="4">
        <f>IFERROR(__xludf.DUMMYFUNCTION("DATE(INDEX(SPLIT(I1943,""/""),,3),INDEX(SPLIT(I1943,""/""),,2),INDEX(SPLIT(I1943,""/""),,1))"),44926.0)</f>
        <v>44926</v>
      </c>
      <c r="L1943" s="1">
        <v>0.0</v>
      </c>
      <c r="M1943" s="1" t="s">
        <v>216</v>
      </c>
      <c r="N1943" s="1"/>
      <c r="O1943" s="1" t="s">
        <v>30</v>
      </c>
      <c r="P1943" s="1" t="s">
        <v>31</v>
      </c>
      <c r="Q1943" s="1" t="s">
        <v>95</v>
      </c>
      <c r="R1943" s="1" t="s">
        <v>95</v>
      </c>
      <c r="S1943" s="1" t="s">
        <v>96</v>
      </c>
      <c r="T1943" s="1" t="s">
        <v>311</v>
      </c>
      <c r="U1943" s="1">
        <v>1.01200292E8</v>
      </c>
      <c r="V1943" s="1" t="s">
        <v>2137</v>
      </c>
      <c r="W1943" s="1" t="s">
        <v>199</v>
      </c>
      <c r="X1943" s="1" t="s">
        <v>361</v>
      </c>
      <c r="Y1943" s="1" t="s">
        <v>2138</v>
      </c>
      <c r="Z1943" s="1" t="s">
        <v>37</v>
      </c>
    </row>
    <row r="1944" hidden="1">
      <c r="A1944" s="1" t="s">
        <v>6253</v>
      </c>
      <c r="B1944" s="1" t="s">
        <v>1050</v>
      </c>
      <c r="C1944" s="1" t="s">
        <v>6254</v>
      </c>
      <c r="D1944" s="1" t="s">
        <v>27</v>
      </c>
      <c r="E1944" s="1" t="s">
        <v>28</v>
      </c>
      <c r="F1944" s="2">
        <v>500000.0</v>
      </c>
      <c r="G1944" s="4">
        <v>44266.0</v>
      </c>
      <c r="H1944" s="4">
        <f>IFERROR(__xludf.DUMMYFUNCTION("DATE(INDEX(SPLIT(G1944,""/""),,3),INDEX(SPLIT(G1944,""/""),,2),INDEX(SPLIT(G1944,""/""),,1))"),44503.0)</f>
        <v>44503</v>
      </c>
      <c r="I1944" s="1" t="s">
        <v>4867</v>
      </c>
      <c r="J1944" s="4">
        <f>IFERROR(__xludf.DUMMYFUNCTION("DATE(INDEX(SPLIT(I1944,""/""),,3),INDEX(SPLIT(I1944,""/""),,2),INDEX(SPLIT(I1944,""/""),,1))"),44854.0)</f>
        <v>44854</v>
      </c>
      <c r="L1944" s="1">
        <v>0.0</v>
      </c>
      <c r="M1944" s="1" t="s">
        <v>1052</v>
      </c>
      <c r="N1944" s="1"/>
      <c r="O1944" s="1" t="s">
        <v>30</v>
      </c>
      <c r="P1944" s="1" t="s">
        <v>31</v>
      </c>
      <c r="Q1944" s="1" t="s">
        <v>235</v>
      </c>
      <c r="R1944" s="1" t="s">
        <v>235</v>
      </c>
      <c r="S1944" s="1" t="s">
        <v>236</v>
      </c>
      <c r="T1944" s="1" t="s">
        <v>237</v>
      </c>
      <c r="U1944" s="1">
        <v>1.00650344E8</v>
      </c>
      <c r="X1944" s="1" t="s">
        <v>239</v>
      </c>
      <c r="Y1944" s="1" t="s">
        <v>4986</v>
      </c>
      <c r="Z1944" s="1" t="s">
        <v>37</v>
      </c>
    </row>
    <row r="1945" hidden="1">
      <c r="A1945" s="1" t="s">
        <v>6255</v>
      </c>
      <c r="B1945" s="1" t="s">
        <v>605</v>
      </c>
      <c r="C1945" s="1" t="s">
        <v>6256</v>
      </c>
      <c r="D1945" s="1" t="s">
        <v>78</v>
      </c>
      <c r="E1945" s="1" t="s">
        <v>28</v>
      </c>
      <c r="F1945" s="2">
        <v>500000.0</v>
      </c>
      <c r="G1945" s="1" t="s">
        <v>2077</v>
      </c>
      <c r="H1945" s="4">
        <f>IFERROR(__xludf.DUMMYFUNCTION("DATE(INDEX(SPLIT(G1945,""/""),,3),INDEX(SPLIT(G1945,""/""),,2),INDEX(SPLIT(G1945,""/""),,1))"),44700.0)</f>
        <v>44700</v>
      </c>
      <c r="I1945" s="1" t="s">
        <v>130</v>
      </c>
      <c r="J1945" s="4">
        <f>IFERROR(__xludf.DUMMYFUNCTION("DATE(INDEX(SPLIT(I1945,""/""),,3),INDEX(SPLIT(I1945,""/""),,2),INDEX(SPLIT(I1945,""/""),,1))"),44804.0)</f>
        <v>44804</v>
      </c>
      <c r="L1945" s="1">
        <v>0.0</v>
      </c>
      <c r="M1945" s="1" t="s">
        <v>1828</v>
      </c>
      <c r="N1945" s="1"/>
      <c r="O1945" s="1" t="s">
        <v>30</v>
      </c>
      <c r="P1945" s="1" t="s">
        <v>31</v>
      </c>
      <c r="Q1945" s="1" t="s">
        <v>235</v>
      </c>
      <c r="R1945" s="1" t="s">
        <v>235</v>
      </c>
      <c r="S1945" s="1" t="s">
        <v>236</v>
      </c>
      <c r="T1945" s="1" t="s">
        <v>1349</v>
      </c>
      <c r="U1945" s="1">
        <v>1.00593918E8</v>
      </c>
      <c r="X1945" s="1" t="s">
        <v>88</v>
      </c>
      <c r="Y1945" s="1" t="s">
        <v>1350</v>
      </c>
      <c r="Z1945" s="1" t="s">
        <v>37</v>
      </c>
    </row>
    <row r="1946" hidden="1">
      <c r="A1946" s="1" t="s">
        <v>6257</v>
      </c>
      <c r="B1946" s="1" t="s">
        <v>4572</v>
      </c>
      <c r="C1946" s="1" t="s">
        <v>6258</v>
      </c>
      <c r="D1946" s="1" t="s">
        <v>78</v>
      </c>
      <c r="E1946" s="1" t="s">
        <v>28</v>
      </c>
      <c r="F1946" s="2">
        <v>500000.0</v>
      </c>
      <c r="G1946" s="1" t="s">
        <v>359</v>
      </c>
      <c r="H1946" s="4">
        <f>IFERROR(__xludf.DUMMYFUNCTION("DATE(INDEX(SPLIT(G1946,""/""),,3),INDEX(SPLIT(G1946,""/""),,2),INDEX(SPLIT(G1946,""/""),,1))"),44740.0)</f>
        <v>44740</v>
      </c>
      <c r="I1946" s="1" t="s">
        <v>6259</v>
      </c>
      <c r="J1946" s="4">
        <f>IFERROR(__xludf.DUMMYFUNCTION("DATE(INDEX(SPLIT(I1946,""/""),,3),INDEX(SPLIT(I1946,""/""),,2),INDEX(SPLIT(I1946,""/""),,1))"),44793.0)</f>
        <v>44793</v>
      </c>
      <c r="L1946" s="1">
        <v>0.0</v>
      </c>
      <c r="M1946" s="1" t="s">
        <v>2787</v>
      </c>
      <c r="N1946" s="1"/>
      <c r="O1946" s="1" t="s">
        <v>30</v>
      </c>
      <c r="P1946" s="1" t="s">
        <v>31</v>
      </c>
      <c r="Q1946" s="1" t="s">
        <v>157</v>
      </c>
      <c r="R1946" s="1" t="s">
        <v>157</v>
      </c>
      <c r="S1946" s="1" t="s">
        <v>158</v>
      </c>
      <c r="T1946" s="1" t="s">
        <v>442</v>
      </c>
      <c r="U1946" s="1">
        <v>1.00708984E8</v>
      </c>
      <c r="X1946" s="1" t="s">
        <v>88</v>
      </c>
      <c r="Y1946" s="1" t="s">
        <v>6260</v>
      </c>
      <c r="Z1946" s="1" t="s">
        <v>37</v>
      </c>
    </row>
    <row r="1947" hidden="1">
      <c r="A1947" s="1" t="s">
        <v>6261</v>
      </c>
      <c r="B1947" s="1" t="s">
        <v>1931</v>
      </c>
      <c r="C1947" s="1" t="s">
        <v>6262</v>
      </c>
      <c r="D1947" s="1" t="s">
        <v>78</v>
      </c>
      <c r="E1947" s="1" t="s">
        <v>28</v>
      </c>
      <c r="F1947" s="2">
        <v>500000.0</v>
      </c>
      <c r="G1947" s="1" t="s">
        <v>6263</v>
      </c>
      <c r="H1947" s="4">
        <f>IFERROR(__xludf.DUMMYFUNCTION("DATE(INDEX(SPLIT(G1947,""/""),,3),INDEX(SPLIT(G1947,""/""),,2),INDEX(SPLIT(G1947,""/""),,1))"),44007.0)</f>
        <v>44007</v>
      </c>
      <c r="I1947" s="1" t="s">
        <v>109</v>
      </c>
      <c r="J1947" s="4">
        <f>IFERROR(__xludf.DUMMYFUNCTION("DATE(INDEX(SPLIT(I1947,""/""),,3),INDEX(SPLIT(I1947,""/""),,2),INDEX(SPLIT(I1947,""/""),,1))"),44834.0)</f>
        <v>44834</v>
      </c>
      <c r="L1947" s="1">
        <v>0.0</v>
      </c>
      <c r="M1947" s="1" t="s">
        <v>211</v>
      </c>
      <c r="N1947" s="1"/>
      <c r="O1947" s="1" t="s">
        <v>30</v>
      </c>
      <c r="P1947" s="1" t="s">
        <v>31</v>
      </c>
      <c r="Q1947" s="1" t="s">
        <v>71</v>
      </c>
      <c r="R1947" s="1" t="s">
        <v>71</v>
      </c>
      <c r="S1947" s="1" t="s">
        <v>72</v>
      </c>
      <c r="T1947" s="1" t="s">
        <v>136</v>
      </c>
      <c r="U1947" s="1">
        <v>1.00590896E8</v>
      </c>
      <c r="X1947" s="1" t="s">
        <v>74</v>
      </c>
      <c r="Y1947" s="1" t="s">
        <v>1172</v>
      </c>
      <c r="Z1947" s="1" t="s">
        <v>37</v>
      </c>
    </row>
    <row r="1948" hidden="1">
      <c r="A1948" s="1" t="s">
        <v>6264</v>
      </c>
      <c r="B1948" s="1" t="s">
        <v>4662</v>
      </c>
      <c r="C1948" s="1" t="s">
        <v>6265</v>
      </c>
      <c r="D1948" s="1" t="s">
        <v>27</v>
      </c>
      <c r="E1948" s="1" t="s">
        <v>28</v>
      </c>
      <c r="F1948" s="2">
        <v>500000.0</v>
      </c>
      <c r="G1948" s="1" t="s">
        <v>4901</v>
      </c>
      <c r="H1948" s="4">
        <f>IFERROR(__xludf.DUMMYFUNCTION("DATE(INDEX(SPLIT(G1948,""/""),,3),INDEX(SPLIT(G1948,""/""),,2),INDEX(SPLIT(G1948,""/""),,1))"),44488.0)</f>
        <v>44488</v>
      </c>
      <c r="I1948" s="1" t="s">
        <v>130</v>
      </c>
      <c r="J1948" s="4">
        <f>IFERROR(__xludf.DUMMYFUNCTION("DATE(INDEX(SPLIT(I1948,""/""),,3),INDEX(SPLIT(I1948,""/""),,2),INDEX(SPLIT(I1948,""/""),,1))"),44804.0)</f>
        <v>44804</v>
      </c>
      <c r="L1948" s="1">
        <v>0.0</v>
      </c>
      <c r="M1948" s="1" t="s">
        <v>196</v>
      </c>
      <c r="N1948" s="1"/>
      <c r="O1948" s="1" t="s">
        <v>30</v>
      </c>
      <c r="P1948" s="1" t="s">
        <v>31</v>
      </c>
      <c r="Q1948" s="1" t="s">
        <v>53</v>
      </c>
      <c r="R1948" s="1" t="s">
        <v>53</v>
      </c>
      <c r="S1948" s="1" t="s">
        <v>54</v>
      </c>
      <c r="T1948" s="1" t="s">
        <v>197</v>
      </c>
      <c r="U1948" s="1">
        <v>1.00589741E8</v>
      </c>
      <c r="X1948" s="1" t="s">
        <v>98</v>
      </c>
      <c r="Y1948" s="1" t="s">
        <v>3071</v>
      </c>
      <c r="Z1948" s="1" t="s">
        <v>37</v>
      </c>
    </row>
    <row r="1949">
      <c r="A1949" s="1" t="s">
        <v>6266</v>
      </c>
      <c r="B1949" s="1" t="s">
        <v>59</v>
      </c>
      <c r="C1949" s="1" t="s">
        <v>6267</v>
      </c>
      <c r="D1949" s="1" t="s">
        <v>78</v>
      </c>
      <c r="E1949" s="1" t="s">
        <v>28</v>
      </c>
      <c r="F1949" s="2">
        <v>500000.0</v>
      </c>
      <c r="G1949" s="1" t="s">
        <v>2540</v>
      </c>
      <c r="H1949" s="4">
        <f>IFERROR(__xludf.DUMMYFUNCTION("DATE(INDEX(SPLIT(G1949,""/""),,3),INDEX(SPLIT(G1949,""/""),,2),INDEX(SPLIT(G1949,""/""),,1))"),44491.0)</f>
        <v>44491</v>
      </c>
      <c r="I1949" s="4">
        <v>44872.0</v>
      </c>
      <c r="J1949" s="4">
        <f>IFERROR(__xludf.DUMMYFUNCTION("DATE(INDEX(SPLIT(I1949,""/""),,3),INDEX(SPLIT(I1949,""/""),,2),INDEX(SPLIT(I1949,""/""),,1))"),44753.0)</f>
        <v>44753</v>
      </c>
      <c r="L1949" s="1">
        <v>0.0</v>
      </c>
      <c r="M1949" s="1" t="s">
        <v>2582</v>
      </c>
      <c r="N1949" s="1"/>
      <c r="O1949" s="1" t="s">
        <v>30</v>
      </c>
      <c r="P1949" s="1" t="s">
        <v>31</v>
      </c>
      <c r="Q1949" s="1" t="s">
        <v>157</v>
      </c>
      <c r="R1949" s="1" t="s">
        <v>157</v>
      </c>
      <c r="S1949" s="1" t="s">
        <v>158</v>
      </c>
      <c r="T1949" s="1" t="s">
        <v>442</v>
      </c>
      <c r="U1949" s="1">
        <v>1.00590772E8</v>
      </c>
      <c r="X1949" s="1" t="s">
        <v>63</v>
      </c>
      <c r="Y1949" s="1" t="s">
        <v>64</v>
      </c>
      <c r="Z1949" s="1" t="s">
        <v>37</v>
      </c>
    </row>
    <row r="1950">
      <c r="A1950" s="1" t="s">
        <v>6268</v>
      </c>
      <c r="B1950" s="1" t="s">
        <v>392</v>
      </c>
      <c r="C1950" s="1" t="s">
        <v>6269</v>
      </c>
      <c r="D1950" s="1" t="s">
        <v>122</v>
      </c>
      <c r="E1950" s="1" t="s">
        <v>28</v>
      </c>
      <c r="F1950" s="2">
        <v>500000.0</v>
      </c>
      <c r="G1950" s="4">
        <v>44686.0</v>
      </c>
      <c r="H1950" s="4">
        <f>IFERROR(__xludf.DUMMYFUNCTION("DATE(INDEX(SPLIT(G1950,""/""),,3),INDEX(SPLIT(G1950,""/""),,2),INDEX(SPLIT(G1950,""/""),,1))"),44686.0)</f>
        <v>44686</v>
      </c>
      <c r="I1950" s="1" t="s">
        <v>226</v>
      </c>
      <c r="J1950" s="4">
        <f>IFERROR(__xludf.DUMMYFUNCTION("DATE(INDEX(SPLIT(I1950,""/""),,3),INDEX(SPLIT(I1950,""/""),,2),INDEX(SPLIT(I1950,""/""),,1))"),44771.0)</f>
        <v>44771</v>
      </c>
      <c r="L1950" s="1">
        <v>0.0</v>
      </c>
      <c r="M1950" s="1" t="s">
        <v>234</v>
      </c>
      <c r="N1950" s="1"/>
      <c r="O1950" s="1" t="s">
        <v>30</v>
      </c>
      <c r="P1950" s="1" t="s">
        <v>31</v>
      </c>
      <c r="Q1950" s="1" t="s">
        <v>235</v>
      </c>
      <c r="R1950" s="1" t="s">
        <v>235</v>
      </c>
      <c r="S1950" s="1" t="s">
        <v>236</v>
      </c>
      <c r="T1950" s="1" t="s">
        <v>237</v>
      </c>
      <c r="U1950" s="1">
        <v>1.00658132E8</v>
      </c>
      <c r="X1950" s="1" t="s">
        <v>239</v>
      </c>
      <c r="Y1950" s="1" t="s">
        <v>234</v>
      </c>
      <c r="Z1950" s="1" t="s">
        <v>37</v>
      </c>
    </row>
    <row r="1951" hidden="1">
      <c r="A1951" s="1" t="s">
        <v>6270</v>
      </c>
      <c r="B1951" s="1" t="s">
        <v>2453</v>
      </c>
      <c r="C1951" s="1" t="s">
        <v>6271</v>
      </c>
      <c r="D1951" s="1" t="s">
        <v>27</v>
      </c>
      <c r="E1951" s="1" t="s">
        <v>28</v>
      </c>
      <c r="F1951" s="2">
        <v>500000.0</v>
      </c>
      <c r="G1951" s="1" t="s">
        <v>2455</v>
      </c>
      <c r="H1951" s="4">
        <f>IFERROR(__xludf.DUMMYFUNCTION("DATE(INDEX(SPLIT(G1951,""/""),,3),INDEX(SPLIT(G1951,""/""),,2),INDEX(SPLIT(G1951,""/""),,1))"),44606.0)</f>
        <v>44606</v>
      </c>
      <c r="I1951" s="1" t="s">
        <v>130</v>
      </c>
      <c r="J1951" s="4">
        <f>IFERROR(__xludf.DUMMYFUNCTION("DATE(INDEX(SPLIT(I1951,""/""),,3),INDEX(SPLIT(I1951,""/""),,2),INDEX(SPLIT(I1951,""/""),,1))"),44804.0)</f>
        <v>44804</v>
      </c>
      <c r="L1951" s="1">
        <v>0.0</v>
      </c>
      <c r="M1951" s="1" t="s">
        <v>3212</v>
      </c>
      <c r="N1951" s="1"/>
      <c r="O1951" s="1" t="s">
        <v>30</v>
      </c>
      <c r="P1951" s="1" t="s">
        <v>31</v>
      </c>
      <c r="Q1951" s="1" t="s">
        <v>53</v>
      </c>
      <c r="R1951" s="1" t="s">
        <v>53</v>
      </c>
      <c r="S1951" s="1" t="s">
        <v>54</v>
      </c>
      <c r="T1951" s="1" t="s">
        <v>2372</v>
      </c>
      <c r="U1951" s="1">
        <v>1.00898415E8</v>
      </c>
      <c r="X1951" s="1" t="s">
        <v>239</v>
      </c>
      <c r="Y1951" s="1" t="s">
        <v>6272</v>
      </c>
      <c r="Z1951" s="1" t="s">
        <v>37</v>
      </c>
    </row>
    <row r="1952" hidden="1">
      <c r="A1952" s="1" t="s">
        <v>6273</v>
      </c>
      <c r="B1952" s="1" t="s">
        <v>6274</v>
      </c>
      <c r="C1952" s="1" t="s">
        <v>6275</v>
      </c>
      <c r="D1952" s="1" t="s">
        <v>78</v>
      </c>
      <c r="E1952" s="1" t="s">
        <v>28</v>
      </c>
      <c r="F1952" s="2">
        <v>500000.0</v>
      </c>
      <c r="G1952" s="1" t="s">
        <v>1154</v>
      </c>
      <c r="H1952" s="4">
        <f>IFERROR(__xludf.DUMMYFUNCTION("DATE(INDEX(SPLIT(G1952,""/""),,3),INDEX(SPLIT(G1952,""/""),,2),INDEX(SPLIT(G1952,""/""),,1))"),44735.0)</f>
        <v>44735</v>
      </c>
      <c r="I1952" s="4">
        <v>44813.0</v>
      </c>
      <c r="J1952" s="4">
        <f>IFERROR(__xludf.DUMMYFUNCTION("DATE(INDEX(SPLIT(I1952,""/""),,3),INDEX(SPLIT(I1952,""/""),,2),INDEX(SPLIT(I1952,""/""),,1))"),44813.0)</f>
        <v>44813</v>
      </c>
      <c r="L1952" s="1">
        <v>0.0</v>
      </c>
      <c r="M1952" s="1" t="s">
        <v>5366</v>
      </c>
      <c r="N1952" s="1"/>
      <c r="O1952" s="1" t="s">
        <v>30</v>
      </c>
      <c r="P1952" s="1" t="s">
        <v>31</v>
      </c>
      <c r="Q1952" s="1" t="s">
        <v>157</v>
      </c>
      <c r="R1952" s="1" t="s">
        <v>157</v>
      </c>
      <c r="S1952" s="1" t="s">
        <v>158</v>
      </c>
      <c r="T1952" s="1" t="s">
        <v>159</v>
      </c>
      <c r="U1952" s="1">
        <v>1.00609544E8</v>
      </c>
      <c r="X1952" s="1" t="s">
        <v>490</v>
      </c>
      <c r="Y1952" s="1" t="s">
        <v>6276</v>
      </c>
      <c r="Z1952" s="1" t="s">
        <v>37</v>
      </c>
    </row>
    <row r="1953" hidden="1">
      <c r="A1953" s="1" t="s">
        <v>6277</v>
      </c>
      <c r="B1953" s="1" t="s">
        <v>6278</v>
      </c>
      <c r="C1953" s="1" t="s">
        <v>6279</v>
      </c>
      <c r="D1953" s="1" t="s">
        <v>27</v>
      </c>
      <c r="E1953" s="1" t="s">
        <v>28</v>
      </c>
      <c r="F1953" s="2">
        <v>500000.0</v>
      </c>
      <c r="G1953" s="4">
        <v>43933.0</v>
      </c>
      <c r="H1953" s="4">
        <f>IFERROR(__xludf.DUMMYFUNCTION("DATE(INDEX(SPLIT(G1953,""/""),,3),INDEX(SPLIT(G1953,""/""),,2),INDEX(SPLIT(G1953,""/""),,1))"),44169.0)</f>
        <v>44169</v>
      </c>
      <c r="I1953" s="1" t="s">
        <v>281</v>
      </c>
      <c r="J1953" s="4">
        <f>IFERROR(__xludf.DUMMYFUNCTION("DATE(INDEX(SPLIT(I1953,""/""),,3),INDEX(SPLIT(I1953,""/""),,2),INDEX(SPLIT(I1953,""/""),,1))"),44865.0)</f>
        <v>44865</v>
      </c>
      <c r="L1953" s="1">
        <v>0.0</v>
      </c>
      <c r="M1953" s="1" t="s">
        <v>563</v>
      </c>
      <c r="N1953" s="1"/>
      <c r="O1953" s="1" t="s">
        <v>30</v>
      </c>
      <c r="P1953" s="1" t="s">
        <v>31</v>
      </c>
      <c r="Q1953" s="1" t="s">
        <v>95</v>
      </c>
      <c r="R1953" s="1" t="s">
        <v>95</v>
      </c>
      <c r="S1953" s="1" t="s">
        <v>96</v>
      </c>
      <c r="T1953" s="1" t="s">
        <v>311</v>
      </c>
      <c r="U1953" s="1">
        <v>1.00646702E8</v>
      </c>
      <c r="V1953" s="1" t="s">
        <v>6280</v>
      </c>
      <c r="W1953" s="1" t="s">
        <v>199</v>
      </c>
      <c r="X1953" s="1" t="s">
        <v>361</v>
      </c>
      <c r="Y1953" s="1" t="s">
        <v>6281</v>
      </c>
      <c r="Z1953" s="1" t="s">
        <v>37</v>
      </c>
    </row>
    <row r="1954" hidden="1">
      <c r="A1954" s="1" t="s">
        <v>6282</v>
      </c>
      <c r="B1954" s="1" t="s">
        <v>1861</v>
      </c>
      <c r="C1954" s="1" t="s">
        <v>6283</v>
      </c>
      <c r="D1954" s="1" t="s">
        <v>78</v>
      </c>
      <c r="E1954" s="1" t="s">
        <v>28</v>
      </c>
      <c r="F1954" s="2">
        <v>500000.0</v>
      </c>
      <c r="G1954" s="4">
        <v>44840.0</v>
      </c>
      <c r="H1954" s="4">
        <f>IFERROR(__xludf.DUMMYFUNCTION("DATE(INDEX(SPLIT(G1954,""/""),,3),INDEX(SPLIT(G1954,""/""),,2),INDEX(SPLIT(G1954,""/""),,1))"),44722.0)</f>
        <v>44722</v>
      </c>
      <c r="I1954" s="4">
        <v>44816.0</v>
      </c>
      <c r="J1954" s="4">
        <f>IFERROR(__xludf.DUMMYFUNCTION("DATE(INDEX(SPLIT(I1954,""/""),,3),INDEX(SPLIT(I1954,""/""),,2),INDEX(SPLIT(I1954,""/""),,1))"),44904.0)</f>
        <v>44904</v>
      </c>
      <c r="L1954" s="1">
        <v>0.0</v>
      </c>
      <c r="M1954" s="1" t="s">
        <v>1704</v>
      </c>
      <c r="N1954" s="1"/>
      <c r="O1954" s="1" t="s">
        <v>30</v>
      </c>
      <c r="P1954" s="1" t="s">
        <v>31</v>
      </c>
      <c r="Q1954" s="1" t="s">
        <v>157</v>
      </c>
      <c r="R1954" s="1" t="s">
        <v>157</v>
      </c>
      <c r="S1954" s="1" t="s">
        <v>158</v>
      </c>
      <c r="T1954" s="1" t="s">
        <v>442</v>
      </c>
      <c r="U1954" s="1">
        <v>1.00654991E8</v>
      </c>
      <c r="X1954" s="1" t="s">
        <v>305</v>
      </c>
      <c r="Y1954" s="1" t="s">
        <v>1969</v>
      </c>
      <c r="Z1954" s="1" t="s">
        <v>37</v>
      </c>
    </row>
    <row r="1955" hidden="1">
      <c r="A1955" s="1" t="s">
        <v>6284</v>
      </c>
      <c r="B1955" s="1" t="s">
        <v>4276</v>
      </c>
      <c r="C1955" s="1" t="s">
        <v>6285</v>
      </c>
      <c r="D1955" s="1" t="s">
        <v>27</v>
      </c>
      <c r="E1955" s="1" t="s">
        <v>28</v>
      </c>
      <c r="F1955" s="2">
        <v>500000.0</v>
      </c>
      <c r="G1955" s="4">
        <v>44899.0</v>
      </c>
      <c r="H1955" s="4">
        <f>IFERROR(__xludf.DUMMYFUNCTION("DATE(INDEX(SPLIT(G1955,""/""),,3),INDEX(SPLIT(G1955,""/""),,2),INDEX(SPLIT(G1955,""/""),,1))"),44663.0)</f>
        <v>44663</v>
      </c>
      <c r="I1955" s="1" t="s">
        <v>109</v>
      </c>
      <c r="J1955" s="4">
        <f>IFERROR(__xludf.DUMMYFUNCTION("DATE(INDEX(SPLIT(I1955,""/""),,3),INDEX(SPLIT(I1955,""/""),,2),INDEX(SPLIT(I1955,""/""),,1))"),44834.0)</f>
        <v>44834</v>
      </c>
      <c r="L1955" s="1">
        <v>0.0</v>
      </c>
      <c r="M1955" s="1" t="s">
        <v>1833</v>
      </c>
      <c r="N1955" s="1"/>
      <c r="O1955" s="1" t="s">
        <v>30</v>
      </c>
      <c r="P1955" s="1" t="s">
        <v>31</v>
      </c>
      <c r="Q1955" s="1" t="s">
        <v>53</v>
      </c>
      <c r="R1955" s="1" t="s">
        <v>53</v>
      </c>
      <c r="S1955" s="1" t="s">
        <v>54</v>
      </c>
      <c r="T1955" s="1" t="s">
        <v>634</v>
      </c>
      <c r="U1955" s="1">
        <v>1.0105484E8</v>
      </c>
      <c r="X1955" s="1" t="s">
        <v>490</v>
      </c>
      <c r="Y1955" s="1" t="s">
        <v>1833</v>
      </c>
      <c r="Z1955" s="1" t="s">
        <v>37</v>
      </c>
    </row>
    <row r="1956" hidden="1">
      <c r="A1956" s="1" t="s">
        <v>6286</v>
      </c>
      <c r="B1956" s="1" t="s">
        <v>1257</v>
      </c>
      <c r="C1956" s="1" t="s">
        <v>6287</v>
      </c>
      <c r="D1956" s="1" t="s">
        <v>27</v>
      </c>
      <c r="E1956" s="1" t="s">
        <v>28</v>
      </c>
      <c r="F1956" s="2">
        <v>500000.0</v>
      </c>
      <c r="G1956" s="1" t="s">
        <v>1521</v>
      </c>
      <c r="H1956" s="4">
        <f>IFERROR(__xludf.DUMMYFUNCTION("DATE(INDEX(SPLIT(G1956,""/""),,3),INDEX(SPLIT(G1956,""/""),,2),INDEX(SPLIT(G1956,""/""),,1))"),44756.0)</f>
        <v>44756</v>
      </c>
      <c r="I1956" s="1" t="s">
        <v>360</v>
      </c>
      <c r="J1956" s="4">
        <f>IFERROR(__xludf.DUMMYFUNCTION("DATE(INDEX(SPLIT(I1956,""/""),,3),INDEX(SPLIT(I1956,""/""),,2),INDEX(SPLIT(I1956,""/""),,1))"),44895.0)</f>
        <v>44895</v>
      </c>
      <c r="L1956" s="1">
        <v>0.0</v>
      </c>
      <c r="M1956" s="1" t="s">
        <v>2600</v>
      </c>
      <c r="N1956" s="1"/>
      <c r="O1956" s="1" t="s">
        <v>30</v>
      </c>
      <c r="P1956" s="1" t="s">
        <v>31</v>
      </c>
      <c r="Q1956" s="1" t="s">
        <v>32</v>
      </c>
      <c r="R1956" s="1" t="s">
        <v>32</v>
      </c>
      <c r="S1956" s="1" t="s">
        <v>33</v>
      </c>
      <c r="U1956" s="1">
        <v>1.00642238E8</v>
      </c>
      <c r="X1956" s="1" t="s">
        <v>81</v>
      </c>
      <c r="Y1956" s="1" t="s">
        <v>2758</v>
      </c>
      <c r="Z1956" s="1" t="s">
        <v>37</v>
      </c>
    </row>
    <row r="1957">
      <c r="A1957" s="1" t="s">
        <v>6288</v>
      </c>
      <c r="B1957" s="1" t="s">
        <v>2889</v>
      </c>
      <c r="C1957" s="1" t="s">
        <v>6289</v>
      </c>
      <c r="D1957" s="1" t="s">
        <v>27</v>
      </c>
      <c r="E1957" s="1" t="s">
        <v>28</v>
      </c>
      <c r="F1957" s="2">
        <v>500000.0</v>
      </c>
      <c r="G1957" s="4">
        <v>44598.0</v>
      </c>
      <c r="H1957" s="4">
        <f>IFERROR(__xludf.DUMMYFUNCTION("DATE(INDEX(SPLIT(G1957,""/""),,3),INDEX(SPLIT(G1957,""/""),,2),INDEX(SPLIT(G1957,""/""),,1))"),44714.0)</f>
        <v>44714</v>
      </c>
      <c r="I1957" s="1" t="s">
        <v>226</v>
      </c>
      <c r="J1957" s="4">
        <f>IFERROR(__xludf.DUMMYFUNCTION("DATE(INDEX(SPLIT(I1957,""/""),,3),INDEX(SPLIT(I1957,""/""),,2),INDEX(SPLIT(I1957,""/""),,1))"),44771.0)</f>
        <v>44771</v>
      </c>
      <c r="L1957" s="1">
        <v>0.0</v>
      </c>
      <c r="M1957" s="1" t="s">
        <v>6290</v>
      </c>
      <c r="N1957" s="1"/>
      <c r="O1957" s="1" t="s">
        <v>30</v>
      </c>
      <c r="P1957" s="1" t="s">
        <v>31</v>
      </c>
      <c r="Q1957" s="1" t="s">
        <v>53</v>
      </c>
      <c r="R1957" s="1" t="s">
        <v>53</v>
      </c>
      <c r="S1957" s="1" t="s">
        <v>54</v>
      </c>
      <c r="U1957" s="1">
        <v>1.00636569E8</v>
      </c>
      <c r="X1957" s="1" t="s">
        <v>74</v>
      </c>
      <c r="Y1957" s="1" t="s">
        <v>6291</v>
      </c>
      <c r="Z1957" s="1" t="s">
        <v>37</v>
      </c>
    </row>
    <row r="1958" hidden="1">
      <c r="A1958" s="1" t="s">
        <v>6292</v>
      </c>
      <c r="B1958" s="1" t="s">
        <v>6293</v>
      </c>
      <c r="C1958" s="1" t="s">
        <v>6294</v>
      </c>
      <c r="D1958" s="1" t="s">
        <v>27</v>
      </c>
      <c r="E1958" s="1" t="s">
        <v>28</v>
      </c>
      <c r="F1958" s="2">
        <v>500000.0</v>
      </c>
      <c r="G1958" s="1" t="s">
        <v>1229</v>
      </c>
      <c r="H1958" s="4">
        <f>IFERROR(__xludf.DUMMYFUNCTION("DATE(INDEX(SPLIT(G1958,""/""),,3),INDEX(SPLIT(G1958,""/""),,2),INDEX(SPLIT(G1958,""/""),,1))"),44466.0)</f>
        <v>44466</v>
      </c>
      <c r="I1958" s="1" t="s">
        <v>109</v>
      </c>
      <c r="J1958" s="4">
        <f>IFERROR(__xludf.DUMMYFUNCTION("DATE(INDEX(SPLIT(I1958,""/""),,3),INDEX(SPLIT(I1958,""/""),,2),INDEX(SPLIT(I1958,""/""),,1))"),44834.0)</f>
        <v>44834</v>
      </c>
      <c r="L1958" s="1">
        <v>0.0</v>
      </c>
      <c r="M1958" s="1" t="s">
        <v>1833</v>
      </c>
      <c r="N1958" s="1"/>
      <c r="O1958" s="1" t="s">
        <v>30</v>
      </c>
      <c r="P1958" s="1" t="s">
        <v>31</v>
      </c>
      <c r="Q1958" s="1" t="s">
        <v>53</v>
      </c>
      <c r="R1958" s="1" t="s">
        <v>53</v>
      </c>
      <c r="S1958" s="1" t="s">
        <v>54</v>
      </c>
      <c r="T1958" s="1" t="s">
        <v>634</v>
      </c>
      <c r="U1958" s="1">
        <v>1.0105484E8</v>
      </c>
      <c r="X1958" s="1" t="s">
        <v>490</v>
      </c>
      <c r="Y1958" s="1" t="s">
        <v>1013</v>
      </c>
      <c r="Z1958" s="1" t="s">
        <v>37</v>
      </c>
    </row>
    <row r="1959" hidden="1">
      <c r="A1959" s="1" t="s">
        <v>6295</v>
      </c>
      <c r="B1959" s="1" t="s">
        <v>1542</v>
      </c>
      <c r="C1959" s="1" t="s">
        <v>6296</v>
      </c>
      <c r="D1959" s="1" t="s">
        <v>122</v>
      </c>
      <c r="E1959" s="1" t="s">
        <v>28</v>
      </c>
      <c r="F1959" s="2">
        <v>500000.0</v>
      </c>
      <c r="G1959" s="4">
        <v>44598.0</v>
      </c>
      <c r="H1959" s="4">
        <f>IFERROR(__xludf.DUMMYFUNCTION("DATE(INDEX(SPLIT(G1959,""/""),,3),INDEX(SPLIT(G1959,""/""),,2),INDEX(SPLIT(G1959,""/""),,1))"),44714.0)</f>
        <v>44714</v>
      </c>
      <c r="I1959" s="1" t="s">
        <v>109</v>
      </c>
      <c r="J1959" s="4">
        <f>IFERROR(__xludf.DUMMYFUNCTION("DATE(INDEX(SPLIT(I1959,""/""),,3),INDEX(SPLIT(I1959,""/""),,2),INDEX(SPLIT(I1959,""/""),,1))"),44834.0)</f>
        <v>44834</v>
      </c>
      <c r="L1959" s="1">
        <v>0.0</v>
      </c>
      <c r="M1959" s="1" t="s">
        <v>2892</v>
      </c>
      <c r="N1959" s="1"/>
      <c r="O1959" s="1" t="s">
        <v>30</v>
      </c>
      <c r="P1959" s="1" t="s">
        <v>31</v>
      </c>
      <c r="Q1959" s="1" t="s">
        <v>188</v>
      </c>
      <c r="R1959" s="1" t="s">
        <v>188</v>
      </c>
      <c r="S1959" s="1" t="s">
        <v>189</v>
      </c>
      <c r="T1959" s="1" t="s">
        <v>136</v>
      </c>
      <c r="U1959" s="1">
        <v>1.0059132E8</v>
      </c>
      <c r="X1959" s="1" t="s">
        <v>74</v>
      </c>
      <c r="Y1959" s="1" t="s">
        <v>5132</v>
      </c>
      <c r="Z1959" s="1" t="s">
        <v>37</v>
      </c>
    </row>
    <row r="1960" hidden="1">
      <c r="A1960" s="1" t="s">
        <v>6297</v>
      </c>
      <c r="B1960" s="1" t="s">
        <v>2483</v>
      </c>
      <c r="C1960" s="1" t="s">
        <v>6298</v>
      </c>
      <c r="D1960" s="1" t="s">
        <v>27</v>
      </c>
      <c r="E1960" s="1" t="s">
        <v>28</v>
      </c>
      <c r="F1960" s="2">
        <v>500000.0</v>
      </c>
      <c r="G1960" s="1" t="s">
        <v>1521</v>
      </c>
      <c r="H1960" s="4">
        <f>IFERROR(__xludf.DUMMYFUNCTION("DATE(INDEX(SPLIT(G1960,""/""),,3),INDEX(SPLIT(G1960,""/""),,2),INDEX(SPLIT(G1960,""/""),,1))"),44756.0)</f>
        <v>44756</v>
      </c>
      <c r="I1960" s="1" t="s">
        <v>281</v>
      </c>
      <c r="J1960" s="4">
        <f>IFERROR(__xludf.DUMMYFUNCTION("DATE(INDEX(SPLIT(I1960,""/""),,3),INDEX(SPLIT(I1960,""/""),,2),INDEX(SPLIT(I1960,""/""),,1))"),44865.0)</f>
        <v>44865</v>
      </c>
      <c r="L1960" s="1">
        <v>0.0</v>
      </c>
      <c r="M1960" s="1" t="s">
        <v>3854</v>
      </c>
      <c r="N1960" s="1"/>
      <c r="O1960" s="1" t="s">
        <v>30</v>
      </c>
      <c r="P1960" s="1" t="s">
        <v>31</v>
      </c>
      <c r="Q1960" s="1" t="s">
        <v>71</v>
      </c>
      <c r="R1960" s="1" t="s">
        <v>71</v>
      </c>
      <c r="S1960" s="1" t="s">
        <v>72</v>
      </c>
      <c r="T1960" s="1" t="s">
        <v>136</v>
      </c>
      <c r="U1960" s="1">
        <v>1.00603613E8</v>
      </c>
      <c r="X1960" s="1" t="s">
        <v>74</v>
      </c>
      <c r="Y1960" s="1" t="s">
        <v>3854</v>
      </c>
      <c r="Z1960" s="1" t="s">
        <v>37</v>
      </c>
    </row>
    <row r="1961" hidden="1">
      <c r="A1961" s="1" t="s">
        <v>6299</v>
      </c>
      <c r="B1961" s="1" t="s">
        <v>1002</v>
      </c>
      <c r="C1961" s="1" t="s">
        <v>6300</v>
      </c>
      <c r="D1961" s="1" t="s">
        <v>27</v>
      </c>
      <c r="E1961" s="1" t="s">
        <v>28</v>
      </c>
      <c r="F1961" s="2">
        <v>500000.0</v>
      </c>
      <c r="G1961" s="1" t="s">
        <v>6301</v>
      </c>
      <c r="H1961" s="4">
        <f>IFERROR(__xludf.DUMMYFUNCTION("DATE(INDEX(SPLIT(G1961,""/""),,3),INDEX(SPLIT(G1961,""/""),,2),INDEX(SPLIT(G1961,""/""),,1))"),44635.0)</f>
        <v>44635</v>
      </c>
      <c r="I1961" s="1" t="s">
        <v>109</v>
      </c>
      <c r="J1961" s="4">
        <f>IFERROR(__xludf.DUMMYFUNCTION("DATE(INDEX(SPLIT(I1961,""/""),,3),INDEX(SPLIT(I1961,""/""),,2),INDEX(SPLIT(I1961,""/""),,1))"),44834.0)</f>
        <v>44834</v>
      </c>
      <c r="L1961" s="1">
        <v>0.0</v>
      </c>
      <c r="M1961" s="1" t="s">
        <v>799</v>
      </c>
      <c r="N1961" s="1"/>
      <c r="O1961" s="1" t="s">
        <v>30</v>
      </c>
      <c r="P1961" s="1" t="s">
        <v>31</v>
      </c>
      <c r="Q1961" s="1" t="s">
        <v>71</v>
      </c>
      <c r="R1961" s="1" t="s">
        <v>71</v>
      </c>
      <c r="S1961" s="1" t="s">
        <v>72</v>
      </c>
      <c r="T1961" s="1" t="s">
        <v>136</v>
      </c>
      <c r="U1961" s="1">
        <v>1.00634752E8</v>
      </c>
      <c r="X1961" s="1" t="s">
        <v>74</v>
      </c>
      <c r="Y1961" s="1" t="s">
        <v>1746</v>
      </c>
      <c r="Z1961" s="1" t="s">
        <v>37</v>
      </c>
    </row>
    <row r="1962" hidden="1">
      <c r="A1962" s="1" t="s">
        <v>6302</v>
      </c>
      <c r="B1962" s="1" t="s">
        <v>1108</v>
      </c>
      <c r="C1962" s="1" t="s">
        <v>6303</v>
      </c>
      <c r="D1962" s="1" t="s">
        <v>78</v>
      </c>
      <c r="E1962" s="1" t="s">
        <v>28</v>
      </c>
      <c r="F1962" s="2">
        <v>500000.0</v>
      </c>
      <c r="G1962" s="1" t="s">
        <v>1364</v>
      </c>
      <c r="H1962" s="4">
        <f>IFERROR(__xludf.DUMMYFUNCTION("DATE(INDEX(SPLIT(G1962,""/""),,3),INDEX(SPLIT(G1962,""/""),,2),INDEX(SPLIT(G1962,""/""),,1))"),44676.0)</f>
        <v>44676</v>
      </c>
      <c r="I1962" s="1" t="s">
        <v>109</v>
      </c>
      <c r="J1962" s="4">
        <f>IFERROR(__xludf.DUMMYFUNCTION("DATE(INDEX(SPLIT(I1962,""/""),,3),INDEX(SPLIT(I1962,""/""),,2),INDEX(SPLIT(I1962,""/""),,1))"),44834.0)</f>
        <v>44834</v>
      </c>
      <c r="L1962" s="1">
        <v>0.0</v>
      </c>
      <c r="M1962" s="1" t="s">
        <v>808</v>
      </c>
      <c r="N1962" s="1"/>
      <c r="O1962" s="1" t="s">
        <v>30</v>
      </c>
      <c r="P1962" s="1" t="s">
        <v>31</v>
      </c>
      <c r="Q1962" s="1" t="s">
        <v>228</v>
      </c>
      <c r="R1962" s="1" t="s">
        <v>228</v>
      </c>
      <c r="S1962" s="1" t="s">
        <v>229</v>
      </c>
      <c r="T1962" s="1" t="s">
        <v>505</v>
      </c>
      <c r="U1962" s="1">
        <v>1.00609871E8</v>
      </c>
      <c r="X1962" s="1" t="s">
        <v>289</v>
      </c>
      <c r="Y1962" s="1" t="s">
        <v>6304</v>
      </c>
      <c r="Z1962" s="1" t="s">
        <v>37</v>
      </c>
    </row>
    <row r="1963" hidden="1">
      <c r="A1963" s="1" t="s">
        <v>6305</v>
      </c>
      <c r="B1963" s="1" t="s">
        <v>76</v>
      </c>
      <c r="C1963" s="1" t="s">
        <v>6306</v>
      </c>
      <c r="D1963" s="1" t="s">
        <v>27</v>
      </c>
      <c r="E1963" s="1" t="s">
        <v>28</v>
      </c>
      <c r="F1963" s="2">
        <v>500000.0</v>
      </c>
      <c r="G1963" s="1" t="s">
        <v>359</v>
      </c>
      <c r="H1963" s="4">
        <f>IFERROR(__xludf.DUMMYFUNCTION("DATE(INDEX(SPLIT(G1963,""/""),,3),INDEX(SPLIT(G1963,""/""),,2),INDEX(SPLIT(G1963,""/""),,1))"),44740.0)</f>
        <v>44740</v>
      </c>
      <c r="I1963" s="1" t="s">
        <v>109</v>
      </c>
      <c r="J1963" s="4">
        <f>IFERROR(__xludf.DUMMYFUNCTION("DATE(INDEX(SPLIT(I1963,""/""),,3),INDEX(SPLIT(I1963,""/""),,2),INDEX(SPLIT(I1963,""/""),,1))"),44834.0)</f>
        <v>44834</v>
      </c>
      <c r="L1963" s="1">
        <v>0.0</v>
      </c>
      <c r="M1963" s="1" t="s">
        <v>79</v>
      </c>
      <c r="N1963" s="1"/>
      <c r="O1963" s="1" t="s">
        <v>30</v>
      </c>
      <c r="P1963" s="1" t="s">
        <v>31</v>
      </c>
      <c r="Q1963" s="1" t="s">
        <v>32</v>
      </c>
      <c r="R1963" s="1" t="s">
        <v>32</v>
      </c>
      <c r="S1963" s="1" t="s">
        <v>33</v>
      </c>
      <c r="T1963" s="1" t="s">
        <v>34</v>
      </c>
      <c r="U1963" s="1">
        <v>1.00609569E8</v>
      </c>
      <c r="X1963" s="1" t="s">
        <v>81</v>
      </c>
      <c r="Y1963" s="1" t="s">
        <v>79</v>
      </c>
      <c r="Z1963" s="1" t="s">
        <v>37</v>
      </c>
    </row>
    <row r="1964" hidden="1">
      <c r="A1964" s="1" t="s">
        <v>6307</v>
      </c>
      <c r="B1964" s="1" t="s">
        <v>6308</v>
      </c>
      <c r="C1964" s="1" t="s">
        <v>6309</v>
      </c>
      <c r="D1964" s="1" t="s">
        <v>27</v>
      </c>
      <c r="E1964" s="1" t="s">
        <v>28</v>
      </c>
      <c r="F1964" s="2">
        <v>500000.0</v>
      </c>
      <c r="G1964" s="1" t="s">
        <v>576</v>
      </c>
      <c r="H1964" s="4">
        <f>IFERROR(__xludf.DUMMYFUNCTION("DATE(INDEX(SPLIT(G1964,""/""),,3),INDEX(SPLIT(G1964,""/""),,2),INDEX(SPLIT(G1964,""/""),,1))"),44614.0)</f>
        <v>44614</v>
      </c>
      <c r="I1964" s="1" t="s">
        <v>85</v>
      </c>
      <c r="J1964" s="4">
        <f>IFERROR(__xludf.DUMMYFUNCTION("DATE(INDEX(SPLIT(I1964,""/""),,3),INDEX(SPLIT(I1964,""/""),,2),INDEX(SPLIT(I1964,""/""),,1))"),44799.0)</f>
        <v>44799</v>
      </c>
      <c r="L1964" s="1">
        <v>0.0</v>
      </c>
      <c r="M1964" s="1" t="s">
        <v>6310</v>
      </c>
      <c r="N1964" s="1"/>
      <c r="O1964" s="1" t="s">
        <v>30</v>
      </c>
      <c r="P1964" s="1" t="s">
        <v>31</v>
      </c>
      <c r="Q1964" s="1" t="s">
        <v>157</v>
      </c>
      <c r="R1964" s="1" t="s">
        <v>157</v>
      </c>
      <c r="S1964" s="1" t="s">
        <v>158</v>
      </c>
      <c r="U1964" s="1">
        <v>1.00620162E8</v>
      </c>
      <c r="X1964" s="1" t="s">
        <v>63</v>
      </c>
      <c r="Y1964" s="1" t="s">
        <v>6310</v>
      </c>
      <c r="Z1964" s="1" t="s">
        <v>37</v>
      </c>
    </row>
    <row r="1965" hidden="1">
      <c r="A1965" s="1" t="s">
        <v>6311</v>
      </c>
      <c r="B1965" s="1" t="s">
        <v>6312</v>
      </c>
      <c r="C1965" s="1" t="s">
        <v>6313</v>
      </c>
      <c r="D1965" s="1" t="s">
        <v>27</v>
      </c>
      <c r="E1965" s="1" t="s">
        <v>28</v>
      </c>
      <c r="F1965" s="2">
        <v>500000.0</v>
      </c>
      <c r="G1965" s="1" t="s">
        <v>6314</v>
      </c>
      <c r="H1965" s="4">
        <f>IFERROR(__xludf.DUMMYFUNCTION("DATE(INDEX(SPLIT(G1965,""/""),,3),INDEX(SPLIT(G1965,""/""),,2),INDEX(SPLIT(G1965,""/""),,1))"),44286.0)</f>
        <v>44286</v>
      </c>
      <c r="I1965" s="1" t="s">
        <v>535</v>
      </c>
      <c r="J1965" s="4">
        <f>IFERROR(__xludf.DUMMYFUNCTION("DATE(INDEX(SPLIT(I1965,""/""),,3),INDEX(SPLIT(I1965,""/""),,2),INDEX(SPLIT(I1965,""/""),,1))"),44957.0)</f>
        <v>44957</v>
      </c>
      <c r="L1965" s="1">
        <v>0.0</v>
      </c>
      <c r="M1965" s="1" t="s">
        <v>1439</v>
      </c>
      <c r="N1965" s="1"/>
      <c r="O1965" s="1" t="s">
        <v>30</v>
      </c>
      <c r="P1965" s="1" t="s">
        <v>31</v>
      </c>
      <c r="Q1965" s="1" t="s">
        <v>32</v>
      </c>
      <c r="R1965" s="1" t="s">
        <v>32</v>
      </c>
      <c r="S1965" s="1" t="s">
        <v>33</v>
      </c>
      <c r="T1965" s="1" t="s">
        <v>103</v>
      </c>
      <c r="U1965" s="1">
        <v>1.00585872E8</v>
      </c>
      <c r="X1965" s="1" t="s">
        <v>46</v>
      </c>
      <c r="Y1965" s="1" t="s">
        <v>1439</v>
      </c>
      <c r="Z1965" s="1" t="s">
        <v>37</v>
      </c>
    </row>
    <row r="1966" hidden="1">
      <c r="A1966" s="1" t="s">
        <v>6315</v>
      </c>
      <c r="B1966" s="1" t="s">
        <v>2642</v>
      </c>
      <c r="C1966" s="1" t="s">
        <v>6316</v>
      </c>
      <c r="D1966" s="1" t="s">
        <v>122</v>
      </c>
      <c r="E1966" s="1" t="s">
        <v>28</v>
      </c>
      <c r="F1966" s="2">
        <v>500000.0</v>
      </c>
      <c r="G1966" s="1" t="s">
        <v>6317</v>
      </c>
      <c r="H1966" s="4">
        <f>IFERROR(__xludf.DUMMYFUNCTION("DATE(INDEX(SPLIT(G1966,""/""),,3),INDEX(SPLIT(G1966,""/""),,2),INDEX(SPLIT(G1966,""/""),,1))"),44217.0)</f>
        <v>44217</v>
      </c>
      <c r="I1966" s="1" t="s">
        <v>535</v>
      </c>
      <c r="J1966" s="4">
        <f>IFERROR(__xludf.DUMMYFUNCTION("DATE(INDEX(SPLIT(I1966,""/""),,3),INDEX(SPLIT(I1966,""/""),,2),INDEX(SPLIT(I1966,""/""),,1))"),44957.0)</f>
        <v>44957</v>
      </c>
      <c r="L1966" s="1">
        <v>0.0</v>
      </c>
      <c r="M1966" s="1" t="s">
        <v>1723</v>
      </c>
      <c r="N1966" s="1"/>
      <c r="O1966" s="1" t="s">
        <v>30</v>
      </c>
      <c r="P1966" s="1" t="s">
        <v>31</v>
      </c>
      <c r="Q1966" s="1" t="s">
        <v>157</v>
      </c>
      <c r="R1966" s="1" t="s">
        <v>157</v>
      </c>
      <c r="S1966" s="1" t="s">
        <v>158</v>
      </c>
      <c r="T1966" s="1" t="s">
        <v>159</v>
      </c>
      <c r="U1966" s="1">
        <v>1.00654085E8</v>
      </c>
      <c r="X1966" s="1" t="s">
        <v>74</v>
      </c>
      <c r="Y1966" s="1" t="s">
        <v>2241</v>
      </c>
      <c r="Z1966" s="1" t="s">
        <v>37</v>
      </c>
    </row>
    <row r="1967">
      <c r="A1967" s="1" t="s">
        <v>6318</v>
      </c>
      <c r="B1967" s="1" t="s">
        <v>3532</v>
      </c>
      <c r="C1967" s="1" t="s">
        <v>6319</v>
      </c>
      <c r="D1967" s="1" t="s">
        <v>78</v>
      </c>
      <c r="E1967" s="1" t="s">
        <v>28</v>
      </c>
      <c r="F1967" s="2">
        <v>500000.0</v>
      </c>
      <c r="G1967" s="4">
        <v>44598.0</v>
      </c>
      <c r="H1967" s="4">
        <f>IFERROR(__xludf.DUMMYFUNCTION("DATE(INDEX(SPLIT(G1967,""/""),,3),INDEX(SPLIT(G1967,""/""),,2),INDEX(SPLIT(G1967,""/""),,1))"),44714.0)</f>
        <v>44714</v>
      </c>
      <c r="I1967" s="1" t="s">
        <v>518</v>
      </c>
      <c r="J1967" s="4">
        <f>IFERROR(__xludf.DUMMYFUNCTION("DATE(INDEX(SPLIT(I1967,""/""),,3),INDEX(SPLIT(I1967,""/""),,2),INDEX(SPLIT(I1967,""/""),,1))"),44757.0)</f>
        <v>44757</v>
      </c>
      <c r="L1967" s="1">
        <v>0.0</v>
      </c>
      <c r="M1967" s="1" t="s">
        <v>2551</v>
      </c>
      <c r="N1967" s="1"/>
      <c r="O1967" s="1" t="s">
        <v>30</v>
      </c>
      <c r="P1967" s="1" t="s">
        <v>31</v>
      </c>
      <c r="Q1967" s="1" t="s">
        <v>95</v>
      </c>
      <c r="R1967" s="1" t="s">
        <v>95</v>
      </c>
      <c r="S1967" s="1" t="s">
        <v>96</v>
      </c>
      <c r="T1967" s="1" t="s">
        <v>111</v>
      </c>
      <c r="U1967" s="1">
        <v>1.00660092E8</v>
      </c>
      <c r="X1967" s="1" t="s">
        <v>63</v>
      </c>
      <c r="Y1967" s="1" t="s">
        <v>6320</v>
      </c>
      <c r="Z1967" s="1" t="s">
        <v>37</v>
      </c>
    </row>
    <row r="1968" hidden="1">
      <c r="A1968" s="1" t="s">
        <v>6321</v>
      </c>
      <c r="B1968" s="1" t="s">
        <v>1158</v>
      </c>
      <c r="C1968" s="1" t="s">
        <v>6322</v>
      </c>
      <c r="D1968" s="1" t="s">
        <v>27</v>
      </c>
      <c r="E1968" s="1" t="s">
        <v>28</v>
      </c>
      <c r="F1968" s="2">
        <v>500000.0</v>
      </c>
      <c r="G1968" s="4">
        <v>44565.0</v>
      </c>
      <c r="H1968" s="4">
        <f>IFERROR(__xludf.DUMMYFUNCTION("DATE(INDEX(SPLIT(G1968,""/""),,3),INDEX(SPLIT(G1968,""/""),,2),INDEX(SPLIT(G1968,""/""),,1))"),44652.0)</f>
        <v>44652</v>
      </c>
      <c r="I1968" s="1" t="s">
        <v>130</v>
      </c>
      <c r="J1968" s="4">
        <f>IFERROR(__xludf.DUMMYFUNCTION("DATE(INDEX(SPLIT(I1968,""/""),,3),INDEX(SPLIT(I1968,""/""),,2),INDEX(SPLIT(I1968,""/""),,1))"),44804.0)</f>
        <v>44804</v>
      </c>
      <c r="L1968" s="1">
        <v>0.0</v>
      </c>
      <c r="M1968" s="1" t="s">
        <v>2464</v>
      </c>
      <c r="N1968" s="1"/>
      <c r="O1968" s="1" t="s">
        <v>30</v>
      </c>
      <c r="P1968" s="1" t="s">
        <v>31</v>
      </c>
      <c r="Q1968" s="1" t="s">
        <v>157</v>
      </c>
      <c r="R1968" s="1" t="s">
        <v>157</v>
      </c>
      <c r="S1968" s="1" t="s">
        <v>158</v>
      </c>
      <c r="T1968" s="1" t="s">
        <v>159</v>
      </c>
      <c r="U1968" s="1">
        <v>1.00589278E8</v>
      </c>
      <c r="X1968" s="1" t="s">
        <v>88</v>
      </c>
      <c r="Y1968" s="1" t="s">
        <v>6323</v>
      </c>
      <c r="Z1968" s="1" t="s">
        <v>37</v>
      </c>
    </row>
    <row r="1969" hidden="1">
      <c r="A1969" s="1" t="s">
        <v>6324</v>
      </c>
      <c r="B1969" s="1" t="s">
        <v>1371</v>
      </c>
      <c r="C1969" s="1" t="s">
        <v>6325</v>
      </c>
      <c r="D1969" s="1" t="s">
        <v>27</v>
      </c>
      <c r="E1969" s="1" t="s">
        <v>28</v>
      </c>
      <c r="F1969" s="2">
        <v>500000.0</v>
      </c>
      <c r="G1969" s="1" t="s">
        <v>164</v>
      </c>
      <c r="H1969" s="4">
        <f>IFERROR(__xludf.DUMMYFUNCTION("DATE(INDEX(SPLIT(G1969,""/""),,3),INDEX(SPLIT(G1969,""/""),,2),INDEX(SPLIT(G1969,""/""),,1))"),44706.0)</f>
        <v>44706</v>
      </c>
      <c r="I1969" s="1" t="s">
        <v>42</v>
      </c>
      <c r="J1969" s="4">
        <f>IFERROR(__xludf.DUMMYFUNCTION("DATE(INDEX(SPLIT(I1969,""/""),,3),INDEX(SPLIT(I1969,""/""),,2),INDEX(SPLIT(I1969,""/""),,1))"),44926.0)</f>
        <v>44926</v>
      </c>
      <c r="L1969" s="1">
        <v>0.0</v>
      </c>
      <c r="M1969" s="1" t="s">
        <v>1484</v>
      </c>
      <c r="N1969" s="1"/>
      <c r="O1969" s="1" t="s">
        <v>30</v>
      </c>
      <c r="P1969" s="1" t="s">
        <v>31</v>
      </c>
      <c r="Q1969" s="1" t="s">
        <v>95</v>
      </c>
      <c r="R1969" s="1" t="s">
        <v>95</v>
      </c>
      <c r="S1969" s="1" t="s">
        <v>96</v>
      </c>
      <c r="T1969" s="1" t="s">
        <v>111</v>
      </c>
      <c r="U1969" s="1">
        <v>1.00585718E8</v>
      </c>
      <c r="X1969" s="1" t="s">
        <v>63</v>
      </c>
      <c r="Y1969" s="1" t="s">
        <v>3541</v>
      </c>
      <c r="Z1969" s="1" t="s">
        <v>37</v>
      </c>
    </row>
    <row r="1970" hidden="1">
      <c r="A1970" s="1" t="s">
        <v>6326</v>
      </c>
      <c r="B1970" s="1" t="s">
        <v>6099</v>
      </c>
      <c r="C1970" s="1" t="s">
        <v>6327</v>
      </c>
      <c r="D1970" s="1" t="s">
        <v>78</v>
      </c>
      <c r="E1970" s="1" t="s">
        <v>28</v>
      </c>
      <c r="F1970" s="2">
        <v>500000.0</v>
      </c>
      <c r="G1970" s="4">
        <v>44477.0</v>
      </c>
      <c r="H1970" s="4">
        <f>IFERROR(__xludf.DUMMYFUNCTION("DATE(INDEX(SPLIT(G1970,""/""),,3),INDEX(SPLIT(G1970,""/""),,2),INDEX(SPLIT(G1970,""/""),,1))"),44418.0)</f>
        <v>44418</v>
      </c>
      <c r="I1970" s="4">
        <v>44569.0</v>
      </c>
      <c r="J1970" s="4">
        <f>IFERROR(__xludf.DUMMYFUNCTION("DATE(INDEX(SPLIT(I1970,""/""),,3),INDEX(SPLIT(I1970,""/""),,2),INDEX(SPLIT(I1970,""/""),,1))"),44774.0)</f>
        <v>44774</v>
      </c>
      <c r="K1970" s="1" t="s">
        <v>6328</v>
      </c>
      <c r="L1970" s="1">
        <v>0.0</v>
      </c>
      <c r="M1970" s="1" t="s">
        <v>2312</v>
      </c>
      <c r="N1970" s="1"/>
      <c r="O1970" s="1" t="s">
        <v>30</v>
      </c>
      <c r="P1970" s="1" t="s">
        <v>31</v>
      </c>
      <c r="Q1970" s="1" t="s">
        <v>32</v>
      </c>
      <c r="R1970" s="1" t="s">
        <v>32</v>
      </c>
      <c r="S1970" s="1" t="s">
        <v>33</v>
      </c>
      <c r="T1970" s="1" t="s">
        <v>103</v>
      </c>
      <c r="U1970" s="1">
        <v>1.00610903E8</v>
      </c>
      <c r="X1970" s="1" t="s">
        <v>361</v>
      </c>
      <c r="Y1970" s="1" t="s">
        <v>2312</v>
      </c>
      <c r="Z1970" s="1" t="s">
        <v>37</v>
      </c>
    </row>
    <row r="1971" hidden="1">
      <c r="A1971" s="1" t="s">
        <v>6329</v>
      </c>
      <c r="B1971" s="1" t="s">
        <v>997</v>
      </c>
      <c r="C1971" s="1" t="s">
        <v>6330</v>
      </c>
      <c r="D1971" s="1" t="s">
        <v>122</v>
      </c>
      <c r="E1971" s="1" t="s">
        <v>28</v>
      </c>
      <c r="F1971" s="2">
        <v>500000.0</v>
      </c>
      <c r="G1971" s="4">
        <v>44626.0</v>
      </c>
      <c r="H1971" s="4">
        <f>IFERROR(__xludf.DUMMYFUNCTION("DATE(INDEX(SPLIT(G1971,""/""),,3),INDEX(SPLIT(G1971,""/""),,2),INDEX(SPLIT(G1971,""/""),,1))"),44715.0)</f>
        <v>44715</v>
      </c>
      <c r="I1971" s="1" t="s">
        <v>109</v>
      </c>
      <c r="J1971" s="4">
        <f>IFERROR(__xludf.DUMMYFUNCTION("DATE(INDEX(SPLIT(I1971,""/""),,3),INDEX(SPLIT(I1971,""/""),,2),INDEX(SPLIT(I1971,""/""),,1))"),44834.0)</f>
        <v>44834</v>
      </c>
      <c r="L1971" s="1">
        <v>0.0</v>
      </c>
      <c r="M1971" s="1" t="s">
        <v>2043</v>
      </c>
      <c r="N1971" s="1"/>
      <c r="O1971" s="1" t="s">
        <v>30</v>
      </c>
      <c r="P1971" s="1" t="s">
        <v>31</v>
      </c>
      <c r="Q1971" s="1" t="s">
        <v>53</v>
      </c>
      <c r="R1971" s="1" t="s">
        <v>53</v>
      </c>
      <c r="S1971" s="1" t="s">
        <v>54</v>
      </c>
      <c r="U1971" s="1">
        <v>1.00624533E8</v>
      </c>
      <c r="W1971" s="1" t="s">
        <v>261</v>
      </c>
      <c r="X1971" s="1" t="s">
        <v>410</v>
      </c>
      <c r="Y1971" s="1" t="s">
        <v>2061</v>
      </c>
      <c r="Z1971" s="1" t="s">
        <v>206</v>
      </c>
    </row>
    <row r="1972" hidden="1">
      <c r="A1972" s="1" t="s">
        <v>6331</v>
      </c>
      <c r="B1972" s="1" t="s">
        <v>6332</v>
      </c>
      <c r="C1972" s="1" t="s">
        <v>6333</v>
      </c>
      <c r="D1972" s="1" t="s">
        <v>78</v>
      </c>
      <c r="E1972" s="1" t="s">
        <v>28</v>
      </c>
      <c r="F1972" s="2">
        <v>500000.0</v>
      </c>
      <c r="G1972" s="4">
        <v>44872.0</v>
      </c>
      <c r="H1972" s="4">
        <f>IFERROR(__xludf.DUMMYFUNCTION("DATE(INDEX(SPLIT(G1972,""/""),,3),INDEX(SPLIT(G1972,""/""),,2),INDEX(SPLIT(G1972,""/""),,1))"),44753.0)</f>
        <v>44753</v>
      </c>
      <c r="I1972" s="4">
        <v>44601.0</v>
      </c>
      <c r="J1972" s="4">
        <f>IFERROR(__xludf.DUMMYFUNCTION("DATE(INDEX(SPLIT(I1972,""/""),,3),INDEX(SPLIT(I1972,""/""),,2),INDEX(SPLIT(I1972,""/""),,1))"),44806.0)</f>
        <v>44806</v>
      </c>
      <c r="L1972" s="1">
        <v>0.0</v>
      </c>
      <c r="M1972" s="1" t="s">
        <v>4274</v>
      </c>
      <c r="N1972" s="1"/>
      <c r="O1972" s="1" t="s">
        <v>30</v>
      </c>
      <c r="P1972" s="1" t="s">
        <v>31</v>
      </c>
      <c r="Q1972" s="1" t="s">
        <v>235</v>
      </c>
      <c r="R1972" s="1" t="s">
        <v>235</v>
      </c>
      <c r="S1972" s="1" t="s">
        <v>236</v>
      </c>
      <c r="U1972" s="1">
        <v>1.00628891E8</v>
      </c>
      <c r="X1972" s="1" t="s">
        <v>609</v>
      </c>
      <c r="Y1972" s="1" t="s">
        <v>4274</v>
      </c>
      <c r="Z1972" s="1" t="s">
        <v>37</v>
      </c>
    </row>
    <row r="1973" hidden="1">
      <c r="A1973" s="1" t="s">
        <v>6334</v>
      </c>
      <c r="B1973" s="1" t="s">
        <v>906</v>
      </c>
      <c r="C1973" s="1" t="s">
        <v>6335</v>
      </c>
      <c r="D1973" s="1" t="s">
        <v>122</v>
      </c>
      <c r="E1973" s="1" t="s">
        <v>28</v>
      </c>
      <c r="F1973" s="2">
        <v>500000.0</v>
      </c>
      <c r="G1973" s="1" t="s">
        <v>5115</v>
      </c>
      <c r="H1973" s="4">
        <f>IFERROR(__xludf.DUMMYFUNCTION("DATE(INDEX(SPLIT(G1973,""/""),,3),INDEX(SPLIT(G1973,""/""),,2),INDEX(SPLIT(G1973,""/""),,1))"),44530.0)</f>
        <v>44530</v>
      </c>
      <c r="I1973" s="1" t="s">
        <v>683</v>
      </c>
      <c r="J1973" s="4">
        <f>IFERROR(__xludf.DUMMYFUNCTION("DATE(INDEX(SPLIT(I1973,""/""),,3),INDEX(SPLIT(I1973,""/""),,2),INDEX(SPLIT(I1973,""/""),,1))"),45015.0)</f>
        <v>45015</v>
      </c>
      <c r="L1973" s="1">
        <v>0.0</v>
      </c>
      <c r="M1973" s="1" t="s">
        <v>211</v>
      </c>
      <c r="N1973" s="1"/>
      <c r="O1973" s="1" t="s">
        <v>30</v>
      </c>
      <c r="P1973" s="1" t="s">
        <v>31</v>
      </c>
      <c r="Q1973" s="1" t="s">
        <v>71</v>
      </c>
      <c r="R1973" s="1" t="s">
        <v>71</v>
      </c>
      <c r="S1973" s="1" t="s">
        <v>72</v>
      </c>
      <c r="T1973" s="1" t="s">
        <v>136</v>
      </c>
      <c r="U1973" s="1">
        <v>1.00590896E8</v>
      </c>
      <c r="X1973" s="1" t="s">
        <v>74</v>
      </c>
      <c r="Y1973" s="1" t="s">
        <v>211</v>
      </c>
      <c r="Z1973" s="1" t="s">
        <v>37</v>
      </c>
    </row>
    <row r="1974" hidden="1">
      <c r="A1974" s="1" t="s">
        <v>6336</v>
      </c>
      <c r="B1974" s="1" t="s">
        <v>251</v>
      </c>
      <c r="C1974" s="1" t="s">
        <v>6337</v>
      </c>
      <c r="D1974" s="1" t="s">
        <v>122</v>
      </c>
      <c r="E1974" s="1" t="s">
        <v>28</v>
      </c>
      <c r="F1974" s="2">
        <v>500000.0</v>
      </c>
      <c r="G1974" s="4">
        <v>44595.0</v>
      </c>
      <c r="H1974" s="4">
        <f>IFERROR(__xludf.DUMMYFUNCTION("DATE(INDEX(SPLIT(G1974,""/""),,3),INDEX(SPLIT(G1974,""/""),,2),INDEX(SPLIT(G1974,""/""),,1))"),44622.0)</f>
        <v>44622</v>
      </c>
      <c r="I1974" s="1" t="s">
        <v>203</v>
      </c>
      <c r="J1974" s="4">
        <f>IFERROR(__xludf.DUMMYFUNCTION("DATE(INDEX(SPLIT(I1974,""/""),,3),INDEX(SPLIT(I1974,""/""),,2),INDEX(SPLIT(I1974,""/""),,1))"),44925.0)</f>
        <v>44925</v>
      </c>
      <c r="L1974" s="1">
        <v>0.0</v>
      </c>
      <c r="M1974" s="1" t="s">
        <v>808</v>
      </c>
      <c r="N1974" s="1"/>
      <c r="O1974" s="1" t="s">
        <v>30</v>
      </c>
      <c r="P1974" s="1" t="s">
        <v>31</v>
      </c>
      <c r="Q1974" s="1" t="s">
        <v>228</v>
      </c>
      <c r="R1974" s="1" t="s">
        <v>228</v>
      </c>
      <c r="S1974" s="1" t="s">
        <v>229</v>
      </c>
      <c r="T1974" s="1" t="s">
        <v>505</v>
      </c>
      <c r="U1974" s="1">
        <v>1.00609871E8</v>
      </c>
      <c r="X1974" s="1" t="s">
        <v>254</v>
      </c>
      <c r="Y1974" s="1" t="s">
        <v>5951</v>
      </c>
      <c r="Z1974" s="1" t="s">
        <v>37</v>
      </c>
    </row>
    <row r="1975">
      <c r="A1975" s="1" t="s">
        <v>6338</v>
      </c>
      <c r="B1975" s="1" t="s">
        <v>6339</v>
      </c>
      <c r="C1975" s="1" t="s">
        <v>6340</v>
      </c>
      <c r="D1975" s="1" t="s">
        <v>122</v>
      </c>
      <c r="E1975" s="1" t="s">
        <v>28</v>
      </c>
      <c r="F1975" s="2">
        <v>500000.0</v>
      </c>
      <c r="G1975" s="4">
        <v>44448.0</v>
      </c>
      <c r="H1975" s="4">
        <f>IFERROR(__xludf.DUMMYFUNCTION("DATE(INDEX(SPLIT(G1975,""/""),,3),INDEX(SPLIT(G1975,""/""),,2),INDEX(SPLIT(G1975,""/""),,1))"),44448.0)</f>
        <v>44448</v>
      </c>
      <c r="I1975" s="1" t="s">
        <v>1501</v>
      </c>
      <c r="J1975" s="4">
        <f>IFERROR(__xludf.DUMMYFUNCTION("DATE(INDEX(SPLIT(I1975,""/""),,3),INDEX(SPLIT(I1975,""/""),,2),INDEX(SPLIT(I1975,""/""),,1))"),44711.0)</f>
        <v>44711</v>
      </c>
      <c r="L1975" s="1">
        <v>0.0</v>
      </c>
      <c r="M1975" s="1" t="s">
        <v>984</v>
      </c>
      <c r="N1975" s="1"/>
      <c r="O1975" s="1" t="s">
        <v>30</v>
      </c>
      <c r="P1975" s="1" t="s">
        <v>31</v>
      </c>
      <c r="Q1975" s="1" t="s">
        <v>157</v>
      </c>
      <c r="R1975" s="1" t="s">
        <v>157</v>
      </c>
      <c r="S1975" s="1" t="s">
        <v>158</v>
      </c>
      <c r="T1975" s="1" t="s">
        <v>159</v>
      </c>
      <c r="U1975" s="1">
        <v>1.00611358E8</v>
      </c>
      <c r="X1975" s="1" t="s">
        <v>490</v>
      </c>
      <c r="Y1975" s="1" t="s">
        <v>984</v>
      </c>
      <c r="Z1975" s="1" t="s">
        <v>37</v>
      </c>
    </row>
    <row r="1976" hidden="1">
      <c r="A1976" s="1" t="s">
        <v>6341</v>
      </c>
      <c r="B1976" s="1" t="s">
        <v>5699</v>
      </c>
      <c r="C1976" s="1" t="s">
        <v>6342</v>
      </c>
      <c r="D1976" s="1" t="s">
        <v>27</v>
      </c>
      <c r="E1976" s="1" t="s">
        <v>28</v>
      </c>
      <c r="F1976" s="2">
        <v>500000.0</v>
      </c>
      <c r="G1976" s="4">
        <v>44202.0</v>
      </c>
      <c r="H1976" s="4">
        <f>IFERROR(__xludf.DUMMYFUNCTION("DATE(INDEX(SPLIT(G1976,""/""),,3),INDEX(SPLIT(G1976,""/""),,2),INDEX(SPLIT(G1976,""/""),,1))"),44348.0)</f>
        <v>44348</v>
      </c>
      <c r="I1976" s="1" t="s">
        <v>109</v>
      </c>
      <c r="J1976" s="4">
        <f>IFERROR(__xludf.DUMMYFUNCTION("DATE(INDEX(SPLIT(I1976,""/""),,3),INDEX(SPLIT(I1976,""/""),,2),INDEX(SPLIT(I1976,""/""),,1))"),44834.0)</f>
        <v>44834</v>
      </c>
      <c r="L1976" s="1">
        <v>0.0</v>
      </c>
      <c r="M1976" s="1" t="s">
        <v>1514</v>
      </c>
      <c r="N1976" s="1"/>
      <c r="O1976" s="1" t="s">
        <v>30</v>
      </c>
      <c r="P1976" s="1" t="s">
        <v>31</v>
      </c>
      <c r="Q1976" s="1" t="s">
        <v>71</v>
      </c>
      <c r="R1976" s="1" t="s">
        <v>71</v>
      </c>
      <c r="S1976" s="1" t="s">
        <v>72</v>
      </c>
      <c r="T1976" s="1" t="s">
        <v>615</v>
      </c>
      <c r="U1976" s="1">
        <v>1.006324E8</v>
      </c>
      <c r="X1976" s="1" t="s">
        <v>490</v>
      </c>
      <c r="Y1976" s="1" t="s">
        <v>1514</v>
      </c>
      <c r="Z1976" s="1" t="s">
        <v>37</v>
      </c>
    </row>
    <row r="1977" hidden="1">
      <c r="A1977" s="1" t="s">
        <v>6343</v>
      </c>
      <c r="B1977" s="1" t="s">
        <v>5574</v>
      </c>
      <c r="C1977" s="1" t="s">
        <v>6344</v>
      </c>
      <c r="D1977" s="1" t="s">
        <v>78</v>
      </c>
      <c r="E1977" s="1" t="s">
        <v>28</v>
      </c>
      <c r="F1977" s="2">
        <v>500000.0</v>
      </c>
      <c r="G1977" s="4">
        <v>44412.0</v>
      </c>
      <c r="H1977" s="4">
        <f>IFERROR(__xludf.DUMMYFUNCTION("DATE(INDEX(SPLIT(G1977,""/""),,3),INDEX(SPLIT(G1977,""/""),,2),INDEX(SPLIT(G1977,""/""),,1))"),44294.0)</f>
        <v>44294</v>
      </c>
      <c r="I1977" s="1" t="s">
        <v>171</v>
      </c>
      <c r="J1977" s="4">
        <f>IFERROR(__xludf.DUMMYFUNCTION("DATE(INDEX(SPLIT(I1977,""/""),,3),INDEX(SPLIT(I1977,""/""),,2),INDEX(SPLIT(I1977,""/""),,1))"),45077.0)</f>
        <v>45077</v>
      </c>
      <c r="L1977" s="1">
        <v>0.0</v>
      </c>
      <c r="M1977" s="1" t="s">
        <v>1544</v>
      </c>
      <c r="N1977" s="1"/>
      <c r="O1977" s="1" t="s">
        <v>30</v>
      </c>
      <c r="P1977" s="1" t="s">
        <v>31</v>
      </c>
      <c r="Q1977" s="1" t="s">
        <v>71</v>
      </c>
      <c r="R1977" s="1" t="s">
        <v>71</v>
      </c>
      <c r="S1977" s="1" t="s">
        <v>72</v>
      </c>
      <c r="T1977" s="1" t="s">
        <v>136</v>
      </c>
      <c r="U1977" s="1">
        <v>1.00619692E8</v>
      </c>
      <c r="X1977" s="1" t="s">
        <v>74</v>
      </c>
      <c r="Y1977" s="1" t="s">
        <v>1544</v>
      </c>
      <c r="Z1977" s="1" t="s">
        <v>37</v>
      </c>
    </row>
    <row r="1978" hidden="1">
      <c r="A1978" s="1" t="s">
        <v>6345</v>
      </c>
      <c r="B1978" s="1" t="s">
        <v>3429</v>
      </c>
      <c r="C1978" s="1" t="s">
        <v>6346</v>
      </c>
      <c r="D1978" s="1" t="s">
        <v>78</v>
      </c>
      <c r="E1978" s="1" t="s">
        <v>28</v>
      </c>
      <c r="F1978" s="2">
        <v>500000.0</v>
      </c>
      <c r="G1978" s="1" t="s">
        <v>779</v>
      </c>
      <c r="H1978" s="4">
        <f>IFERROR(__xludf.DUMMYFUNCTION("DATE(INDEX(SPLIT(G1978,""/""),,3),INDEX(SPLIT(G1978,""/""),,2),INDEX(SPLIT(G1978,""/""),,1))"),44734.0)</f>
        <v>44734</v>
      </c>
      <c r="I1978" s="4">
        <v>44601.0</v>
      </c>
      <c r="J1978" s="4">
        <f>IFERROR(__xludf.DUMMYFUNCTION("DATE(INDEX(SPLIT(I1978,""/""),,3),INDEX(SPLIT(I1978,""/""),,2),INDEX(SPLIT(I1978,""/""),,1))"),44806.0)</f>
        <v>44806</v>
      </c>
      <c r="L1978" s="1">
        <v>0.0</v>
      </c>
      <c r="M1978" s="1" t="s">
        <v>61</v>
      </c>
      <c r="N1978" s="1"/>
      <c r="O1978" s="1" t="s">
        <v>30</v>
      </c>
      <c r="P1978" s="1" t="s">
        <v>31</v>
      </c>
      <c r="Q1978" s="1" t="s">
        <v>32</v>
      </c>
      <c r="R1978" s="1" t="s">
        <v>32</v>
      </c>
      <c r="S1978" s="1" t="s">
        <v>33</v>
      </c>
      <c r="T1978" s="1" t="s">
        <v>103</v>
      </c>
      <c r="U1978" s="1">
        <v>1.0060843E8</v>
      </c>
      <c r="X1978" s="1" t="s">
        <v>63</v>
      </c>
      <c r="Y1978" s="1" t="s">
        <v>61</v>
      </c>
      <c r="Z1978" s="1" t="s">
        <v>37</v>
      </c>
    </row>
    <row r="1979" hidden="1">
      <c r="A1979" s="1" t="s">
        <v>6347</v>
      </c>
      <c r="B1979" s="1" t="s">
        <v>2415</v>
      </c>
      <c r="C1979" s="1" t="s">
        <v>6348</v>
      </c>
      <c r="D1979" s="1" t="s">
        <v>122</v>
      </c>
      <c r="E1979" s="1" t="s">
        <v>28</v>
      </c>
      <c r="F1979" s="2">
        <v>500000.0</v>
      </c>
      <c r="G1979" s="4">
        <v>44716.0</v>
      </c>
      <c r="H1979" s="4">
        <f>IFERROR(__xludf.DUMMYFUNCTION("DATE(INDEX(SPLIT(G1979,""/""),,3),INDEX(SPLIT(G1979,""/""),,2),INDEX(SPLIT(G1979,""/""),,1))"),44657.0)</f>
        <v>44657</v>
      </c>
      <c r="I1979" s="1" t="s">
        <v>85</v>
      </c>
      <c r="J1979" s="4">
        <f>IFERROR(__xludf.DUMMYFUNCTION("DATE(INDEX(SPLIT(I1979,""/""),,3),INDEX(SPLIT(I1979,""/""),,2),INDEX(SPLIT(I1979,""/""),,1))"),44799.0)</f>
        <v>44799</v>
      </c>
      <c r="L1979" s="1">
        <v>0.0</v>
      </c>
      <c r="M1979" s="1" t="s">
        <v>512</v>
      </c>
      <c r="N1979" s="1"/>
      <c r="O1979" s="1" t="s">
        <v>30</v>
      </c>
      <c r="P1979" s="1" t="s">
        <v>31</v>
      </c>
      <c r="Q1979" s="1" t="s">
        <v>228</v>
      </c>
      <c r="R1979" s="1" t="s">
        <v>228</v>
      </c>
      <c r="S1979" s="1" t="s">
        <v>229</v>
      </c>
      <c r="T1979" s="1" t="s">
        <v>513</v>
      </c>
      <c r="U1979" s="1">
        <v>1.00654864E8</v>
      </c>
      <c r="X1979" s="1" t="s">
        <v>239</v>
      </c>
      <c r="Y1979" s="1" t="s">
        <v>6349</v>
      </c>
      <c r="Z1979" s="1" t="s">
        <v>37</v>
      </c>
    </row>
    <row r="1980" hidden="1">
      <c r="A1980" s="1" t="s">
        <v>6350</v>
      </c>
      <c r="B1980" s="1" t="s">
        <v>6351</v>
      </c>
      <c r="C1980" s="1" t="s">
        <v>6352</v>
      </c>
      <c r="D1980" s="1" t="s">
        <v>27</v>
      </c>
      <c r="E1980" s="1" t="s">
        <v>28</v>
      </c>
      <c r="F1980" s="2">
        <v>500000.0</v>
      </c>
      <c r="G1980" s="1" t="s">
        <v>836</v>
      </c>
      <c r="H1980" s="4">
        <f>IFERROR(__xludf.DUMMYFUNCTION("DATE(INDEX(SPLIT(G1980,""/""),,3),INDEX(SPLIT(G1980,""/""),,2),INDEX(SPLIT(G1980,""/""),,1))"),44610.0)</f>
        <v>44610</v>
      </c>
      <c r="I1980" s="1" t="s">
        <v>109</v>
      </c>
      <c r="J1980" s="4">
        <f>IFERROR(__xludf.DUMMYFUNCTION("DATE(INDEX(SPLIT(I1980,""/""),,3),INDEX(SPLIT(I1980,""/""),,2),INDEX(SPLIT(I1980,""/""),,1))"),44834.0)</f>
        <v>44834</v>
      </c>
      <c r="L1980" s="1">
        <v>0.0</v>
      </c>
      <c r="M1980" s="1" t="s">
        <v>6353</v>
      </c>
      <c r="N1980" s="1"/>
      <c r="O1980" s="1" t="s">
        <v>30</v>
      </c>
      <c r="P1980" s="1" t="s">
        <v>31</v>
      </c>
      <c r="Q1980" s="1" t="s">
        <v>53</v>
      </c>
      <c r="R1980" s="1" t="s">
        <v>53</v>
      </c>
      <c r="S1980" s="1" t="s">
        <v>54</v>
      </c>
      <c r="U1980" s="1">
        <v>1.00609257E8</v>
      </c>
      <c r="X1980" s="1" t="s">
        <v>239</v>
      </c>
      <c r="Y1980" s="1" t="s">
        <v>6354</v>
      </c>
      <c r="Z1980" s="1" t="s">
        <v>37</v>
      </c>
    </row>
    <row r="1981" hidden="1">
      <c r="A1981" s="1" t="s">
        <v>6355</v>
      </c>
      <c r="B1981" s="1" t="s">
        <v>6356</v>
      </c>
      <c r="C1981" s="1" t="s">
        <v>6357</v>
      </c>
      <c r="D1981" s="1" t="s">
        <v>27</v>
      </c>
      <c r="E1981" s="1" t="s">
        <v>28</v>
      </c>
      <c r="F1981" s="2">
        <v>500000.0</v>
      </c>
      <c r="G1981" s="4">
        <v>44870.0</v>
      </c>
      <c r="H1981" s="4">
        <f>IFERROR(__xludf.DUMMYFUNCTION("DATE(INDEX(SPLIT(G1981,""/""),,3),INDEX(SPLIT(G1981,""/""),,2),INDEX(SPLIT(G1981,""/""),,1))"),44692.0)</f>
        <v>44692</v>
      </c>
      <c r="I1981" s="1" t="s">
        <v>430</v>
      </c>
      <c r="J1981" s="4">
        <f>IFERROR(__xludf.DUMMYFUNCTION("DATE(INDEX(SPLIT(I1981,""/""),,3),INDEX(SPLIT(I1981,""/""),,2),INDEX(SPLIT(I1981,""/""),,1))"),44985.0)</f>
        <v>44985</v>
      </c>
      <c r="L1981" s="1">
        <v>0.0</v>
      </c>
      <c r="M1981" s="1" t="s">
        <v>1230</v>
      </c>
      <c r="N1981" s="1"/>
      <c r="O1981" s="1" t="s">
        <v>30</v>
      </c>
      <c r="P1981" s="1" t="s">
        <v>31</v>
      </c>
      <c r="Q1981" s="1" t="s">
        <v>53</v>
      </c>
      <c r="R1981" s="1" t="s">
        <v>53</v>
      </c>
      <c r="S1981" s="1" t="s">
        <v>54</v>
      </c>
      <c r="U1981" s="1">
        <v>1.01127868E8</v>
      </c>
      <c r="X1981" s="1" t="s">
        <v>312</v>
      </c>
      <c r="Y1981" s="1" t="s">
        <v>2367</v>
      </c>
      <c r="Z1981" s="1" t="s">
        <v>37</v>
      </c>
    </row>
    <row r="1982" hidden="1">
      <c r="A1982" s="1" t="s">
        <v>6358</v>
      </c>
      <c r="B1982" s="1" t="s">
        <v>2400</v>
      </c>
      <c r="C1982" s="1" t="s">
        <v>6359</v>
      </c>
      <c r="D1982" s="1" t="s">
        <v>122</v>
      </c>
      <c r="E1982" s="1" t="s">
        <v>28</v>
      </c>
      <c r="F1982" s="2">
        <v>500000.0</v>
      </c>
      <c r="G1982" s="1" t="s">
        <v>1442</v>
      </c>
      <c r="H1982" s="4">
        <f>IFERROR(__xludf.DUMMYFUNCTION("DATE(INDEX(SPLIT(G1982,""/""),,3),INDEX(SPLIT(G1982,""/""),,2),INDEX(SPLIT(G1982,""/""),,1))"),44727.0)</f>
        <v>44727</v>
      </c>
      <c r="I1982" s="4">
        <v>44570.0</v>
      </c>
      <c r="J1982" s="4">
        <f>IFERROR(__xludf.DUMMYFUNCTION("DATE(INDEX(SPLIT(I1982,""/""),,3),INDEX(SPLIT(I1982,""/""),,2),INDEX(SPLIT(I1982,""/""),,1))"),44805.0)</f>
        <v>44805</v>
      </c>
      <c r="L1982" s="1">
        <v>0.0</v>
      </c>
      <c r="M1982" s="1" t="s">
        <v>6360</v>
      </c>
      <c r="N1982" s="1"/>
      <c r="O1982" s="1" t="s">
        <v>30</v>
      </c>
      <c r="P1982" s="1" t="s">
        <v>31</v>
      </c>
      <c r="Q1982" s="1" t="s">
        <v>53</v>
      </c>
      <c r="R1982" s="1" t="s">
        <v>53</v>
      </c>
      <c r="S1982" s="1" t="s">
        <v>54</v>
      </c>
      <c r="T1982" s="1" t="s">
        <v>1386</v>
      </c>
      <c r="U1982" s="1">
        <v>1.00599107E8</v>
      </c>
      <c r="X1982" s="1" t="s">
        <v>781</v>
      </c>
      <c r="Y1982" s="1" t="s">
        <v>2402</v>
      </c>
      <c r="Z1982" s="1" t="s">
        <v>37</v>
      </c>
    </row>
    <row r="1983" hidden="1">
      <c r="A1983" s="1" t="s">
        <v>6361</v>
      </c>
      <c r="B1983" s="1" t="s">
        <v>152</v>
      </c>
      <c r="C1983" s="1" t="s">
        <v>6322</v>
      </c>
      <c r="D1983" s="1" t="s">
        <v>27</v>
      </c>
      <c r="E1983" s="1" t="s">
        <v>28</v>
      </c>
      <c r="F1983" s="2">
        <v>500000.0</v>
      </c>
      <c r="G1983" s="4">
        <v>44565.0</v>
      </c>
      <c r="H1983" s="4">
        <f>IFERROR(__xludf.DUMMYFUNCTION("DATE(INDEX(SPLIT(G1983,""/""),,3),INDEX(SPLIT(G1983,""/""),,2),INDEX(SPLIT(G1983,""/""),,1))"),44652.0)</f>
        <v>44652</v>
      </c>
      <c r="I1983" s="4">
        <v>44752.0</v>
      </c>
      <c r="J1983" s="4">
        <f>IFERROR(__xludf.DUMMYFUNCTION("DATE(INDEX(SPLIT(I1983,""/""),,3),INDEX(SPLIT(I1983,""/""),,2),INDEX(SPLIT(I1983,""/""),,1))"),44841.0)</f>
        <v>44841</v>
      </c>
      <c r="L1983" s="1">
        <v>0.0</v>
      </c>
      <c r="M1983" s="1" t="s">
        <v>2123</v>
      </c>
      <c r="N1983" s="1"/>
      <c r="O1983" s="1" t="s">
        <v>30</v>
      </c>
      <c r="P1983" s="1" t="s">
        <v>31</v>
      </c>
      <c r="Q1983" s="1" t="s">
        <v>157</v>
      </c>
      <c r="R1983" s="1" t="s">
        <v>157</v>
      </c>
      <c r="S1983" s="1" t="s">
        <v>158</v>
      </c>
      <c r="T1983" s="1" t="s">
        <v>159</v>
      </c>
      <c r="U1983" s="1">
        <v>1.00589248E8</v>
      </c>
      <c r="X1983" s="1" t="s">
        <v>35</v>
      </c>
      <c r="Y1983" s="1" t="s">
        <v>6323</v>
      </c>
      <c r="Z1983" s="1" t="s">
        <v>37</v>
      </c>
    </row>
    <row r="1984">
      <c r="A1984" s="1" t="s">
        <v>6362</v>
      </c>
      <c r="B1984" s="1" t="s">
        <v>2265</v>
      </c>
      <c r="C1984" s="1" t="s">
        <v>6363</v>
      </c>
      <c r="D1984" s="1" t="s">
        <v>27</v>
      </c>
      <c r="E1984" s="1" t="s">
        <v>28</v>
      </c>
      <c r="F1984" s="2">
        <v>500000.0</v>
      </c>
      <c r="G1984" s="4">
        <v>44565.0</v>
      </c>
      <c r="H1984" s="4">
        <f>IFERROR(__xludf.DUMMYFUNCTION("DATE(INDEX(SPLIT(G1984,""/""),,3),INDEX(SPLIT(G1984,""/""),,2),INDEX(SPLIT(G1984,""/""),,1))"),44652.0)</f>
        <v>44652</v>
      </c>
      <c r="I1984" s="1" t="s">
        <v>69</v>
      </c>
      <c r="J1984" s="4">
        <f>IFERROR(__xludf.DUMMYFUNCTION("DATE(INDEX(SPLIT(I1984,""/""),,3),INDEX(SPLIT(I1984,""/""),,2),INDEX(SPLIT(I1984,""/""),,1))"),44773.0)</f>
        <v>44773</v>
      </c>
      <c r="L1984" s="1">
        <v>0.0</v>
      </c>
      <c r="M1984" s="1" t="s">
        <v>951</v>
      </c>
      <c r="N1984" s="1"/>
      <c r="O1984" s="1" t="s">
        <v>30</v>
      </c>
      <c r="P1984" s="1" t="s">
        <v>31</v>
      </c>
      <c r="Q1984" s="1" t="s">
        <v>157</v>
      </c>
      <c r="R1984" s="1" t="s">
        <v>157</v>
      </c>
      <c r="S1984" s="1" t="s">
        <v>158</v>
      </c>
      <c r="T1984" s="1" t="s">
        <v>159</v>
      </c>
      <c r="U1984" s="1">
        <v>1.00653269E8</v>
      </c>
      <c r="X1984" s="1" t="s">
        <v>239</v>
      </c>
      <c r="Y1984" s="1" t="s">
        <v>6323</v>
      </c>
      <c r="Z1984" s="1" t="s">
        <v>37</v>
      </c>
    </row>
    <row r="1985" hidden="1">
      <c r="A1985" s="1" t="s">
        <v>6364</v>
      </c>
      <c r="B1985" s="1" t="s">
        <v>4826</v>
      </c>
      <c r="C1985" s="1" t="s">
        <v>6365</v>
      </c>
      <c r="D1985" s="1" t="s">
        <v>78</v>
      </c>
      <c r="E1985" s="1" t="s">
        <v>28</v>
      </c>
      <c r="F1985" s="2">
        <v>500000.0</v>
      </c>
      <c r="G1985" s="4">
        <v>44229.0</v>
      </c>
      <c r="H1985" s="4">
        <f>IFERROR(__xludf.DUMMYFUNCTION("DATE(INDEX(SPLIT(G1985,""/""),,3),INDEX(SPLIT(G1985,""/""),,2),INDEX(SPLIT(G1985,""/""),,1))"),44229.0)</f>
        <v>44229</v>
      </c>
      <c r="I1985" s="1" t="s">
        <v>109</v>
      </c>
      <c r="J1985" s="4">
        <f>IFERROR(__xludf.DUMMYFUNCTION("DATE(INDEX(SPLIT(I1985,""/""),,3),INDEX(SPLIT(I1985,""/""),,2),INDEX(SPLIT(I1985,""/""),,1))"),44834.0)</f>
        <v>44834</v>
      </c>
      <c r="L1985" s="1">
        <v>0.0</v>
      </c>
      <c r="M1985" s="1" t="s">
        <v>1348</v>
      </c>
      <c r="N1985" s="1"/>
      <c r="O1985" s="1" t="s">
        <v>30</v>
      </c>
      <c r="P1985" s="1" t="s">
        <v>31</v>
      </c>
      <c r="Q1985" s="1" t="s">
        <v>235</v>
      </c>
      <c r="R1985" s="1" t="s">
        <v>235</v>
      </c>
      <c r="S1985" s="1" t="s">
        <v>236</v>
      </c>
      <c r="T1985" s="1" t="s">
        <v>1349</v>
      </c>
      <c r="U1985" s="1">
        <v>1.00660608E8</v>
      </c>
      <c r="X1985" s="1" t="s">
        <v>609</v>
      </c>
      <c r="Y1985" s="1" t="s">
        <v>5864</v>
      </c>
      <c r="Z1985" s="1" t="s">
        <v>37</v>
      </c>
    </row>
    <row r="1986" hidden="1">
      <c r="A1986" s="1" t="s">
        <v>6366</v>
      </c>
      <c r="B1986" s="1" t="s">
        <v>1463</v>
      </c>
      <c r="C1986" s="1" t="s">
        <v>6367</v>
      </c>
      <c r="D1986" s="1" t="s">
        <v>78</v>
      </c>
      <c r="E1986" s="1" t="s">
        <v>28</v>
      </c>
      <c r="F1986" s="2">
        <v>500000.0</v>
      </c>
      <c r="G1986" s="4">
        <v>43562.0</v>
      </c>
      <c r="H1986" s="4">
        <f>IFERROR(__xludf.DUMMYFUNCTION("DATE(INDEX(SPLIT(G1986,""/""),,3),INDEX(SPLIT(G1986,""/""),,2),INDEX(SPLIT(G1986,""/""),,1))"),43650.0)</f>
        <v>43650</v>
      </c>
      <c r="I1986" s="1" t="s">
        <v>42</v>
      </c>
      <c r="J1986" s="4">
        <f>IFERROR(__xludf.DUMMYFUNCTION("DATE(INDEX(SPLIT(I1986,""/""),,3),INDEX(SPLIT(I1986,""/""),,2),INDEX(SPLIT(I1986,""/""),,1))"),44926.0)</f>
        <v>44926</v>
      </c>
      <c r="L1986" s="1">
        <v>0.0</v>
      </c>
      <c r="M1986" s="1" t="s">
        <v>979</v>
      </c>
      <c r="N1986" s="1"/>
      <c r="O1986" s="1" t="s">
        <v>30</v>
      </c>
      <c r="P1986" s="1" t="s">
        <v>31</v>
      </c>
      <c r="Q1986" s="1" t="s">
        <v>235</v>
      </c>
      <c r="R1986" s="1" t="s">
        <v>235</v>
      </c>
      <c r="S1986" s="1" t="s">
        <v>236</v>
      </c>
      <c r="T1986" s="1" t="s">
        <v>438</v>
      </c>
      <c r="U1986" s="1">
        <v>1.00647262E8</v>
      </c>
      <c r="X1986" s="1" t="s">
        <v>88</v>
      </c>
      <c r="Y1986" s="1" t="s">
        <v>1582</v>
      </c>
      <c r="Z1986" s="1" t="s">
        <v>37</v>
      </c>
    </row>
    <row r="1987" hidden="1">
      <c r="A1987" s="1" t="s">
        <v>6368</v>
      </c>
      <c r="B1987" s="1" t="s">
        <v>6369</v>
      </c>
      <c r="C1987" s="1" t="s">
        <v>6370</v>
      </c>
      <c r="D1987" s="1" t="s">
        <v>78</v>
      </c>
      <c r="E1987" s="1" t="s">
        <v>28</v>
      </c>
      <c r="F1987" s="2">
        <v>500000.0</v>
      </c>
      <c r="G1987" s="1" t="s">
        <v>751</v>
      </c>
      <c r="H1987" s="4">
        <f>IFERROR(__xludf.DUMMYFUNCTION("DATE(INDEX(SPLIT(G1987,""/""),,3),INDEX(SPLIT(G1987,""/""),,2),INDEX(SPLIT(G1987,""/""),,1))"),44519.0)</f>
        <v>44519</v>
      </c>
      <c r="I1987" s="1" t="s">
        <v>130</v>
      </c>
      <c r="J1987" s="4">
        <f>IFERROR(__xludf.DUMMYFUNCTION("DATE(INDEX(SPLIT(I1987,""/""),,3),INDEX(SPLIT(I1987,""/""),,2),INDEX(SPLIT(I1987,""/""),,1))"),44804.0)</f>
        <v>44804</v>
      </c>
      <c r="L1987" s="1">
        <v>0.0</v>
      </c>
      <c r="M1987" s="1" t="s">
        <v>1532</v>
      </c>
      <c r="N1987" s="1"/>
      <c r="O1987" s="1" t="s">
        <v>30</v>
      </c>
      <c r="P1987" s="1" t="s">
        <v>31</v>
      </c>
      <c r="Q1987" s="1" t="s">
        <v>228</v>
      </c>
      <c r="R1987" s="1" t="s">
        <v>228</v>
      </c>
      <c r="S1987" s="1" t="s">
        <v>229</v>
      </c>
      <c r="T1987" s="1" t="s">
        <v>640</v>
      </c>
      <c r="U1987" s="1">
        <v>1.00711752E8</v>
      </c>
      <c r="X1987" s="1" t="s">
        <v>46</v>
      </c>
      <c r="Y1987" s="1" t="s">
        <v>6371</v>
      </c>
      <c r="Z1987" s="1" t="s">
        <v>37</v>
      </c>
    </row>
    <row r="1988" hidden="1">
      <c r="A1988" s="1" t="s">
        <v>6372</v>
      </c>
      <c r="B1988" s="1" t="s">
        <v>6373</v>
      </c>
      <c r="C1988" s="1" t="s">
        <v>6374</v>
      </c>
      <c r="D1988" s="1" t="s">
        <v>27</v>
      </c>
      <c r="E1988" s="1" t="s">
        <v>28</v>
      </c>
      <c r="F1988" s="2">
        <v>500000.0</v>
      </c>
      <c r="G1988" s="4">
        <v>44626.0</v>
      </c>
      <c r="H1988" s="4">
        <f>IFERROR(__xludf.DUMMYFUNCTION("DATE(INDEX(SPLIT(G1988,""/""),,3),INDEX(SPLIT(G1988,""/""),,2),INDEX(SPLIT(G1988,""/""),,1))"),44715.0)</f>
        <v>44715</v>
      </c>
      <c r="I1988" s="1" t="s">
        <v>42</v>
      </c>
      <c r="J1988" s="4">
        <f>IFERROR(__xludf.DUMMYFUNCTION("DATE(INDEX(SPLIT(I1988,""/""),,3),INDEX(SPLIT(I1988,""/""),,2),INDEX(SPLIT(I1988,""/""),,1))"),44926.0)</f>
        <v>44926</v>
      </c>
      <c r="L1988" s="1">
        <v>0.0</v>
      </c>
      <c r="M1988" s="1" t="s">
        <v>4705</v>
      </c>
      <c r="N1988" s="1"/>
      <c r="O1988" s="1" t="s">
        <v>30</v>
      </c>
      <c r="P1988" s="1" t="s">
        <v>31</v>
      </c>
      <c r="Q1988" s="1" t="s">
        <v>95</v>
      </c>
      <c r="R1988" s="1" t="s">
        <v>95</v>
      </c>
      <c r="S1988" s="1" t="s">
        <v>96</v>
      </c>
      <c r="U1988" s="1">
        <v>1.00615309E8</v>
      </c>
      <c r="X1988" s="1" t="s">
        <v>254</v>
      </c>
      <c r="Y1988" s="1" t="s">
        <v>4705</v>
      </c>
      <c r="Z1988" s="1" t="s">
        <v>527</v>
      </c>
    </row>
    <row r="1989" hidden="1">
      <c r="A1989" s="1" t="s">
        <v>6375</v>
      </c>
      <c r="B1989" s="1" t="s">
        <v>1603</v>
      </c>
      <c r="C1989" s="1" t="s">
        <v>6376</v>
      </c>
      <c r="D1989" s="1" t="s">
        <v>122</v>
      </c>
      <c r="E1989" s="1" t="s">
        <v>28</v>
      </c>
      <c r="F1989" s="2">
        <v>500000.0</v>
      </c>
      <c r="G1989" s="4">
        <v>44262.0</v>
      </c>
      <c r="H1989" s="4">
        <f>IFERROR(__xludf.DUMMYFUNCTION("DATE(INDEX(SPLIT(G1989,""/""),,3),INDEX(SPLIT(G1989,""/""),,2),INDEX(SPLIT(G1989,""/""),,1))"),44380.0)</f>
        <v>44380</v>
      </c>
      <c r="I1989" s="4">
        <v>44570.0</v>
      </c>
      <c r="J1989" s="4">
        <f>IFERROR(__xludf.DUMMYFUNCTION("DATE(INDEX(SPLIT(I1989,""/""),,3),INDEX(SPLIT(I1989,""/""),,2),INDEX(SPLIT(I1989,""/""),,1))"),44805.0)</f>
        <v>44805</v>
      </c>
      <c r="L1989" s="1">
        <v>0.0</v>
      </c>
      <c r="M1989" s="1" t="s">
        <v>4117</v>
      </c>
      <c r="N1989" s="1"/>
      <c r="O1989" s="1" t="s">
        <v>30</v>
      </c>
      <c r="P1989" s="1" t="s">
        <v>31</v>
      </c>
      <c r="Q1989" s="1" t="s">
        <v>95</v>
      </c>
      <c r="R1989" s="1" t="s">
        <v>95</v>
      </c>
      <c r="S1989" s="1" t="s">
        <v>96</v>
      </c>
      <c r="T1989" s="1" t="s">
        <v>217</v>
      </c>
      <c r="U1989" s="1">
        <v>1.00658777E8</v>
      </c>
      <c r="X1989" s="1" t="s">
        <v>81</v>
      </c>
      <c r="Y1989" s="1" t="s">
        <v>6377</v>
      </c>
      <c r="Z1989" s="1" t="s">
        <v>206</v>
      </c>
    </row>
    <row r="1990">
      <c r="A1990" s="1" t="s">
        <v>6378</v>
      </c>
      <c r="B1990" s="1" t="s">
        <v>3446</v>
      </c>
      <c r="C1990" s="1" t="s">
        <v>6379</v>
      </c>
      <c r="D1990" s="1" t="s">
        <v>27</v>
      </c>
      <c r="E1990" s="1" t="s">
        <v>28</v>
      </c>
      <c r="F1990" s="2">
        <v>500000.0</v>
      </c>
      <c r="G1990" s="4">
        <v>44565.0</v>
      </c>
      <c r="H1990" s="4">
        <f>IFERROR(__xludf.DUMMYFUNCTION("DATE(INDEX(SPLIT(G1990,""/""),,3),INDEX(SPLIT(G1990,""/""),,2),INDEX(SPLIT(G1990,""/""),,1))"),44652.0)</f>
        <v>44652</v>
      </c>
      <c r="I1990" s="1" t="s">
        <v>1244</v>
      </c>
      <c r="J1990" s="4">
        <f>IFERROR(__xludf.DUMMYFUNCTION("DATE(INDEX(SPLIT(I1990,""/""),,3),INDEX(SPLIT(I1990,""/""),,2),INDEX(SPLIT(I1990,""/""),,1))"),44742.0)</f>
        <v>44742</v>
      </c>
      <c r="L1990" s="1">
        <v>0.0</v>
      </c>
      <c r="M1990" s="1" t="s">
        <v>951</v>
      </c>
      <c r="N1990" s="1"/>
      <c r="O1990" s="1" t="s">
        <v>30</v>
      </c>
      <c r="P1990" s="1" t="s">
        <v>31</v>
      </c>
      <c r="Q1990" s="1" t="s">
        <v>157</v>
      </c>
      <c r="R1990" s="1" t="s">
        <v>157</v>
      </c>
      <c r="S1990" s="1" t="s">
        <v>158</v>
      </c>
      <c r="T1990" s="1" t="s">
        <v>159</v>
      </c>
      <c r="U1990" s="1">
        <v>1.00653269E8</v>
      </c>
      <c r="X1990" s="1" t="s">
        <v>63</v>
      </c>
      <c r="Y1990" s="1" t="s">
        <v>6323</v>
      </c>
      <c r="Z1990" s="1" t="s">
        <v>37</v>
      </c>
    </row>
    <row r="1991">
      <c r="A1991" s="1" t="s">
        <v>6380</v>
      </c>
      <c r="B1991" s="1" t="s">
        <v>1070</v>
      </c>
      <c r="C1991" s="1" t="s">
        <v>6322</v>
      </c>
      <c r="D1991" s="1" t="s">
        <v>27</v>
      </c>
      <c r="E1991" s="1" t="s">
        <v>28</v>
      </c>
      <c r="F1991" s="2">
        <v>500000.0</v>
      </c>
      <c r="G1991" s="4">
        <v>44565.0</v>
      </c>
      <c r="H1991" s="4">
        <f>IFERROR(__xludf.DUMMYFUNCTION("DATE(INDEX(SPLIT(G1991,""/""),,3),INDEX(SPLIT(G1991,""/""),,2),INDEX(SPLIT(G1991,""/""),,1))"),44652.0)</f>
        <v>44652</v>
      </c>
      <c r="I1991" s="1" t="s">
        <v>1244</v>
      </c>
      <c r="J1991" s="4">
        <f>IFERROR(__xludf.DUMMYFUNCTION("DATE(INDEX(SPLIT(I1991,""/""),,3),INDEX(SPLIT(I1991,""/""),,2),INDEX(SPLIT(I1991,""/""),,1))"),44742.0)</f>
        <v>44742</v>
      </c>
      <c r="L1991" s="1">
        <v>0.0</v>
      </c>
      <c r="M1991" s="1" t="s">
        <v>951</v>
      </c>
      <c r="N1991" s="1"/>
      <c r="O1991" s="1" t="s">
        <v>30</v>
      </c>
      <c r="P1991" s="1" t="s">
        <v>31</v>
      </c>
      <c r="Q1991" s="1" t="s">
        <v>157</v>
      </c>
      <c r="R1991" s="1" t="s">
        <v>157</v>
      </c>
      <c r="S1991" s="1" t="s">
        <v>158</v>
      </c>
      <c r="T1991" s="1" t="s">
        <v>159</v>
      </c>
      <c r="U1991" s="1">
        <v>1.00653269E8</v>
      </c>
      <c r="X1991" s="1" t="s">
        <v>305</v>
      </c>
      <c r="Y1991" s="1" t="s">
        <v>6323</v>
      </c>
      <c r="Z1991" s="1" t="s">
        <v>37</v>
      </c>
    </row>
    <row r="1992">
      <c r="A1992" s="1" t="s">
        <v>6381</v>
      </c>
      <c r="B1992" s="1" t="s">
        <v>370</v>
      </c>
      <c r="C1992" s="1" t="s">
        <v>6382</v>
      </c>
      <c r="D1992" s="1" t="s">
        <v>27</v>
      </c>
      <c r="E1992" s="1" t="s">
        <v>28</v>
      </c>
      <c r="F1992" s="2">
        <v>500000.0</v>
      </c>
      <c r="G1992" s="4">
        <v>44872.0</v>
      </c>
      <c r="H1992" s="4">
        <f>IFERROR(__xludf.DUMMYFUNCTION("DATE(INDEX(SPLIT(G1992,""/""),,3),INDEX(SPLIT(G1992,""/""),,2),INDEX(SPLIT(G1992,""/""),,1))"),44753.0)</f>
        <v>44753</v>
      </c>
      <c r="I1992" s="1" t="s">
        <v>226</v>
      </c>
      <c r="J1992" s="4">
        <f>IFERROR(__xludf.DUMMYFUNCTION("DATE(INDEX(SPLIT(I1992,""/""),,3),INDEX(SPLIT(I1992,""/""),,2),INDEX(SPLIT(I1992,""/""),,1))"),44771.0)</f>
        <v>44771</v>
      </c>
      <c r="L1992" s="1">
        <v>0.0</v>
      </c>
      <c r="M1992" s="1" t="s">
        <v>234</v>
      </c>
      <c r="N1992" s="1"/>
      <c r="O1992" s="1" t="s">
        <v>30</v>
      </c>
      <c r="P1992" s="1" t="s">
        <v>31</v>
      </c>
      <c r="Q1992" s="1" t="s">
        <v>235</v>
      </c>
      <c r="R1992" s="1" t="s">
        <v>235</v>
      </c>
      <c r="S1992" s="1" t="s">
        <v>236</v>
      </c>
      <c r="T1992" s="1" t="s">
        <v>237</v>
      </c>
      <c r="U1992" s="1">
        <v>1.00658132E8</v>
      </c>
      <c r="X1992" s="1" t="s">
        <v>239</v>
      </c>
      <c r="Y1992" s="1" t="s">
        <v>234</v>
      </c>
      <c r="Z1992" s="1" t="s">
        <v>37</v>
      </c>
    </row>
    <row r="1993">
      <c r="A1993" s="1" t="s">
        <v>6383</v>
      </c>
      <c r="B1993" s="1" t="s">
        <v>6384</v>
      </c>
      <c r="C1993" s="1" t="s">
        <v>6385</v>
      </c>
      <c r="D1993" s="1" t="s">
        <v>78</v>
      </c>
      <c r="E1993" s="1" t="s">
        <v>28</v>
      </c>
      <c r="F1993" s="2">
        <v>500000.0</v>
      </c>
      <c r="G1993" s="1" t="s">
        <v>2309</v>
      </c>
      <c r="H1993" s="4">
        <f>IFERROR(__xludf.DUMMYFUNCTION("DATE(INDEX(SPLIT(G1993,""/""),,3),INDEX(SPLIT(G1993,""/""),,2),INDEX(SPLIT(G1993,""/""),,1))"),44672.0)</f>
        <v>44672</v>
      </c>
      <c r="I1993" s="1" t="s">
        <v>226</v>
      </c>
      <c r="J1993" s="4">
        <f>IFERROR(__xludf.DUMMYFUNCTION("DATE(INDEX(SPLIT(I1993,""/""),,3),INDEX(SPLIT(I1993,""/""),,2),INDEX(SPLIT(I1993,""/""),,1))"),44771.0)</f>
        <v>44771</v>
      </c>
      <c r="L1993" s="1">
        <v>0.0</v>
      </c>
      <c r="M1993" s="1" t="s">
        <v>1333</v>
      </c>
      <c r="N1993" s="1"/>
      <c r="O1993" s="1" t="s">
        <v>30</v>
      </c>
      <c r="P1993" s="1" t="s">
        <v>31</v>
      </c>
      <c r="Q1993" s="1" t="s">
        <v>71</v>
      </c>
      <c r="R1993" s="1" t="s">
        <v>71</v>
      </c>
      <c r="S1993" s="1" t="s">
        <v>72</v>
      </c>
      <c r="T1993" s="1" t="s">
        <v>136</v>
      </c>
      <c r="U1993" s="1">
        <v>1.006299E8</v>
      </c>
      <c r="X1993" s="1" t="s">
        <v>2028</v>
      </c>
      <c r="Y1993" s="1" t="s">
        <v>1333</v>
      </c>
      <c r="Z1993" s="1" t="s">
        <v>37</v>
      </c>
    </row>
    <row r="1994" hidden="1">
      <c r="A1994" s="1" t="s">
        <v>6386</v>
      </c>
      <c r="B1994" s="1" t="s">
        <v>2735</v>
      </c>
      <c r="C1994" s="1" t="s">
        <v>6387</v>
      </c>
      <c r="D1994" s="1" t="s">
        <v>27</v>
      </c>
      <c r="E1994" s="1" t="s">
        <v>28</v>
      </c>
      <c r="F1994" s="2">
        <v>500000.0</v>
      </c>
      <c r="G1994" s="1" t="s">
        <v>394</v>
      </c>
      <c r="H1994" s="4">
        <f>IFERROR(__xludf.DUMMYFUNCTION("DATE(INDEX(SPLIT(G1994,""/""),,3),INDEX(SPLIT(G1994,""/""),,2),INDEX(SPLIT(G1994,""/""),,1))"),44677.0)</f>
        <v>44677</v>
      </c>
      <c r="I1994" s="1" t="s">
        <v>317</v>
      </c>
      <c r="J1994" s="4">
        <f>IFERROR(__xludf.DUMMYFUNCTION("DATE(INDEX(SPLIT(I1994,""/""),,3),INDEX(SPLIT(I1994,""/""),,2),INDEX(SPLIT(I1994,""/""),,1))"),44862.0)</f>
        <v>44862</v>
      </c>
      <c r="L1994" s="1">
        <v>0.0</v>
      </c>
      <c r="M1994" s="1" t="s">
        <v>3138</v>
      </c>
      <c r="N1994" s="1"/>
      <c r="O1994" s="1" t="s">
        <v>30</v>
      </c>
      <c r="P1994" s="1" t="s">
        <v>31</v>
      </c>
      <c r="Q1994" s="1" t="s">
        <v>157</v>
      </c>
      <c r="R1994" s="1" t="s">
        <v>157</v>
      </c>
      <c r="S1994" s="1" t="s">
        <v>158</v>
      </c>
      <c r="T1994" s="1" t="s">
        <v>442</v>
      </c>
      <c r="U1994" s="1">
        <v>1.00616377E8</v>
      </c>
      <c r="X1994" s="1" t="s">
        <v>490</v>
      </c>
      <c r="Y1994" s="1" t="s">
        <v>6388</v>
      </c>
      <c r="Z1994" s="1" t="s">
        <v>37</v>
      </c>
    </row>
    <row r="1995" hidden="1">
      <c r="A1995" s="1" t="s">
        <v>6389</v>
      </c>
      <c r="B1995" s="1" t="s">
        <v>392</v>
      </c>
      <c r="C1995" s="1" t="s">
        <v>6390</v>
      </c>
      <c r="D1995" s="1" t="s">
        <v>122</v>
      </c>
      <c r="E1995" s="1" t="s">
        <v>28</v>
      </c>
      <c r="F1995" s="2">
        <v>500000.0</v>
      </c>
      <c r="G1995" s="1" t="s">
        <v>1259</v>
      </c>
      <c r="H1995" s="4">
        <f>IFERROR(__xludf.DUMMYFUNCTION("DATE(INDEX(SPLIT(G1995,""/""),,3),INDEX(SPLIT(G1995,""/""),,2),INDEX(SPLIT(G1995,""/""),,1))"),44763.0)</f>
        <v>44763</v>
      </c>
      <c r="I1995" s="1" t="s">
        <v>872</v>
      </c>
      <c r="J1995" s="4">
        <f>IFERROR(__xludf.DUMMYFUNCTION("DATE(INDEX(SPLIT(I1995,""/""),,3),INDEX(SPLIT(I1995,""/""),,2),INDEX(SPLIT(I1995,""/""),,1))"),44820.0)</f>
        <v>44820</v>
      </c>
      <c r="L1995" s="1">
        <v>0.0</v>
      </c>
      <c r="M1995" s="1" t="s">
        <v>5017</v>
      </c>
      <c r="N1995" s="1"/>
      <c r="O1995" s="1" t="s">
        <v>30</v>
      </c>
      <c r="P1995" s="1" t="s">
        <v>31</v>
      </c>
      <c r="Q1995" s="1" t="s">
        <v>228</v>
      </c>
      <c r="R1995" s="1" t="s">
        <v>228</v>
      </c>
      <c r="S1995" s="1" t="s">
        <v>229</v>
      </c>
      <c r="T1995" s="1" t="s">
        <v>513</v>
      </c>
      <c r="U1995" s="1">
        <v>1.00620023E8</v>
      </c>
      <c r="X1995" s="1" t="s">
        <v>239</v>
      </c>
      <c r="Y1995" s="1" t="s">
        <v>5017</v>
      </c>
      <c r="Z1995" s="1" t="s">
        <v>37</v>
      </c>
    </row>
    <row r="1996">
      <c r="A1996" s="1" t="s">
        <v>6391</v>
      </c>
      <c r="B1996" s="1" t="s">
        <v>6392</v>
      </c>
      <c r="C1996" s="1" t="s">
        <v>6393</v>
      </c>
      <c r="D1996" s="1" t="s">
        <v>78</v>
      </c>
      <c r="E1996" s="1" t="s">
        <v>28</v>
      </c>
      <c r="F1996" s="2">
        <v>500000.0</v>
      </c>
      <c r="G1996" s="1" t="s">
        <v>164</v>
      </c>
      <c r="H1996" s="4">
        <f>IFERROR(__xludf.DUMMYFUNCTION("DATE(INDEX(SPLIT(G1996,""/""),,3),INDEX(SPLIT(G1996,""/""),,2),INDEX(SPLIT(G1996,""/""),,1))"),44706.0)</f>
        <v>44706</v>
      </c>
      <c r="I1996" s="1" t="s">
        <v>1442</v>
      </c>
      <c r="J1996" s="4">
        <f>IFERROR(__xludf.DUMMYFUNCTION("DATE(INDEX(SPLIT(I1996,""/""),,3),INDEX(SPLIT(I1996,""/""),,2),INDEX(SPLIT(I1996,""/""),,1))"),44727.0)</f>
        <v>44727</v>
      </c>
      <c r="L1996" s="1">
        <v>0.0</v>
      </c>
      <c r="M1996" s="1" t="s">
        <v>2764</v>
      </c>
      <c r="N1996" s="1"/>
      <c r="O1996" s="1" t="s">
        <v>30</v>
      </c>
      <c r="P1996" s="1" t="s">
        <v>31</v>
      </c>
      <c r="Q1996" s="1" t="s">
        <v>157</v>
      </c>
      <c r="R1996" s="1" t="s">
        <v>157</v>
      </c>
      <c r="S1996" s="1" t="s">
        <v>158</v>
      </c>
      <c r="U1996" s="1">
        <v>1.00639477E8</v>
      </c>
      <c r="X1996" s="1" t="s">
        <v>46</v>
      </c>
      <c r="Y1996" s="1" t="s">
        <v>6394</v>
      </c>
      <c r="Z1996" s="1" t="s">
        <v>37</v>
      </c>
    </row>
    <row r="1997" hidden="1">
      <c r="A1997" s="1" t="s">
        <v>6395</v>
      </c>
      <c r="B1997" s="1" t="s">
        <v>39</v>
      </c>
      <c r="C1997" s="1" t="s">
        <v>6396</v>
      </c>
      <c r="D1997" s="1" t="s">
        <v>27</v>
      </c>
      <c r="E1997" s="1" t="s">
        <v>28</v>
      </c>
      <c r="F1997" s="2">
        <v>500000.0</v>
      </c>
      <c r="G1997" s="1" t="s">
        <v>298</v>
      </c>
      <c r="H1997" s="4">
        <f>IFERROR(__xludf.DUMMYFUNCTION("DATE(INDEX(SPLIT(G1997,""/""),,3),INDEX(SPLIT(G1997,""/""),,2),INDEX(SPLIT(G1997,""/""),,1))"),44762.0)</f>
        <v>44762</v>
      </c>
      <c r="I1997" s="1" t="s">
        <v>109</v>
      </c>
      <c r="J1997" s="4">
        <f>IFERROR(__xludf.DUMMYFUNCTION("DATE(INDEX(SPLIT(I1997,""/""),,3),INDEX(SPLIT(I1997,""/""),,2),INDEX(SPLIT(I1997,""/""),,1))"),44834.0)</f>
        <v>44834</v>
      </c>
      <c r="L1997" s="1">
        <v>0.0</v>
      </c>
      <c r="M1997" s="1" t="s">
        <v>43</v>
      </c>
      <c r="N1997" s="1"/>
      <c r="O1997" s="1" t="s">
        <v>30</v>
      </c>
      <c r="P1997" s="1" t="s">
        <v>31</v>
      </c>
      <c r="Q1997" s="1" t="s">
        <v>32</v>
      </c>
      <c r="R1997" s="1" t="s">
        <v>32</v>
      </c>
      <c r="S1997" s="1" t="s">
        <v>33</v>
      </c>
      <c r="U1997" s="1">
        <v>1.00587944E8</v>
      </c>
      <c r="X1997" s="1" t="s">
        <v>46</v>
      </c>
      <c r="Y1997" s="1" t="s">
        <v>104</v>
      </c>
      <c r="Z1997" s="1" t="s">
        <v>37</v>
      </c>
    </row>
    <row r="1998">
      <c r="A1998" s="1" t="s">
        <v>6397</v>
      </c>
      <c r="B1998" s="1" t="s">
        <v>3532</v>
      </c>
      <c r="C1998" s="1" t="s">
        <v>6398</v>
      </c>
      <c r="D1998" s="1" t="s">
        <v>27</v>
      </c>
      <c r="E1998" s="1" t="s">
        <v>28</v>
      </c>
      <c r="F1998" s="2">
        <v>500000.0</v>
      </c>
      <c r="G1998" s="1" t="s">
        <v>3896</v>
      </c>
      <c r="H1998" s="4">
        <f>IFERROR(__xludf.DUMMYFUNCTION("DATE(INDEX(SPLIT(G1998,""/""),,3),INDEX(SPLIT(G1998,""/""),,2),INDEX(SPLIT(G1998,""/""),,1))"),44697.0)</f>
        <v>44697</v>
      </c>
      <c r="I1998" s="1" t="s">
        <v>226</v>
      </c>
      <c r="J1998" s="4">
        <f>IFERROR(__xludf.DUMMYFUNCTION("DATE(INDEX(SPLIT(I1998,""/""),,3),INDEX(SPLIT(I1998,""/""),,2),INDEX(SPLIT(I1998,""/""),,1))"),44771.0)</f>
        <v>44771</v>
      </c>
      <c r="L1998" s="1">
        <v>0.0</v>
      </c>
      <c r="M1998" s="1" t="s">
        <v>2171</v>
      </c>
      <c r="N1998" s="1"/>
      <c r="O1998" s="1" t="s">
        <v>30</v>
      </c>
      <c r="P1998" s="1" t="s">
        <v>31</v>
      </c>
      <c r="Q1998" s="1" t="s">
        <v>53</v>
      </c>
      <c r="R1998" s="1" t="s">
        <v>53</v>
      </c>
      <c r="S1998" s="1" t="s">
        <v>54</v>
      </c>
      <c r="U1998" s="1">
        <v>1.00638494E8</v>
      </c>
      <c r="X1998" s="1" t="s">
        <v>63</v>
      </c>
      <c r="Y1998" s="1" t="s">
        <v>2171</v>
      </c>
      <c r="Z1998" s="1" t="s">
        <v>527</v>
      </c>
    </row>
    <row r="1999">
      <c r="A1999" s="1" t="s">
        <v>6399</v>
      </c>
      <c r="B1999" s="1" t="s">
        <v>4782</v>
      </c>
      <c r="C1999" s="1" t="s">
        <v>6400</v>
      </c>
      <c r="D1999" s="1" t="s">
        <v>78</v>
      </c>
      <c r="E1999" s="1" t="s">
        <v>28</v>
      </c>
      <c r="F1999" s="2">
        <v>500000.0</v>
      </c>
      <c r="G1999" s="4">
        <v>44625.0</v>
      </c>
      <c r="H1999" s="4">
        <f>IFERROR(__xludf.DUMMYFUNCTION("DATE(INDEX(SPLIT(G1999,""/""),,3),INDEX(SPLIT(G1999,""/""),,2),INDEX(SPLIT(G1999,""/""),,1))"),44684.0)</f>
        <v>44684</v>
      </c>
      <c r="I1999" s="1" t="s">
        <v>2300</v>
      </c>
      <c r="J1999" s="4">
        <f>IFERROR(__xludf.DUMMYFUNCTION("DATE(INDEX(SPLIT(I1999,""/""),,3),INDEX(SPLIT(I1999,""/""),,2),INDEX(SPLIT(I1999,""/""),,1))"),44712.0)</f>
        <v>44712</v>
      </c>
      <c r="L1999" s="1">
        <v>0.0</v>
      </c>
      <c r="M1999" s="1" t="s">
        <v>1828</v>
      </c>
      <c r="N1999" s="1"/>
      <c r="O1999" s="1" t="s">
        <v>30</v>
      </c>
      <c r="P1999" s="1" t="s">
        <v>31</v>
      </c>
      <c r="Q1999" s="1" t="s">
        <v>235</v>
      </c>
      <c r="R1999" s="1" t="s">
        <v>235</v>
      </c>
      <c r="S1999" s="1" t="s">
        <v>236</v>
      </c>
      <c r="T1999" s="1" t="s">
        <v>1349</v>
      </c>
      <c r="U1999" s="1">
        <v>1.00593918E8</v>
      </c>
      <c r="X1999" s="1" t="s">
        <v>375</v>
      </c>
      <c r="Y1999" s="1" t="s">
        <v>1350</v>
      </c>
      <c r="Z1999" s="1" t="s">
        <v>37</v>
      </c>
    </row>
    <row r="2000" hidden="1">
      <c r="A2000" s="1" t="s">
        <v>6401</v>
      </c>
      <c r="B2000" s="1" t="s">
        <v>6402</v>
      </c>
      <c r="C2000" s="1" t="s">
        <v>6403</v>
      </c>
      <c r="D2000" s="1" t="s">
        <v>78</v>
      </c>
      <c r="E2000" s="1" t="s">
        <v>28</v>
      </c>
      <c r="F2000" s="2">
        <v>500000.0</v>
      </c>
      <c r="G2000" s="4">
        <v>44357.0</v>
      </c>
      <c r="H2000" s="4">
        <f>IFERROR(__xludf.DUMMYFUNCTION("DATE(INDEX(SPLIT(G2000,""/""),,3),INDEX(SPLIT(G2000,""/""),,2),INDEX(SPLIT(G2000,""/""),,1))"),44475.0)</f>
        <v>44475</v>
      </c>
      <c r="I2000" s="1" t="s">
        <v>109</v>
      </c>
      <c r="J2000" s="4">
        <f>IFERROR(__xludf.DUMMYFUNCTION("DATE(INDEX(SPLIT(I2000,""/""),,3),INDEX(SPLIT(I2000,""/""),,2),INDEX(SPLIT(I2000,""/""),,1))"),44834.0)</f>
        <v>44834</v>
      </c>
      <c r="L2000" s="1">
        <v>0.0</v>
      </c>
      <c r="M2000" s="1" t="s">
        <v>234</v>
      </c>
      <c r="N2000" s="1"/>
      <c r="O2000" s="1" t="s">
        <v>30</v>
      </c>
      <c r="P2000" s="1" t="s">
        <v>31</v>
      </c>
      <c r="Q2000" s="1" t="s">
        <v>235</v>
      </c>
      <c r="R2000" s="1" t="s">
        <v>235</v>
      </c>
      <c r="S2000" s="1" t="s">
        <v>236</v>
      </c>
      <c r="T2000" s="1" t="s">
        <v>237</v>
      </c>
      <c r="U2000" s="1">
        <v>1.00658132E8</v>
      </c>
      <c r="X2000" s="1" t="s">
        <v>239</v>
      </c>
      <c r="Y2000" s="1" t="s">
        <v>234</v>
      </c>
      <c r="Z2000" s="1" t="s">
        <v>37</v>
      </c>
    </row>
    <row r="2001">
      <c r="A2001" s="1" t="s">
        <v>6404</v>
      </c>
      <c r="B2001" s="1" t="s">
        <v>6405</v>
      </c>
      <c r="C2001" s="1" t="s">
        <v>6406</v>
      </c>
      <c r="D2001" s="1" t="s">
        <v>122</v>
      </c>
      <c r="E2001" s="1" t="s">
        <v>28</v>
      </c>
      <c r="F2001" s="2">
        <v>500000.0</v>
      </c>
      <c r="G2001" s="1" t="s">
        <v>2110</v>
      </c>
      <c r="H2001" s="4">
        <f>IFERROR(__xludf.DUMMYFUNCTION("DATE(INDEX(SPLIT(G2001,""/""),,3),INDEX(SPLIT(G2001,""/""),,2),INDEX(SPLIT(G2001,""/""),,1))"),44650.0)</f>
        <v>44650</v>
      </c>
      <c r="I2001" s="1" t="s">
        <v>226</v>
      </c>
      <c r="J2001" s="4">
        <f>IFERROR(__xludf.DUMMYFUNCTION("DATE(INDEX(SPLIT(I2001,""/""),,3),INDEX(SPLIT(I2001,""/""),,2),INDEX(SPLIT(I2001,""/""),,1))"),44771.0)</f>
        <v>44771</v>
      </c>
      <c r="L2001" s="1">
        <v>0.0</v>
      </c>
      <c r="M2001" s="1" t="s">
        <v>2072</v>
      </c>
      <c r="N2001" s="1"/>
      <c r="O2001" s="1" t="s">
        <v>30</v>
      </c>
      <c r="P2001" s="1" t="s">
        <v>31</v>
      </c>
      <c r="Q2001" s="1" t="s">
        <v>71</v>
      </c>
      <c r="R2001" s="1" t="s">
        <v>71</v>
      </c>
      <c r="S2001" s="1" t="s">
        <v>72</v>
      </c>
      <c r="T2001" s="1" t="s">
        <v>136</v>
      </c>
      <c r="U2001" s="1">
        <v>1.00628181E8</v>
      </c>
      <c r="X2001" s="1" t="s">
        <v>74</v>
      </c>
      <c r="Y2001" s="1" t="s">
        <v>5733</v>
      </c>
      <c r="Z2001" s="1" t="s">
        <v>37</v>
      </c>
    </row>
    <row r="2002" hidden="1">
      <c r="A2002" s="1" t="s">
        <v>6407</v>
      </c>
      <c r="B2002" s="1" t="s">
        <v>59</v>
      </c>
      <c r="C2002" s="1" t="s">
        <v>6408</v>
      </c>
      <c r="D2002" s="1" t="s">
        <v>78</v>
      </c>
      <c r="E2002" s="1" t="s">
        <v>28</v>
      </c>
      <c r="F2002" s="2">
        <v>500000.0</v>
      </c>
      <c r="G2002" s="4">
        <v>44746.0</v>
      </c>
      <c r="H2002" s="4">
        <f>IFERROR(__xludf.DUMMYFUNCTION("DATE(INDEX(SPLIT(G2002,""/""),,3),INDEX(SPLIT(G2002,""/""),,2),INDEX(SPLIT(G2002,""/""),,1))"),44658.0)</f>
        <v>44658</v>
      </c>
      <c r="I2002" s="1" t="s">
        <v>109</v>
      </c>
      <c r="J2002" s="4">
        <f>IFERROR(__xludf.DUMMYFUNCTION("DATE(INDEX(SPLIT(I2002,""/""),,3),INDEX(SPLIT(I2002,""/""),,2),INDEX(SPLIT(I2002,""/""),,1))"),44834.0)</f>
        <v>44834</v>
      </c>
      <c r="L2002" s="1">
        <v>0.0</v>
      </c>
      <c r="M2002" s="1" t="s">
        <v>196</v>
      </c>
      <c r="N2002" s="1"/>
      <c r="O2002" s="1" t="s">
        <v>30</v>
      </c>
      <c r="P2002" s="1" t="s">
        <v>31</v>
      </c>
      <c r="Q2002" s="1" t="s">
        <v>53</v>
      </c>
      <c r="R2002" s="1" t="s">
        <v>53</v>
      </c>
      <c r="S2002" s="1" t="s">
        <v>54</v>
      </c>
      <c r="T2002" s="1" t="s">
        <v>197</v>
      </c>
      <c r="U2002" s="1">
        <v>1.00589741E8</v>
      </c>
      <c r="X2002" s="1" t="s">
        <v>63</v>
      </c>
      <c r="Y2002" s="1" t="s">
        <v>3825</v>
      </c>
      <c r="Z2002" s="1" t="s">
        <v>37</v>
      </c>
    </row>
    <row r="2003">
      <c r="A2003" s="1" t="s">
        <v>6409</v>
      </c>
      <c r="B2003" s="1" t="s">
        <v>756</v>
      </c>
      <c r="C2003" s="1" t="s">
        <v>6410</v>
      </c>
      <c r="D2003" s="1" t="s">
        <v>27</v>
      </c>
      <c r="E2003" s="1" t="s">
        <v>28</v>
      </c>
      <c r="F2003" s="2">
        <v>500000.0</v>
      </c>
      <c r="G2003" s="1" t="s">
        <v>934</v>
      </c>
      <c r="H2003" s="4">
        <f>IFERROR(__xludf.DUMMYFUNCTION("DATE(INDEX(SPLIT(G2003,""/""),,3),INDEX(SPLIT(G2003,""/""),,2),INDEX(SPLIT(G2003,""/""),,1))"),44681.0)</f>
        <v>44681</v>
      </c>
      <c r="I2003" s="1" t="s">
        <v>414</v>
      </c>
      <c r="J2003" s="4">
        <f>IFERROR(__xludf.DUMMYFUNCTION("DATE(INDEX(SPLIT(I2003,""/""),,3),INDEX(SPLIT(I2003,""/""),,2),INDEX(SPLIT(I2003,""/""),,1))"),44772.0)</f>
        <v>44772</v>
      </c>
      <c r="L2003" s="1">
        <v>0.0</v>
      </c>
      <c r="M2003" s="1" t="s">
        <v>459</v>
      </c>
      <c r="N2003" s="1"/>
      <c r="O2003" s="1" t="s">
        <v>30</v>
      </c>
      <c r="P2003" s="1" t="s">
        <v>31</v>
      </c>
      <c r="Q2003" s="1" t="s">
        <v>53</v>
      </c>
      <c r="R2003" s="1" t="s">
        <v>53</v>
      </c>
      <c r="S2003" s="1" t="s">
        <v>54</v>
      </c>
      <c r="T2003" s="1" t="s">
        <v>87</v>
      </c>
      <c r="U2003" s="1">
        <v>1.00653756E8</v>
      </c>
      <c r="X2003" s="1" t="s">
        <v>88</v>
      </c>
      <c r="Y2003" s="1" t="s">
        <v>459</v>
      </c>
      <c r="Z2003" s="1" t="s">
        <v>37</v>
      </c>
    </row>
    <row r="2004" hidden="1">
      <c r="A2004" s="1" t="s">
        <v>6411</v>
      </c>
      <c r="B2004" s="1" t="s">
        <v>1050</v>
      </c>
      <c r="C2004" s="1" t="s">
        <v>6412</v>
      </c>
      <c r="D2004" s="1" t="s">
        <v>78</v>
      </c>
      <c r="E2004" s="1" t="s">
        <v>28</v>
      </c>
      <c r="F2004" s="2">
        <v>500000.0</v>
      </c>
      <c r="G2004" s="4">
        <v>44263.0</v>
      </c>
      <c r="H2004" s="4">
        <f>IFERROR(__xludf.DUMMYFUNCTION("DATE(INDEX(SPLIT(G2004,""/""),,3),INDEX(SPLIT(G2004,""/""),,2),INDEX(SPLIT(G2004,""/""),,1))"),44411.0)</f>
        <v>44411</v>
      </c>
      <c r="I2004" s="1" t="s">
        <v>999</v>
      </c>
      <c r="J2004" s="4">
        <f>IFERROR(__xludf.DUMMYFUNCTION("DATE(INDEX(SPLIT(I2004,""/""),,3),INDEX(SPLIT(I2004,""/""),,2),INDEX(SPLIT(I2004,""/""),,1))"),44953.0)</f>
        <v>44953</v>
      </c>
      <c r="L2004" s="1">
        <v>0.0</v>
      </c>
      <c r="M2004" s="1" t="s">
        <v>3123</v>
      </c>
      <c r="N2004" s="1"/>
      <c r="O2004" s="1" t="s">
        <v>30</v>
      </c>
      <c r="P2004" s="1" t="s">
        <v>31</v>
      </c>
      <c r="Q2004" s="1" t="s">
        <v>157</v>
      </c>
      <c r="R2004" s="1" t="s">
        <v>157</v>
      </c>
      <c r="S2004" s="1" t="s">
        <v>158</v>
      </c>
      <c r="T2004" s="1" t="s">
        <v>438</v>
      </c>
      <c r="U2004" s="1">
        <v>1.00875111E8</v>
      </c>
      <c r="X2004" s="1" t="s">
        <v>239</v>
      </c>
      <c r="Y2004" s="1" t="s">
        <v>2481</v>
      </c>
      <c r="Z2004" s="1" t="s">
        <v>37</v>
      </c>
    </row>
    <row r="2005" hidden="1">
      <c r="A2005" s="1" t="s">
        <v>6413</v>
      </c>
      <c r="B2005" s="1" t="s">
        <v>1748</v>
      </c>
      <c r="C2005" s="1" t="s">
        <v>6414</v>
      </c>
      <c r="D2005" s="1" t="s">
        <v>78</v>
      </c>
      <c r="E2005" s="1" t="s">
        <v>28</v>
      </c>
      <c r="F2005" s="2">
        <v>500000.0</v>
      </c>
      <c r="G2005" s="1" t="s">
        <v>940</v>
      </c>
      <c r="H2005" s="4">
        <f>IFERROR(__xludf.DUMMYFUNCTION("DATE(INDEX(SPLIT(G2005,""/""),,3),INDEX(SPLIT(G2005,""/""),,2),INDEX(SPLIT(G2005,""/""),,1))"),44574.0)</f>
        <v>44574</v>
      </c>
      <c r="I2005" s="4">
        <v>44781.0</v>
      </c>
      <c r="J2005" s="4">
        <f>IFERROR(__xludf.DUMMYFUNCTION("DATE(INDEX(SPLIT(I2005,""/""),,3),INDEX(SPLIT(I2005,""/""),,2),INDEX(SPLIT(I2005,""/""),,1))"),44781.0)</f>
        <v>44781</v>
      </c>
      <c r="L2005" s="1">
        <v>0.0</v>
      </c>
      <c r="M2005" s="1" t="s">
        <v>4639</v>
      </c>
      <c r="N2005" s="1"/>
      <c r="O2005" s="1" t="s">
        <v>30</v>
      </c>
      <c r="P2005" s="1" t="s">
        <v>31</v>
      </c>
      <c r="Q2005" s="1" t="s">
        <v>53</v>
      </c>
      <c r="R2005" s="1" t="s">
        <v>53</v>
      </c>
      <c r="S2005" s="1" t="s">
        <v>54</v>
      </c>
      <c r="T2005" s="1" t="s">
        <v>87</v>
      </c>
      <c r="U2005" s="1">
        <v>1.00660049E8</v>
      </c>
      <c r="X2005" s="1" t="s">
        <v>88</v>
      </c>
      <c r="Y2005" s="1" t="s">
        <v>4713</v>
      </c>
      <c r="Z2005" s="1" t="s">
        <v>37</v>
      </c>
    </row>
    <row r="2006" hidden="1">
      <c r="A2006" s="1" t="s">
        <v>6415</v>
      </c>
      <c r="B2006" s="1" t="s">
        <v>1216</v>
      </c>
      <c r="C2006" s="1" t="s">
        <v>6416</v>
      </c>
      <c r="D2006" s="1" t="s">
        <v>27</v>
      </c>
      <c r="E2006" s="1" t="s">
        <v>28</v>
      </c>
      <c r="F2006" s="2">
        <v>500000.0</v>
      </c>
      <c r="G2006" s="1" t="s">
        <v>934</v>
      </c>
      <c r="H2006" s="4">
        <f>IFERROR(__xludf.DUMMYFUNCTION("DATE(INDEX(SPLIT(G2006,""/""),,3),INDEX(SPLIT(G2006,""/""),,2),INDEX(SPLIT(G2006,""/""),,1))"),44681.0)</f>
        <v>44681</v>
      </c>
      <c r="I2006" s="4">
        <v>44569.0</v>
      </c>
      <c r="J2006" s="4">
        <f>IFERROR(__xludf.DUMMYFUNCTION("DATE(INDEX(SPLIT(I2006,""/""),,3),INDEX(SPLIT(I2006,""/""),,2),INDEX(SPLIT(I2006,""/""),,1))"),44774.0)</f>
        <v>44774</v>
      </c>
      <c r="L2006" s="1">
        <v>0.0</v>
      </c>
      <c r="M2006" s="1" t="s">
        <v>1219</v>
      </c>
      <c r="N2006" s="1"/>
      <c r="O2006" s="1" t="s">
        <v>30</v>
      </c>
      <c r="P2006" s="1" t="s">
        <v>31</v>
      </c>
      <c r="Q2006" s="1" t="s">
        <v>53</v>
      </c>
      <c r="R2006" s="1" t="s">
        <v>53</v>
      </c>
      <c r="S2006" s="1" t="s">
        <v>54</v>
      </c>
      <c r="U2006" s="1">
        <v>1.00968114E8</v>
      </c>
      <c r="X2006" s="1" t="s">
        <v>88</v>
      </c>
      <c r="Y2006" s="1" t="s">
        <v>1219</v>
      </c>
      <c r="Z2006" s="1" t="s">
        <v>37</v>
      </c>
    </row>
    <row r="2007" hidden="1">
      <c r="A2007" s="1" t="s">
        <v>6417</v>
      </c>
      <c r="B2007" s="1" t="s">
        <v>1050</v>
      </c>
      <c r="C2007" s="1" t="s">
        <v>6418</v>
      </c>
      <c r="D2007" s="1" t="s">
        <v>27</v>
      </c>
      <c r="E2007" s="1" t="s">
        <v>28</v>
      </c>
      <c r="F2007" s="2">
        <v>500000.0</v>
      </c>
      <c r="G2007" s="4">
        <v>44263.0</v>
      </c>
      <c r="H2007" s="4">
        <f>IFERROR(__xludf.DUMMYFUNCTION("DATE(INDEX(SPLIT(G2007,""/""),,3),INDEX(SPLIT(G2007,""/""),,2),INDEX(SPLIT(G2007,""/""),,1))"),44411.0)</f>
        <v>44411</v>
      </c>
      <c r="I2007" s="1" t="s">
        <v>317</v>
      </c>
      <c r="J2007" s="4">
        <f>IFERROR(__xludf.DUMMYFUNCTION("DATE(INDEX(SPLIT(I2007,""/""),,3),INDEX(SPLIT(I2007,""/""),,2),INDEX(SPLIT(I2007,""/""),,1))"),44862.0)</f>
        <v>44862</v>
      </c>
      <c r="L2007" s="1">
        <v>0.0</v>
      </c>
      <c r="M2007" s="1" t="s">
        <v>1052</v>
      </c>
      <c r="N2007" s="1"/>
      <c r="O2007" s="1" t="s">
        <v>30</v>
      </c>
      <c r="P2007" s="1" t="s">
        <v>31</v>
      </c>
      <c r="Q2007" s="1" t="s">
        <v>235</v>
      </c>
      <c r="R2007" s="1" t="s">
        <v>235</v>
      </c>
      <c r="S2007" s="1" t="s">
        <v>236</v>
      </c>
      <c r="T2007" s="1" t="s">
        <v>237</v>
      </c>
      <c r="U2007" s="1">
        <v>1.00650344E8</v>
      </c>
      <c r="X2007" s="1" t="s">
        <v>239</v>
      </c>
      <c r="Y2007" s="1" t="s">
        <v>2481</v>
      </c>
      <c r="Z2007" s="1" t="s">
        <v>37</v>
      </c>
    </row>
    <row r="2008" hidden="1">
      <c r="A2008" s="1" t="s">
        <v>6419</v>
      </c>
      <c r="B2008" s="1" t="s">
        <v>479</v>
      </c>
      <c r="C2008" s="1" t="s">
        <v>6420</v>
      </c>
      <c r="D2008" s="1" t="s">
        <v>78</v>
      </c>
      <c r="E2008" s="1" t="s">
        <v>28</v>
      </c>
      <c r="F2008" s="2">
        <v>500000.0</v>
      </c>
      <c r="G2008" s="1" t="s">
        <v>429</v>
      </c>
      <c r="H2008" s="4">
        <f>IFERROR(__xludf.DUMMYFUNCTION("DATE(INDEX(SPLIT(G2008,""/""),,3),INDEX(SPLIT(G2008,""/""),,2),INDEX(SPLIT(G2008,""/""),,1))"),44739.0)</f>
        <v>44739</v>
      </c>
      <c r="I2008" s="1" t="s">
        <v>109</v>
      </c>
      <c r="J2008" s="4">
        <f>IFERROR(__xludf.DUMMYFUNCTION("DATE(INDEX(SPLIT(I2008,""/""),,3),INDEX(SPLIT(I2008,""/""),,2),INDEX(SPLIT(I2008,""/""),,1))"),44834.0)</f>
        <v>44834</v>
      </c>
      <c r="L2008" s="1">
        <v>0.0</v>
      </c>
      <c r="M2008" s="1" t="s">
        <v>277</v>
      </c>
      <c r="N2008" s="1"/>
      <c r="O2008" s="1" t="s">
        <v>30</v>
      </c>
      <c r="P2008" s="1" t="s">
        <v>31</v>
      </c>
      <c r="Q2008" s="1" t="s">
        <v>32</v>
      </c>
      <c r="R2008" s="1" t="s">
        <v>32</v>
      </c>
      <c r="S2008" s="1" t="s">
        <v>33</v>
      </c>
      <c r="T2008" s="1" t="s">
        <v>6421</v>
      </c>
      <c r="U2008" s="1">
        <v>1.00608828E8</v>
      </c>
      <c r="X2008" s="1" t="s">
        <v>312</v>
      </c>
      <c r="Y2008" s="1" t="s">
        <v>6422</v>
      </c>
      <c r="Z2008" s="1" t="s">
        <v>37</v>
      </c>
    </row>
    <row r="2009" hidden="1">
      <c r="A2009" s="1" t="s">
        <v>6423</v>
      </c>
      <c r="B2009" s="1" t="s">
        <v>3040</v>
      </c>
      <c r="C2009" s="1" t="s">
        <v>6424</v>
      </c>
      <c r="D2009" s="1" t="s">
        <v>27</v>
      </c>
      <c r="E2009" s="1" t="s">
        <v>28</v>
      </c>
      <c r="F2009" s="2">
        <v>500000.0</v>
      </c>
      <c r="G2009" s="4">
        <v>44568.0</v>
      </c>
      <c r="H2009" s="4">
        <f>IFERROR(__xludf.DUMMYFUNCTION("DATE(INDEX(SPLIT(G2009,""/""),,3),INDEX(SPLIT(G2009,""/""),,2),INDEX(SPLIT(G2009,""/""),,1))"),44743.0)</f>
        <v>44743</v>
      </c>
      <c r="I2009" s="1" t="s">
        <v>85</v>
      </c>
      <c r="J2009" s="4">
        <f>IFERROR(__xludf.DUMMYFUNCTION("DATE(INDEX(SPLIT(I2009,""/""),,3),INDEX(SPLIT(I2009,""/""),,2),INDEX(SPLIT(I2009,""/""),,1))"),44799.0)</f>
        <v>44799</v>
      </c>
      <c r="L2009" s="1">
        <v>0.0</v>
      </c>
      <c r="M2009" s="1" t="s">
        <v>2020</v>
      </c>
      <c r="N2009" s="1"/>
      <c r="O2009" s="1" t="s">
        <v>30</v>
      </c>
      <c r="P2009" s="1" t="s">
        <v>31</v>
      </c>
      <c r="Q2009" s="1" t="s">
        <v>157</v>
      </c>
      <c r="R2009" s="1" t="s">
        <v>157</v>
      </c>
      <c r="S2009" s="1" t="s">
        <v>158</v>
      </c>
      <c r="U2009" s="1">
        <v>1.00650678E8</v>
      </c>
      <c r="X2009" s="1" t="s">
        <v>125</v>
      </c>
      <c r="Y2009" s="1" t="s">
        <v>2020</v>
      </c>
      <c r="Z2009" s="1" t="s">
        <v>37</v>
      </c>
    </row>
    <row r="2010" hidden="1">
      <c r="A2010" s="1" t="s">
        <v>6425</v>
      </c>
      <c r="B2010" s="1" t="s">
        <v>1835</v>
      </c>
      <c r="C2010" s="1" t="s">
        <v>6426</v>
      </c>
      <c r="D2010" s="1" t="s">
        <v>78</v>
      </c>
      <c r="E2010" s="1" t="s">
        <v>28</v>
      </c>
      <c r="F2010" s="2">
        <v>500000.0</v>
      </c>
      <c r="G2010" s="1" t="s">
        <v>164</v>
      </c>
      <c r="H2010" s="4">
        <f>IFERROR(__xludf.DUMMYFUNCTION("DATE(INDEX(SPLIT(G2010,""/""),,3),INDEX(SPLIT(G2010,""/""),,2),INDEX(SPLIT(G2010,""/""),,1))"),44706.0)</f>
        <v>44706</v>
      </c>
      <c r="I2010" s="4">
        <v>44570.0</v>
      </c>
      <c r="J2010" s="4">
        <f>IFERROR(__xludf.DUMMYFUNCTION("DATE(INDEX(SPLIT(I2010,""/""),,3),INDEX(SPLIT(I2010,""/""),,2),INDEX(SPLIT(I2010,""/""),,1))"),44805.0)</f>
        <v>44805</v>
      </c>
      <c r="L2010" s="1">
        <v>0.0</v>
      </c>
      <c r="M2010" s="1" t="s">
        <v>4849</v>
      </c>
      <c r="N2010" s="1"/>
      <c r="O2010" s="1" t="s">
        <v>30</v>
      </c>
      <c r="P2010" s="1" t="s">
        <v>31</v>
      </c>
      <c r="Q2010" s="1" t="s">
        <v>157</v>
      </c>
      <c r="R2010" s="1" t="s">
        <v>157</v>
      </c>
      <c r="S2010" s="1" t="s">
        <v>158</v>
      </c>
      <c r="U2010" s="1">
        <v>1.00620934E8</v>
      </c>
      <c r="X2010" s="1" t="s">
        <v>490</v>
      </c>
      <c r="Y2010" s="1" t="s">
        <v>6427</v>
      </c>
      <c r="Z2010" s="1" t="s">
        <v>37</v>
      </c>
    </row>
    <row r="2011">
      <c r="A2011" s="1" t="s">
        <v>6428</v>
      </c>
      <c r="B2011" s="1" t="s">
        <v>6429</v>
      </c>
      <c r="C2011" s="1" t="s">
        <v>6430</v>
      </c>
      <c r="D2011" s="1" t="s">
        <v>27</v>
      </c>
      <c r="E2011" s="1" t="s">
        <v>28</v>
      </c>
      <c r="F2011" s="2">
        <v>500000.0</v>
      </c>
      <c r="G2011" s="4">
        <v>44387.0</v>
      </c>
      <c r="H2011" s="4">
        <f>IFERROR(__xludf.DUMMYFUNCTION("DATE(INDEX(SPLIT(G2011,""/""),,3),INDEX(SPLIT(G2011,""/""),,2),INDEX(SPLIT(G2011,""/""),,1))"),44476.0)</f>
        <v>44476</v>
      </c>
      <c r="I2011" s="4">
        <v>44626.0</v>
      </c>
      <c r="J2011" s="4">
        <f>IFERROR(__xludf.DUMMYFUNCTION("DATE(INDEX(SPLIT(I2011,""/""),,3),INDEX(SPLIT(I2011,""/""),,2),INDEX(SPLIT(I2011,""/""),,1))"),44715.0)</f>
        <v>44715</v>
      </c>
      <c r="L2011" s="1">
        <v>0.0</v>
      </c>
      <c r="M2011" s="1" t="s">
        <v>4705</v>
      </c>
      <c r="N2011" s="1"/>
      <c r="O2011" s="1" t="s">
        <v>30</v>
      </c>
      <c r="P2011" s="1" t="s">
        <v>31</v>
      </c>
      <c r="Q2011" s="1" t="s">
        <v>95</v>
      </c>
      <c r="R2011" s="1" t="s">
        <v>95</v>
      </c>
      <c r="S2011" s="1" t="s">
        <v>96</v>
      </c>
      <c r="U2011" s="1">
        <v>1.00615309E8</v>
      </c>
      <c r="X2011" s="1" t="s">
        <v>375</v>
      </c>
      <c r="Y2011" s="1" t="s">
        <v>4705</v>
      </c>
      <c r="Z2011" s="1" t="s">
        <v>527</v>
      </c>
    </row>
    <row r="2012" hidden="1">
      <c r="A2012" s="1" t="s">
        <v>6431</v>
      </c>
      <c r="B2012" s="1" t="s">
        <v>6432</v>
      </c>
      <c r="C2012" s="1" t="s">
        <v>6433</v>
      </c>
      <c r="D2012" s="1" t="s">
        <v>27</v>
      </c>
      <c r="E2012" s="1" t="s">
        <v>28</v>
      </c>
      <c r="F2012" s="2">
        <v>500000.0</v>
      </c>
      <c r="G2012" s="1" t="s">
        <v>429</v>
      </c>
      <c r="H2012" s="4">
        <f>IFERROR(__xludf.DUMMYFUNCTION("DATE(INDEX(SPLIT(G2012,""/""),,3),INDEX(SPLIT(G2012,""/""),,2),INDEX(SPLIT(G2012,""/""),,1))"),44739.0)</f>
        <v>44739</v>
      </c>
      <c r="I2012" s="1" t="s">
        <v>109</v>
      </c>
      <c r="J2012" s="4">
        <f>IFERROR(__xludf.DUMMYFUNCTION("DATE(INDEX(SPLIT(I2012,""/""),,3),INDEX(SPLIT(I2012,""/""),,2),INDEX(SPLIT(I2012,""/""),,1))"),44834.0)</f>
        <v>44834</v>
      </c>
      <c r="L2012" s="1">
        <v>0.0</v>
      </c>
      <c r="M2012" s="1" t="s">
        <v>1072</v>
      </c>
      <c r="N2012" s="1"/>
      <c r="O2012" s="1" t="s">
        <v>30</v>
      </c>
      <c r="P2012" s="1" t="s">
        <v>31</v>
      </c>
      <c r="Q2012" s="1" t="s">
        <v>157</v>
      </c>
      <c r="R2012" s="1" t="s">
        <v>157</v>
      </c>
      <c r="S2012" s="1" t="s">
        <v>158</v>
      </c>
      <c r="T2012" s="1" t="s">
        <v>571</v>
      </c>
      <c r="U2012" s="1">
        <v>1.00594872E8</v>
      </c>
      <c r="X2012" s="1" t="s">
        <v>289</v>
      </c>
      <c r="Y2012" s="1" t="s">
        <v>1072</v>
      </c>
      <c r="Z2012" s="1" t="s">
        <v>37</v>
      </c>
    </row>
    <row r="2013" hidden="1">
      <c r="A2013" s="1" t="s">
        <v>6434</v>
      </c>
      <c r="B2013" s="1" t="s">
        <v>4801</v>
      </c>
      <c r="C2013" s="1" t="s">
        <v>31</v>
      </c>
      <c r="D2013" s="1" t="s">
        <v>27</v>
      </c>
      <c r="E2013" s="1" t="s">
        <v>28</v>
      </c>
      <c r="F2013" s="2">
        <v>500000.0</v>
      </c>
      <c r="G2013" s="1" t="s">
        <v>3269</v>
      </c>
      <c r="H2013" s="4">
        <f>IFERROR(__xludf.DUMMYFUNCTION("DATE(INDEX(SPLIT(G2013,""/""),,3),INDEX(SPLIT(G2013,""/""),,2),INDEX(SPLIT(G2013,""/""),,1))"),44399.0)</f>
        <v>44399</v>
      </c>
      <c r="I2013" s="1" t="s">
        <v>42</v>
      </c>
      <c r="J2013" s="4">
        <f>IFERROR(__xludf.DUMMYFUNCTION("DATE(INDEX(SPLIT(I2013,""/""),,3),INDEX(SPLIT(I2013,""/""),,2),INDEX(SPLIT(I2013,""/""),,1))"),44926.0)</f>
        <v>44926</v>
      </c>
      <c r="L2013" s="1">
        <v>0.0</v>
      </c>
      <c r="M2013" s="1" t="s">
        <v>5525</v>
      </c>
      <c r="N2013" s="1"/>
      <c r="O2013" s="1" t="s">
        <v>30</v>
      </c>
      <c r="P2013" s="1" t="s">
        <v>31</v>
      </c>
      <c r="Q2013" s="1" t="s">
        <v>157</v>
      </c>
      <c r="R2013" s="1" t="s">
        <v>157</v>
      </c>
      <c r="S2013" s="1" t="s">
        <v>158</v>
      </c>
      <c r="U2013" s="1">
        <v>1.00609393E8</v>
      </c>
      <c r="X2013" s="1" t="s">
        <v>375</v>
      </c>
      <c r="Y2013" s="1" t="s">
        <v>4803</v>
      </c>
      <c r="Z2013" s="1" t="s">
        <v>37</v>
      </c>
    </row>
    <row r="2014" hidden="1">
      <c r="A2014" s="1" t="s">
        <v>6435</v>
      </c>
      <c r="B2014" s="1" t="s">
        <v>6436</v>
      </c>
      <c r="C2014" s="1" t="s">
        <v>6437</v>
      </c>
      <c r="D2014" s="1" t="s">
        <v>27</v>
      </c>
      <c r="E2014" s="1" t="s">
        <v>28</v>
      </c>
      <c r="F2014" s="2">
        <v>500000.0</v>
      </c>
      <c r="G2014" s="1" t="s">
        <v>6438</v>
      </c>
      <c r="H2014" s="4">
        <f>IFERROR(__xludf.DUMMYFUNCTION("DATE(INDEX(SPLIT(G2014,""/""),,3),INDEX(SPLIT(G2014,""/""),,2),INDEX(SPLIT(G2014,""/""),,1))"),44211.0)</f>
        <v>44211</v>
      </c>
      <c r="I2014" s="1" t="s">
        <v>668</v>
      </c>
      <c r="J2014" s="4">
        <f>IFERROR(__xludf.DUMMYFUNCTION("DATE(INDEX(SPLIT(I2014,""/""),,3),INDEX(SPLIT(I2014,""/""),,2),INDEX(SPLIT(I2014,""/""),,1))"),45199.0)</f>
        <v>45199</v>
      </c>
      <c r="L2014" s="1">
        <v>0.0</v>
      </c>
      <c r="M2014" s="1" t="s">
        <v>1129</v>
      </c>
      <c r="N2014" s="1"/>
      <c r="O2014" s="1" t="s">
        <v>30</v>
      </c>
      <c r="P2014" s="1" t="s">
        <v>31</v>
      </c>
      <c r="Q2014" s="1" t="s">
        <v>157</v>
      </c>
      <c r="R2014" s="1" t="s">
        <v>157</v>
      </c>
      <c r="S2014" s="1" t="s">
        <v>158</v>
      </c>
      <c r="T2014" s="1" t="s">
        <v>442</v>
      </c>
      <c r="U2014" s="1">
        <v>1.00650786E8</v>
      </c>
      <c r="X2014" s="1" t="s">
        <v>125</v>
      </c>
      <c r="Y2014" s="1" t="s">
        <v>847</v>
      </c>
      <c r="Z2014" s="1" t="s">
        <v>37</v>
      </c>
    </row>
    <row r="2015" hidden="1">
      <c r="A2015" s="1" t="s">
        <v>6439</v>
      </c>
      <c r="B2015" s="1" t="s">
        <v>6432</v>
      </c>
      <c r="C2015" s="1" t="s">
        <v>6440</v>
      </c>
      <c r="D2015" s="1" t="s">
        <v>27</v>
      </c>
      <c r="E2015" s="1" t="s">
        <v>28</v>
      </c>
      <c r="F2015" s="2">
        <v>500000.0</v>
      </c>
      <c r="G2015" s="1" t="s">
        <v>429</v>
      </c>
      <c r="H2015" s="4">
        <f>IFERROR(__xludf.DUMMYFUNCTION("DATE(INDEX(SPLIT(G2015,""/""),,3),INDEX(SPLIT(G2015,""/""),,2),INDEX(SPLIT(G2015,""/""),,1))"),44739.0)</f>
        <v>44739</v>
      </c>
      <c r="I2015" s="1" t="s">
        <v>109</v>
      </c>
      <c r="J2015" s="4">
        <f>IFERROR(__xludf.DUMMYFUNCTION("DATE(INDEX(SPLIT(I2015,""/""),,3),INDEX(SPLIT(I2015,""/""),,2),INDEX(SPLIT(I2015,""/""),,1))"),44834.0)</f>
        <v>44834</v>
      </c>
      <c r="L2015" s="1">
        <v>0.0</v>
      </c>
      <c r="M2015" s="1" t="s">
        <v>1072</v>
      </c>
      <c r="N2015" s="1"/>
      <c r="O2015" s="1" t="s">
        <v>30</v>
      </c>
      <c r="P2015" s="1" t="s">
        <v>31</v>
      </c>
      <c r="Q2015" s="1" t="s">
        <v>157</v>
      </c>
      <c r="R2015" s="1" t="s">
        <v>157</v>
      </c>
      <c r="S2015" s="1" t="s">
        <v>158</v>
      </c>
      <c r="U2015" s="1">
        <v>1.00594872E8</v>
      </c>
      <c r="X2015" s="1" t="s">
        <v>289</v>
      </c>
      <c r="Y2015" s="1" t="s">
        <v>1072</v>
      </c>
      <c r="Z2015" s="1" t="s">
        <v>37</v>
      </c>
    </row>
    <row r="2016" hidden="1">
      <c r="A2016" s="1" t="s">
        <v>6441</v>
      </c>
      <c r="B2016" s="1" t="s">
        <v>6442</v>
      </c>
      <c r="C2016" s="1" t="s">
        <v>6443</v>
      </c>
      <c r="D2016" s="1" t="s">
        <v>122</v>
      </c>
      <c r="E2016" s="1" t="s">
        <v>28</v>
      </c>
      <c r="F2016" s="2">
        <v>500000.0</v>
      </c>
      <c r="G2016" s="1" t="s">
        <v>6444</v>
      </c>
      <c r="H2016" s="4">
        <f>IFERROR(__xludf.DUMMYFUNCTION("DATE(INDEX(SPLIT(G2016,""/""),,3),INDEX(SPLIT(G2016,""/""),,2),INDEX(SPLIT(G2016,""/""),,1))"),43854.0)</f>
        <v>43854</v>
      </c>
      <c r="I2016" s="4">
        <v>44842.0</v>
      </c>
      <c r="J2016" s="4">
        <f>IFERROR(__xludf.DUMMYFUNCTION("DATE(INDEX(SPLIT(I2016,""/""),,3),INDEX(SPLIT(I2016,""/""),,2),INDEX(SPLIT(I2016,""/""),,1))"),44783.0)</f>
        <v>44783</v>
      </c>
      <c r="L2016" s="1">
        <v>0.0</v>
      </c>
      <c r="M2016" s="1" t="s">
        <v>2336</v>
      </c>
      <c r="N2016" s="1"/>
      <c r="O2016" s="1" t="s">
        <v>30</v>
      </c>
      <c r="P2016" s="1" t="s">
        <v>31</v>
      </c>
      <c r="Q2016" s="1" t="s">
        <v>235</v>
      </c>
      <c r="R2016" s="1" t="s">
        <v>235</v>
      </c>
      <c r="S2016" s="1" t="s">
        <v>236</v>
      </c>
      <c r="T2016" s="1" t="s">
        <v>237</v>
      </c>
      <c r="U2016" s="1">
        <v>1.00608366E8</v>
      </c>
      <c r="X2016" s="1" t="s">
        <v>239</v>
      </c>
      <c r="Y2016" s="1" t="s">
        <v>2336</v>
      </c>
      <c r="Z2016" s="1" t="s">
        <v>37</v>
      </c>
    </row>
    <row r="2017" hidden="1">
      <c r="A2017" s="1" t="s">
        <v>6445</v>
      </c>
      <c r="B2017" s="1" t="s">
        <v>6432</v>
      </c>
      <c r="C2017" s="1" t="s">
        <v>6446</v>
      </c>
      <c r="D2017" s="1" t="s">
        <v>27</v>
      </c>
      <c r="E2017" s="1" t="s">
        <v>28</v>
      </c>
      <c r="F2017" s="2">
        <v>500000.0</v>
      </c>
      <c r="G2017" s="1" t="s">
        <v>429</v>
      </c>
      <c r="H2017" s="4">
        <f>IFERROR(__xludf.DUMMYFUNCTION("DATE(INDEX(SPLIT(G2017,""/""),,3),INDEX(SPLIT(G2017,""/""),,2),INDEX(SPLIT(G2017,""/""),,1))"),44739.0)</f>
        <v>44739</v>
      </c>
      <c r="I2017" s="1" t="s">
        <v>487</v>
      </c>
      <c r="J2017" s="4">
        <f>IFERROR(__xludf.DUMMYFUNCTION("DATE(INDEX(SPLIT(I2017,""/""),,3),INDEX(SPLIT(I2017,""/""),,2),INDEX(SPLIT(I2017,""/""),,1))"),44855.0)</f>
        <v>44855</v>
      </c>
      <c r="L2017" s="1">
        <v>0.0</v>
      </c>
      <c r="M2017" s="1" t="s">
        <v>1072</v>
      </c>
      <c r="N2017" s="1"/>
      <c r="O2017" s="1" t="s">
        <v>30</v>
      </c>
      <c r="P2017" s="1" t="s">
        <v>31</v>
      </c>
      <c r="Q2017" s="1" t="s">
        <v>157</v>
      </c>
      <c r="R2017" s="1" t="s">
        <v>157</v>
      </c>
      <c r="S2017" s="1" t="s">
        <v>158</v>
      </c>
      <c r="T2017" s="1" t="s">
        <v>571</v>
      </c>
      <c r="U2017" s="1">
        <v>1.00594872E8</v>
      </c>
      <c r="X2017" s="1" t="s">
        <v>289</v>
      </c>
      <c r="Y2017" s="1" t="s">
        <v>1072</v>
      </c>
      <c r="Z2017" s="1" t="s">
        <v>37</v>
      </c>
    </row>
    <row r="2018" hidden="1">
      <c r="A2018" s="1" t="s">
        <v>6447</v>
      </c>
      <c r="B2018" s="1" t="s">
        <v>566</v>
      </c>
      <c r="C2018" s="1" t="s">
        <v>6448</v>
      </c>
      <c r="D2018" s="1" t="s">
        <v>27</v>
      </c>
      <c r="E2018" s="1" t="s">
        <v>28</v>
      </c>
      <c r="F2018" s="2">
        <v>500000.0</v>
      </c>
      <c r="G2018" s="1" t="s">
        <v>343</v>
      </c>
      <c r="H2018" s="4">
        <f>IFERROR(__xludf.DUMMYFUNCTION("DATE(INDEX(SPLIT(G2018,""/""),,3),INDEX(SPLIT(G2018,""/""),,2),INDEX(SPLIT(G2018,""/""),,1))"),44761.0)</f>
        <v>44761</v>
      </c>
      <c r="I2018" s="1" t="s">
        <v>42</v>
      </c>
      <c r="J2018" s="4">
        <f>IFERROR(__xludf.DUMMYFUNCTION("DATE(INDEX(SPLIT(I2018,""/""),,3),INDEX(SPLIT(I2018,""/""),,2),INDEX(SPLIT(I2018,""/""),,1))"),44926.0)</f>
        <v>44926</v>
      </c>
      <c r="L2018" s="1">
        <v>0.0</v>
      </c>
      <c r="M2018" s="1" t="s">
        <v>1929</v>
      </c>
      <c r="N2018" s="1"/>
      <c r="O2018" s="1" t="s">
        <v>30</v>
      </c>
      <c r="P2018" s="1" t="s">
        <v>31</v>
      </c>
      <c r="Q2018" s="1" t="s">
        <v>95</v>
      </c>
      <c r="R2018" s="1" t="s">
        <v>95</v>
      </c>
      <c r="S2018" s="1" t="s">
        <v>96</v>
      </c>
      <c r="U2018" s="1">
        <v>1.00631642E8</v>
      </c>
      <c r="X2018" s="1" t="s">
        <v>63</v>
      </c>
      <c r="Y2018" s="1" t="s">
        <v>1929</v>
      </c>
      <c r="Z2018" s="1" t="s">
        <v>37</v>
      </c>
    </row>
    <row r="2019">
      <c r="A2019" s="1" t="s">
        <v>6449</v>
      </c>
      <c r="B2019" s="1" t="s">
        <v>3681</v>
      </c>
      <c r="C2019" s="1" t="s">
        <v>6450</v>
      </c>
      <c r="D2019" s="1" t="s">
        <v>27</v>
      </c>
      <c r="E2019" s="1" t="s">
        <v>28</v>
      </c>
      <c r="F2019" s="2">
        <v>500000.0</v>
      </c>
      <c r="G2019" s="1" t="s">
        <v>6451</v>
      </c>
      <c r="H2019" s="4">
        <f>IFERROR(__xludf.DUMMYFUNCTION("DATE(INDEX(SPLIT(G2019,""/""),,3),INDEX(SPLIT(G2019,""/""),,2),INDEX(SPLIT(G2019,""/""),,1))"),44525.0)</f>
        <v>44525</v>
      </c>
      <c r="I2019" s="1" t="s">
        <v>226</v>
      </c>
      <c r="J2019" s="4">
        <f>IFERROR(__xludf.DUMMYFUNCTION("DATE(INDEX(SPLIT(I2019,""/""),,3),INDEX(SPLIT(I2019,""/""),,2),INDEX(SPLIT(I2019,""/""),,1))"),44771.0)</f>
        <v>44771</v>
      </c>
      <c r="L2019" s="1">
        <v>0.0</v>
      </c>
      <c r="M2019" s="1" t="s">
        <v>1565</v>
      </c>
      <c r="N2019" s="1"/>
      <c r="O2019" s="1" t="s">
        <v>30</v>
      </c>
      <c r="P2019" s="1" t="s">
        <v>31</v>
      </c>
      <c r="Q2019" s="1" t="s">
        <v>157</v>
      </c>
      <c r="R2019" s="1" t="s">
        <v>157</v>
      </c>
      <c r="S2019" s="1" t="s">
        <v>158</v>
      </c>
      <c r="T2019" s="1" t="s">
        <v>442</v>
      </c>
      <c r="U2019" s="1">
        <v>1.00646908E8</v>
      </c>
      <c r="X2019" s="1" t="s">
        <v>781</v>
      </c>
      <c r="Y2019" s="1" t="s">
        <v>3223</v>
      </c>
      <c r="Z2019" s="1" t="s">
        <v>37</v>
      </c>
    </row>
    <row r="2020" hidden="1">
      <c r="A2020" s="1" t="s">
        <v>6452</v>
      </c>
      <c r="B2020" s="1" t="s">
        <v>3730</v>
      </c>
      <c r="C2020" s="1" t="s">
        <v>6453</v>
      </c>
      <c r="D2020" s="1" t="s">
        <v>78</v>
      </c>
      <c r="E2020" s="1" t="s">
        <v>28</v>
      </c>
      <c r="F2020" s="2">
        <v>500000.0</v>
      </c>
      <c r="G2020" s="4">
        <v>44810.0</v>
      </c>
      <c r="H2020" s="4">
        <f>IFERROR(__xludf.DUMMYFUNCTION("DATE(INDEX(SPLIT(G2020,""/""),,3),INDEX(SPLIT(G2020,""/""),,2),INDEX(SPLIT(G2020,""/""),,1))"),44721.0)</f>
        <v>44721</v>
      </c>
      <c r="I2020" s="1" t="s">
        <v>1097</v>
      </c>
      <c r="J2020" s="4">
        <f>IFERROR(__xludf.DUMMYFUNCTION("DATE(INDEX(SPLIT(I2020,""/""),,3),INDEX(SPLIT(I2020,""/""),,2),INDEX(SPLIT(I2020,""/""),,1))"),45107.0)</f>
        <v>45107</v>
      </c>
      <c r="L2020" s="1">
        <v>0.0</v>
      </c>
      <c r="M2020" s="1" t="s">
        <v>941</v>
      </c>
      <c r="N2020" s="1"/>
      <c r="O2020" s="1" t="s">
        <v>30</v>
      </c>
      <c r="P2020" s="1" t="s">
        <v>31</v>
      </c>
      <c r="Q2020" s="1" t="s">
        <v>235</v>
      </c>
      <c r="R2020" s="1" t="s">
        <v>235</v>
      </c>
      <c r="S2020" s="1" t="s">
        <v>236</v>
      </c>
      <c r="T2020" s="1" t="s">
        <v>438</v>
      </c>
      <c r="U2020" s="1">
        <v>1.00652846E8</v>
      </c>
      <c r="X2020" s="1" t="s">
        <v>88</v>
      </c>
      <c r="Y2020" s="1" t="s">
        <v>3732</v>
      </c>
      <c r="Z2020" s="1" t="s">
        <v>37</v>
      </c>
    </row>
    <row r="2021" hidden="1">
      <c r="A2021" s="1" t="s">
        <v>6454</v>
      </c>
      <c r="B2021" s="1" t="s">
        <v>373</v>
      </c>
      <c r="C2021" s="1" t="s">
        <v>6455</v>
      </c>
      <c r="D2021" s="1" t="s">
        <v>122</v>
      </c>
      <c r="E2021" s="1" t="s">
        <v>28</v>
      </c>
      <c r="F2021" s="2">
        <v>500000.0</v>
      </c>
      <c r="G2021" s="1" t="s">
        <v>586</v>
      </c>
      <c r="H2021" s="4">
        <f>IFERROR(__xludf.DUMMYFUNCTION("DATE(INDEX(SPLIT(G2021,""/""),,3),INDEX(SPLIT(G2021,""/""),,2),INDEX(SPLIT(G2021,""/""),,1))"),44726.0)</f>
        <v>44726</v>
      </c>
      <c r="I2021" s="1" t="s">
        <v>4464</v>
      </c>
      <c r="J2021" s="4">
        <f>IFERROR(__xludf.DUMMYFUNCTION("DATE(INDEX(SPLIT(I2021,""/""),,3),INDEX(SPLIT(I2021,""/""),,2),INDEX(SPLIT(I2021,""/""),,1))"),44849.0)</f>
        <v>44849</v>
      </c>
      <c r="L2021" s="1">
        <v>0.0</v>
      </c>
      <c r="M2021" s="1" t="s">
        <v>587</v>
      </c>
      <c r="N2021" s="1"/>
      <c r="O2021" s="1" t="s">
        <v>30</v>
      </c>
      <c r="P2021" s="1" t="s">
        <v>31</v>
      </c>
      <c r="Q2021" s="1" t="s">
        <v>157</v>
      </c>
      <c r="R2021" s="1" t="s">
        <v>157</v>
      </c>
      <c r="S2021" s="1" t="s">
        <v>158</v>
      </c>
      <c r="T2021" s="1" t="s">
        <v>159</v>
      </c>
      <c r="U2021" s="1">
        <v>1.00700761E8</v>
      </c>
      <c r="V2021" s="1" t="s">
        <v>588</v>
      </c>
      <c r="W2021" s="1" t="s">
        <v>199</v>
      </c>
      <c r="X2021" s="1" t="s">
        <v>125</v>
      </c>
      <c r="Y2021" s="1" t="s">
        <v>589</v>
      </c>
      <c r="Z2021" s="1" t="s">
        <v>37</v>
      </c>
    </row>
    <row r="2022">
      <c r="A2022" s="1" t="s">
        <v>6456</v>
      </c>
      <c r="B2022" s="1" t="s">
        <v>4785</v>
      </c>
      <c r="C2022" s="1" t="s">
        <v>6457</v>
      </c>
      <c r="D2022" s="1" t="s">
        <v>78</v>
      </c>
      <c r="E2022" s="1" t="s">
        <v>28</v>
      </c>
      <c r="F2022" s="2">
        <v>500000.0</v>
      </c>
      <c r="G2022" s="1" t="s">
        <v>5245</v>
      </c>
      <c r="H2022" s="4">
        <f>IFERROR(__xludf.DUMMYFUNCTION("DATE(INDEX(SPLIT(G2022,""/""),,3),INDEX(SPLIT(G2022,""/""),,2),INDEX(SPLIT(G2022,""/""),,1))"),44125.0)</f>
        <v>44125</v>
      </c>
      <c r="I2022" s="1" t="s">
        <v>503</v>
      </c>
      <c r="J2022" s="4">
        <f>IFERROR(__xludf.DUMMYFUNCTION("DATE(INDEX(SPLIT(I2022,""/""),,3),INDEX(SPLIT(I2022,""/""),,2),INDEX(SPLIT(I2022,""/""),,1))"),44736.0)</f>
        <v>44736</v>
      </c>
      <c r="L2022" s="1">
        <v>0.0</v>
      </c>
      <c r="M2022" s="1" t="s">
        <v>3099</v>
      </c>
      <c r="N2022" s="1"/>
      <c r="O2022" s="1" t="s">
        <v>30</v>
      </c>
      <c r="P2022" s="1" t="s">
        <v>31</v>
      </c>
      <c r="Q2022" s="1" t="s">
        <v>95</v>
      </c>
      <c r="R2022" s="1" t="s">
        <v>95</v>
      </c>
      <c r="S2022" s="1" t="s">
        <v>96</v>
      </c>
      <c r="T2022" s="1" t="s">
        <v>97</v>
      </c>
      <c r="U2022" s="1">
        <v>1.00589299E8</v>
      </c>
      <c r="X2022" s="1" t="s">
        <v>781</v>
      </c>
      <c r="Y2022" s="1" t="s">
        <v>3099</v>
      </c>
      <c r="Z2022" s="1" t="s">
        <v>37</v>
      </c>
    </row>
    <row r="2023">
      <c r="A2023" s="1" t="s">
        <v>6458</v>
      </c>
      <c r="B2023" s="1" t="s">
        <v>532</v>
      </c>
      <c r="C2023" s="1" t="s">
        <v>6459</v>
      </c>
      <c r="D2023" s="1" t="s">
        <v>27</v>
      </c>
      <c r="E2023" s="1" t="s">
        <v>28</v>
      </c>
      <c r="F2023" s="2">
        <v>500000.0</v>
      </c>
      <c r="G2023" s="1" t="s">
        <v>6460</v>
      </c>
      <c r="H2023" s="4">
        <f>IFERROR(__xludf.DUMMYFUNCTION("DATE(INDEX(SPLIT(G2023,""/""),,3),INDEX(SPLIT(G2023,""/""),,2),INDEX(SPLIT(G2023,""/""),,1))"),44433.0)</f>
        <v>44433</v>
      </c>
      <c r="I2023" s="1" t="s">
        <v>1244</v>
      </c>
      <c r="J2023" s="4">
        <f>IFERROR(__xludf.DUMMYFUNCTION("DATE(INDEX(SPLIT(I2023,""/""),,3),INDEX(SPLIT(I2023,""/""),,2),INDEX(SPLIT(I2023,""/""),,1))"),44742.0)</f>
        <v>44742</v>
      </c>
      <c r="L2023" s="1">
        <v>0.0</v>
      </c>
      <c r="M2023" s="1" t="s">
        <v>1840</v>
      </c>
      <c r="N2023" s="1"/>
      <c r="O2023" s="1" t="s">
        <v>30</v>
      </c>
      <c r="P2023" s="1" t="s">
        <v>31</v>
      </c>
      <c r="Q2023" s="1" t="s">
        <v>71</v>
      </c>
      <c r="R2023" s="1" t="s">
        <v>71</v>
      </c>
      <c r="S2023" s="1" t="s">
        <v>72</v>
      </c>
      <c r="T2023" s="1" t="s">
        <v>615</v>
      </c>
      <c r="U2023" s="1">
        <v>1.00617113E8</v>
      </c>
      <c r="X2023" s="1" t="s">
        <v>490</v>
      </c>
      <c r="Y2023" s="1" t="s">
        <v>1840</v>
      </c>
      <c r="Z2023" s="1" t="s">
        <v>37</v>
      </c>
    </row>
    <row r="2024" hidden="1">
      <c r="A2024" s="1" t="s">
        <v>6461</v>
      </c>
      <c r="B2024" s="1" t="s">
        <v>5051</v>
      </c>
      <c r="C2024" s="1" t="s">
        <v>6462</v>
      </c>
      <c r="D2024" s="1" t="s">
        <v>27</v>
      </c>
      <c r="E2024" s="1" t="s">
        <v>28</v>
      </c>
      <c r="F2024" s="2">
        <v>500000.0</v>
      </c>
      <c r="G2024" s="4">
        <v>44810.0</v>
      </c>
      <c r="H2024" s="4">
        <f>IFERROR(__xludf.DUMMYFUNCTION("DATE(INDEX(SPLIT(G2024,""/""),,3),INDEX(SPLIT(G2024,""/""),,2),INDEX(SPLIT(G2024,""/""),,1))"),44721.0)</f>
        <v>44721</v>
      </c>
      <c r="I2024" s="1" t="s">
        <v>109</v>
      </c>
      <c r="J2024" s="4">
        <f>IFERROR(__xludf.DUMMYFUNCTION("DATE(INDEX(SPLIT(I2024,""/""),,3),INDEX(SPLIT(I2024,""/""),,2),INDEX(SPLIT(I2024,""/""),,1))"),44834.0)</f>
        <v>44834</v>
      </c>
      <c r="L2024" s="1">
        <v>0.0</v>
      </c>
      <c r="M2024" s="1" t="s">
        <v>3507</v>
      </c>
      <c r="N2024" s="1"/>
      <c r="O2024" s="1" t="s">
        <v>30</v>
      </c>
      <c r="P2024" s="1" t="s">
        <v>31</v>
      </c>
      <c r="Q2024" s="1" t="s">
        <v>235</v>
      </c>
      <c r="R2024" s="1" t="s">
        <v>235</v>
      </c>
      <c r="S2024" s="1" t="s">
        <v>236</v>
      </c>
      <c r="U2024" s="1">
        <v>1.00585834E8</v>
      </c>
      <c r="X2024" s="1" t="s">
        <v>375</v>
      </c>
      <c r="Y2024" s="1" t="s">
        <v>6463</v>
      </c>
      <c r="Z2024" s="1" t="s">
        <v>37</v>
      </c>
    </row>
    <row r="2025">
      <c r="A2025" s="1" t="s">
        <v>6464</v>
      </c>
      <c r="B2025" s="1" t="s">
        <v>954</v>
      </c>
      <c r="C2025" s="1" t="s">
        <v>6465</v>
      </c>
      <c r="D2025" s="1" t="s">
        <v>27</v>
      </c>
      <c r="E2025" s="1" t="s">
        <v>28</v>
      </c>
      <c r="F2025" s="2">
        <v>500000.0</v>
      </c>
      <c r="G2025" s="4">
        <v>43901.0</v>
      </c>
      <c r="H2025" s="4">
        <f>IFERROR(__xludf.DUMMYFUNCTION("DATE(INDEX(SPLIT(G2025,""/""),,3),INDEX(SPLIT(G2025,""/""),,2),INDEX(SPLIT(G2025,""/""),,1))"),44138.0)</f>
        <v>44138</v>
      </c>
      <c r="I2025" s="4">
        <v>44568.0</v>
      </c>
      <c r="J2025" s="4">
        <f>IFERROR(__xludf.DUMMYFUNCTION("DATE(INDEX(SPLIT(I2025,""/""),,3),INDEX(SPLIT(I2025,""/""),,2),INDEX(SPLIT(I2025,""/""),,1))"),44743.0)</f>
        <v>44743</v>
      </c>
      <c r="L2025" s="1">
        <v>0.0</v>
      </c>
      <c r="M2025" s="1" t="s">
        <v>1941</v>
      </c>
      <c r="N2025" s="1"/>
      <c r="O2025" s="1" t="s">
        <v>30</v>
      </c>
      <c r="P2025" s="1" t="s">
        <v>31</v>
      </c>
      <c r="Q2025" s="1" t="s">
        <v>71</v>
      </c>
      <c r="R2025" s="1" t="s">
        <v>71</v>
      </c>
      <c r="S2025" s="1" t="s">
        <v>72</v>
      </c>
      <c r="T2025" s="1" t="s">
        <v>73</v>
      </c>
      <c r="U2025" s="1">
        <v>1.00649673E8</v>
      </c>
      <c r="X2025" s="1" t="s">
        <v>74</v>
      </c>
      <c r="Y2025" s="1" t="s">
        <v>3813</v>
      </c>
      <c r="Z2025" s="1" t="s">
        <v>37</v>
      </c>
    </row>
    <row r="2026" hidden="1">
      <c r="A2026" s="1" t="s">
        <v>6466</v>
      </c>
      <c r="B2026" s="1" t="s">
        <v>617</v>
      </c>
      <c r="C2026" s="1" t="s">
        <v>6467</v>
      </c>
      <c r="D2026" s="1" t="s">
        <v>27</v>
      </c>
      <c r="E2026" s="1" t="s">
        <v>28</v>
      </c>
      <c r="F2026" s="2">
        <v>500000.0</v>
      </c>
      <c r="G2026" s="1" t="s">
        <v>586</v>
      </c>
      <c r="H2026" s="4">
        <f>IFERROR(__xludf.DUMMYFUNCTION("DATE(INDEX(SPLIT(G2026,""/""),,3),INDEX(SPLIT(G2026,""/""),,2),INDEX(SPLIT(G2026,""/""),,1))"),44726.0)</f>
        <v>44726</v>
      </c>
      <c r="I2026" s="1" t="s">
        <v>130</v>
      </c>
      <c r="J2026" s="4">
        <f>IFERROR(__xludf.DUMMYFUNCTION("DATE(INDEX(SPLIT(I2026,""/""),,3),INDEX(SPLIT(I2026,""/""),,2),INDEX(SPLIT(I2026,""/""),,1))"),44804.0)</f>
        <v>44804</v>
      </c>
      <c r="L2026" s="1">
        <v>0.0</v>
      </c>
      <c r="M2026" s="1" t="s">
        <v>6468</v>
      </c>
      <c r="N2026" s="1"/>
      <c r="O2026" s="1" t="s">
        <v>30</v>
      </c>
      <c r="P2026" s="1" t="s">
        <v>31</v>
      </c>
      <c r="Q2026" s="1" t="s">
        <v>32</v>
      </c>
      <c r="R2026" s="1" t="s">
        <v>32</v>
      </c>
      <c r="S2026" s="1" t="s">
        <v>33</v>
      </c>
      <c r="U2026" s="1">
        <v>1.00627876E8</v>
      </c>
      <c r="X2026" s="1" t="s">
        <v>81</v>
      </c>
      <c r="Y2026" s="1" t="s">
        <v>6468</v>
      </c>
      <c r="Z2026" s="1" t="s">
        <v>527</v>
      </c>
    </row>
    <row r="2027" hidden="1">
      <c r="A2027" s="1" t="s">
        <v>6469</v>
      </c>
      <c r="B2027" s="1" t="s">
        <v>5051</v>
      </c>
      <c r="C2027" s="1" t="s">
        <v>6470</v>
      </c>
      <c r="D2027" s="1" t="s">
        <v>27</v>
      </c>
      <c r="E2027" s="1" t="s">
        <v>28</v>
      </c>
      <c r="F2027" s="2">
        <v>500000.0</v>
      </c>
      <c r="G2027" s="4">
        <v>44810.0</v>
      </c>
      <c r="H2027" s="4">
        <f>IFERROR(__xludf.DUMMYFUNCTION("DATE(INDEX(SPLIT(G2027,""/""),,3),INDEX(SPLIT(G2027,""/""),,2),INDEX(SPLIT(G2027,""/""),,1))"),44721.0)</f>
        <v>44721</v>
      </c>
      <c r="I2027" s="1" t="s">
        <v>109</v>
      </c>
      <c r="J2027" s="4">
        <f>IFERROR(__xludf.DUMMYFUNCTION("DATE(INDEX(SPLIT(I2027,""/""),,3),INDEX(SPLIT(I2027,""/""),,2),INDEX(SPLIT(I2027,""/""),,1))"),44834.0)</f>
        <v>44834</v>
      </c>
      <c r="L2027" s="1">
        <v>0.0</v>
      </c>
      <c r="M2027" s="1" t="s">
        <v>3507</v>
      </c>
      <c r="N2027" s="1"/>
      <c r="O2027" s="1" t="s">
        <v>30</v>
      </c>
      <c r="P2027" s="1" t="s">
        <v>31</v>
      </c>
      <c r="Q2027" s="1" t="s">
        <v>235</v>
      </c>
      <c r="R2027" s="1" t="s">
        <v>235</v>
      </c>
      <c r="S2027" s="1" t="s">
        <v>236</v>
      </c>
      <c r="U2027" s="1">
        <v>1.00585834E8</v>
      </c>
      <c r="X2027" s="1" t="s">
        <v>375</v>
      </c>
      <c r="Y2027" s="1" t="s">
        <v>6463</v>
      </c>
      <c r="Z2027" s="1" t="s">
        <v>37</v>
      </c>
    </row>
    <row r="2028" hidden="1">
      <c r="A2028" s="1" t="s">
        <v>6471</v>
      </c>
      <c r="B2028" s="1" t="s">
        <v>5051</v>
      </c>
      <c r="C2028" s="1" t="s">
        <v>6472</v>
      </c>
      <c r="D2028" s="1" t="s">
        <v>27</v>
      </c>
      <c r="E2028" s="1" t="s">
        <v>28</v>
      </c>
      <c r="F2028" s="2">
        <v>500000.0</v>
      </c>
      <c r="G2028" s="4">
        <v>44810.0</v>
      </c>
      <c r="H2028" s="4">
        <f>IFERROR(__xludf.DUMMYFUNCTION("DATE(INDEX(SPLIT(G2028,""/""),,3),INDEX(SPLIT(G2028,""/""),,2),INDEX(SPLIT(G2028,""/""),,1))"),44721.0)</f>
        <v>44721</v>
      </c>
      <c r="I2028" s="1" t="s">
        <v>109</v>
      </c>
      <c r="J2028" s="4">
        <f>IFERROR(__xludf.DUMMYFUNCTION("DATE(INDEX(SPLIT(I2028,""/""),,3),INDEX(SPLIT(I2028,""/""),,2),INDEX(SPLIT(I2028,""/""),,1))"),44834.0)</f>
        <v>44834</v>
      </c>
      <c r="L2028" s="1">
        <v>0.0</v>
      </c>
      <c r="M2028" s="1" t="s">
        <v>3507</v>
      </c>
      <c r="N2028" s="1"/>
      <c r="O2028" s="1" t="s">
        <v>30</v>
      </c>
      <c r="P2028" s="1" t="s">
        <v>31</v>
      </c>
      <c r="Q2028" s="1" t="s">
        <v>235</v>
      </c>
      <c r="R2028" s="1" t="s">
        <v>235</v>
      </c>
      <c r="S2028" s="1" t="s">
        <v>236</v>
      </c>
      <c r="U2028" s="1">
        <v>1.00585834E8</v>
      </c>
      <c r="X2028" s="1" t="s">
        <v>375</v>
      </c>
      <c r="Y2028" s="1" t="s">
        <v>6463</v>
      </c>
      <c r="Z2028" s="1" t="s">
        <v>37</v>
      </c>
    </row>
    <row r="2029" hidden="1">
      <c r="A2029" s="1" t="s">
        <v>6473</v>
      </c>
      <c r="B2029" s="1" t="s">
        <v>6474</v>
      </c>
      <c r="C2029" s="1" t="s">
        <v>6475</v>
      </c>
      <c r="D2029" s="1" t="s">
        <v>27</v>
      </c>
      <c r="E2029" s="1" t="s">
        <v>28</v>
      </c>
      <c r="F2029" s="2">
        <v>500000.0</v>
      </c>
      <c r="G2029" s="1" t="s">
        <v>2110</v>
      </c>
      <c r="H2029" s="4">
        <f>IFERROR(__xludf.DUMMYFUNCTION("DATE(INDEX(SPLIT(G2029,""/""),,3),INDEX(SPLIT(G2029,""/""),,2),INDEX(SPLIT(G2029,""/""),,1))"),44650.0)</f>
        <v>44650</v>
      </c>
      <c r="I2029" s="1" t="s">
        <v>165</v>
      </c>
      <c r="J2029" s="4">
        <f>IFERROR(__xludf.DUMMYFUNCTION("DATE(INDEX(SPLIT(I2029,""/""),,3),INDEX(SPLIT(I2029,""/""),,2),INDEX(SPLIT(I2029,""/""),,1))"),44803.0)</f>
        <v>44803</v>
      </c>
      <c r="L2029" s="1">
        <v>0.0</v>
      </c>
      <c r="M2029" s="1" t="s">
        <v>303</v>
      </c>
      <c r="N2029" s="1"/>
      <c r="O2029" s="1" t="s">
        <v>30</v>
      </c>
      <c r="P2029" s="1" t="s">
        <v>31</v>
      </c>
      <c r="Q2029" s="1" t="s">
        <v>95</v>
      </c>
      <c r="R2029" s="1" t="s">
        <v>95</v>
      </c>
      <c r="S2029" s="1" t="s">
        <v>96</v>
      </c>
      <c r="T2029" s="1" t="s">
        <v>304</v>
      </c>
      <c r="U2029" s="1">
        <v>1.00623914E8</v>
      </c>
      <c r="X2029" s="1" t="s">
        <v>98</v>
      </c>
      <c r="Y2029" s="1" t="s">
        <v>303</v>
      </c>
      <c r="Z2029" s="1" t="s">
        <v>37</v>
      </c>
    </row>
    <row r="2030" hidden="1">
      <c r="A2030" s="1" t="s">
        <v>6476</v>
      </c>
      <c r="B2030" s="1" t="s">
        <v>5051</v>
      </c>
      <c r="C2030" s="1" t="s">
        <v>6477</v>
      </c>
      <c r="D2030" s="1" t="s">
        <v>27</v>
      </c>
      <c r="E2030" s="1" t="s">
        <v>28</v>
      </c>
      <c r="F2030" s="2">
        <v>500000.0</v>
      </c>
      <c r="G2030" s="4">
        <v>44810.0</v>
      </c>
      <c r="H2030" s="4">
        <f>IFERROR(__xludf.DUMMYFUNCTION("DATE(INDEX(SPLIT(G2030,""/""),,3),INDEX(SPLIT(G2030,""/""),,2),INDEX(SPLIT(G2030,""/""),,1))"),44721.0)</f>
        <v>44721</v>
      </c>
      <c r="I2030" s="1" t="s">
        <v>109</v>
      </c>
      <c r="J2030" s="4">
        <f>IFERROR(__xludf.DUMMYFUNCTION("DATE(INDEX(SPLIT(I2030,""/""),,3),INDEX(SPLIT(I2030,""/""),,2),INDEX(SPLIT(I2030,""/""),,1))"),44834.0)</f>
        <v>44834</v>
      </c>
      <c r="L2030" s="1">
        <v>0.0</v>
      </c>
      <c r="M2030" s="1" t="s">
        <v>3507</v>
      </c>
      <c r="N2030" s="1"/>
      <c r="O2030" s="1" t="s">
        <v>30</v>
      </c>
      <c r="P2030" s="1" t="s">
        <v>31</v>
      </c>
      <c r="Q2030" s="1" t="s">
        <v>235</v>
      </c>
      <c r="R2030" s="1" t="s">
        <v>235</v>
      </c>
      <c r="S2030" s="1" t="s">
        <v>236</v>
      </c>
      <c r="U2030" s="1">
        <v>1.00585834E8</v>
      </c>
      <c r="X2030" s="1" t="s">
        <v>375</v>
      </c>
      <c r="Y2030" s="1" t="s">
        <v>6463</v>
      </c>
      <c r="Z2030" s="1" t="s">
        <v>37</v>
      </c>
    </row>
    <row r="2031">
      <c r="A2031" s="1" t="s">
        <v>6478</v>
      </c>
      <c r="B2031" s="1" t="s">
        <v>650</v>
      </c>
      <c r="C2031" s="1" t="s">
        <v>6479</v>
      </c>
      <c r="D2031" s="1" t="s">
        <v>78</v>
      </c>
      <c r="E2031" s="1" t="s">
        <v>28</v>
      </c>
      <c r="F2031" s="2">
        <v>500000.0</v>
      </c>
      <c r="G2031" s="1" t="s">
        <v>737</v>
      </c>
      <c r="H2031" s="4">
        <f>IFERROR(__xludf.DUMMYFUNCTION("DATE(INDEX(SPLIT(G2031,""/""),,3),INDEX(SPLIT(G2031,""/""),,2),INDEX(SPLIT(G2031,""/""),,1))"),44544.0)</f>
        <v>44544</v>
      </c>
      <c r="I2031" s="1" t="s">
        <v>226</v>
      </c>
      <c r="J2031" s="4">
        <f>IFERROR(__xludf.DUMMYFUNCTION("DATE(INDEX(SPLIT(I2031,""/""),,3),INDEX(SPLIT(I2031,""/""),,2),INDEX(SPLIT(I2031,""/""),,1))"),44771.0)</f>
        <v>44771</v>
      </c>
      <c r="L2031" s="1">
        <v>0.0</v>
      </c>
      <c r="M2031" s="1" t="s">
        <v>653</v>
      </c>
      <c r="N2031" s="1"/>
      <c r="O2031" s="1" t="s">
        <v>30</v>
      </c>
      <c r="P2031" s="1" t="s">
        <v>31</v>
      </c>
      <c r="Q2031" s="1" t="s">
        <v>157</v>
      </c>
      <c r="R2031" s="1" t="s">
        <v>157</v>
      </c>
      <c r="S2031" s="1" t="s">
        <v>158</v>
      </c>
      <c r="U2031" s="1">
        <v>1.00591141E8</v>
      </c>
      <c r="X2031" s="1" t="s">
        <v>63</v>
      </c>
      <c r="Y2031" s="1" t="s">
        <v>3056</v>
      </c>
      <c r="Z2031" s="1" t="s">
        <v>37</v>
      </c>
    </row>
    <row r="2032" hidden="1">
      <c r="A2032" s="1" t="s">
        <v>6480</v>
      </c>
      <c r="B2032" s="1" t="s">
        <v>5051</v>
      </c>
      <c r="C2032" s="1" t="s">
        <v>6481</v>
      </c>
      <c r="D2032" s="1" t="s">
        <v>27</v>
      </c>
      <c r="E2032" s="1" t="s">
        <v>28</v>
      </c>
      <c r="F2032" s="2">
        <v>500000.0</v>
      </c>
      <c r="G2032" s="4">
        <v>44810.0</v>
      </c>
      <c r="H2032" s="4">
        <f>IFERROR(__xludf.DUMMYFUNCTION("DATE(INDEX(SPLIT(G2032,""/""),,3),INDEX(SPLIT(G2032,""/""),,2),INDEX(SPLIT(G2032,""/""),,1))"),44721.0)</f>
        <v>44721</v>
      </c>
      <c r="I2032" s="1" t="s">
        <v>109</v>
      </c>
      <c r="J2032" s="4">
        <f>IFERROR(__xludf.DUMMYFUNCTION("DATE(INDEX(SPLIT(I2032,""/""),,3),INDEX(SPLIT(I2032,""/""),,2),INDEX(SPLIT(I2032,""/""),,1))"),44834.0)</f>
        <v>44834</v>
      </c>
      <c r="L2032" s="1">
        <v>0.0</v>
      </c>
      <c r="M2032" s="1" t="s">
        <v>3507</v>
      </c>
      <c r="N2032" s="1"/>
      <c r="O2032" s="1" t="s">
        <v>30</v>
      </c>
      <c r="P2032" s="1" t="s">
        <v>31</v>
      </c>
      <c r="Q2032" s="1" t="s">
        <v>235</v>
      </c>
      <c r="R2032" s="1" t="s">
        <v>235</v>
      </c>
      <c r="S2032" s="1" t="s">
        <v>236</v>
      </c>
      <c r="U2032" s="1">
        <v>1.00585834E8</v>
      </c>
      <c r="X2032" s="1" t="s">
        <v>375</v>
      </c>
      <c r="Y2032" s="1" t="s">
        <v>6463</v>
      </c>
      <c r="Z2032" s="1" t="s">
        <v>37</v>
      </c>
    </row>
    <row r="2033" hidden="1">
      <c r="A2033" s="1" t="s">
        <v>6482</v>
      </c>
      <c r="B2033" s="1" t="s">
        <v>5051</v>
      </c>
      <c r="C2033" s="1" t="s">
        <v>6483</v>
      </c>
      <c r="D2033" s="1" t="s">
        <v>27</v>
      </c>
      <c r="E2033" s="1" t="s">
        <v>28</v>
      </c>
      <c r="F2033" s="2">
        <v>500000.0</v>
      </c>
      <c r="G2033" s="4">
        <v>44810.0</v>
      </c>
      <c r="H2033" s="4">
        <f>IFERROR(__xludf.DUMMYFUNCTION("DATE(INDEX(SPLIT(G2033,""/""),,3),INDEX(SPLIT(G2033,""/""),,2),INDEX(SPLIT(G2033,""/""),,1))"),44721.0)</f>
        <v>44721</v>
      </c>
      <c r="I2033" s="1" t="s">
        <v>109</v>
      </c>
      <c r="J2033" s="4">
        <f>IFERROR(__xludf.DUMMYFUNCTION("DATE(INDEX(SPLIT(I2033,""/""),,3),INDEX(SPLIT(I2033,""/""),,2),INDEX(SPLIT(I2033,""/""),,1))"),44834.0)</f>
        <v>44834</v>
      </c>
      <c r="L2033" s="1">
        <v>0.0</v>
      </c>
      <c r="M2033" s="1" t="s">
        <v>3507</v>
      </c>
      <c r="N2033" s="1"/>
      <c r="O2033" s="1" t="s">
        <v>30</v>
      </c>
      <c r="P2033" s="1" t="s">
        <v>31</v>
      </c>
      <c r="Q2033" s="1" t="s">
        <v>235</v>
      </c>
      <c r="R2033" s="1" t="s">
        <v>235</v>
      </c>
      <c r="S2033" s="1" t="s">
        <v>236</v>
      </c>
      <c r="U2033" s="1">
        <v>1.00585834E8</v>
      </c>
      <c r="X2033" s="1" t="s">
        <v>375</v>
      </c>
      <c r="Y2033" s="1" t="s">
        <v>6463</v>
      </c>
      <c r="Z2033" s="1" t="s">
        <v>37</v>
      </c>
    </row>
    <row r="2034" hidden="1">
      <c r="A2034" s="1" t="s">
        <v>6484</v>
      </c>
      <c r="B2034" s="1" t="s">
        <v>2135</v>
      </c>
      <c r="C2034" s="1" t="s">
        <v>6485</v>
      </c>
      <c r="D2034" s="1" t="s">
        <v>27</v>
      </c>
      <c r="E2034" s="1" t="s">
        <v>28</v>
      </c>
      <c r="F2034" s="2">
        <v>500000.0</v>
      </c>
      <c r="G2034" s="4">
        <v>44598.0</v>
      </c>
      <c r="H2034" s="4">
        <f>IFERROR(__xludf.DUMMYFUNCTION("DATE(INDEX(SPLIT(G2034,""/""),,3),INDEX(SPLIT(G2034,""/""),,2),INDEX(SPLIT(G2034,""/""),,1))"),44714.0)</f>
        <v>44714</v>
      </c>
      <c r="I2034" s="1" t="s">
        <v>109</v>
      </c>
      <c r="J2034" s="4">
        <f>IFERROR(__xludf.DUMMYFUNCTION("DATE(INDEX(SPLIT(I2034,""/""),,3),INDEX(SPLIT(I2034,""/""),,2),INDEX(SPLIT(I2034,""/""),,1))"),44834.0)</f>
        <v>44834</v>
      </c>
      <c r="L2034" s="1">
        <v>0.0</v>
      </c>
      <c r="M2034" s="1" t="s">
        <v>3742</v>
      </c>
      <c r="N2034" s="1"/>
      <c r="O2034" s="1" t="s">
        <v>30</v>
      </c>
      <c r="P2034" s="1" t="s">
        <v>31</v>
      </c>
      <c r="Q2034" s="1" t="s">
        <v>95</v>
      </c>
      <c r="R2034" s="1" t="s">
        <v>95</v>
      </c>
      <c r="S2034" s="1" t="s">
        <v>96</v>
      </c>
      <c r="T2034" s="1" t="s">
        <v>311</v>
      </c>
      <c r="U2034" s="1">
        <v>1.00592784E8</v>
      </c>
      <c r="X2034" s="1" t="s">
        <v>361</v>
      </c>
      <c r="Y2034" s="1" t="s">
        <v>2138</v>
      </c>
      <c r="Z2034" s="1" t="s">
        <v>37</v>
      </c>
    </row>
    <row r="2035" hidden="1">
      <c r="A2035" s="1" t="s">
        <v>6486</v>
      </c>
      <c r="B2035" s="1" t="s">
        <v>6487</v>
      </c>
      <c r="C2035" s="1" t="s">
        <v>6488</v>
      </c>
      <c r="D2035" s="1" t="s">
        <v>27</v>
      </c>
      <c r="E2035" s="1" t="s">
        <v>28</v>
      </c>
      <c r="F2035" s="2">
        <v>500000.0</v>
      </c>
      <c r="G2035" s="4">
        <v>44682.0</v>
      </c>
      <c r="H2035" s="4">
        <f>IFERROR(__xludf.DUMMYFUNCTION("DATE(INDEX(SPLIT(G2035,""/""),,3),INDEX(SPLIT(G2035,""/""),,2),INDEX(SPLIT(G2035,""/""),,1))"),44566.0)</f>
        <v>44566</v>
      </c>
      <c r="I2035" s="1" t="s">
        <v>281</v>
      </c>
      <c r="J2035" s="4">
        <f>IFERROR(__xludf.DUMMYFUNCTION("DATE(INDEX(SPLIT(I2035,""/""),,3),INDEX(SPLIT(I2035,""/""),,2),INDEX(SPLIT(I2035,""/""),,1))"),44865.0)</f>
        <v>44865</v>
      </c>
      <c r="L2035" s="1">
        <v>0.0</v>
      </c>
      <c r="M2035" s="1" t="s">
        <v>1230</v>
      </c>
      <c r="N2035" s="1"/>
      <c r="O2035" s="1" t="s">
        <v>30</v>
      </c>
      <c r="P2035" s="1" t="s">
        <v>31</v>
      </c>
      <c r="Q2035" s="1" t="s">
        <v>53</v>
      </c>
      <c r="R2035" s="1" t="s">
        <v>53</v>
      </c>
      <c r="S2035" s="1" t="s">
        <v>54</v>
      </c>
      <c r="U2035" s="1">
        <v>1.01127868E8</v>
      </c>
      <c r="X2035" s="1" t="s">
        <v>312</v>
      </c>
      <c r="Y2035" s="1" t="s">
        <v>4868</v>
      </c>
      <c r="Z2035" s="1" t="s">
        <v>37</v>
      </c>
    </row>
    <row r="2036" hidden="1">
      <c r="A2036" s="1" t="s">
        <v>6489</v>
      </c>
      <c r="B2036" s="1" t="s">
        <v>4013</v>
      </c>
      <c r="C2036" s="1" t="s">
        <v>6490</v>
      </c>
      <c r="D2036" s="1" t="s">
        <v>27</v>
      </c>
      <c r="E2036" s="1" t="s">
        <v>28</v>
      </c>
      <c r="F2036" s="2">
        <v>500000.0</v>
      </c>
      <c r="G2036" s="4">
        <v>44840.0</v>
      </c>
      <c r="H2036" s="4">
        <f>IFERROR(__xludf.DUMMYFUNCTION("DATE(INDEX(SPLIT(G2036,""/""),,3),INDEX(SPLIT(G2036,""/""),,2),INDEX(SPLIT(G2036,""/""),,1))"),44722.0)</f>
        <v>44722</v>
      </c>
      <c r="I2036" s="1" t="s">
        <v>109</v>
      </c>
      <c r="J2036" s="4">
        <f>IFERROR(__xludf.DUMMYFUNCTION("DATE(INDEX(SPLIT(I2036,""/""),,3),INDEX(SPLIT(I2036,""/""),,2),INDEX(SPLIT(I2036,""/""),,1))"),44834.0)</f>
        <v>44834</v>
      </c>
      <c r="L2036" s="1">
        <v>0.0</v>
      </c>
      <c r="M2036" s="1" t="s">
        <v>1433</v>
      </c>
      <c r="N2036" s="1"/>
      <c r="O2036" s="1" t="s">
        <v>30</v>
      </c>
      <c r="P2036" s="1" t="s">
        <v>31</v>
      </c>
      <c r="Q2036" s="1" t="s">
        <v>228</v>
      </c>
      <c r="R2036" s="1" t="s">
        <v>228</v>
      </c>
      <c r="S2036" s="1" t="s">
        <v>229</v>
      </c>
      <c r="T2036" s="1" t="s">
        <v>640</v>
      </c>
      <c r="U2036" s="1">
        <v>1.00609118E8</v>
      </c>
      <c r="X2036" s="1" t="s">
        <v>190</v>
      </c>
      <c r="Y2036" s="1" t="s">
        <v>5726</v>
      </c>
      <c r="Z2036" s="1" t="s">
        <v>37</v>
      </c>
    </row>
    <row r="2037" hidden="1">
      <c r="A2037" s="1" t="s">
        <v>6491</v>
      </c>
      <c r="B2037" s="1" t="s">
        <v>4350</v>
      </c>
      <c r="C2037" s="1" t="s">
        <v>6492</v>
      </c>
      <c r="D2037" s="1" t="s">
        <v>27</v>
      </c>
      <c r="E2037" s="1" t="s">
        <v>28</v>
      </c>
      <c r="F2037" s="2">
        <v>500000.0</v>
      </c>
      <c r="G2037" s="4">
        <v>44533.0</v>
      </c>
      <c r="H2037" s="4">
        <f>IFERROR(__xludf.DUMMYFUNCTION("DATE(INDEX(SPLIT(G2037,""/""),,3),INDEX(SPLIT(G2037,""/""),,2),INDEX(SPLIT(G2037,""/""),,1))"),44267.0)</f>
        <v>44267</v>
      </c>
      <c r="I2037" s="1" t="s">
        <v>2002</v>
      </c>
      <c r="J2037" s="4">
        <f>IFERROR(__xludf.DUMMYFUNCTION("DATE(INDEX(SPLIT(I2037,""/""),,3),INDEX(SPLIT(I2037,""/""),,2),INDEX(SPLIT(I2037,""/""),,1))"),45009.0)</f>
        <v>45009</v>
      </c>
      <c r="L2037" s="1">
        <v>0.0</v>
      </c>
      <c r="M2037" s="1" t="s">
        <v>441</v>
      </c>
      <c r="N2037" s="1"/>
      <c r="O2037" s="1" t="s">
        <v>30</v>
      </c>
      <c r="P2037" s="1" t="s">
        <v>31</v>
      </c>
      <c r="Q2037" s="1" t="s">
        <v>157</v>
      </c>
      <c r="R2037" s="1" t="s">
        <v>157</v>
      </c>
      <c r="S2037" s="1" t="s">
        <v>158</v>
      </c>
      <c r="T2037" s="1" t="s">
        <v>442</v>
      </c>
      <c r="U2037" s="1">
        <v>1.00581784E8</v>
      </c>
      <c r="X2037" s="1" t="s">
        <v>125</v>
      </c>
      <c r="Y2037" s="1" t="s">
        <v>441</v>
      </c>
      <c r="Z2037" s="1" t="s">
        <v>37</v>
      </c>
    </row>
    <row r="2038" hidden="1">
      <c r="A2038" s="1" t="s">
        <v>6493</v>
      </c>
      <c r="B2038" s="1" t="s">
        <v>1506</v>
      </c>
      <c r="C2038" s="1" t="s">
        <v>6494</v>
      </c>
      <c r="D2038" s="1" t="s">
        <v>27</v>
      </c>
      <c r="E2038" s="1" t="s">
        <v>28</v>
      </c>
      <c r="F2038" s="2">
        <v>500000.0</v>
      </c>
      <c r="G2038" s="1" t="s">
        <v>1058</v>
      </c>
      <c r="H2038" s="4">
        <f>IFERROR(__xludf.DUMMYFUNCTION("DATE(INDEX(SPLIT(G2038,""/""),,3),INDEX(SPLIT(G2038,""/""),,2),INDEX(SPLIT(G2038,""/""),,1))"),44733.0)</f>
        <v>44733</v>
      </c>
      <c r="I2038" s="1" t="s">
        <v>109</v>
      </c>
      <c r="J2038" s="4">
        <f>IFERROR(__xludf.DUMMYFUNCTION("DATE(INDEX(SPLIT(I2038,""/""),,3),INDEX(SPLIT(I2038,""/""),,2),INDEX(SPLIT(I2038,""/""),,1))"),44834.0)</f>
        <v>44834</v>
      </c>
      <c r="L2038" s="1">
        <v>0.0</v>
      </c>
      <c r="M2038" s="1" t="s">
        <v>6495</v>
      </c>
      <c r="N2038" s="1"/>
      <c r="O2038" s="1" t="s">
        <v>30</v>
      </c>
      <c r="P2038" s="1" t="s">
        <v>31</v>
      </c>
      <c r="Q2038" s="1" t="s">
        <v>32</v>
      </c>
      <c r="R2038" s="1" t="s">
        <v>32</v>
      </c>
      <c r="S2038" s="1" t="s">
        <v>33</v>
      </c>
      <c r="U2038" s="1">
        <v>1.01131118E8</v>
      </c>
      <c r="X2038" s="1" t="s">
        <v>35</v>
      </c>
      <c r="Y2038" s="1" t="s">
        <v>5009</v>
      </c>
      <c r="Z2038" s="1" t="s">
        <v>37</v>
      </c>
    </row>
    <row r="2039" hidden="1">
      <c r="A2039" s="1" t="s">
        <v>6496</v>
      </c>
      <c r="B2039" s="1" t="s">
        <v>301</v>
      </c>
      <c r="C2039" s="1" t="s">
        <v>6497</v>
      </c>
      <c r="D2039" s="1" t="s">
        <v>27</v>
      </c>
      <c r="E2039" s="1" t="s">
        <v>28</v>
      </c>
      <c r="F2039" s="2">
        <v>500000.0</v>
      </c>
      <c r="G2039" s="1" t="s">
        <v>418</v>
      </c>
      <c r="H2039" s="4">
        <f>IFERROR(__xludf.DUMMYFUNCTION("DATE(INDEX(SPLIT(G2039,""/""),,3),INDEX(SPLIT(G2039,""/""),,2),INDEX(SPLIT(G2039,""/""),,1))"),44755.0)</f>
        <v>44755</v>
      </c>
      <c r="I2039" s="4">
        <v>44601.0</v>
      </c>
      <c r="J2039" s="4">
        <f>IFERROR(__xludf.DUMMYFUNCTION("DATE(INDEX(SPLIT(I2039,""/""),,3),INDEX(SPLIT(I2039,""/""),,2),INDEX(SPLIT(I2039,""/""),,1))"),44806.0)</f>
        <v>44806</v>
      </c>
      <c r="L2039" s="1">
        <v>0.0</v>
      </c>
      <c r="M2039" s="1" t="s">
        <v>6498</v>
      </c>
      <c r="N2039" s="1"/>
      <c r="O2039" s="1" t="s">
        <v>30</v>
      </c>
      <c r="P2039" s="1" t="s">
        <v>31</v>
      </c>
      <c r="Q2039" s="1" t="s">
        <v>157</v>
      </c>
      <c r="R2039" s="1" t="s">
        <v>157</v>
      </c>
      <c r="S2039" s="1" t="s">
        <v>158</v>
      </c>
      <c r="U2039" s="1">
        <v>1.00624244E8</v>
      </c>
      <c r="X2039" s="1" t="s">
        <v>305</v>
      </c>
      <c r="Y2039" s="1" t="s">
        <v>5768</v>
      </c>
      <c r="Z2039" s="1" t="s">
        <v>37</v>
      </c>
    </row>
    <row r="2040">
      <c r="A2040" s="1" t="s">
        <v>6499</v>
      </c>
      <c r="B2040" s="1" t="s">
        <v>223</v>
      </c>
      <c r="C2040" s="1" t="s">
        <v>6500</v>
      </c>
      <c r="D2040" s="1" t="s">
        <v>27</v>
      </c>
      <c r="E2040" s="1" t="s">
        <v>28</v>
      </c>
      <c r="F2040" s="2">
        <v>500000.0</v>
      </c>
      <c r="G2040" s="4">
        <v>44810.0</v>
      </c>
      <c r="H2040" s="4">
        <f>IFERROR(__xludf.DUMMYFUNCTION("DATE(INDEX(SPLIT(G2040,""/""),,3),INDEX(SPLIT(G2040,""/""),,2),INDEX(SPLIT(G2040,""/""),,1))"),44721.0)</f>
        <v>44721</v>
      </c>
      <c r="I2040" s="1" t="s">
        <v>69</v>
      </c>
      <c r="J2040" s="4">
        <f>IFERROR(__xludf.DUMMYFUNCTION("DATE(INDEX(SPLIT(I2040,""/""),,3),INDEX(SPLIT(I2040,""/""),,2),INDEX(SPLIT(I2040,""/""),,1))"),44773.0)</f>
        <v>44773</v>
      </c>
      <c r="L2040" s="1">
        <v>0.0</v>
      </c>
      <c r="M2040" s="1" t="s">
        <v>141</v>
      </c>
      <c r="N2040" s="1"/>
      <c r="O2040" s="1" t="s">
        <v>30</v>
      </c>
      <c r="P2040" s="1" t="s">
        <v>31</v>
      </c>
      <c r="Q2040" s="1" t="s">
        <v>95</v>
      </c>
      <c r="R2040" s="1" t="s">
        <v>95</v>
      </c>
      <c r="S2040" s="1" t="s">
        <v>96</v>
      </c>
      <c r="T2040" s="1" t="s">
        <v>217</v>
      </c>
      <c r="U2040" s="1">
        <v>1.00658522E8</v>
      </c>
      <c r="X2040" s="1" t="s">
        <v>81</v>
      </c>
      <c r="Y2040" s="1" t="s">
        <v>3480</v>
      </c>
      <c r="Z2040" s="1" t="s">
        <v>37</v>
      </c>
    </row>
    <row r="2041" hidden="1">
      <c r="A2041" s="1" t="s">
        <v>6501</v>
      </c>
      <c r="B2041" s="1" t="s">
        <v>2642</v>
      </c>
      <c r="C2041" s="1" t="s">
        <v>6502</v>
      </c>
      <c r="D2041" s="1" t="s">
        <v>27</v>
      </c>
      <c r="E2041" s="1" t="s">
        <v>28</v>
      </c>
      <c r="F2041" s="2">
        <v>500000.0</v>
      </c>
      <c r="G2041" s="4">
        <v>44051.0</v>
      </c>
      <c r="H2041" s="4">
        <f>IFERROR(__xludf.DUMMYFUNCTION("DATE(INDEX(SPLIT(G2041,""/""),,3),INDEX(SPLIT(G2041,""/""),,2),INDEX(SPLIT(G2041,""/""),,1))"),44051.0)</f>
        <v>44051</v>
      </c>
      <c r="I2041" s="1" t="s">
        <v>535</v>
      </c>
      <c r="J2041" s="4">
        <f>IFERROR(__xludf.DUMMYFUNCTION("DATE(INDEX(SPLIT(I2041,""/""),,3),INDEX(SPLIT(I2041,""/""),,2),INDEX(SPLIT(I2041,""/""),,1))"),44957.0)</f>
        <v>44957</v>
      </c>
      <c r="L2041" s="1">
        <v>0.0</v>
      </c>
      <c r="M2041" s="1" t="s">
        <v>1723</v>
      </c>
      <c r="N2041" s="1"/>
      <c r="O2041" s="1" t="s">
        <v>30</v>
      </c>
      <c r="P2041" s="1" t="s">
        <v>31</v>
      </c>
      <c r="Q2041" s="1" t="s">
        <v>157</v>
      </c>
      <c r="R2041" s="1" t="s">
        <v>157</v>
      </c>
      <c r="S2041" s="1" t="s">
        <v>158</v>
      </c>
      <c r="T2041" s="1" t="s">
        <v>181</v>
      </c>
      <c r="U2041" s="1">
        <v>1.00654085E8</v>
      </c>
      <c r="X2041" s="1" t="s">
        <v>74</v>
      </c>
      <c r="Y2041" s="1" t="s">
        <v>6503</v>
      </c>
      <c r="Z2041" s="1" t="s">
        <v>37</v>
      </c>
    </row>
    <row r="2042">
      <c r="A2042" s="1" t="s">
        <v>6504</v>
      </c>
      <c r="B2042" s="1" t="s">
        <v>6505</v>
      </c>
      <c r="C2042" s="1" t="s">
        <v>6506</v>
      </c>
      <c r="D2042" s="1" t="s">
        <v>27</v>
      </c>
      <c r="E2042" s="1" t="s">
        <v>28</v>
      </c>
      <c r="F2042" s="2">
        <v>500000.0</v>
      </c>
      <c r="G2042" s="4">
        <v>44051.0</v>
      </c>
      <c r="H2042" s="4">
        <f>IFERROR(__xludf.DUMMYFUNCTION("DATE(INDEX(SPLIT(G2042,""/""),,3),INDEX(SPLIT(G2042,""/""),,2),INDEX(SPLIT(G2042,""/""),,1))"),44051.0)</f>
        <v>44051</v>
      </c>
      <c r="I2042" s="1" t="s">
        <v>1244</v>
      </c>
      <c r="J2042" s="4">
        <f>IFERROR(__xludf.DUMMYFUNCTION("DATE(INDEX(SPLIT(I2042,""/""),,3),INDEX(SPLIT(I2042,""/""),,2),INDEX(SPLIT(I2042,""/""),,1))"),44742.0)</f>
        <v>44742</v>
      </c>
      <c r="L2042" s="1">
        <v>0.0</v>
      </c>
      <c r="M2042" s="1" t="s">
        <v>1723</v>
      </c>
      <c r="N2042" s="1"/>
      <c r="O2042" s="1" t="s">
        <v>30</v>
      </c>
      <c r="P2042" s="1" t="s">
        <v>31</v>
      </c>
      <c r="Q2042" s="1" t="s">
        <v>157</v>
      </c>
      <c r="R2042" s="1" t="s">
        <v>157</v>
      </c>
      <c r="S2042" s="1" t="s">
        <v>158</v>
      </c>
      <c r="T2042" s="1" t="s">
        <v>159</v>
      </c>
      <c r="U2042" s="1">
        <v>1.00654085E8</v>
      </c>
      <c r="X2042" s="1" t="s">
        <v>74</v>
      </c>
      <c r="Y2042" s="1" t="s">
        <v>6503</v>
      </c>
      <c r="Z2042" s="1" t="s">
        <v>37</v>
      </c>
    </row>
    <row r="2043">
      <c r="A2043" s="1" t="s">
        <v>6507</v>
      </c>
      <c r="B2043" s="1" t="s">
        <v>1081</v>
      </c>
      <c r="C2043" s="1" t="s">
        <v>6508</v>
      </c>
      <c r="D2043" s="1" t="s">
        <v>78</v>
      </c>
      <c r="E2043" s="1" t="s">
        <v>28</v>
      </c>
      <c r="F2043" s="2">
        <v>500000.0</v>
      </c>
      <c r="G2043" s="4">
        <v>44200.0</v>
      </c>
      <c r="H2043" s="4">
        <f>IFERROR(__xludf.DUMMYFUNCTION("DATE(INDEX(SPLIT(G2043,""/""),,3),INDEX(SPLIT(G2043,""/""),,2),INDEX(SPLIT(G2043,""/""),,1))"),44287.0)</f>
        <v>44287</v>
      </c>
      <c r="I2043" s="1" t="s">
        <v>226</v>
      </c>
      <c r="J2043" s="4">
        <f>IFERROR(__xludf.DUMMYFUNCTION("DATE(INDEX(SPLIT(I2043,""/""),,3),INDEX(SPLIT(I2043,""/""),,2),INDEX(SPLIT(I2043,""/""),,1))"),44771.0)</f>
        <v>44771</v>
      </c>
      <c r="L2043" s="1">
        <v>0.0</v>
      </c>
      <c r="M2043" s="1" t="s">
        <v>1496</v>
      </c>
      <c r="N2043" s="1"/>
      <c r="O2043" s="1" t="s">
        <v>30</v>
      </c>
      <c r="P2043" s="1" t="s">
        <v>31</v>
      </c>
      <c r="Q2043" s="1" t="s">
        <v>53</v>
      </c>
      <c r="R2043" s="1" t="s">
        <v>53</v>
      </c>
      <c r="S2043" s="1" t="s">
        <v>54</v>
      </c>
      <c r="T2043" s="1" t="s">
        <v>1386</v>
      </c>
      <c r="U2043" s="1">
        <v>1.00610014E8</v>
      </c>
      <c r="X2043" s="1" t="s">
        <v>81</v>
      </c>
      <c r="Y2043" s="1" t="s">
        <v>1496</v>
      </c>
      <c r="Z2043" s="1" t="s">
        <v>37</v>
      </c>
    </row>
    <row r="2044" hidden="1">
      <c r="A2044" s="1" t="s">
        <v>6509</v>
      </c>
      <c r="B2044" s="1" t="s">
        <v>6510</v>
      </c>
      <c r="C2044" s="1" t="s">
        <v>6511</v>
      </c>
      <c r="D2044" s="1" t="s">
        <v>78</v>
      </c>
      <c r="E2044" s="1" t="s">
        <v>28</v>
      </c>
      <c r="F2044" s="2">
        <v>500000.0</v>
      </c>
      <c r="G2044" s="1" t="s">
        <v>576</v>
      </c>
      <c r="H2044" s="4">
        <f>IFERROR(__xludf.DUMMYFUNCTION("DATE(INDEX(SPLIT(G2044,""/""),,3),INDEX(SPLIT(G2044,""/""),,2),INDEX(SPLIT(G2044,""/""),,1))"),44614.0)</f>
        <v>44614</v>
      </c>
      <c r="I2044" s="4">
        <v>44689.0</v>
      </c>
      <c r="J2044" s="4">
        <f>IFERROR(__xludf.DUMMYFUNCTION("DATE(INDEX(SPLIT(I2044,""/""),,3),INDEX(SPLIT(I2044,""/""),,2),INDEX(SPLIT(I2044,""/""),,1))"),44778.0)</f>
        <v>44778</v>
      </c>
      <c r="L2044" s="1">
        <v>0.0</v>
      </c>
      <c r="M2044" s="1" t="s">
        <v>6512</v>
      </c>
      <c r="N2044" s="1"/>
      <c r="O2044" s="1" t="s">
        <v>30</v>
      </c>
      <c r="P2044" s="1" t="s">
        <v>31</v>
      </c>
      <c r="Q2044" s="1" t="s">
        <v>71</v>
      </c>
      <c r="R2044" s="1" t="s">
        <v>71</v>
      </c>
      <c r="S2044" s="1" t="s">
        <v>72</v>
      </c>
      <c r="U2044" s="1">
        <v>1.01193937E8</v>
      </c>
      <c r="X2044" s="1" t="s">
        <v>490</v>
      </c>
      <c r="Y2044" s="1" t="s">
        <v>614</v>
      </c>
      <c r="Z2044" s="1" t="s">
        <v>206</v>
      </c>
    </row>
    <row r="2045">
      <c r="A2045" s="1" t="s">
        <v>6513</v>
      </c>
      <c r="B2045" s="1" t="s">
        <v>246</v>
      </c>
      <c r="C2045" s="1" t="s">
        <v>6514</v>
      </c>
      <c r="D2045" s="1" t="s">
        <v>78</v>
      </c>
      <c r="E2045" s="1" t="s">
        <v>28</v>
      </c>
      <c r="F2045" s="2">
        <v>500000.0</v>
      </c>
      <c r="G2045" s="1" t="s">
        <v>2244</v>
      </c>
      <c r="H2045" s="4">
        <f>IFERROR(__xludf.DUMMYFUNCTION("DATE(INDEX(SPLIT(G2045,""/""),,3),INDEX(SPLIT(G2045,""/""),,2),INDEX(SPLIT(G2045,""/""),,1))"),44634.0)</f>
        <v>44634</v>
      </c>
      <c r="I2045" s="1" t="s">
        <v>226</v>
      </c>
      <c r="J2045" s="4">
        <f>IFERROR(__xludf.DUMMYFUNCTION("DATE(INDEX(SPLIT(I2045,""/""),,3),INDEX(SPLIT(I2045,""/""),,2),INDEX(SPLIT(I2045,""/""),,1))"),44771.0)</f>
        <v>44771</v>
      </c>
      <c r="L2045" s="1">
        <v>0.0</v>
      </c>
      <c r="M2045" s="1" t="s">
        <v>249</v>
      </c>
      <c r="N2045" s="1"/>
      <c r="O2045" s="1" t="s">
        <v>30</v>
      </c>
      <c r="P2045" s="1" t="s">
        <v>31</v>
      </c>
      <c r="Q2045" s="1" t="s">
        <v>32</v>
      </c>
      <c r="R2045" s="1" t="s">
        <v>32</v>
      </c>
      <c r="S2045" s="1" t="s">
        <v>33</v>
      </c>
      <c r="T2045" s="1" t="s">
        <v>103</v>
      </c>
      <c r="U2045" s="1">
        <v>1.00617853E8</v>
      </c>
      <c r="V2045" s="1" t="s">
        <v>6515</v>
      </c>
      <c r="W2045" s="1" t="s">
        <v>199</v>
      </c>
      <c r="X2045" s="1" t="s">
        <v>35</v>
      </c>
      <c r="Y2045" s="1" t="s">
        <v>1884</v>
      </c>
      <c r="Z2045" s="1" t="s">
        <v>37</v>
      </c>
    </row>
    <row r="2046" hidden="1">
      <c r="A2046" s="1" t="s">
        <v>6516</v>
      </c>
      <c r="B2046" s="1" t="s">
        <v>6121</v>
      </c>
      <c r="C2046" s="1" t="s">
        <v>6517</v>
      </c>
      <c r="D2046" s="1" t="s">
        <v>27</v>
      </c>
      <c r="E2046" s="1" t="s">
        <v>28</v>
      </c>
      <c r="F2046" s="2">
        <v>500000.0</v>
      </c>
      <c r="G2046" s="1" t="s">
        <v>418</v>
      </c>
      <c r="H2046" s="4">
        <f>IFERROR(__xludf.DUMMYFUNCTION("DATE(INDEX(SPLIT(G2046,""/""),,3),INDEX(SPLIT(G2046,""/""),,2),INDEX(SPLIT(G2046,""/""),,1))"),44755.0)</f>
        <v>44755</v>
      </c>
      <c r="I2046" s="1" t="s">
        <v>130</v>
      </c>
      <c r="J2046" s="4">
        <f>IFERROR(__xludf.DUMMYFUNCTION("DATE(INDEX(SPLIT(I2046,""/""),,3),INDEX(SPLIT(I2046,""/""),,2),INDEX(SPLIT(I2046,""/""),,1))"),44804.0)</f>
        <v>44804</v>
      </c>
      <c r="L2046" s="1">
        <v>0.0</v>
      </c>
      <c r="M2046" s="1" t="s">
        <v>6518</v>
      </c>
      <c r="N2046" s="1"/>
      <c r="O2046" s="1" t="s">
        <v>30</v>
      </c>
      <c r="P2046" s="1" t="s">
        <v>31</v>
      </c>
      <c r="Q2046" s="1" t="s">
        <v>71</v>
      </c>
      <c r="R2046" s="1" t="s">
        <v>71</v>
      </c>
      <c r="S2046" s="1" t="s">
        <v>72</v>
      </c>
      <c r="T2046" s="1" t="s">
        <v>136</v>
      </c>
      <c r="U2046" s="1">
        <v>1.01245114E8</v>
      </c>
      <c r="X2046" s="1" t="s">
        <v>74</v>
      </c>
      <c r="Y2046" s="1" t="s">
        <v>4631</v>
      </c>
      <c r="Z2046" s="1" t="s">
        <v>37</v>
      </c>
    </row>
    <row r="2047">
      <c r="A2047" s="1" t="s">
        <v>6519</v>
      </c>
      <c r="B2047" s="1" t="s">
        <v>6520</v>
      </c>
      <c r="C2047" s="1" t="s">
        <v>6521</v>
      </c>
      <c r="D2047" s="1" t="s">
        <v>27</v>
      </c>
      <c r="E2047" s="1" t="s">
        <v>28</v>
      </c>
      <c r="F2047" s="2">
        <v>500000.0</v>
      </c>
      <c r="G2047" s="1" t="s">
        <v>2064</v>
      </c>
      <c r="H2047" s="4">
        <f>IFERROR(__xludf.DUMMYFUNCTION("DATE(INDEX(SPLIT(G2047,""/""),,3),INDEX(SPLIT(G2047,""/""),,2),INDEX(SPLIT(G2047,""/""),,1))"),44616.0)</f>
        <v>44616</v>
      </c>
      <c r="I2047" s="1" t="s">
        <v>69</v>
      </c>
      <c r="J2047" s="4">
        <f>IFERROR(__xludf.DUMMYFUNCTION("DATE(INDEX(SPLIT(I2047,""/""),,3),INDEX(SPLIT(I2047,""/""),,2),INDEX(SPLIT(I2047,""/""),,1))"),44773.0)</f>
        <v>44773</v>
      </c>
      <c r="L2047" s="1">
        <v>0.0</v>
      </c>
      <c r="M2047" s="1" t="s">
        <v>780</v>
      </c>
      <c r="N2047" s="1"/>
      <c r="O2047" s="1" t="s">
        <v>30</v>
      </c>
      <c r="P2047" s="1" t="s">
        <v>31</v>
      </c>
      <c r="Q2047" s="1" t="s">
        <v>157</v>
      </c>
      <c r="R2047" s="1" t="s">
        <v>157</v>
      </c>
      <c r="S2047" s="1" t="s">
        <v>158</v>
      </c>
      <c r="T2047" s="1" t="s">
        <v>442</v>
      </c>
      <c r="U2047" s="1">
        <v>1.00654914E8</v>
      </c>
      <c r="X2047" s="1" t="s">
        <v>74</v>
      </c>
      <c r="Y2047" s="1" t="s">
        <v>3520</v>
      </c>
      <c r="Z2047" s="1" t="s">
        <v>37</v>
      </c>
    </row>
    <row r="2048" hidden="1">
      <c r="A2048" s="1" t="s">
        <v>6522</v>
      </c>
      <c r="B2048" s="1" t="s">
        <v>1158</v>
      </c>
      <c r="C2048" s="1" t="s">
        <v>6523</v>
      </c>
      <c r="D2048" s="1" t="s">
        <v>122</v>
      </c>
      <c r="E2048" s="1" t="s">
        <v>28</v>
      </c>
      <c r="F2048" s="2">
        <v>500000.0</v>
      </c>
      <c r="G2048" s="4">
        <v>44686.0</v>
      </c>
      <c r="H2048" s="4">
        <f>IFERROR(__xludf.DUMMYFUNCTION("DATE(INDEX(SPLIT(G2048,""/""),,3),INDEX(SPLIT(G2048,""/""),,2),INDEX(SPLIT(G2048,""/""),,1))"),44686.0)</f>
        <v>44686</v>
      </c>
      <c r="I2048" s="1" t="s">
        <v>130</v>
      </c>
      <c r="J2048" s="4">
        <f>IFERROR(__xludf.DUMMYFUNCTION("DATE(INDEX(SPLIT(I2048,""/""),,3),INDEX(SPLIT(I2048,""/""),,2),INDEX(SPLIT(I2048,""/""),,1))"),44804.0)</f>
        <v>44804</v>
      </c>
      <c r="L2048" s="1">
        <v>0.0</v>
      </c>
      <c r="M2048" s="1" t="s">
        <v>951</v>
      </c>
      <c r="N2048" s="1"/>
      <c r="O2048" s="1" t="s">
        <v>30</v>
      </c>
      <c r="P2048" s="1" t="s">
        <v>31</v>
      </c>
      <c r="Q2048" s="1" t="s">
        <v>157</v>
      </c>
      <c r="R2048" s="1" t="s">
        <v>157</v>
      </c>
      <c r="S2048" s="1" t="s">
        <v>158</v>
      </c>
      <c r="U2048" s="1">
        <v>1.00653269E8</v>
      </c>
      <c r="X2048" s="1" t="s">
        <v>88</v>
      </c>
      <c r="Y2048" s="1" t="s">
        <v>6524</v>
      </c>
      <c r="Z2048" s="1" t="s">
        <v>37</v>
      </c>
    </row>
    <row r="2049" hidden="1">
      <c r="A2049" s="1" t="s">
        <v>6525</v>
      </c>
      <c r="B2049" s="1" t="s">
        <v>1050</v>
      </c>
      <c r="C2049" s="1" t="s">
        <v>6526</v>
      </c>
      <c r="D2049" s="1" t="s">
        <v>78</v>
      </c>
      <c r="E2049" s="1" t="s">
        <v>28</v>
      </c>
      <c r="F2049" s="2">
        <v>500000.0</v>
      </c>
      <c r="G2049" s="1" t="s">
        <v>2455</v>
      </c>
      <c r="H2049" s="4">
        <f>IFERROR(__xludf.DUMMYFUNCTION("DATE(INDEX(SPLIT(G2049,""/""),,3),INDEX(SPLIT(G2049,""/""),,2),INDEX(SPLIT(G2049,""/""),,1))"),44606.0)</f>
        <v>44606</v>
      </c>
      <c r="I2049" s="4">
        <v>44662.0</v>
      </c>
      <c r="J2049" s="4">
        <f>IFERROR(__xludf.DUMMYFUNCTION("DATE(INDEX(SPLIT(I2049,""/""),,3),INDEX(SPLIT(I2049,""/""),,2),INDEX(SPLIT(I2049,""/""),,1))"),44869.0)</f>
        <v>44869</v>
      </c>
      <c r="L2049" s="1">
        <v>0.0</v>
      </c>
      <c r="M2049" s="1" t="s">
        <v>6527</v>
      </c>
      <c r="N2049" s="1"/>
      <c r="O2049" s="1" t="s">
        <v>30</v>
      </c>
      <c r="P2049" s="1" t="s">
        <v>31</v>
      </c>
      <c r="Q2049" s="1" t="s">
        <v>53</v>
      </c>
      <c r="R2049" s="1" t="s">
        <v>53</v>
      </c>
      <c r="S2049" s="1" t="s">
        <v>54</v>
      </c>
      <c r="T2049" s="1" t="s">
        <v>237</v>
      </c>
      <c r="U2049" s="1">
        <v>1.00983419E8</v>
      </c>
      <c r="X2049" s="1" t="s">
        <v>239</v>
      </c>
      <c r="Y2049" s="1" t="s">
        <v>6272</v>
      </c>
      <c r="Z2049" s="1" t="s">
        <v>37</v>
      </c>
    </row>
    <row r="2050">
      <c r="A2050" s="1" t="s">
        <v>6528</v>
      </c>
      <c r="B2050" s="1" t="s">
        <v>6529</v>
      </c>
      <c r="C2050" s="1" t="s">
        <v>6530</v>
      </c>
      <c r="D2050" s="1" t="s">
        <v>78</v>
      </c>
      <c r="E2050" s="1" t="s">
        <v>28</v>
      </c>
      <c r="F2050" s="2">
        <v>500000.0</v>
      </c>
      <c r="G2050" s="4">
        <v>44744.0</v>
      </c>
      <c r="H2050" s="4">
        <f>IFERROR(__xludf.DUMMYFUNCTION("DATE(INDEX(SPLIT(G2050,""/""),,3),INDEX(SPLIT(G2050,""/""),,2),INDEX(SPLIT(G2050,""/""),,1))"),44599.0)</f>
        <v>44599</v>
      </c>
      <c r="I2050" s="1" t="s">
        <v>69</v>
      </c>
      <c r="J2050" s="4">
        <f>IFERROR(__xludf.DUMMYFUNCTION("DATE(INDEX(SPLIT(I2050,""/""),,3),INDEX(SPLIT(I2050,""/""),,2),INDEX(SPLIT(I2050,""/""),,1))"),44773.0)</f>
        <v>44773</v>
      </c>
      <c r="L2050" s="1">
        <v>0.0</v>
      </c>
      <c r="M2050" s="1" t="s">
        <v>780</v>
      </c>
      <c r="N2050" s="1"/>
      <c r="O2050" s="1" t="s">
        <v>30</v>
      </c>
      <c r="P2050" s="1" t="s">
        <v>31</v>
      </c>
      <c r="Q2050" s="1" t="s">
        <v>157</v>
      </c>
      <c r="R2050" s="1" t="s">
        <v>157</v>
      </c>
      <c r="S2050" s="1" t="s">
        <v>158</v>
      </c>
      <c r="T2050" s="1" t="s">
        <v>442</v>
      </c>
      <c r="U2050" s="1">
        <v>1.00654914E8</v>
      </c>
      <c r="X2050" s="1" t="s">
        <v>98</v>
      </c>
      <c r="Y2050" s="1" t="s">
        <v>3520</v>
      </c>
      <c r="Z2050" s="1" t="s">
        <v>37</v>
      </c>
    </row>
    <row r="2051" hidden="1">
      <c r="A2051" s="1" t="s">
        <v>6531</v>
      </c>
      <c r="B2051" s="1" t="s">
        <v>59</v>
      </c>
      <c r="C2051" s="1" t="s">
        <v>6532</v>
      </c>
      <c r="D2051" s="1" t="s">
        <v>78</v>
      </c>
      <c r="E2051" s="1" t="s">
        <v>28</v>
      </c>
      <c r="F2051" s="2">
        <v>500000.0</v>
      </c>
      <c r="G2051" s="1" t="s">
        <v>6533</v>
      </c>
      <c r="H2051" s="4">
        <f>IFERROR(__xludf.DUMMYFUNCTION("DATE(INDEX(SPLIT(G2051,""/""),,3),INDEX(SPLIT(G2051,""/""),,2),INDEX(SPLIT(G2051,""/""),,1))"),44221.0)</f>
        <v>44221</v>
      </c>
      <c r="I2051" s="1" t="s">
        <v>317</v>
      </c>
      <c r="J2051" s="4">
        <f>IFERROR(__xludf.DUMMYFUNCTION("DATE(INDEX(SPLIT(I2051,""/""),,3),INDEX(SPLIT(I2051,""/""),,2),INDEX(SPLIT(I2051,""/""),,1))"),44862.0)</f>
        <v>44862</v>
      </c>
      <c r="L2051" s="1">
        <v>0.0</v>
      </c>
      <c r="M2051" s="1" t="s">
        <v>61</v>
      </c>
      <c r="N2051" s="1"/>
      <c r="O2051" s="1" t="s">
        <v>30</v>
      </c>
      <c r="P2051" s="1" t="s">
        <v>31</v>
      </c>
      <c r="Q2051" s="1" t="s">
        <v>32</v>
      </c>
      <c r="R2051" s="1" t="s">
        <v>32</v>
      </c>
      <c r="S2051" s="1" t="s">
        <v>33</v>
      </c>
      <c r="T2051" s="1" t="s">
        <v>103</v>
      </c>
      <c r="U2051" s="1">
        <v>1.0060843E8</v>
      </c>
      <c r="X2051" s="1" t="s">
        <v>63</v>
      </c>
      <c r="Y2051" s="1" t="s">
        <v>61</v>
      </c>
      <c r="Z2051" s="1" t="s">
        <v>37</v>
      </c>
    </row>
    <row r="2052" hidden="1">
      <c r="A2052" s="1" t="s">
        <v>6534</v>
      </c>
      <c r="B2052" s="1" t="s">
        <v>6535</v>
      </c>
      <c r="C2052" s="1" t="s">
        <v>6536</v>
      </c>
      <c r="D2052" s="1" t="s">
        <v>27</v>
      </c>
      <c r="E2052" s="1" t="s">
        <v>28</v>
      </c>
      <c r="F2052" s="2">
        <v>500000.0</v>
      </c>
      <c r="G2052" s="1" t="s">
        <v>6537</v>
      </c>
      <c r="H2052" s="4">
        <f>IFERROR(__xludf.DUMMYFUNCTION("DATE(INDEX(SPLIT(G2052,""/""),,3),INDEX(SPLIT(G2052,""/""),,2),INDEX(SPLIT(G2052,""/""),,1))"),44097.0)</f>
        <v>44097</v>
      </c>
      <c r="I2052" s="4">
        <v>44571.0</v>
      </c>
      <c r="J2052" s="4">
        <f>IFERROR(__xludf.DUMMYFUNCTION("DATE(INDEX(SPLIT(I2052,""/""),,3),INDEX(SPLIT(I2052,""/""),,2),INDEX(SPLIT(I2052,""/""),,1))"),44835.0)</f>
        <v>44835</v>
      </c>
      <c r="L2052" s="1">
        <v>0.0</v>
      </c>
      <c r="M2052" s="1" t="s">
        <v>3248</v>
      </c>
      <c r="N2052" s="1"/>
      <c r="O2052" s="1" t="s">
        <v>30</v>
      </c>
      <c r="P2052" s="1" t="s">
        <v>31</v>
      </c>
      <c r="Q2052" s="1" t="s">
        <v>32</v>
      </c>
      <c r="R2052" s="1" t="s">
        <v>32</v>
      </c>
      <c r="S2052" s="1" t="s">
        <v>33</v>
      </c>
      <c r="T2052" s="1" t="s">
        <v>1195</v>
      </c>
      <c r="U2052" s="1">
        <v>1.00586233E8</v>
      </c>
      <c r="X2052" s="1" t="s">
        <v>490</v>
      </c>
      <c r="Y2052" s="1" t="s">
        <v>3248</v>
      </c>
      <c r="Z2052" s="1" t="s">
        <v>37</v>
      </c>
    </row>
    <row r="2053">
      <c r="A2053" s="1" t="s">
        <v>6538</v>
      </c>
      <c r="B2053" s="1" t="s">
        <v>1820</v>
      </c>
      <c r="C2053" s="1" t="s">
        <v>6539</v>
      </c>
      <c r="D2053" s="1" t="s">
        <v>27</v>
      </c>
      <c r="E2053" s="1" t="s">
        <v>28</v>
      </c>
      <c r="F2053" s="2">
        <v>500000.0</v>
      </c>
      <c r="G2053" s="4">
        <v>44532.0</v>
      </c>
      <c r="H2053" s="4">
        <f>IFERROR(__xludf.DUMMYFUNCTION("DATE(INDEX(SPLIT(G2053,""/""),,3),INDEX(SPLIT(G2053,""/""),,2),INDEX(SPLIT(G2053,""/""),,1))"),44239.0)</f>
        <v>44239</v>
      </c>
      <c r="I2053" s="1" t="s">
        <v>2300</v>
      </c>
      <c r="J2053" s="4">
        <f>IFERROR(__xludf.DUMMYFUNCTION("DATE(INDEX(SPLIT(I2053,""/""),,3),INDEX(SPLIT(I2053,""/""),,2),INDEX(SPLIT(I2053,""/""),,1))"),44712.0)</f>
        <v>44712</v>
      </c>
      <c r="L2053" s="1">
        <v>0.0</v>
      </c>
      <c r="M2053" s="1" t="s">
        <v>437</v>
      </c>
      <c r="N2053" s="1"/>
      <c r="O2053" s="1" t="s">
        <v>30</v>
      </c>
      <c r="P2053" s="1" t="s">
        <v>31</v>
      </c>
      <c r="Q2053" s="1" t="s">
        <v>235</v>
      </c>
      <c r="R2053" s="1" t="s">
        <v>235</v>
      </c>
      <c r="S2053" s="1" t="s">
        <v>236</v>
      </c>
      <c r="U2053" s="1">
        <v>1.00650375E8</v>
      </c>
      <c r="X2053" s="1" t="s">
        <v>74</v>
      </c>
      <c r="Y2053" s="1" t="s">
        <v>437</v>
      </c>
      <c r="Z2053" s="1" t="s">
        <v>37</v>
      </c>
    </row>
    <row r="2054" hidden="1">
      <c r="A2054" s="1" t="s">
        <v>6540</v>
      </c>
      <c r="B2054" s="1" t="s">
        <v>2491</v>
      </c>
      <c r="C2054" s="1" t="s">
        <v>6541</v>
      </c>
      <c r="D2054" s="1" t="s">
        <v>27</v>
      </c>
      <c r="E2054" s="1" t="s">
        <v>28</v>
      </c>
      <c r="F2054" s="2">
        <v>500000.0</v>
      </c>
      <c r="G2054" s="1" t="s">
        <v>418</v>
      </c>
      <c r="H2054" s="4">
        <f>IFERROR(__xludf.DUMMYFUNCTION("DATE(INDEX(SPLIT(G2054,""/""),,3),INDEX(SPLIT(G2054,""/""),,2),INDEX(SPLIT(G2054,""/""),,1))"),44755.0)</f>
        <v>44755</v>
      </c>
      <c r="I2054" s="1" t="s">
        <v>1269</v>
      </c>
      <c r="J2054" s="4">
        <f>IFERROR(__xludf.DUMMYFUNCTION("DATE(INDEX(SPLIT(I2054,""/""),,3),INDEX(SPLIT(I2054,""/""),,2),INDEX(SPLIT(I2054,""/""),,1))"),45000.0)</f>
        <v>45000</v>
      </c>
      <c r="L2054" s="1">
        <v>0.0</v>
      </c>
      <c r="M2054" s="1" t="s">
        <v>633</v>
      </c>
      <c r="N2054" s="1"/>
      <c r="O2054" s="1" t="s">
        <v>30</v>
      </c>
      <c r="P2054" s="1" t="s">
        <v>31</v>
      </c>
      <c r="Q2054" s="1" t="s">
        <v>53</v>
      </c>
      <c r="R2054" s="1" t="s">
        <v>53</v>
      </c>
      <c r="S2054" s="1" t="s">
        <v>54</v>
      </c>
      <c r="T2054" s="1" t="s">
        <v>634</v>
      </c>
      <c r="U2054" s="1">
        <v>1.00997154E8</v>
      </c>
      <c r="X2054" s="1" t="s">
        <v>490</v>
      </c>
      <c r="Y2054" s="1" t="s">
        <v>633</v>
      </c>
      <c r="Z2054" s="1" t="s">
        <v>37</v>
      </c>
    </row>
    <row r="2055" hidden="1">
      <c r="A2055" s="1" t="s">
        <v>6542</v>
      </c>
      <c r="B2055" s="1" t="s">
        <v>2491</v>
      </c>
      <c r="C2055" s="1" t="s">
        <v>6543</v>
      </c>
      <c r="D2055" s="1" t="s">
        <v>27</v>
      </c>
      <c r="E2055" s="1" t="s">
        <v>28</v>
      </c>
      <c r="F2055" s="2">
        <v>500000.0</v>
      </c>
      <c r="G2055" s="1" t="s">
        <v>418</v>
      </c>
      <c r="H2055" s="4">
        <f>IFERROR(__xludf.DUMMYFUNCTION("DATE(INDEX(SPLIT(G2055,""/""),,3),INDEX(SPLIT(G2055,""/""),,2),INDEX(SPLIT(G2055,""/""),,1))"),44755.0)</f>
        <v>44755</v>
      </c>
      <c r="I2055" s="1" t="s">
        <v>6544</v>
      </c>
      <c r="J2055" s="4">
        <f>IFERROR(__xludf.DUMMYFUNCTION("DATE(INDEX(SPLIT(I2055,""/""),,3),INDEX(SPLIT(I2055,""/""),,2),INDEX(SPLIT(I2055,""/""),,1))"),44939.0)</f>
        <v>44939</v>
      </c>
      <c r="L2055" s="1">
        <v>0.0</v>
      </c>
      <c r="M2055" s="1" t="s">
        <v>633</v>
      </c>
      <c r="N2055" s="1"/>
      <c r="O2055" s="1" t="s">
        <v>30</v>
      </c>
      <c r="P2055" s="1" t="s">
        <v>31</v>
      </c>
      <c r="Q2055" s="1" t="s">
        <v>53</v>
      </c>
      <c r="R2055" s="1" t="s">
        <v>53</v>
      </c>
      <c r="S2055" s="1" t="s">
        <v>54</v>
      </c>
      <c r="T2055" s="1" t="s">
        <v>634</v>
      </c>
      <c r="U2055" s="1">
        <v>1.00997154E8</v>
      </c>
      <c r="X2055" s="1" t="s">
        <v>490</v>
      </c>
      <c r="Y2055" s="1" t="s">
        <v>633</v>
      </c>
      <c r="Z2055" s="1" t="s">
        <v>37</v>
      </c>
    </row>
    <row r="2056" hidden="1">
      <c r="A2056" s="1" t="s">
        <v>6545</v>
      </c>
      <c r="B2056" s="1" t="s">
        <v>6546</v>
      </c>
      <c r="C2056" s="1" t="s">
        <v>6547</v>
      </c>
      <c r="D2056" s="1" t="s">
        <v>27</v>
      </c>
      <c r="E2056" s="1" t="s">
        <v>28</v>
      </c>
      <c r="F2056" s="2">
        <v>500000.0</v>
      </c>
      <c r="G2056" s="1" t="s">
        <v>2419</v>
      </c>
      <c r="H2056" s="4">
        <f>IFERROR(__xludf.DUMMYFUNCTION("DATE(INDEX(SPLIT(G2056,""/""),,3),INDEX(SPLIT(G2056,""/""),,2),INDEX(SPLIT(G2056,""/""),,1))"),44482.0)</f>
        <v>44482</v>
      </c>
      <c r="I2056" s="4">
        <v>44690.0</v>
      </c>
      <c r="J2056" s="4">
        <f>IFERROR(__xludf.DUMMYFUNCTION("DATE(INDEX(SPLIT(I2056,""/""),,3),INDEX(SPLIT(I2056,""/""),,2),INDEX(SPLIT(I2056,""/""),,1))"),44809.0)</f>
        <v>44809</v>
      </c>
      <c r="L2056" s="1">
        <v>0.0</v>
      </c>
      <c r="M2056" s="1" t="s">
        <v>2342</v>
      </c>
      <c r="N2056" s="1"/>
      <c r="O2056" s="1" t="s">
        <v>30</v>
      </c>
      <c r="P2056" s="1" t="s">
        <v>31</v>
      </c>
      <c r="Q2056" s="1" t="s">
        <v>53</v>
      </c>
      <c r="R2056" s="1" t="s">
        <v>53</v>
      </c>
      <c r="S2056" s="1" t="s">
        <v>54</v>
      </c>
      <c r="T2056" s="1" t="s">
        <v>55</v>
      </c>
      <c r="U2056" s="1">
        <v>1.00886112E8</v>
      </c>
      <c r="X2056" s="1" t="s">
        <v>289</v>
      </c>
      <c r="Y2056" s="1" t="s">
        <v>6548</v>
      </c>
      <c r="Z2056" s="1" t="s">
        <v>37</v>
      </c>
    </row>
    <row r="2057">
      <c r="A2057" s="1" t="s">
        <v>6549</v>
      </c>
      <c r="B2057" s="1" t="s">
        <v>1123</v>
      </c>
      <c r="C2057" s="1" t="s">
        <v>6550</v>
      </c>
      <c r="D2057" s="1" t="s">
        <v>27</v>
      </c>
      <c r="E2057" s="1" t="s">
        <v>28</v>
      </c>
      <c r="F2057" s="2">
        <v>500000.0</v>
      </c>
      <c r="G2057" s="4">
        <v>44687.0</v>
      </c>
      <c r="H2057" s="4">
        <f>IFERROR(__xludf.DUMMYFUNCTION("DATE(INDEX(SPLIT(G2057,""/""),,3),INDEX(SPLIT(G2057,""/""),,2),INDEX(SPLIT(G2057,""/""),,1))"),44717.0)</f>
        <v>44717</v>
      </c>
      <c r="I2057" s="1" t="s">
        <v>226</v>
      </c>
      <c r="J2057" s="4">
        <f>IFERROR(__xludf.DUMMYFUNCTION("DATE(INDEX(SPLIT(I2057,""/""),,3),INDEX(SPLIT(I2057,""/""),,2),INDEX(SPLIT(I2057,""/""),,1))"),44771.0)</f>
        <v>44771</v>
      </c>
      <c r="L2057" s="1">
        <v>0.0</v>
      </c>
      <c r="M2057" s="1" t="s">
        <v>2247</v>
      </c>
      <c r="N2057" s="1"/>
      <c r="O2057" s="1" t="s">
        <v>30</v>
      </c>
      <c r="P2057" s="1" t="s">
        <v>31</v>
      </c>
      <c r="Q2057" s="1" t="s">
        <v>32</v>
      </c>
      <c r="R2057" s="1" t="s">
        <v>32</v>
      </c>
      <c r="S2057" s="1" t="s">
        <v>33</v>
      </c>
      <c r="U2057" s="1">
        <v>1.01076271E8</v>
      </c>
      <c r="X2057" s="1" t="s">
        <v>117</v>
      </c>
      <c r="Y2057" s="1" t="s">
        <v>2247</v>
      </c>
      <c r="Z2057" s="1" t="s">
        <v>206</v>
      </c>
    </row>
    <row r="2058" hidden="1">
      <c r="A2058" s="1" t="s">
        <v>6551</v>
      </c>
      <c r="B2058" s="1" t="s">
        <v>1596</v>
      </c>
      <c r="C2058" s="1" t="s">
        <v>6552</v>
      </c>
      <c r="D2058" s="1" t="s">
        <v>78</v>
      </c>
      <c r="E2058" s="1" t="s">
        <v>28</v>
      </c>
      <c r="F2058" s="2">
        <v>500000.0</v>
      </c>
      <c r="G2058" s="1" t="s">
        <v>1244</v>
      </c>
      <c r="H2058" s="4">
        <f>IFERROR(__xludf.DUMMYFUNCTION("DATE(INDEX(SPLIT(G2058,""/""),,3),INDEX(SPLIT(G2058,""/""),,2),INDEX(SPLIT(G2058,""/""),,1))"),44742.0)</f>
        <v>44742</v>
      </c>
      <c r="I2058" s="1" t="s">
        <v>203</v>
      </c>
      <c r="J2058" s="4">
        <f>IFERROR(__xludf.DUMMYFUNCTION("DATE(INDEX(SPLIT(I2058,""/""),,3),INDEX(SPLIT(I2058,""/""),,2),INDEX(SPLIT(I2058,""/""),,1))"),44925.0)</f>
        <v>44925</v>
      </c>
      <c r="L2058" s="1">
        <v>0.0</v>
      </c>
      <c r="M2058" s="1" t="s">
        <v>124</v>
      </c>
      <c r="N2058" s="1"/>
      <c r="O2058" s="1" t="s">
        <v>30</v>
      </c>
      <c r="P2058" s="1" t="s">
        <v>31</v>
      </c>
      <c r="Q2058" s="1" t="s">
        <v>53</v>
      </c>
      <c r="R2058" s="1" t="s">
        <v>53</v>
      </c>
      <c r="S2058" s="1" t="s">
        <v>54</v>
      </c>
      <c r="U2058" s="1">
        <v>1.00651441E8</v>
      </c>
      <c r="X2058" s="1" t="s">
        <v>125</v>
      </c>
      <c r="Y2058" s="1" t="s">
        <v>6553</v>
      </c>
      <c r="Z2058" s="1" t="s">
        <v>37</v>
      </c>
    </row>
    <row r="2059" hidden="1">
      <c r="A2059" s="1" t="s">
        <v>6554</v>
      </c>
      <c r="B2059" s="1" t="s">
        <v>492</v>
      </c>
      <c r="C2059" s="1" t="s">
        <v>6555</v>
      </c>
      <c r="D2059" s="1" t="s">
        <v>27</v>
      </c>
      <c r="E2059" s="1" t="s">
        <v>28</v>
      </c>
      <c r="F2059" s="2">
        <v>500000.0</v>
      </c>
      <c r="G2059" s="4">
        <v>44086.0</v>
      </c>
      <c r="H2059" s="4">
        <f>IFERROR(__xludf.DUMMYFUNCTION("DATE(INDEX(SPLIT(G2059,""/""),,3),INDEX(SPLIT(G2059,""/""),,2),INDEX(SPLIT(G2059,""/""),,1))"),44174.0)</f>
        <v>44174</v>
      </c>
      <c r="I2059" s="1" t="s">
        <v>130</v>
      </c>
      <c r="J2059" s="4">
        <f>IFERROR(__xludf.DUMMYFUNCTION("DATE(INDEX(SPLIT(I2059,""/""),,3),INDEX(SPLIT(I2059,""/""),,2),INDEX(SPLIT(I2059,""/""),,1))"),44804.0)</f>
        <v>44804</v>
      </c>
      <c r="L2059" s="1">
        <v>0.0</v>
      </c>
      <c r="M2059" s="1" t="s">
        <v>1019</v>
      </c>
      <c r="N2059" s="1"/>
      <c r="O2059" s="1" t="s">
        <v>30</v>
      </c>
      <c r="P2059" s="1" t="s">
        <v>31</v>
      </c>
      <c r="Q2059" s="1" t="s">
        <v>95</v>
      </c>
      <c r="R2059" s="1" t="s">
        <v>95</v>
      </c>
      <c r="S2059" s="1" t="s">
        <v>96</v>
      </c>
      <c r="T2059" s="1" t="s">
        <v>311</v>
      </c>
      <c r="U2059" s="1">
        <v>1.00607644E8</v>
      </c>
      <c r="X2059" s="1" t="s">
        <v>46</v>
      </c>
      <c r="Y2059" s="1" t="s">
        <v>1019</v>
      </c>
      <c r="Z2059" s="1" t="s">
        <v>37</v>
      </c>
    </row>
    <row r="2060" hidden="1">
      <c r="A2060" s="1" t="s">
        <v>6556</v>
      </c>
      <c r="B2060" s="1" t="s">
        <v>605</v>
      </c>
      <c r="C2060" s="1" t="s">
        <v>6557</v>
      </c>
      <c r="D2060" s="1" t="s">
        <v>122</v>
      </c>
      <c r="E2060" s="1" t="s">
        <v>28</v>
      </c>
      <c r="F2060" s="2">
        <v>500000.0</v>
      </c>
      <c r="G2060" s="4">
        <v>44594.0</v>
      </c>
      <c r="H2060" s="4">
        <f>IFERROR(__xludf.DUMMYFUNCTION("DATE(INDEX(SPLIT(G2060,""/""),,3),INDEX(SPLIT(G2060,""/""),,2),INDEX(SPLIT(G2060,""/""),,1))"),44594.0)</f>
        <v>44594</v>
      </c>
      <c r="I2060" s="1" t="s">
        <v>109</v>
      </c>
      <c r="J2060" s="4">
        <f>IFERROR(__xludf.DUMMYFUNCTION("DATE(INDEX(SPLIT(I2060,""/""),,3),INDEX(SPLIT(I2060,""/""),,2),INDEX(SPLIT(I2060,""/""),,1))"),44834.0)</f>
        <v>44834</v>
      </c>
      <c r="L2060" s="1">
        <v>0.0</v>
      </c>
      <c r="M2060" s="1" t="s">
        <v>5888</v>
      </c>
      <c r="N2060" s="1"/>
      <c r="O2060" s="1" t="s">
        <v>30</v>
      </c>
      <c r="P2060" s="1" t="s">
        <v>31</v>
      </c>
      <c r="Q2060" s="1" t="s">
        <v>32</v>
      </c>
      <c r="R2060" s="1" t="s">
        <v>32</v>
      </c>
      <c r="S2060" s="1" t="s">
        <v>33</v>
      </c>
      <c r="U2060" s="1">
        <v>1.00586334E8</v>
      </c>
      <c r="X2060" s="1" t="s">
        <v>490</v>
      </c>
      <c r="Y2060" s="1" t="s">
        <v>6558</v>
      </c>
      <c r="Z2060" s="1" t="s">
        <v>37</v>
      </c>
    </row>
    <row r="2061" hidden="1">
      <c r="A2061" s="1" t="s">
        <v>6559</v>
      </c>
      <c r="B2061" s="1" t="s">
        <v>1216</v>
      </c>
      <c r="C2061" s="1" t="s">
        <v>6560</v>
      </c>
      <c r="D2061" s="1" t="s">
        <v>122</v>
      </c>
      <c r="E2061" s="1" t="s">
        <v>28</v>
      </c>
      <c r="F2061" s="2">
        <v>500000.0</v>
      </c>
      <c r="G2061" s="4">
        <v>43869.0</v>
      </c>
      <c r="H2061" s="4">
        <f>IFERROR(__xludf.DUMMYFUNCTION("DATE(INDEX(SPLIT(G2061,""/""),,3),INDEX(SPLIT(G2061,""/""),,2),INDEX(SPLIT(G2061,""/""),,1))"),44045.0)</f>
        <v>44045</v>
      </c>
      <c r="I2061" s="1" t="s">
        <v>360</v>
      </c>
      <c r="J2061" s="4">
        <f>IFERROR(__xludf.DUMMYFUNCTION("DATE(INDEX(SPLIT(I2061,""/""),,3),INDEX(SPLIT(I2061,""/""),,2),INDEX(SPLIT(I2061,""/""),,1))"),44895.0)</f>
        <v>44895</v>
      </c>
      <c r="L2061" s="1">
        <v>0.0</v>
      </c>
      <c r="M2061" s="1" t="s">
        <v>4803</v>
      </c>
      <c r="N2061" s="1"/>
      <c r="O2061" s="1" t="s">
        <v>30</v>
      </c>
      <c r="P2061" s="1" t="s">
        <v>31</v>
      </c>
      <c r="Q2061" s="1" t="s">
        <v>53</v>
      </c>
      <c r="R2061" s="1" t="s">
        <v>53</v>
      </c>
      <c r="S2061" s="1" t="s">
        <v>54</v>
      </c>
      <c r="T2061" s="1" t="s">
        <v>438</v>
      </c>
      <c r="U2061" s="1">
        <v>1.00660934E8</v>
      </c>
      <c r="X2061" s="1" t="s">
        <v>88</v>
      </c>
      <c r="Y2061" s="1" t="s">
        <v>6561</v>
      </c>
      <c r="Z2061" s="1" t="s">
        <v>37</v>
      </c>
    </row>
    <row r="2062" hidden="1">
      <c r="A2062" s="1" t="s">
        <v>6562</v>
      </c>
      <c r="B2062" s="1" t="s">
        <v>6563</v>
      </c>
      <c r="C2062" s="1" t="s">
        <v>6564</v>
      </c>
      <c r="D2062" s="1" t="s">
        <v>78</v>
      </c>
      <c r="E2062" s="1" t="s">
        <v>28</v>
      </c>
      <c r="F2062" s="2">
        <v>500000.0</v>
      </c>
      <c r="G2062" s="4">
        <v>44686.0</v>
      </c>
      <c r="H2062" s="4">
        <f>IFERROR(__xludf.DUMMYFUNCTION("DATE(INDEX(SPLIT(G2062,""/""),,3),INDEX(SPLIT(G2062,""/""),,2),INDEX(SPLIT(G2062,""/""),,1))"),44686.0)</f>
        <v>44686</v>
      </c>
      <c r="I2062" s="4">
        <v>44689.0</v>
      </c>
      <c r="J2062" s="4">
        <f>IFERROR(__xludf.DUMMYFUNCTION("DATE(INDEX(SPLIT(I2062,""/""),,3),INDEX(SPLIT(I2062,""/""),,2),INDEX(SPLIT(I2062,""/""),,1))"),44778.0)</f>
        <v>44778</v>
      </c>
      <c r="L2062" s="1">
        <v>0.0</v>
      </c>
      <c r="M2062" s="1" t="s">
        <v>6565</v>
      </c>
      <c r="N2062" s="1"/>
      <c r="O2062" s="1" t="s">
        <v>30</v>
      </c>
      <c r="P2062" s="1" t="s">
        <v>31</v>
      </c>
      <c r="Q2062" s="1" t="s">
        <v>157</v>
      </c>
      <c r="R2062" s="1" t="s">
        <v>157</v>
      </c>
      <c r="S2062" s="1" t="s">
        <v>158</v>
      </c>
      <c r="U2062" s="1">
        <v>1.01148201E8</v>
      </c>
      <c r="X2062" s="1" t="s">
        <v>125</v>
      </c>
      <c r="Y2062" s="1" t="s">
        <v>6565</v>
      </c>
      <c r="Z2062" s="1" t="s">
        <v>527</v>
      </c>
    </row>
    <row r="2063">
      <c r="A2063" s="1" t="s">
        <v>6566</v>
      </c>
      <c r="B2063" s="1" t="s">
        <v>1216</v>
      </c>
      <c r="C2063" s="1" t="s">
        <v>6567</v>
      </c>
      <c r="D2063" s="1" t="s">
        <v>27</v>
      </c>
      <c r="E2063" s="1" t="s">
        <v>28</v>
      </c>
      <c r="F2063" s="2">
        <v>500000.0</v>
      </c>
      <c r="G2063" s="1" t="s">
        <v>5224</v>
      </c>
      <c r="H2063" s="4">
        <f>IFERROR(__xludf.DUMMYFUNCTION("DATE(INDEX(SPLIT(G2063,""/""),,3),INDEX(SPLIT(G2063,""/""),,2),INDEX(SPLIT(G2063,""/""),,1))"),44421.0)</f>
        <v>44421</v>
      </c>
      <c r="I2063" s="1" t="s">
        <v>69</v>
      </c>
      <c r="J2063" s="4">
        <f>IFERROR(__xludf.DUMMYFUNCTION("DATE(INDEX(SPLIT(I2063,""/""),,3),INDEX(SPLIT(I2063,""/""),,2),INDEX(SPLIT(I2063,""/""),,1))"),44773.0)</f>
        <v>44773</v>
      </c>
      <c r="L2063" s="1">
        <v>0.0</v>
      </c>
      <c r="M2063" s="1" t="s">
        <v>1219</v>
      </c>
      <c r="N2063" s="1"/>
      <c r="O2063" s="1" t="s">
        <v>30</v>
      </c>
      <c r="P2063" s="1" t="s">
        <v>31</v>
      </c>
      <c r="Q2063" s="1" t="s">
        <v>53</v>
      </c>
      <c r="R2063" s="1" t="s">
        <v>53</v>
      </c>
      <c r="S2063" s="1" t="s">
        <v>54</v>
      </c>
      <c r="T2063" s="1" t="s">
        <v>87</v>
      </c>
      <c r="U2063" s="1">
        <v>1.00968114E8</v>
      </c>
      <c r="X2063" s="1" t="s">
        <v>88</v>
      </c>
      <c r="Y2063" s="1" t="s">
        <v>1219</v>
      </c>
      <c r="Z2063" s="1" t="s">
        <v>37</v>
      </c>
    </row>
    <row r="2064" hidden="1">
      <c r="A2064" s="1" t="s">
        <v>6568</v>
      </c>
      <c r="B2064" s="1" t="s">
        <v>1352</v>
      </c>
      <c r="C2064" s="1" t="s">
        <v>6569</v>
      </c>
      <c r="D2064" s="1" t="s">
        <v>122</v>
      </c>
      <c r="E2064" s="1" t="s">
        <v>28</v>
      </c>
      <c r="F2064" s="2">
        <v>500000.0</v>
      </c>
      <c r="G2064" s="1" t="s">
        <v>1244</v>
      </c>
      <c r="H2064" s="4">
        <f>IFERROR(__xludf.DUMMYFUNCTION("DATE(INDEX(SPLIT(G2064,""/""),,3),INDEX(SPLIT(G2064,""/""),,2),INDEX(SPLIT(G2064,""/""),,1))"),44742.0)</f>
        <v>44742</v>
      </c>
      <c r="I2064" s="4">
        <v>44569.0</v>
      </c>
      <c r="J2064" s="4">
        <f>IFERROR(__xludf.DUMMYFUNCTION("DATE(INDEX(SPLIT(I2064,""/""),,3),INDEX(SPLIT(I2064,""/""),,2),INDEX(SPLIT(I2064,""/""),,1))"),44774.0)</f>
        <v>44774</v>
      </c>
      <c r="L2064" s="1">
        <v>0.0</v>
      </c>
      <c r="M2064" s="1" t="s">
        <v>6570</v>
      </c>
      <c r="N2064" s="1"/>
      <c r="O2064" s="1" t="s">
        <v>30</v>
      </c>
      <c r="P2064" s="1" t="s">
        <v>31</v>
      </c>
      <c r="Q2064" s="1" t="s">
        <v>53</v>
      </c>
      <c r="R2064" s="1" t="s">
        <v>53</v>
      </c>
      <c r="S2064" s="1" t="s">
        <v>54</v>
      </c>
      <c r="T2064" s="1" t="s">
        <v>1386</v>
      </c>
      <c r="U2064" s="1">
        <v>1.01230882E8</v>
      </c>
      <c r="X2064" s="1" t="s">
        <v>375</v>
      </c>
      <c r="Y2064" s="1" t="s">
        <v>6570</v>
      </c>
      <c r="Z2064" s="1" t="s">
        <v>37</v>
      </c>
    </row>
    <row r="2065">
      <c r="A2065" s="1" t="s">
        <v>6571</v>
      </c>
      <c r="B2065" s="1" t="s">
        <v>954</v>
      </c>
      <c r="C2065" s="1" t="s">
        <v>6572</v>
      </c>
      <c r="D2065" s="1" t="s">
        <v>27</v>
      </c>
      <c r="E2065" s="1" t="s">
        <v>28</v>
      </c>
      <c r="F2065" s="2">
        <v>500000.0</v>
      </c>
      <c r="G2065" s="1" t="s">
        <v>2309</v>
      </c>
      <c r="H2065" s="4">
        <f>IFERROR(__xludf.DUMMYFUNCTION("DATE(INDEX(SPLIT(G2065,""/""),,3),INDEX(SPLIT(G2065,""/""),,2),INDEX(SPLIT(G2065,""/""),,1))"),44672.0)</f>
        <v>44672</v>
      </c>
      <c r="I2065" s="1" t="s">
        <v>226</v>
      </c>
      <c r="J2065" s="4">
        <f>IFERROR(__xludf.DUMMYFUNCTION("DATE(INDEX(SPLIT(I2065,""/""),,3),INDEX(SPLIT(I2065,""/""),,2),INDEX(SPLIT(I2065,""/""),,1))"),44771.0)</f>
        <v>44771</v>
      </c>
      <c r="L2065" s="1">
        <v>0.0</v>
      </c>
      <c r="M2065" s="1" t="s">
        <v>1333</v>
      </c>
      <c r="N2065" s="1"/>
      <c r="O2065" s="1" t="s">
        <v>30</v>
      </c>
      <c r="P2065" s="1" t="s">
        <v>31</v>
      </c>
      <c r="Q2065" s="1" t="s">
        <v>71</v>
      </c>
      <c r="R2065" s="1" t="s">
        <v>71</v>
      </c>
      <c r="S2065" s="1" t="s">
        <v>72</v>
      </c>
      <c r="T2065" s="1" t="s">
        <v>136</v>
      </c>
      <c r="U2065" s="1">
        <v>1.006299E8</v>
      </c>
      <c r="X2065" s="1" t="s">
        <v>74</v>
      </c>
      <c r="Y2065" s="1" t="s">
        <v>957</v>
      </c>
      <c r="Z2065" s="1" t="s">
        <v>37</v>
      </c>
    </row>
    <row r="2066" hidden="1">
      <c r="A2066" s="1" t="s">
        <v>6573</v>
      </c>
      <c r="B2066" s="1" t="s">
        <v>4938</v>
      </c>
      <c r="C2066" s="1" t="s">
        <v>5939</v>
      </c>
      <c r="D2066" s="1" t="s">
        <v>122</v>
      </c>
      <c r="E2066" s="1" t="s">
        <v>28</v>
      </c>
      <c r="F2066" s="2">
        <v>500000.0</v>
      </c>
      <c r="G2066" s="1" t="s">
        <v>6574</v>
      </c>
      <c r="H2066" s="4">
        <f>IFERROR(__xludf.DUMMYFUNCTION("DATE(INDEX(SPLIT(G2066,""/""),,3),INDEX(SPLIT(G2066,""/""),,2),INDEX(SPLIT(G2066,""/""),,1))"),44182.0)</f>
        <v>44182</v>
      </c>
      <c r="I2066" s="1" t="s">
        <v>1097</v>
      </c>
      <c r="J2066" s="4">
        <f>IFERROR(__xludf.DUMMYFUNCTION("DATE(INDEX(SPLIT(I2066,""/""),,3),INDEX(SPLIT(I2066,""/""),,2),INDEX(SPLIT(I2066,""/""),,1))"),45107.0)</f>
        <v>45107</v>
      </c>
      <c r="L2066" s="1">
        <v>0.0</v>
      </c>
      <c r="M2066" s="1" t="s">
        <v>4477</v>
      </c>
      <c r="N2066" s="1"/>
      <c r="O2066" s="1" t="s">
        <v>30</v>
      </c>
      <c r="P2066" s="1" t="s">
        <v>31</v>
      </c>
      <c r="Q2066" s="1" t="s">
        <v>228</v>
      </c>
      <c r="R2066" s="1" t="s">
        <v>228</v>
      </c>
      <c r="S2066" s="1" t="s">
        <v>229</v>
      </c>
      <c r="T2066" s="1" t="s">
        <v>513</v>
      </c>
      <c r="U2066" s="1">
        <v>1.00592715E8</v>
      </c>
      <c r="X2066" s="1" t="s">
        <v>98</v>
      </c>
      <c r="Y2066" s="1" t="s">
        <v>4477</v>
      </c>
      <c r="Z2066" s="1" t="s">
        <v>37</v>
      </c>
    </row>
    <row r="2067" hidden="1">
      <c r="A2067" s="1" t="s">
        <v>6575</v>
      </c>
      <c r="B2067" s="1" t="s">
        <v>720</v>
      </c>
      <c r="C2067" s="1" t="s">
        <v>6576</v>
      </c>
      <c r="D2067" s="1" t="s">
        <v>78</v>
      </c>
      <c r="E2067" s="1" t="s">
        <v>28</v>
      </c>
      <c r="F2067" s="2">
        <v>500000.0</v>
      </c>
      <c r="G2067" s="1" t="s">
        <v>1251</v>
      </c>
      <c r="H2067" s="4">
        <f>IFERROR(__xludf.DUMMYFUNCTION("DATE(INDEX(SPLIT(G2067,""/""),,3),INDEX(SPLIT(G2067,""/""),,2),INDEX(SPLIT(G2067,""/""),,1))"),44454.0)</f>
        <v>44454</v>
      </c>
      <c r="I2067" s="1" t="s">
        <v>1750</v>
      </c>
      <c r="J2067" s="4">
        <f>IFERROR(__xludf.DUMMYFUNCTION("DATE(INDEX(SPLIT(I2067,""/""),,3),INDEX(SPLIT(I2067,""/""),,2),INDEX(SPLIT(I2067,""/""),,1))"),44802.0)</f>
        <v>44802</v>
      </c>
      <c r="L2067" s="1">
        <v>0.0</v>
      </c>
      <c r="M2067" s="1" t="s">
        <v>4098</v>
      </c>
      <c r="N2067" s="1"/>
      <c r="O2067" s="1" t="s">
        <v>30</v>
      </c>
      <c r="P2067" s="1" t="s">
        <v>31</v>
      </c>
      <c r="Q2067" s="1" t="s">
        <v>32</v>
      </c>
      <c r="R2067" s="1" t="s">
        <v>32</v>
      </c>
      <c r="S2067" s="1" t="s">
        <v>33</v>
      </c>
      <c r="U2067" s="1">
        <v>1.00586097E8</v>
      </c>
      <c r="X2067" s="1" t="s">
        <v>35</v>
      </c>
      <c r="Y2067" s="1" t="s">
        <v>4098</v>
      </c>
      <c r="Z2067" s="1" t="s">
        <v>37</v>
      </c>
    </row>
    <row r="2068">
      <c r="A2068" s="1" t="s">
        <v>6577</v>
      </c>
      <c r="B2068" s="1" t="s">
        <v>1144</v>
      </c>
      <c r="C2068" s="1" t="s">
        <v>6578</v>
      </c>
      <c r="D2068" s="1" t="s">
        <v>27</v>
      </c>
      <c r="E2068" s="1" t="s">
        <v>28</v>
      </c>
      <c r="F2068" s="2">
        <v>500000.0</v>
      </c>
      <c r="G2068" s="1" t="s">
        <v>248</v>
      </c>
      <c r="H2068" s="4">
        <f>IFERROR(__xludf.DUMMYFUNCTION("DATE(INDEX(SPLIT(G2068,""/""),,3),INDEX(SPLIT(G2068,""/""),,2),INDEX(SPLIT(G2068,""/""),,1))"),44483.0)</f>
        <v>44483</v>
      </c>
      <c r="I2068" s="1" t="s">
        <v>1244</v>
      </c>
      <c r="J2068" s="4">
        <f>IFERROR(__xludf.DUMMYFUNCTION("DATE(INDEX(SPLIT(I2068,""/""),,3),INDEX(SPLIT(I2068,""/""),,2),INDEX(SPLIT(I2068,""/""),,1))"),44742.0)</f>
        <v>44742</v>
      </c>
      <c r="L2068" s="1">
        <v>0.0</v>
      </c>
      <c r="M2068" s="1" t="s">
        <v>5951</v>
      </c>
      <c r="N2068" s="1"/>
      <c r="O2068" s="1" t="s">
        <v>30</v>
      </c>
      <c r="P2068" s="1" t="s">
        <v>31</v>
      </c>
      <c r="Q2068" s="1" t="s">
        <v>228</v>
      </c>
      <c r="R2068" s="1" t="s">
        <v>228</v>
      </c>
      <c r="S2068" s="1" t="s">
        <v>229</v>
      </c>
      <c r="T2068" s="1" t="s">
        <v>640</v>
      </c>
      <c r="U2068" s="1">
        <v>1.00624329E8</v>
      </c>
      <c r="X2068" s="1" t="s">
        <v>63</v>
      </c>
      <c r="Y2068" s="1" t="s">
        <v>6579</v>
      </c>
      <c r="Z2068" s="1" t="s">
        <v>527</v>
      </c>
    </row>
    <row r="2069">
      <c r="A2069" s="1" t="s">
        <v>6580</v>
      </c>
      <c r="B2069" s="1" t="s">
        <v>645</v>
      </c>
      <c r="C2069" s="1" t="s">
        <v>6581</v>
      </c>
      <c r="D2069" s="1" t="s">
        <v>68</v>
      </c>
      <c r="E2069" s="1" t="s">
        <v>28</v>
      </c>
      <c r="F2069" s="2">
        <v>500000.0</v>
      </c>
      <c r="G2069" s="1" t="s">
        <v>2963</v>
      </c>
      <c r="H2069" s="4">
        <f>IFERROR(__xludf.DUMMYFUNCTION("DATE(INDEX(SPLIT(G2069,""/""),,3),INDEX(SPLIT(G2069,""/""),,2),INDEX(SPLIT(G2069,""/""),,1))"),44524.0)</f>
        <v>44524</v>
      </c>
      <c r="I2069" s="1" t="s">
        <v>518</v>
      </c>
      <c r="J2069" s="4">
        <f>IFERROR(__xludf.DUMMYFUNCTION("DATE(INDEX(SPLIT(I2069,""/""),,3),INDEX(SPLIT(I2069,""/""),,2),INDEX(SPLIT(I2069,""/""),,1))"),44757.0)</f>
        <v>44757</v>
      </c>
      <c r="L2069" s="1">
        <v>0.0</v>
      </c>
      <c r="M2069" s="1" t="s">
        <v>2067</v>
      </c>
      <c r="N2069" s="1"/>
      <c r="O2069" s="1" t="s">
        <v>30</v>
      </c>
      <c r="P2069" s="1" t="s">
        <v>31</v>
      </c>
      <c r="Q2069" s="1" t="s">
        <v>95</v>
      </c>
      <c r="R2069" s="1" t="s">
        <v>95</v>
      </c>
      <c r="S2069" s="1" t="s">
        <v>96</v>
      </c>
      <c r="T2069" s="1" t="s">
        <v>6582</v>
      </c>
      <c r="U2069" s="1">
        <v>1.00631322E8</v>
      </c>
      <c r="W2069" s="1" t="s">
        <v>56</v>
      </c>
      <c r="X2069" s="1" t="s">
        <v>190</v>
      </c>
      <c r="Y2069" s="1" t="s">
        <v>2081</v>
      </c>
      <c r="Z2069" s="1" t="s">
        <v>37</v>
      </c>
    </row>
    <row r="2070">
      <c r="A2070" s="1" t="s">
        <v>6583</v>
      </c>
      <c r="B2070" s="1" t="s">
        <v>4268</v>
      </c>
      <c r="C2070" s="1" t="s">
        <v>6584</v>
      </c>
      <c r="D2070" s="1" t="s">
        <v>122</v>
      </c>
      <c r="E2070" s="1" t="s">
        <v>28</v>
      </c>
      <c r="F2070" s="2">
        <v>500000.0</v>
      </c>
      <c r="G2070" s="4">
        <v>44684.0</v>
      </c>
      <c r="H2070" s="4">
        <f>IFERROR(__xludf.DUMMYFUNCTION("DATE(INDEX(SPLIT(G2070,""/""),,3),INDEX(SPLIT(G2070,""/""),,2),INDEX(SPLIT(G2070,""/""),,1))"),44625.0)</f>
        <v>44625</v>
      </c>
      <c r="I2070" s="4">
        <v>44780.0</v>
      </c>
      <c r="J2070" s="4">
        <f>IFERROR(__xludf.DUMMYFUNCTION("DATE(INDEX(SPLIT(I2070,""/""),,3),INDEX(SPLIT(I2070,""/""),,2),INDEX(SPLIT(I2070,""/""),,1))"),44750.0)</f>
        <v>44750</v>
      </c>
      <c r="L2070" s="1">
        <v>0.0</v>
      </c>
      <c r="M2070" s="1" t="s">
        <v>3670</v>
      </c>
      <c r="N2070" s="1"/>
      <c r="O2070" s="1" t="s">
        <v>30</v>
      </c>
      <c r="P2070" s="1" t="s">
        <v>31</v>
      </c>
      <c r="Q2070" s="1" t="s">
        <v>228</v>
      </c>
      <c r="R2070" s="1" t="s">
        <v>228</v>
      </c>
      <c r="S2070" s="1" t="s">
        <v>229</v>
      </c>
      <c r="T2070" s="1" t="s">
        <v>640</v>
      </c>
      <c r="U2070" s="1">
        <v>1.01093737E8</v>
      </c>
      <c r="X2070" s="1" t="s">
        <v>63</v>
      </c>
      <c r="Y2070" s="1" t="s">
        <v>3670</v>
      </c>
      <c r="Z2070" s="1" t="s">
        <v>206</v>
      </c>
    </row>
    <row r="2071" hidden="1">
      <c r="A2071" s="1" t="s">
        <v>6585</v>
      </c>
      <c r="B2071" s="1" t="s">
        <v>296</v>
      </c>
      <c r="C2071" s="1" t="s">
        <v>6586</v>
      </c>
      <c r="D2071" s="1" t="s">
        <v>122</v>
      </c>
      <c r="E2071" s="1" t="s">
        <v>28</v>
      </c>
      <c r="F2071" s="2">
        <v>500000.0</v>
      </c>
      <c r="G2071" s="1" t="s">
        <v>1170</v>
      </c>
      <c r="H2071" s="4">
        <f>IFERROR(__xludf.DUMMYFUNCTION("DATE(INDEX(SPLIT(G2071,""/""),,3),INDEX(SPLIT(G2071,""/""),,2),INDEX(SPLIT(G2071,""/""),,1))"),44336.0)</f>
        <v>44336</v>
      </c>
      <c r="I2071" s="4">
        <v>44935.0</v>
      </c>
      <c r="J2071" s="4">
        <f>IFERROR(__xludf.DUMMYFUNCTION("DATE(INDEX(SPLIT(I2071,""/""),,3),INDEX(SPLIT(I2071,""/""),,2),INDEX(SPLIT(I2071,""/""),,1))"),45170.0)</f>
        <v>45170</v>
      </c>
      <c r="L2071" s="1">
        <v>0.0</v>
      </c>
      <c r="M2071" s="1" t="s">
        <v>6587</v>
      </c>
      <c r="N2071" s="1"/>
      <c r="O2071" s="1" t="s">
        <v>30</v>
      </c>
      <c r="P2071" s="1" t="s">
        <v>31</v>
      </c>
      <c r="Q2071" s="1" t="s">
        <v>71</v>
      </c>
      <c r="R2071" s="1" t="s">
        <v>71</v>
      </c>
      <c r="S2071" s="1" t="s">
        <v>72</v>
      </c>
      <c r="T2071" s="1" t="s">
        <v>136</v>
      </c>
      <c r="U2071" s="1">
        <v>1.00618376E8</v>
      </c>
      <c r="X2071" s="1" t="s">
        <v>74</v>
      </c>
      <c r="Y2071" s="1" t="s">
        <v>6587</v>
      </c>
      <c r="Z2071" s="1" t="s">
        <v>37</v>
      </c>
    </row>
    <row r="2072">
      <c r="A2072" s="1" t="s">
        <v>6588</v>
      </c>
      <c r="B2072" s="1" t="s">
        <v>5989</v>
      </c>
      <c r="C2072" s="1" t="s">
        <v>6589</v>
      </c>
      <c r="D2072" s="1" t="s">
        <v>122</v>
      </c>
      <c r="E2072" s="1" t="s">
        <v>28</v>
      </c>
      <c r="F2072" s="2">
        <v>500000.0</v>
      </c>
      <c r="G2072" s="4">
        <v>44716.0</v>
      </c>
      <c r="H2072" s="4">
        <f>IFERROR(__xludf.DUMMYFUNCTION("DATE(INDEX(SPLIT(G2072,""/""),,3),INDEX(SPLIT(G2072,""/""),,2),INDEX(SPLIT(G2072,""/""),,1))"),44657.0)</f>
        <v>44657</v>
      </c>
      <c r="I2072" s="1" t="s">
        <v>1244</v>
      </c>
      <c r="J2072" s="4">
        <f>IFERROR(__xludf.DUMMYFUNCTION("DATE(INDEX(SPLIT(I2072,""/""),,3),INDEX(SPLIT(I2072,""/""),,2),INDEX(SPLIT(I2072,""/""),,1))"),44742.0)</f>
        <v>44742</v>
      </c>
      <c r="L2072" s="1">
        <v>0.0</v>
      </c>
      <c r="M2072" s="1" t="s">
        <v>5880</v>
      </c>
      <c r="N2072" s="1"/>
      <c r="O2072" s="1" t="s">
        <v>30</v>
      </c>
      <c r="P2072" s="1" t="s">
        <v>31</v>
      </c>
      <c r="Q2072" s="1" t="s">
        <v>228</v>
      </c>
      <c r="R2072" s="1" t="s">
        <v>228</v>
      </c>
      <c r="S2072" s="1" t="s">
        <v>229</v>
      </c>
      <c r="T2072" s="1" t="s">
        <v>6590</v>
      </c>
      <c r="U2072" s="1">
        <v>1.00933537E8</v>
      </c>
      <c r="X2072" s="1" t="s">
        <v>490</v>
      </c>
      <c r="Y2072" s="1" t="s">
        <v>5881</v>
      </c>
      <c r="Z2072" s="1" t="s">
        <v>37</v>
      </c>
    </row>
    <row r="2073">
      <c r="A2073" s="1" t="s">
        <v>6591</v>
      </c>
      <c r="B2073" s="1" t="s">
        <v>1420</v>
      </c>
      <c r="C2073" s="1" t="s">
        <v>6592</v>
      </c>
      <c r="D2073" s="1" t="s">
        <v>27</v>
      </c>
      <c r="E2073" s="1" t="s">
        <v>28</v>
      </c>
      <c r="F2073" s="2">
        <v>500000.0</v>
      </c>
      <c r="G2073" s="4">
        <v>44385.0</v>
      </c>
      <c r="H2073" s="4">
        <f>IFERROR(__xludf.DUMMYFUNCTION("DATE(INDEX(SPLIT(G2073,""/""),,3),INDEX(SPLIT(G2073,""/""),,2),INDEX(SPLIT(G2073,""/""),,1))"),44415.0)</f>
        <v>44415</v>
      </c>
      <c r="I2073" s="1" t="s">
        <v>935</v>
      </c>
      <c r="J2073" s="4">
        <f>IFERROR(__xludf.DUMMYFUNCTION("DATE(INDEX(SPLIT(I2073,""/""),,3),INDEX(SPLIT(I2073,""/""),,2),INDEX(SPLIT(I2073,""/""),,1))"),44764.0)</f>
        <v>44764</v>
      </c>
      <c r="L2073" s="1">
        <v>0.0</v>
      </c>
      <c r="M2073" s="1" t="s">
        <v>570</v>
      </c>
      <c r="N2073" s="1"/>
      <c r="O2073" s="1" t="s">
        <v>30</v>
      </c>
      <c r="P2073" s="1" t="s">
        <v>31</v>
      </c>
      <c r="Q2073" s="1" t="s">
        <v>157</v>
      </c>
      <c r="R2073" s="1" t="s">
        <v>157</v>
      </c>
      <c r="S2073" s="1" t="s">
        <v>158</v>
      </c>
      <c r="T2073" s="1" t="s">
        <v>55</v>
      </c>
      <c r="U2073" s="1">
        <v>1.00586314E8</v>
      </c>
      <c r="X2073" s="1" t="s">
        <v>46</v>
      </c>
      <c r="Y2073" s="1" t="s">
        <v>6593</v>
      </c>
      <c r="Z2073" s="1" t="s">
        <v>37</v>
      </c>
    </row>
    <row r="2074">
      <c r="A2074" s="1" t="s">
        <v>6594</v>
      </c>
      <c r="B2074" s="1" t="s">
        <v>6595</v>
      </c>
      <c r="C2074" s="1" t="s">
        <v>6596</v>
      </c>
      <c r="D2074" s="1" t="s">
        <v>78</v>
      </c>
      <c r="E2074" s="1" t="s">
        <v>28</v>
      </c>
      <c r="F2074" s="2">
        <v>500000.0</v>
      </c>
      <c r="G2074" s="1" t="s">
        <v>619</v>
      </c>
      <c r="H2074" s="4">
        <f>IFERROR(__xludf.DUMMYFUNCTION("DATE(INDEX(SPLIT(G2074,""/""),,3),INDEX(SPLIT(G2074,""/""),,2),INDEX(SPLIT(G2074,""/""),,1))"),44490.0)</f>
        <v>44490</v>
      </c>
      <c r="I2074" s="4">
        <v>44567.0</v>
      </c>
      <c r="J2074" s="4">
        <f>IFERROR(__xludf.DUMMYFUNCTION("DATE(INDEX(SPLIT(I2074,""/""),,3),INDEX(SPLIT(I2074,""/""),,2),INDEX(SPLIT(I2074,""/""),,1))"),44713.0)</f>
        <v>44713</v>
      </c>
      <c r="L2074" s="1">
        <v>0.0</v>
      </c>
      <c r="M2074" s="1" t="s">
        <v>1741</v>
      </c>
      <c r="N2074" s="1"/>
      <c r="O2074" s="1" t="s">
        <v>30</v>
      </c>
      <c r="P2074" s="1" t="s">
        <v>31</v>
      </c>
      <c r="Q2074" s="1" t="s">
        <v>32</v>
      </c>
      <c r="R2074" s="1" t="s">
        <v>32</v>
      </c>
      <c r="S2074" s="1" t="s">
        <v>33</v>
      </c>
      <c r="T2074" s="1" t="s">
        <v>103</v>
      </c>
      <c r="U2074" s="1">
        <v>1.00645852E8</v>
      </c>
      <c r="X2074" s="1" t="s">
        <v>289</v>
      </c>
      <c r="Y2074" s="1" t="s">
        <v>6597</v>
      </c>
      <c r="Z2074" s="1" t="s">
        <v>37</v>
      </c>
    </row>
    <row r="2075">
      <c r="A2075" s="1" t="s">
        <v>6598</v>
      </c>
      <c r="B2075" s="1" t="s">
        <v>6599</v>
      </c>
      <c r="C2075" s="1" t="s">
        <v>6600</v>
      </c>
      <c r="D2075" s="1" t="s">
        <v>27</v>
      </c>
      <c r="E2075" s="1" t="s">
        <v>28</v>
      </c>
      <c r="F2075" s="2">
        <v>500000.0</v>
      </c>
      <c r="G2075" s="1" t="s">
        <v>1703</v>
      </c>
      <c r="H2075" s="4">
        <f>IFERROR(__xludf.DUMMYFUNCTION("DATE(INDEX(SPLIT(G2075,""/""),,3),INDEX(SPLIT(G2075,""/""),,2),INDEX(SPLIT(G2075,""/""),,1))"),44576.0)</f>
        <v>44576</v>
      </c>
      <c r="I2075" s="1" t="s">
        <v>226</v>
      </c>
      <c r="J2075" s="4">
        <f>IFERROR(__xludf.DUMMYFUNCTION("DATE(INDEX(SPLIT(I2075,""/""),,3),INDEX(SPLIT(I2075,""/""),,2),INDEX(SPLIT(I2075,""/""),,1))"),44771.0)</f>
        <v>44771</v>
      </c>
      <c r="L2075" s="1">
        <v>0.0</v>
      </c>
      <c r="M2075" s="1" t="s">
        <v>2057</v>
      </c>
      <c r="N2075" s="1"/>
      <c r="O2075" s="1" t="s">
        <v>30</v>
      </c>
      <c r="P2075" s="1" t="s">
        <v>31</v>
      </c>
      <c r="Q2075" s="1" t="s">
        <v>71</v>
      </c>
      <c r="R2075" s="1" t="s">
        <v>71</v>
      </c>
      <c r="S2075" s="1" t="s">
        <v>72</v>
      </c>
      <c r="T2075" s="1" t="s">
        <v>136</v>
      </c>
      <c r="U2075" s="1">
        <v>1.01078216E8</v>
      </c>
      <c r="X2075" s="1" t="s">
        <v>74</v>
      </c>
      <c r="Y2075" s="1" t="s">
        <v>2057</v>
      </c>
      <c r="Z2075" s="1" t="s">
        <v>206</v>
      </c>
    </row>
    <row r="2076" hidden="1">
      <c r="A2076" s="1" t="s">
        <v>6601</v>
      </c>
      <c r="B2076" s="1" t="s">
        <v>120</v>
      </c>
      <c r="C2076" s="1" t="s">
        <v>6602</v>
      </c>
      <c r="D2076" s="1" t="s">
        <v>27</v>
      </c>
      <c r="E2076" s="1" t="s">
        <v>28</v>
      </c>
      <c r="F2076" s="2">
        <v>500000.0</v>
      </c>
      <c r="G2076" s="1" t="s">
        <v>6603</v>
      </c>
      <c r="H2076" s="4">
        <f>IFERROR(__xludf.DUMMYFUNCTION("DATE(INDEX(SPLIT(G2076,""/""),,3),INDEX(SPLIT(G2076,""/""),,2),INDEX(SPLIT(G2076,""/""),,1))"),43549.0)</f>
        <v>43549</v>
      </c>
      <c r="I2076" s="1" t="s">
        <v>6604</v>
      </c>
      <c r="J2076" s="4">
        <f>IFERROR(__xludf.DUMMYFUNCTION("DATE(INDEX(SPLIT(I2076,""/""),,3),INDEX(SPLIT(I2076,""/""),,2),INDEX(SPLIT(I2076,""/""),,1))"),45524.0)</f>
        <v>45524</v>
      </c>
      <c r="L2076" s="1">
        <v>0.0</v>
      </c>
      <c r="M2076" s="1" t="s">
        <v>3573</v>
      </c>
      <c r="N2076" s="1"/>
      <c r="O2076" s="1" t="s">
        <v>30</v>
      </c>
      <c r="P2076" s="1" t="s">
        <v>31</v>
      </c>
      <c r="Q2076" s="1" t="s">
        <v>157</v>
      </c>
      <c r="R2076" s="1" t="s">
        <v>157</v>
      </c>
      <c r="S2076" s="1" t="s">
        <v>158</v>
      </c>
      <c r="T2076" s="1" t="s">
        <v>442</v>
      </c>
      <c r="U2076" s="1">
        <v>1.00651086E8</v>
      </c>
      <c r="X2076" s="1" t="s">
        <v>125</v>
      </c>
      <c r="Y2076" s="1" t="s">
        <v>869</v>
      </c>
      <c r="Z2076" s="1" t="s">
        <v>37</v>
      </c>
    </row>
    <row r="2077">
      <c r="A2077" s="1" t="s">
        <v>6605</v>
      </c>
      <c r="B2077" s="1" t="s">
        <v>301</v>
      </c>
      <c r="C2077" s="1" t="s">
        <v>6606</v>
      </c>
      <c r="D2077" s="1" t="s">
        <v>78</v>
      </c>
      <c r="E2077" s="1" t="s">
        <v>28</v>
      </c>
      <c r="F2077" s="2">
        <v>500000.0</v>
      </c>
      <c r="G2077" s="1" t="s">
        <v>2110</v>
      </c>
      <c r="H2077" s="4">
        <f>IFERROR(__xludf.DUMMYFUNCTION("DATE(INDEX(SPLIT(G2077,""/""),,3),INDEX(SPLIT(G2077,""/""),,2),INDEX(SPLIT(G2077,""/""),,1))"),44650.0)</f>
        <v>44650</v>
      </c>
      <c r="I2077" s="1" t="s">
        <v>1244</v>
      </c>
      <c r="J2077" s="4">
        <f>IFERROR(__xludf.DUMMYFUNCTION("DATE(INDEX(SPLIT(I2077,""/""),,3),INDEX(SPLIT(I2077,""/""),,2),INDEX(SPLIT(I2077,""/""),,1))"),44742.0)</f>
        <v>44742</v>
      </c>
      <c r="L2077" s="1">
        <v>0.0</v>
      </c>
      <c r="M2077" s="1" t="s">
        <v>5205</v>
      </c>
      <c r="N2077" s="1"/>
      <c r="O2077" s="1" t="s">
        <v>30</v>
      </c>
      <c r="P2077" s="1" t="s">
        <v>31</v>
      </c>
      <c r="Q2077" s="1" t="s">
        <v>32</v>
      </c>
      <c r="R2077" s="1" t="s">
        <v>32</v>
      </c>
      <c r="S2077" s="1" t="s">
        <v>33</v>
      </c>
      <c r="U2077" s="1">
        <v>1.00587881E8</v>
      </c>
      <c r="X2077" s="1" t="s">
        <v>305</v>
      </c>
      <c r="Y2077" s="1" t="s">
        <v>5768</v>
      </c>
      <c r="Z2077" s="1" t="s">
        <v>37</v>
      </c>
    </row>
    <row r="2078" hidden="1">
      <c r="A2078" s="1" t="s">
        <v>6607</v>
      </c>
      <c r="B2078" s="1" t="s">
        <v>4013</v>
      </c>
      <c r="C2078" s="1" t="s">
        <v>6608</v>
      </c>
      <c r="D2078" s="1" t="s">
        <v>78</v>
      </c>
      <c r="E2078" s="1" t="s">
        <v>28</v>
      </c>
      <c r="F2078" s="2">
        <v>500000.0</v>
      </c>
      <c r="G2078" s="1" t="s">
        <v>6460</v>
      </c>
      <c r="H2078" s="4">
        <f>IFERROR(__xludf.DUMMYFUNCTION("DATE(INDEX(SPLIT(G2078,""/""),,3),INDEX(SPLIT(G2078,""/""),,2),INDEX(SPLIT(G2078,""/""),,1))"),44433.0)</f>
        <v>44433</v>
      </c>
      <c r="I2078" s="1" t="s">
        <v>360</v>
      </c>
      <c r="J2078" s="4">
        <f>IFERROR(__xludf.DUMMYFUNCTION("DATE(INDEX(SPLIT(I2078,""/""),,3),INDEX(SPLIT(I2078,""/""),,2),INDEX(SPLIT(I2078,""/""),,1))"),44895.0)</f>
        <v>44895</v>
      </c>
      <c r="L2078" s="1">
        <v>0.0</v>
      </c>
      <c r="M2078" s="1" t="s">
        <v>852</v>
      </c>
      <c r="N2078" s="1"/>
      <c r="O2078" s="1" t="s">
        <v>30</v>
      </c>
      <c r="P2078" s="1" t="s">
        <v>31</v>
      </c>
      <c r="Q2078" s="1" t="s">
        <v>157</v>
      </c>
      <c r="R2078" s="1" t="s">
        <v>157</v>
      </c>
      <c r="S2078" s="1" t="s">
        <v>158</v>
      </c>
      <c r="T2078" s="1" t="s">
        <v>442</v>
      </c>
      <c r="U2078" s="1">
        <v>1.00648457E8</v>
      </c>
      <c r="V2078" s="1" t="s">
        <v>6609</v>
      </c>
      <c r="W2078" s="1" t="s">
        <v>199</v>
      </c>
      <c r="X2078" s="1" t="s">
        <v>190</v>
      </c>
      <c r="Y2078" s="1" t="s">
        <v>5726</v>
      </c>
      <c r="Z2078" s="1" t="s">
        <v>37</v>
      </c>
    </row>
    <row r="2079" hidden="1">
      <c r="A2079" s="1" t="s">
        <v>6610</v>
      </c>
      <c r="B2079" s="1" t="s">
        <v>3802</v>
      </c>
      <c r="C2079" s="1" t="s">
        <v>6611</v>
      </c>
      <c r="D2079" s="1" t="s">
        <v>78</v>
      </c>
      <c r="E2079" s="1" t="s">
        <v>28</v>
      </c>
      <c r="F2079" s="2">
        <v>500000.0</v>
      </c>
      <c r="G2079" s="4">
        <v>44235.0</v>
      </c>
      <c r="H2079" s="4">
        <f>IFERROR(__xludf.DUMMYFUNCTION("DATE(INDEX(SPLIT(G2079,""/""),,3),INDEX(SPLIT(G2079,""/""),,2),INDEX(SPLIT(G2079,""/""),,1))"),44410.0)</f>
        <v>44410</v>
      </c>
      <c r="I2079" s="4">
        <v>44572.0</v>
      </c>
      <c r="J2079" s="4">
        <f>IFERROR(__xludf.DUMMYFUNCTION("DATE(INDEX(SPLIT(I2079,""/""),,3),INDEX(SPLIT(I2079,""/""),,2),INDEX(SPLIT(I2079,""/""),,1))"),44866.0)</f>
        <v>44866</v>
      </c>
      <c r="L2079" s="1">
        <v>0.0</v>
      </c>
      <c r="M2079" s="1" t="s">
        <v>1814</v>
      </c>
      <c r="N2079" s="1"/>
      <c r="O2079" s="1" t="s">
        <v>30</v>
      </c>
      <c r="P2079" s="1" t="s">
        <v>31</v>
      </c>
      <c r="Q2079" s="1" t="s">
        <v>95</v>
      </c>
      <c r="R2079" s="1" t="s">
        <v>95</v>
      </c>
      <c r="S2079" s="1" t="s">
        <v>96</v>
      </c>
      <c r="T2079" s="1" t="s">
        <v>260</v>
      </c>
      <c r="U2079" s="1">
        <v>1.00597983E8</v>
      </c>
      <c r="X2079" s="1" t="s">
        <v>239</v>
      </c>
      <c r="Y2079" s="1" t="s">
        <v>2133</v>
      </c>
      <c r="Z2079" s="1" t="s">
        <v>206</v>
      </c>
    </row>
    <row r="2080">
      <c r="A2080" s="1" t="s">
        <v>6612</v>
      </c>
      <c r="B2080" s="1" t="s">
        <v>1994</v>
      </c>
      <c r="C2080" s="1" t="s">
        <v>6613</v>
      </c>
      <c r="D2080" s="1" t="s">
        <v>27</v>
      </c>
      <c r="E2080" s="1" t="s">
        <v>28</v>
      </c>
      <c r="F2080" s="2">
        <v>500000.0</v>
      </c>
      <c r="G2080" s="4">
        <v>44447.0</v>
      </c>
      <c r="H2080" s="4">
        <f>IFERROR(__xludf.DUMMYFUNCTION("DATE(INDEX(SPLIT(G2080,""/""),,3),INDEX(SPLIT(G2080,""/""),,2),INDEX(SPLIT(G2080,""/""),,1))"),44417.0)</f>
        <v>44417</v>
      </c>
      <c r="I2080" s="1" t="s">
        <v>226</v>
      </c>
      <c r="J2080" s="4">
        <f>IFERROR(__xludf.DUMMYFUNCTION("DATE(INDEX(SPLIT(I2080,""/""),,3),INDEX(SPLIT(I2080,""/""),,2),INDEX(SPLIT(I2080,""/""),,1))"),44771.0)</f>
        <v>44771</v>
      </c>
      <c r="L2080" s="1">
        <v>0.0</v>
      </c>
      <c r="M2080" s="1" t="s">
        <v>633</v>
      </c>
      <c r="N2080" s="1"/>
      <c r="O2080" s="1" t="s">
        <v>30</v>
      </c>
      <c r="P2080" s="1" t="s">
        <v>31</v>
      </c>
      <c r="Q2080" s="1" t="s">
        <v>53</v>
      </c>
      <c r="R2080" s="1" t="s">
        <v>53</v>
      </c>
      <c r="S2080" s="1" t="s">
        <v>54</v>
      </c>
      <c r="T2080" s="1" t="s">
        <v>634</v>
      </c>
      <c r="U2080" s="1">
        <v>1.00997154E8</v>
      </c>
      <c r="X2080" s="1" t="s">
        <v>490</v>
      </c>
      <c r="Y2080" s="1" t="s">
        <v>633</v>
      </c>
      <c r="Z2080" s="1" t="s">
        <v>37</v>
      </c>
    </row>
    <row r="2081" hidden="1">
      <c r="A2081" s="1" t="s">
        <v>6614</v>
      </c>
      <c r="B2081" s="1" t="s">
        <v>6615</v>
      </c>
      <c r="C2081" s="1" t="s">
        <v>6616</v>
      </c>
      <c r="D2081" s="1" t="s">
        <v>122</v>
      </c>
      <c r="E2081" s="1" t="s">
        <v>28</v>
      </c>
      <c r="F2081" s="2">
        <v>500000.0</v>
      </c>
      <c r="G2081" s="1" t="s">
        <v>6617</v>
      </c>
      <c r="H2081" s="4">
        <f>IFERROR(__xludf.DUMMYFUNCTION("DATE(INDEX(SPLIT(G2081,""/""),,3),INDEX(SPLIT(G2081,""/""),,2),INDEX(SPLIT(G2081,""/""),,1))"),44500.0)</f>
        <v>44500</v>
      </c>
      <c r="I2081" s="1" t="s">
        <v>317</v>
      </c>
      <c r="J2081" s="4">
        <f>IFERROR(__xludf.DUMMYFUNCTION("DATE(INDEX(SPLIT(I2081,""/""),,3),INDEX(SPLIT(I2081,""/""),,2),INDEX(SPLIT(I2081,""/""),,1))"),44862.0)</f>
        <v>44862</v>
      </c>
      <c r="L2081" s="1">
        <v>0.0</v>
      </c>
      <c r="M2081" s="1" t="s">
        <v>653</v>
      </c>
      <c r="N2081" s="1"/>
      <c r="O2081" s="1" t="s">
        <v>30</v>
      </c>
      <c r="P2081" s="1" t="s">
        <v>31</v>
      </c>
      <c r="Q2081" s="1" t="s">
        <v>157</v>
      </c>
      <c r="R2081" s="1" t="s">
        <v>157</v>
      </c>
      <c r="S2081" s="1" t="s">
        <v>158</v>
      </c>
      <c r="T2081" s="1" t="s">
        <v>442</v>
      </c>
      <c r="U2081" s="1">
        <v>1.00591141E8</v>
      </c>
      <c r="X2081" s="1" t="s">
        <v>63</v>
      </c>
      <c r="Y2081" s="1" t="s">
        <v>3880</v>
      </c>
      <c r="Z2081" s="1" t="s">
        <v>37</v>
      </c>
    </row>
    <row r="2082" hidden="1">
      <c r="A2082" s="1" t="s">
        <v>6618</v>
      </c>
      <c r="B2082" s="1" t="s">
        <v>2131</v>
      </c>
      <c r="C2082" s="1" t="s">
        <v>6611</v>
      </c>
      <c r="D2082" s="1" t="s">
        <v>27</v>
      </c>
      <c r="E2082" s="1" t="s">
        <v>28</v>
      </c>
      <c r="F2082" s="2">
        <v>500000.0</v>
      </c>
      <c r="G2082" s="4">
        <v>44235.0</v>
      </c>
      <c r="H2082" s="4">
        <f>IFERROR(__xludf.DUMMYFUNCTION("DATE(INDEX(SPLIT(G2082,""/""),,3),INDEX(SPLIT(G2082,""/""),,2),INDEX(SPLIT(G2082,""/""),,1))"),44410.0)</f>
        <v>44410</v>
      </c>
      <c r="I2082" s="1" t="s">
        <v>109</v>
      </c>
      <c r="J2082" s="4">
        <f>IFERROR(__xludf.DUMMYFUNCTION("DATE(INDEX(SPLIT(I2082,""/""),,3),INDEX(SPLIT(I2082,""/""),,2),INDEX(SPLIT(I2082,""/""),,1))"),44834.0)</f>
        <v>44834</v>
      </c>
      <c r="L2082" s="1">
        <v>0.0</v>
      </c>
      <c r="M2082" s="1" t="s">
        <v>1814</v>
      </c>
      <c r="N2082" s="1"/>
      <c r="O2082" s="1" t="s">
        <v>30</v>
      </c>
      <c r="P2082" s="1" t="s">
        <v>31</v>
      </c>
      <c r="Q2082" s="1" t="s">
        <v>95</v>
      </c>
      <c r="R2082" s="1" t="s">
        <v>95</v>
      </c>
      <c r="S2082" s="1" t="s">
        <v>96</v>
      </c>
      <c r="T2082" s="1" t="s">
        <v>260</v>
      </c>
      <c r="U2082" s="1">
        <v>1.00597983E8</v>
      </c>
      <c r="X2082" s="1" t="s">
        <v>239</v>
      </c>
      <c r="Y2082" s="1" t="s">
        <v>2133</v>
      </c>
      <c r="Z2082" s="1" t="s">
        <v>206</v>
      </c>
    </row>
    <row r="2083" hidden="1">
      <c r="A2083" s="1" t="s">
        <v>6619</v>
      </c>
      <c r="B2083" s="1" t="s">
        <v>2131</v>
      </c>
      <c r="C2083" s="1" t="s">
        <v>6620</v>
      </c>
      <c r="D2083" s="1" t="s">
        <v>27</v>
      </c>
      <c r="E2083" s="1" t="s">
        <v>28</v>
      </c>
      <c r="F2083" s="2">
        <v>500000.0</v>
      </c>
      <c r="G2083" s="4">
        <v>44235.0</v>
      </c>
      <c r="H2083" s="4">
        <f>IFERROR(__xludf.DUMMYFUNCTION("DATE(INDEX(SPLIT(G2083,""/""),,3),INDEX(SPLIT(G2083,""/""),,2),INDEX(SPLIT(G2083,""/""),,1))"),44410.0)</f>
        <v>44410</v>
      </c>
      <c r="I2083" s="1" t="s">
        <v>109</v>
      </c>
      <c r="J2083" s="4">
        <f>IFERROR(__xludf.DUMMYFUNCTION("DATE(INDEX(SPLIT(I2083,""/""),,3),INDEX(SPLIT(I2083,""/""),,2),INDEX(SPLIT(I2083,""/""),,1))"),44834.0)</f>
        <v>44834</v>
      </c>
      <c r="L2083" s="1">
        <v>0.0</v>
      </c>
      <c r="M2083" s="1" t="s">
        <v>1814</v>
      </c>
      <c r="N2083" s="1"/>
      <c r="O2083" s="1" t="s">
        <v>30</v>
      </c>
      <c r="P2083" s="1" t="s">
        <v>31</v>
      </c>
      <c r="Q2083" s="1" t="s">
        <v>95</v>
      </c>
      <c r="R2083" s="1" t="s">
        <v>95</v>
      </c>
      <c r="S2083" s="1" t="s">
        <v>96</v>
      </c>
      <c r="T2083" s="1" t="s">
        <v>260</v>
      </c>
      <c r="U2083" s="1">
        <v>1.00597983E8</v>
      </c>
      <c r="X2083" s="1" t="s">
        <v>239</v>
      </c>
      <c r="Y2083" s="1" t="s">
        <v>2133</v>
      </c>
      <c r="Z2083" s="1" t="s">
        <v>206</v>
      </c>
    </row>
    <row r="2084" hidden="1">
      <c r="A2084" s="1" t="s">
        <v>6621</v>
      </c>
      <c r="B2084" s="1" t="s">
        <v>1966</v>
      </c>
      <c r="C2084" s="1" t="s">
        <v>6622</v>
      </c>
      <c r="D2084" s="1" t="s">
        <v>27</v>
      </c>
      <c r="E2084" s="1" t="s">
        <v>28</v>
      </c>
      <c r="F2084" s="2">
        <v>500000.0</v>
      </c>
      <c r="G2084" s="1" t="s">
        <v>1244</v>
      </c>
      <c r="H2084" s="4">
        <f>IFERROR(__xludf.DUMMYFUNCTION("DATE(INDEX(SPLIT(G2084,""/""),,3),INDEX(SPLIT(G2084,""/""),,2),INDEX(SPLIT(G2084,""/""),,1))"),44742.0)</f>
        <v>44742</v>
      </c>
      <c r="I2084" s="1" t="s">
        <v>281</v>
      </c>
      <c r="J2084" s="4">
        <f>IFERROR(__xludf.DUMMYFUNCTION("DATE(INDEX(SPLIT(I2084,""/""),,3),INDEX(SPLIT(I2084,""/""),,2),INDEX(SPLIT(I2084,""/""),,1))"),44865.0)</f>
        <v>44865</v>
      </c>
      <c r="L2084" s="1">
        <v>0.0</v>
      </c>
      <c r="M2084" s="1" t="s">
        <v>406</v>
      </c>
      <c r="N2084" s="1"/>
      <c r="O2084" s="1" t="s">
        <v>30</v>
      </c>
      <c r="P2084" s="1" t="s">
        <v>31</v>
      </c>
      <c r="Q2084" s="1" t="s">
        <v>32</v>
      </c>
      <c r="R2084" s="1" t="s">
        <v>32</v>
      </c>
      <c r="S2084" s="1" t="s">
        <v>33</v>
      </c>
      <c r="U2084" s="1">
        <v>1.00642129E8</v>
      </c>
      <c r="X2084" s="1" t="s">
        <v>125</v>
      </c>
      <c r="Y2084" s="1" t="s">
        <v>6623</v>
      </c>
      <c r="Z2084" s="1" t="s">
        <v>37</v>
      </c>
    </row>
    <row r="2085">
      <c r="A2085" s="1" t="s">
        <v>6624</v>
      </c>
      <c r="B2085" s="1" t="s">
        <v>2992</v>
      </c>
      <c r="C2085" s="1" t="s">
        <v>6625</v>
      </c>
      <c r="D2085" s="1" t="s">
        <v>122</v>
      </c>
      <c r="E2085" s="1" t="s">
        <v>28</v>
      </c>
      <c r="F2085" s="2">
        <v>500000.0</v>
      </c>
      <c r="G2085" s="4">
        <v>44686.0</v>
      </c>
      <c r="H2085" s="4">
        <f>IFERROR(__xludf.DUMMYFUNCTION("DATE(INDEX(SPLIT(G2085,""/""),,3),INDEX(SPLIT(G2085,""/""),,2),INDEX(SPLIT(G2085,""/""),,1))"),44686.0)</f>
        <v>44686</v>
      </c>
      <c r="I2085" s="1" t="s">
        <v>226</v>
      </c>
      <c r="J2085" s="4">
        <f>IFERROR(__xludf.DUMMYFUNCTION("DATE(INDEX(SPLIT(I2085,""/""),,3),INDEX(SPLIT(I2085,""/""),,2),INDEX(SPLIT(I2085,""/""),,1))"),44771.0)</f>
        <v>44771</v>
      </c>
      <c r="L2085" s="1">
        <v>0.0</v>
      </c>
      <c r="M2085" s="1" t="s">
        <v>2171</v>
      </c>
      <c r="N2085" s="1"/>
      <c r="O2085" s="1" t="s">
        <v>30</v>
      </c>
      <c r="P2085" s="1" t="s">
        <v>31</v>
      </c>
      <c r="Q2085" s="1" t="s">
        <v>53</v>
      </c>
      <c r="R2085" s="1" t="s">
        <v>53</v>
      </c>
      <c r="S2085" s="1" t="s">
        <v>54</v>
      </c>
      <c r="T2085" s="1" t="s">
        <v>1386</v>
      </c>
      <c r="U2085" s="1">
        <v>1.00638494E8</v>
      </c>
      <c r="X2085" s="1" t="s">
        <v>254</v>
      </c>
      <c r="Y2085" s="1" t="s">
        <v>2172</v>
      </c>
      <c r="Z2085" s="1" t="s">
        <v>527</v>
      </c>
    </row>
    <row r="2086" hidden="1">
      <c r="A2086" s="1" t="s">
        <v>6626</v>
      </c>
      <c r="B2086" s="1" t="s">
        <v>1066</v>
      </c>
      <c r="C2086" s="1" t="s">
        <v>6627</v>
      </c>
      <c r="D2086" s="1" t="s">
        <v>27</v>
      </c>
      <c r="E2086" s="1" t="s">
        <v>28</v>
      </c>
      <c r="F2086" s="2">
        <v>500000.0</v>
      </c>
      <c r="G2086" s="1" t="s">
        <v>1058</v>
      </c>
      <c r="H2086" s="4">
        <f>IFERROR(__xludf.DUMMYFUNCTION("DATE(INDEX(SPLIT(G2086,""/""),,3),INDEX(SPLIT(G2086,""/""),,2),INDEX(SPLIT(G2086,""/""),,1))"),44733.0)</f>
        <v>44733</v>
      </c>
      <c r="I2086" s="4">
        <v>44813.0</v>
      </c>
      <c r="J2086" s="4">
        <f>IFERROR(__xludf.DUMMYFUNCTION("DATE(INDEX(SPLIT(I2086,""/""),,3),INDEX(SPLIT(I2086,""/""),,2),INDEX(SPLIT(I2086,""/""),,1))"),44813.0)</f>
        <v>44813</v>
      </c>
      <c r="L2086" s="1">
        <v>0.0</v>
      </c>
      <c r="M2086" s="1" t="s">
        <v>3565</v>
      </c>
      <c r="N2086" s="1"/>
      <c r="O2086" s="1" t="s">
        <v>30</v>
      </c>
      <c r="P2086" s="1" t="s">
        <v>31</v>
      </c>
      <c r="Q2086" s="1" t="s">
        <v>32</v>
      </c>
      <c r="R2086" s="1" t="s">
        <v>32</v>
      </c>
      <c r="S2086" s="1" t="s">
        <v>33</v>
      </c>
      <c r="T2086" s="1" t="s">
        <v>402</v>
      </c>
      <c r="U2086" s="1">
        <v>1.01088701E8</v>
      </c>
      <c r="X2086" s="1" t="s">
        <v>125</v>
      </c>
      <c r="Y2086" s="1" t="s">
        <v>1457</v>
      </c>
      <c r="Z2086" s="1" t="s">
        <v>37</v>
      </c>
    </row>
    <row r="2087" hidden="1">
      <c r="A2087" s="1" t="s">
        <v>6628</v>
      </c>
      <c r="B2087" s="1" t="s">
        <v>4013</v>
      </c>
      <c r="C2087" s="1" t="s">
        <v>6629</v>
      </c>
      <c r="D2087" s="1" t="s">
        <v>78</v>
      </c>
      <c r="E2087" s="1" t="s">
        <v>28</v>
      </c>
      <c r="F2087" s="2">
        <v>500000.0</v>
      </c>
      <c r="G2087" s="1" t="s">
        <v>6460</v>
      </c>
      <c r="H2087" s="4">
        <f>IFERROR(__xludf.DUMMYFUNCTION("DATE(INDEX(SPLIT(G2087,""/""),,3),INDEX(SPLIT(G2087,""/""),,2),INDEX(SPLIT(G2087,""/""),,1))"),44433.0)</f>
        <v>44433</v>
      </c>
      <c r="I2087" s="1" t="s">
        <v>360</v>
      </c>
      <c r="J2087" s="4">
        <f>IFERROR(__xludf.DUMMYFUNCTION("DATE(INDEX(SPLIT(I2087,""/""),,3),INDEX(SPLIT(I2087,""/""),,2),INDEX(SPLIT(I2087,""/""),,1))"),44895.0)</f>
        <v>44895</v>
      </c>
      <c r="L2087" s="1">
        <v>0.0</v>
      </c>
      <c r="M2087" s="1" t="s">
        <v>852</v>
      </c>
      <c r="N2087" s="1"/>
      <c r="O2087" s="1" t="s">
        <v>30</v>
      </c>
      <c r="P2087" s="1" t="s">
        <v>31</v>
      </c>
      <c r="Q2087" s="1" t="s">
        <v>157</v>
      </c>
      <c r="R2087" s="1" t="s">
        <v>157</v>
      </c>
      <c r="S2087" s="1" t="s">
        <v>158</v>
      </c>
      <c r="T2087" s="1" t="s">
        <v>442</v>
      </c>
      <c r="U2087" s="1">
        <v>1.00648457E8</v>
      </c>
      <c r="V2087" s="1" t="s">
        <v>6630</v>
      </c>
      <c r="W2087" s="1" t="s">
        <v>45</v>
      </c>
      <c r="X2087" s="1" t="s">
        <v>190</v>
      </c>
      <c r="Y2087" s="1" t="s">
        <v>5726</v>
      </c>
      <c r="Z2087" s="1" t="s">
        <v>37</v>
      </c>
    </row>
    <row r="2088" hidden="1">
      <c r="A2088" s="1" t="s">
        <v>6631</v>
      </c>
      <c r="B2088" s="1" t="s">
        <v>1790</v>
      </c>
      <c r="C2088" s="1" t="s">
        <v>6632</v>
      </c>
      <c r="D2088" s="1" t="s">
        <v>27</v>
      </c>
      <c r="E2088" s="1" t="s">
        <v>28</v>
      </c>
      <c r="F2088" s="2">
        <v>500000.0</v>
      </c>
      <c r="G2088" s="1" t="s">
        <v>3467</v>
      </c>
      <c r="H2088" s="4">
        <f>IFERROR(__xludf.DUMMYFUNCTION("DATE(INDEX(SPLIT(G2088,""/""),,3),INDEX(SPLIT(G2088,""/""),,2),INDEX(SPLIT(G2088,""/""),,1))"),44615.0)</f>
        <v>44615</v>
      </c>
      <c r="I2088" s="1" t="s">
        <v>872</v>
      </c>
      <c r="J2088" s="4">
        <f>IFERROR(__xludf.DUMMYFUNCTION("DATE(INDEX(SPLIT(I2088,""/""),,3),INDEX(SPLIT(I2088,""/""),,2),INDEX(SPLIT(I2088,""/""),,1))"),44820.0)</f>
        <v>44820</v>
      </c>
      <c r="L2088" s="1">
        <v>0.0</v>
      </c>
      <c r="M2088" s="1" t="s">
        <v>978</v>
      </c>
      <c r="N2088" s="1"/>
      <c r="O2088" s="1" t="s">
        <v>30</v>
      </c>
      <c r="P2088" s="1" t="s">
        <v>31</v>
      </c>
      <c r="Q2088" s="1" t="s">
        <v>235</v>
      </c>
      <c r="R2088" s="1" t="s">
        <v>235</v>
      </c>
      <c r="S2088" s="1" t="s">
        <v>236</v>
      </c>
      <c r="T2088" s="1" t="s">
        <v>438</v>
      </c>
      <c r="U2088" s="1">
        <v>1.00608243E8</v>
      </c>
      <c r="X2088" s="1" t="s">
        <v>88</v>
      </c>
      <c r="Y2088" s="1" t="s">
        <v>978</v>
      </c>
      <c r="Z2088" s="1" t="s">
        <v>206</v>
      </c>
    </row>
    <row r="2089" hidden="1">
      <c r="A2089" s="1" t="s">
        <v>6633</v>
      </c>
      <c r="B2089" s="1" t="s">
        <v>6131</v>
      </c>
      <c r="C2089" s="1" t="s">
        <v>6634</v>
      </c>
      <c r="D2089" s="1" t="s">
        <v>27</v>
      </c>
      <c r="E2089" s="1" t="s">
        <v>28</v>
      </c>
      <c r="F2089" s="2">
        <v>500000.0</v>
      </c>
      <c r="G2089" s="4">
        <v>44235.0</v>
      </c>
      <c r="H2089" s="4">
        <f>IFERROR(__xludf.DUMMYFUNCTION("DATE(INDEX(SPLIT(G2089,""/""),,3),INDEX(SPLIT(G2089,""/""),,2),INDEX(SPLIT(G2089,""/""),,1))"),44410.0)</f>
        <v>44410</v>
      </c>
      <c r="I2089" s="1" t="s">
        <v>109</v>
      </c>
      <c r="J2089" s="4">
        <f>IFERROR(__xludf.DUMMYFUNCTION("DATE(INDEX(SPLIT(I2089,""/""),,3),INDEX(SPLIT(I2089,""/""),,2),INDEX(SPLIT(I2089,""/""),,1))"),44834.0)</f>
        <v>44834</v>
      </c>
      <c r="L2089" s="1">
        <v>0.0</v>
      </c>
      <c r="M2089" s="1" t="s">
        <v>1814</v>
      </c>
      <c r="N2089" s="1"/>
      <c r="O2089" s="1" t="s">
        <v>30</v>
      </c>
      <c r="P2089" s="1" t="s">
        <v>31</v>
      </c>
      <c r="Q2089" s="1" t="s">
        <v>95</v>
      </c>
      <c r="R2089" s="1" t="s">
        <v>95</v>
      </c>
      <c r="S2089" s="1" t="s">
        <v>96</v>
      </c>
      <c r="T2089" s="1" t="s">
        <v>602</v>
      </c>
      <c r="U2089" s="1">
        <v>1.00597983E8</v>
      </c>
      <c r="X2089" s="1" t="s">
        <v>375</v>
      </c>
      <c r="Y2089" s="1" t="s">
        <v>2133</v>
      </c>
      <c r="Z2089" s="1" t="s">
        <v>206</v>
      </c>
    </row>
    <row r="2090" hidden="1">
      <c r="A2090" s="1" t="s">
        <v>6635</v>
      </c>
      <c r="B2090" s="1" t="s">
        <v>2501</v>
      </c>
      <c r="C2090" s="1" t="s">
        <v>6636</v>
      </c>
      <c r="D2090" s="1" t="s">
        <v>27</v>
      </c>
      <c r="E2090" s="1" t="s">
        <v>28</v>
      </c>
      <c r="F2090" s="2">
        <v>500000.0</v>
      </c>
      <c r="G2090" s="1" t="s">
        <v>3467</v>
      </c>
      <c r="H2090" s="4">
        <f>IFERROR(__xludf.DUMMYFUNCTION("DATE(INDEX(SPLIT(G2090,""/""),,3),INDEX(SPLIT(G2090,""/""),,2),INDEX(SPLIT(G2090,""/""),,1))"),44615.0)</f>
        <v>44615</v>
      </c>
      <c r="I2090" s="1" t="s">
        <v>203</v>
      </c>
      <c r="J2090" s="4">
        <f>IFERROR(__xludf.DUMMYFUNCTION("DATE(INDEX(SPLIT(I2090,""/""),,3),INDEX(SPLIT(I2090,""/""),,2),INDEX(SPLIT(I2090,""/""),,1))"),44925.0)</f>
        <v>44925</v>
      </c>
      <c r="L2090" s="1">
        <v>0.0</v>
      </c>
      <c r="M2090" s="1" t="s">
        <v>3686</v>
      </c>
      <c r="N2090" s="1"/>
      <c r="O2090" s="1" t="s">
        <v>30</v>
      </c>
      <c r="P2090" s="1" t="s">
        <v>31</v>
      </c>
      <c r="Q2090" s="1" t="s">
        <v>157</v>
      </c>
      <c r="R2090" s="1" t="s">
        <v>157</v>
      </c>
      <c r="S2090" s="1" t="s">
        <v>158</v>
      </c>
      <c r="T2090" s="1" t="s">
        <v>159</v>
      </c>
      <c r="U2090" s="1">
        <v>1.01170527E8</v>
      </c>
      <c r="X2090" s="1" t="s">
        <v>490</v>
      </c>
      <c r="Y2090" s="1" t="s">
        <v>6637</v>
      </c>
      <c r="Z2090" s="1" t="s">
        <v>37</v>
      </c>
    </row>
    <row r="2091">
      <c r="A2091" s="1" t="s">
        <v>6638</v>
      </c>
      <c r="B2091" s="1" t="s">
        <v>6639</v>
      </c>
      <c r="C2091" s="1" t="s">
        <v>6640</v>
      </c>
      <c r="D2091" s="1" t="s">
        <v>122</v>
      </c>
      <c r="E2091" s="1" t="s">
        <v>28</v>
      </c>
      <c r="F2091" s="2">
        <v>500000.0</v>
      </c>
      <c r="G2091" s="1" t="s">
        <v>354</v>
      </c>
      <c r="H2091" s="4">
        <f>IFERROR(__xludf.DUMMYFUNCTION("DATE(INDEX(SPLIT(G2091,""/""),,3),INDEX(SPLIT(G2091,""/""),,2),INDEX(SPLIT(G2091,""/""),,1))"),44673.0)</f>
        <v>44673</v>
      </c>
      <c r="I2091" s="1" t="s">
        <v>1244</v>
      </c>
      <c r="J2091" s="4">
        <f>IFERROR(__xludf.DUMMYFUNCTION("DATE(INDEX(SPLIT(I2091,""/""),,3),INDEX(SPLIT(I2091,""/""),,2),INDEX(SPLIT(I2091,""/""),,1))"),44742.0)</f>
        <v>44742</v>
      </c>
      <c r="L2091" s="1">
        <v>0.0</v>
      </c>
      <c r="M2091" s="1" t="s">
        <v>570</v>
      </c>
      <c r="N2091" s="1"/>
      <c r="O2091" s="1" t="s">
        <v>30</v>
      </c>
      <c r="P2091" s="1" t="s">
        <v>31</v>
      </c>
      <c r="Q2091" s="1" t="s">
        <v>157</v>
      </c>
      <c r="R2091" s="1" t="s">
        <v>157</v>
      </c>
      <c r="S2091" s="1" t="s">
        <v>158</v>
      </c>
      <c r="U2091" s="1">
        <v>1.00586314E8</v>
      </c>
      <c r="X2091" s="1" t="s">
        <v>63</v>
      </c>
      <c r="Y2091" s="1" t="s">
        <v>6641</v>
      </c>
      <c r="Z2091" s="1" t="s">
        <v>37</v>
      </c>
    </row>
    <row r="2092">
      <c r="A2092" s="1" t="s">
        <v>6642</v>
      </c>
      <c r="B2092" s="1" t="s">
        <v>308</v>
      </c>
      <c r="C2092" s="1" t="s">
        <v>6643</v>
      </c>
      <c r="D2092" s="1" t="s">
        <v>122</v>
      </c>
      <c r="E2092" s="1" t="s">
        <v>28</v>
      </c>
      <c r="F2092" s="2">
        <v>500000.0</v>
      </c>
      <c r="G2092" s="4">
        <v>43933.0</v>
      </c>
      <c r="H2092" s="4">
        <f>IFERROR(__xludf.DUMMYFUNCTION("DATE(INDEX(SPLIT(G2092,""/""),,3),INDEX(SPLIT(G2092,""/""),,2),INDEX(SPLIT(G2092,""/""),,1))"),44169.0)</f>
        <v>44169</v>
      </c>
      <c r="I2092" s="1" t="s">
        <v>1259</v>
      </c>
      <c r="J2092" s="4">
        <f>IFERROR(__xludf.DUMMYFUNCTION("DATE(INDEX(SPLIT(I2092,""/""),,3),INDEX(SPLIT(I2092,""/""),,2),INDEX(SPLIT(I2092,""/""),,1))"),44763.0)</f>
        <v>44763</v>
      </c>
      <c r="L2092" s="1">
        <v>0.0</v>
      </c>
      <c r="M2092" s="1" t="s">
        <v>1689</v>
      </c>
      <c r="N2092" s="1"/>
      <c r="O2092" s="1" t="s">
        <v>30</v>
      </c>
      <c r="P2092" s="1" t="s">
        <v>31</v>
      </c>
      <c r="Q2092" s="1" t="s">
        <v>53</v>
      </c>
      <c r="R2092" s="1" t="s">
        <v>53</v>
      </c>
      <c r="S2092" s="1" t="s">
        <v>54</v>
      </c>
      <c r="T2092" s="1" t="s">
        <v>103</v>
      </c>
      <c r="U2092" s="1">
        <v>1.00650657E8</v>
      </c>
      <c r="X2092" s="1" t="s">
        <v>312</v>
      </c>
      <c r="Y2092" s="1" t="s">
        <v>313</v>
      </c>
      <c r="Z2092" s="1" t="s">
        <v>37</v>
      </c>
    </row>
    <row r="2093">
      <c r="A2093" s="1" t="s">
        <v>6644</v>
      </c>
      <c r="B2093" s="1" t="s">
        <v>561</v>
      </c>
      <c r="C2093" s="1" t="s">
        <v>6645</v>
      </c>
      <c r="D2093" s="1" t="s">
        <v>27</v>
      </c>
      <c r="E2093" s="1" t="s">
        <v>28</v>
      </c>
      <c r="F2093" s="2">
        <v>500000.0</v>
      </c>
      <c r="G2093" s="1" t="s">
        <v>354</v>
      </c>
      <c r="H2093" s="4">
        <f>IFERROR(__xludf.DUMMYFUNCTION("DATE(INDEX(SPLIT(G2093,""/""),,3),INDEX(SPLIT(G2093,""/""),,2),INDEX(SPLIT(G2093,""/""),,1))"),44673.0)</f>
        <v>44673</v>
      </c>
      <c r="I2093" s="1" t="s">
        <v>226</v>
      </c>
      <c r="J2093" s="4">
        <f>IFERROR(__xludf.DUMMYFUNCTION("DATE(INDEX(SPLIT(I2093,""/""),,3),INDEX(SPLIT(I2093,""/""),,2),INDEX(SPLIT(I2093,""/""),,1))"),44771.0)</f>
        <v>44771</v>
      </c>
      <c r="L2093" s="1">
        <v>0.0</v>
      </c>
      <c r="M2093" s="1" t="s">
        <v>467</v>
      </c>
      <c r="N2093" s="1"/>
      <c r="O2093" s="1" t="s">
        <v>30</v>
      </c>
      <c r="P2093" s="1" t="s">
        <v>31</v>
      </c>
      <c r="Q2093" s="1" t="s">
        <v>32</v>
      </c>
      <c r="R2093" s="1" t="s">
        <v>32</v>
      </c>
      <c r="S2093" s="1" t="s">
        <v>33</v>
      </c>
      <c r="T2093" s="1" t="s">
        <v>103</v>
      </c>
      <c r="U2093" s="1">
        <v>1.00619817E8</v>
      </c>
      <c r="X2093" s="1" t="s">
        <v>361</v>
      </c>
      <c r="Y2093" s="1" t="s">
        <v>467</v>
      </c>
      <c r="Z2093" s="1" t="s">
        <v>37</v>
      </c>
    </row>
    <row r="2094">
      <c r="A2094" s="1" t="s">
        <v>6646</v>
      </c>
      <c r="B2094" s="1" t="s">
        <v>896</v>
      </c>
      <c r="C2094" s="1" t="s">
        <v>6647</v>
      </c>
      <c r="D2094" s="1" t="s">
        <v>122</v>
      </c>
      <c r="E2094" s="1" t="s">
        <v>28</v>
      </c>
      <c r="F2094" s="2">
        <v>500000.0</v>
      </c>
      <c r="G2094" s="1" t="s">
        <v>3853</v>
      </c>
      <c r="H2094" s="4">
        <f>IFERROR(__xludf.DUMMYFUNCTION("DATE(INDEX(SPLIT(G2094,""/""),,3),INDEX(SPLIT(G2094,""/""),,2),INDEX(SPLIT(G2094,""/""),,1))"),44679.0)</f>
        <v>44679</v>
      </c>
      <c r="I2094" s="1" t="s">
        <v>1244</v>
      </c>
      <c r="J2094" s="4">
        <f>IFERROR(__xludf.DUMMYFUNCTION("DATE(INDEX(SPLIT(I2094,""/""),,3),INDEX(SPLIT(I2094,""/""),,2),INDEX(SPLIT(I2094,""/""),,1))"),44742.0)</f>
        <v>44742</v>
      </c>
      <c r="L2094" s="1">
        <v>0.0</v>
      </c>
      <c r="M2094" s="1" t="s">
        <v>1840</v>
      </c>
      <c r="N2094" s="1"/>
      <c r="O2094" s="1" t="s">
        <v>30</v>
      </c>
      <c r="P2094" s="1" t="s">
        <v>31</v>
      </c>
      <c r="Q2094" s="1" t="s">
        <v>71</v>
      </c>
      <c r="R2094" s="1" t="s">
        <v>71</v>
      </c>
      <c r="S2094" s="1" t="s">
        <v>72</v>
      </c>
      <c r="T2094" s="1" t="s">
        <v>615</v>
      </c>
      <c r="U2094" s="1">
        <v>1.00617113E8</v>
      </c>
      <c r="X2094" s="1" t="s">
        <v>490</v>
      </c>
      <c r="Y2094" s="1" t="s">
        <v>6648</v>
      </c>
      <c r="Z2094" s="1" t="s">
        <v>37</v>
      </c>
    </row>
    <row r="2095">
      <c r="A2095" s="1" t="s">
        <v>6649</v>
      </c>
      <c r="B2095" s="1" t="s">
        <v>308</v>
      </c>
      <c r="C2095" s="1" t="s">
        <v>6650</v>
      </c>
      <c r="D2095" s="1" t="s">
        <v>78</v>
      </c>
      <c r="E2095" s="1" t="s">
        <v>28</v>
      </c>
      <c r="F2095" s="2">
        <v>500000.0</v>
      </c>
      <c r="G2095" s="1" t="s">
        <v>1058</v>
      </c>
      <c r="H2095" s="4">
        <f>IFERROR(__xludf.DUMMYFUNCTION("DATE(INDEX(SPLIT(G2095,""/""),,3),INDEX(SPLIT(G2095,""/""),,2),INDEX(SPLIT(G2095,""/""),,1))"),44733.0)</f>
        <v>44733</v>
      </c>
      <c r="I2095" s="1" t="s">
        <v>343</v>
      </c>
      <c r="J2095" s="4">
        <f>IFERROR(__xludf.DUMMYFUNCTION("DATE(INDEX(SPLIT(I2095,""/""),,3),INDEX(SPLIT(I2095,""/""),,2),INDEX(SPLIT(I2095,""/""),,1))"),44761.0)</f>
        <v>44761</v>
      </c>
      <c r="L2095" s="1">
        <v>0.0</v>
      </c>
      <c r="M2095" s="1" t="s">
        <v>1230</v>
      </c>
      <c r="N2095" s="1"/>
      <c r="O2095" s="1" t="s">
        <v>30</v>
      </c>
      <c r="P2095" s="1" t="s">
        <v>31</v>
      </c>
      <c r="Q2095" s="1" t="s">
        <v>53</v>
      </c>
      <c r="R2095" s="1" t="s">
        <v>53</v>
      </c>
      <c r="S2095" s="1" t="s">
        <v>54</v>
      </c>
      <c r="U2095" s="1">
        <v>1.01127868E8</v>
      </c>
      <c r="X2095" s="1" t="s">
        <v>312</v>
      </c>
      <c r="Y2095" s="1" t="s">
        <v>4283</v>
      </c>
      <c r="Z2095" s="1" t="s">
        <v>37</v>
      </c>
    </row>
    <row r="2096" hidden="1">
      <c r="A2096" s="1" t="s">
        <v>6651</v>
      </c>
      <c r="B2096" s="1" t="s">
        <v>4101</v>
      </c>
      <c r="C2096" s="1" t="s">
        <v>6652</v>
      </c>
      <c r="D2096" s="1" t="s">
        <v>122</v>
      </c>
      <c r="E2096" s="1" t="s">
        <v>28</v>
      </c>
      <c r="F2096" s="2">
        <v>500000.0</v>
      </c>
      <c r="G2096" s="1" t="s">
        <v>3467</v>
      </c>
      <c r="H2096" s="4">
        <f>IFERROR(__xludf.DUMMYFUNCTION("DATE(INDEX(SPLIT(G2096,""/""),,3),INDEX(SPLIT(G2096,""/""),,2),INDEX(SPLIT(G2096,""/""),,1))"),44615.0)</f>
        <v>44615</v>
      </c>
      <c r="I2096" s="1" t="s">
        <v>109</v>
      </c>
      <c r="J2096" s="4">
        <f>IFERROR(__xludf.DUMMYFUNCTION("DATE(INDEX(SPLIT(I2096,""/""),,3),INDEX(SPLIT(I2096,""/""),,2),INDEX(SPLIT(I2096,""/""),,1))"),44834.0)</f>
        <v>44834</v>
      </c>
      <c r="L2096" s="1">
        <v>0.0</v>
      </c>
      <c r="M2096" s="1" t="s">
        <v>467</v>
      </c>
      <c r="N2096" s="1"/>
      <c r="O2096" s="1" t="s">
        <v>30</v>
      </c>
      <c r="P2096" s="1" t="s">
        <v>31</v>
      </c>
      <c r="Q2096" s="1" t="s">
        <v>32</v>
      </c>
      <c r="R2096" s="1" t="s">
        <v>32</v>
      </c>
      <c r="S2096" s="1" t="s">
        <v>33</v>
      </c>
      <c r="T2096" s="1" t="s">
        <v>103</v>
      </c>
      <c r="U2096" s="1">
        <v>1.00619817E8</v>
      </c>
      <c r="X2096" s="1" t="s">
        <v>312</v>
      </c>
      <c r="Y2096" s="1" t="s">
        <v>5360</v>
      </c>
      <c r="Z2096" s="1" t="s">
        <v>37</v>
      </c>
    </row>
    <row r="2097" hidden="1">
      <c r="A2097" s="1" t="s">
        <v>6653</v>
      </c>
      <c r="B2097" s="1" t="s">
        <v>3734</v>
      </c>
      <c r="C2097" s="1" t="s">
        <v>6654</v>
      </c>
      <c r="D2097" s="1" t="s">
        <v>27</v>
      </c>
      <c r="E2097" s="1" t="s">
        <v>28</v>
      </c>
      <c r="F2097" s="2">
        <v>500000.0</v>
      </c>
      <c r="G2097" s="1" t="s">
        <v>1381</v>
      </c>
      <c r="H2097" s="4">
        <f>IFERROR(__xludf.DUMMYFUNCTION("DATE(INDEX(SPLIT(G2097,""/""),,3),INDEX(SPLIT(G2097,""/""),,2),INDEX(SPLIT(G2097,""/""),,1))"),44643.0)</f>
        <v>44643</v>
      </c>
      <c r="I2097" s="1" t="s">
        <v>109</v>
      </c>
      <c r="J2097" s="4">
        <f>IFERROR(__xludf.DUMMYFUNCTION("DATE(INDEX(SPLIT(I2097,""/""),,3),INDEX(SPLIT(I2097,""/""),,2),INDEX(SPLIT(I2097,""/""),,1))"),44834.0)</f>
        <v>44834</v>
      </c>
      <c r="L2097" s="1">
        <v>0.0</v>
      </c>
      <c r="M2097" s="1" t="s">
        <v>6655</v>
      </c>
      <c r="N2097" s="1"/>
      <c r="O2097" s="1" t="s">
        <v>30</v>
      </c>
      <c r="P2097" s="1" t="s">
        <v>31</v>
      </c>
      <c r="Q2097" s="1" t="s">
        <v>53</v>
      </c>
      <c r="R2097" s="1" t="s">
        <v>53</v>
      </c>
      <c r="S2097" s="1" t="s">
        <v>54</v>
      </c>
      <c r="T2097" s="1" t="s">
        <v>1386</v>
      </c>
      <c r="U2097" s="1">
        <v>1.01144324E8</v>
      </c>
      <c r="X2097" s="1" t="s">
        <v>35</v>
      </c>
      <c r="Y2097" s="1" t="s">
        <v>6655</v>
      </c>
      <c r="Z2097" s="1" t="s">
        <v>527</v>
      </c>
    </row>
    <row r="2098" hidden="1">
      <c r="A2098" s="1" t="s">
        <v>6656</v>
      </c>
      <c r="B2098" s="1" t="s">
        <v>114</v>
      </c>
      <c r="C2098" s="1" t="s">
        <v>6657</v>
      </c>
      <c r="D2098" s="1" t="s">
        <v>27</v>
      </c>
      <c r="E2098" s="1" t="s">
        <v>28</v>
      </c>
      <c r="F2098" s="2">
        <v>500000.0</v>
      </c>
      <c r="G2098" s="4">
        <v>44839.0</v>
      </c>
      <c r="H2098" s="4">
        <f>IFERROR(__xludf.DUMMYFUNCTION("DATE(INDEX(SPLIT(G2098,""/""),,3),INDEX(SPLIT(G2098,""/""),,2),INDEX(SPLIT(G2098,""/""),,1))"),44691.0)</f>
        <v>44691</v>
      </c>
      <c r="I2098" s="1" t="s">
        <v>109</v>
      </c>
      <c r="J2098" s="4">
        <f>IFERROR(__xludf.DUMMYFUNCTION("DATE(INDEX(SPLIT(I2098,""/""),,3),INDEX(SPLIT(I2098,""/""),,2),INDEX(SPLIT(I2098,""/""),,1))"),44834.0)</f>
        <v>44834</v>
      </c>
      <c r="L2098" s="1">
        <v>0.0</v>
      </c>
      <c r="M2098" s="1" t="s">
        <v>406</v>
      </c>
      <c r="N2098" s="1"/>
      <c r="O2098" s="1" t="s">
        <v>30</v>
      </c>
      <c r="P2098" s="1" t="s">
        <v>31</v>
      </c>
      <c r="Q2098" s="1" t="s">
        <v>32</v>
      </c>
      <c r="R2098" s="1" t="s">
        <v>32</v>
      </c>
      <c r="S2098" s="1" t="s">
        <v>33</v>
      </c>
      <c r="U2098" s="1">
        <v>1.00642129E8</v>
      </c>
      <c r="X2098" s="1" t="s">
        <v>117</v>
      </c>
      <c r="Y2098" s="1" t="s">
        <v>406</v>
      </c>
      <c r="Z2098" s="1" t="s">
        <v>37</v>
      </c>
    </row>
    <row r="2099">
      <c r="A2099" s="1" t="s">
        <v>6658</v>
      </c>
      <c r="B2099" s="1" t="s">
        <v>2016</v>
      </c>
      <c r="C2099" s="1" t="s">
        <v>6659</v>
      </c>
      <c r="D2099" s="1" t="s">
        <v>122</v>
      </c>
      <c r="E2099" s="1" t="s">
        <v>28</v>
      </c>
      <c r="F2099" s="2">
        <v>500000.0</v>
      </c>
      <c r="G2099" s="4">
        <v>44839.0</v>
      </c>
      <c r="H2099" s="4">
        <f>IFERROR(__xludf.DUMMYFUNCTION("DATE(INDEX(SPLIT(G2099,""/""),,3),INDEX(SPLIT(G2099,""/""),,2),INDEX(SPLIT(G2099,""/""),,1))"),44691.0)</f>
        <v>44691</v>
      </c>
      <c r="I2099" s="1" t="s">
        <v>226</v>
      </c>
      <c r="J2099" s="4">
        <f>IFERROR(__xludf.DUMMYFUNCTION("DATE(INDEX(SPLIT(I2099,""/""),,3),INDEX(SPLIT(I2099,""/""),,2),INDEX(SPLIT(I2099,""/""),,1))"),44771.0)</f>
        <v>44771</v>
      </c>
      <c r="L2099" s="1">
        <v>0.0</v>
      </c>
      <c r="M2099" s="1" t="s">
        <v>2622</v>
      </c>
      <c r="N2099" s="1"/>
      <c r="O2099" s="1" t="s">
        <v>30</v>
      </c>
      <c r="P2099" s="1" t="s">
        <v>31</v>
      </c>
      <c r="Q2099" s="1" t="s">
        <v>71</v>
      </c>
      <c r="R2099" s="1" t="s">
        <v>71</v>
      </c>
      <c r="S2099" s="1" t="s">
        <v>72</v>
      </c>
      <c r="T2099" s="1" t="s">
        <v>73</v>
      </c>
      <c r="U2099" s="1">
        <v>1.01082364E8</v>
      </c>
      <c r="X2099" s="1" t="s">
        <v>74</v>
      </c>
      <c r="Y2099" s="1" t="s">
        <v>2622</v>
      </c>
      <c r="Z2099" s="1" t="s">
        <v>206</v>
      </c>
    </row>
    <row r="2100">
      <c r="A2100" s="1" t="s">
        <v>6660</v>
      </c>
      <c r="B2100" s="1" t="s">
        <v>301</v>
      </c>
      <c r="C2100" s="1" t="s">
        <v>6661</v>
      </c>
      <c r="D2100" s="1" t="s">
        <v>27</v>
      </c>
      <c r="E2100" s="1" t="s">
        <v>28</v>
      </c>
      <c r="F2100" s="2">
        <v>500000.0</v>
      </c>
      <c r="G2100" s="1" t="s">
        <v>4133</v>
      </c>
      <c r="H2100" s="4">
        <f>IFERROR(__xludf.DUMMYFUNCTION("DATE(INDEX(SPLIT(G2100,""/""),,3),INDEX(SPLIT(G2100,""/""),,2),INDEX(SPLIT(G2100,""/""),,1))"),44495.0)</f>
        <v>44495</v>
      </c>
      <c r="I2100" s="1" t="s">
        <v>1244</v>
      </c>
      <c r="J2100" s="4">
        <f>IFERROR(__xludf.DUMMYFUNCTION("DATE(INDEX(SPLIT(I2100,""/""),,3),INDEX(SPLIT(I2100,""/""),,2),INDEX(SPLIT(I2100,""/""),,1))"),44742.0)</f>
        <v>44742</v>
      </c>
      <c r="L2100" s="1">
        <v>0.0</v>
      </c>
      <c r="M2100" s="1" t="s">
        <v>6498</v>
      </c>
      <c r="N2100" s="1"/>
      <c r="O2100" s="1" t="s">
        <v>30</v>
      </c>
      <c r="P2100" s="1" t="s">
        <v>31</v>
      </c>
      <c r="Q2100" s="1" t="s">
        <v>157</v>
      </c>
      <c r="R2100" s="1" t="s">
        <v>157</v>
      </c>
      <c r="S2100" s="1" t="s">
        <v>158</v>
      </c>
      <c r="T2100" s="1" t="s">
        <v>6133</v>
      </c>
      <c r="U2100" s="1">
        <v>1.00624244E8</v>
      </c>
      <c r="X2100" s="1" t="s">
        <v>305</v>
      </c>
      <c r="Y2100" s="1" t="s">
        <v>5768</v>
      </c>
      <c r="Z2100" s="1" t="s">
        <v>37</v>
      </c>
    </row>
    <row r="2101" hidden="1">
      <c r="A2101" s="1" t="s">
        <v>6662</v>
      </c>
      <c r="B2101" s="1" t="s">
        <v>645</v>
      </c>
      <c r="C2101" s="1" t="s">
        <v>6663</v>
      </c>
      <c r="D2101" s="1" t="s">
        <v>27</v>
      </c>
      <c r="E2101" s="1" t="s">
        <v>28</v>
      </c>
      <c r="F2101" s="2">
        <v>500000.0</v>
      </c>
      <c r="G2101" s="1" t="s">
        <v>343</v>
      </c>
      <c r="H2101" s="4">
        <f>IFERROR(__xludf.DUMMYFUNCTION("DATE(INDEX(SPLIT(G2101,""/""),,3),INDEX(SPLIT(G2101,""/""),,2),INDEX(SPLIT(G2101,""/""),,1))"),44761.0)</f>
        <v>44761</v>
      </c>
      <c r="I2101" s="1" t="s">
        <v>360</v>
      </c>
      <c r="J2101" s="4">
        <f>IFERROR(__xludf.DUMMYFUNCTION("DATE(INDEX(SPLIT(I2101,""/""),,3),INDEX(SPLIT(I2101,""/""),,2),INDEX(SPLIT(I2101,""/""),,1))"),44895.0)</f>
        <v>44895</v>
      </c>
      <c r="L2101" s="1">
        <v>0.0</v>
      </c>
      <c r="M2101" s="1" t="s">
        <v>467</v>
      </c>
      <c r="N2101" s="1"/>
      <c r="O2101" s="1" t="s">
        <v>30</v>
      </c>
      <c r="P2101" s="1" t="s">
        <v>31</v>
      </c>
      <c r="Q2101" s="1" t="s">
        <v>32</v>
      </c>
      <c r="R2101" s="1" t="s">
        <v>32</v>
      </c>
      <c r="S2101" s="1" t="s">
        <v>33</v>
      </c>
      <c r="U2101" s="1">
        <v>1.00619817E8</v>
      </c>
      <c r="X2101" s="1" t="s">
        <v>361</v>
      </c>
      <c r="Y2101" s="1" t="s">
        <v>698</v>
      </c>
      <c r="Z2101" s="1" t="s">
        <v>37</v>
      </c>
    </row>
    <row r="2102">
      <c r="A2102" s="1" t="s">
        <v>6664</v>
      </c>
      <c r="B2102" s="1" t="s">
        <v>4929</v>
      </c>
      <c r="C2102" s="1" t="s">
        <v>6665</v>
      </c>
      <c r="D2102" s="1" t="s">
        <v>27</v>
      </c>
      <c r="E2102" s="1" t="s">
        <v>28</v>
      </c>
      <c r="F2102" s="2">
        <v>500000.0</v>
      </c>
      <c r="G2102" s="4">
        <v>44656.0</v>
      </c>
      <c r="H2102" s="4">
        <f>IFERROR(__xludf.DUMMYFUNCTION("DATE(INDEX(SPLIT(G2102,""/""),,3),INDEX(SPLIT(G2102,""/""),,2),INDEX(SPLIT(G2102,""/""),,1))"),44685.0)</f>
        <v>44685</v>
      </c>
      <c r="I2102" s="1" t="s">
        <v>226</v>
      </c>
      <c r="J2102" s="4">
        <f>IFERROR(__xludf.DUMMYFUNCTION("DATE(INDEX(SPLIT(I2102,""/""),,3),INDEX(SPLIT(I2102,""/""),,2),INDEX(SPLIT(I2102,""/""),,1))"),44771.0)</f>
        <v>44771</v>
      </c>
      <c r="L2102" s="1">
        <v>0.0</v>
      </c>
      <c r="M2102" s="1" t="s">
        <v>1552</v>
      </c>
      <c r="N2102" s="1"/>
      <c r="O2102" s="1" t="s">
        <v>30</v>
      </c>
      <c r="P2102" s="1" t="s">
        <v>31</v>
      </c>
      <c r="Q2102" s="1" t="s">
        <v>32</v>
      </c>
      <c r="R2102" s="1" t="s">
        <v>32</v>
      </c>
      <c r="S2102" s="1" t="s">
        <v>33</v>
      </c>
      <c r="T2102" s="1" t="s">
        <v>1195</v>
      </c>
      <c r="U2102" s="1">
        <v>1.00637597E8</v>
      </c>
      <c r="V2102" s="1" t="s">
        <v>4931</v>
      </c>
      <c r="W2102" s="1" t="s">
        <v>199</v>
      </c>
      <c r="X2102" s="1" t="s">
        <v>74</v>
      </c>
      <c r="Y2102" s="1" t="s">
        <v>1552</v>
      </c>
      <c r="Z2102" s="1" t="s">
        <v>37</v>
      </c>
    </row>
    <row r="2103" hidden="1">
      <c r="A2103" s="1" t="s">
        <v>6666</v>
      </c>
      <c r="B2103" s="1" t="s">
        <v>932</v>
      </c>
      <c r="C2103" s="1" t="s">
        <v>6667</v>
      </c>
      <c r="D2103" s="1" t="s">
        <v>78</v>
      </c>
      <c r="E2103" s="1" t="s">
        <v>28</v>
      </c>
      <c r="F2103" s="2">
        <v>500000.0</v>
      </c>
      <c r="G2103" s="1" t="s">
        <v>3467</v>
      </c>
      <c r="H2103" s="4">
        <f>IFERROR(__xludf.DUMMYFUNCTION("DATE(INDEX(SPLIT(G2103,""/""),,3),INDEX(SPLIT(G2103,""/""),,2),INDEX(SPLIT(G2103,""/""),,1))"),44615.0)</f>
        <v>44615</v>
      </c>
      <c r="I2103" s="1" t="s">
        <v>2042</v>
      </c>
      <c r="J2103" s="4">
        <f>IFERROR(__xludf.DUMMYFUNCTION("DATE(INDEX(SPLIT(I2103,""/""),,3),INDEX(SPLIT(I2103,""/""),,2),INDEX(SPLIT(I2103,""/""),,1))"),45169.0)</f>
        <v>45169</v>
      </c>
      <c r="L2103" s="1">
        <v>0.0</v>
      </c>
      <c r="M2103" s="1" t="s">
        <v>5497</v>
      </c>
      <c r="N2103" s="1"/>
      <c r="O2103" s="1" t="s">
        <v>30</v>
      </c>
      <c r="P2103" s="1" t="s">
        <v>31</v>
      </c>
      <c r="Q2103" s="1" t="s">
        <v>71</v>
      </c>
      <c r="R2103" s="1" t="s">
        <v>71</v>
      </c>
      <c r="S2103" s="1" t="s">
        <v>72</v>
      </c>
      <c r="T2103" s="1" t="s">
        <v>73</v>
      </c>
      <c r="U2103" s="1">
        <v>1.01088146E8</v>
      </c>
      <c r="X2103" s="1" t="s">
        <v>74</v>
      </c>
      <c r="Y2103" s="1" t="s">
        <v>1208</v>
      </c>
      <c r="Z2103" s="1" t="s">
        <v>37</v>
      </c>
    </row>
    <row r="2104">
      <c r="A2104" s="1" t="s">
        <v>6668</v>
      </c>
      <c r="B2104" s="1" t="s">
        <v>66</v>
      </c>
      <c r="C2104" s="1" t="s">
        <v>6669</v>
      </c>
      <c r="D2104" s="1" t="s">
        <v>27</v>
      </c>
      <c r="E2104" s="1" t="s">
        <v>28</v>
      </c>
      <c r="F2104" s="2">
        <v>500000.0</v>
      </c>
      <c r="G2104" s="4">
        <v>44685.0</v>
      </c>
      <c r="H2104" s="4">
        <f>IFERROR(__xludf.DUMMYFUNCTION("DATE(INDEX(SPLIT(G2104,""/""),,3),INDEX(SPLIT(G2104,""/""),,2),INDEX(SPLIT(G2104,""/""),,1))"),44656.0)</f>
        <v>44656</v>
      </c>
      <c r="I2104" s="1" t="s">
        <v>1244</v>
      </c>
      <c r="J2104" s="4">
        <f>IFERROR(__xludf.DUMMYFUNCTION("DATE(INDEX(SPLIT(I2104,""/""),,3),INDEX(SPLIT(I2104,""/""),,2),INDEX(SPLIT(I2104,""/""),,1))"),44742.0)</f>
        <v>44742</v>
      </c>
      <c r="L2104" s="1">
        <v>0.0</v>
      </c>
      <c r="M2104" s="1" t="s">
        <v>70</v>
      </c>
      <c r="N2104" s="1"/>
      <c r="O2104" s="1" t="s">
        <v>30</v>
      </c>
      <c r="P2104" s="1" t="s">
        <v>31</v>
      </c>
      <c r="Q2104" s="1" t="s">
        <v>71</v>
      </c>
      <c r="R2104" s="1" t="s">
        <v>71</v>
      </c>
      <c r="S2104" s="1" t="s">
        <v>72</v>
      </c>
      <c r="T2104" s="1" t="s">
        <v>73</v>
      </c>
      <c r="U2104" s="1">
        <v>1.00640331E8</v>
      </c>
      <c r="X2104" s="1" t="s">
        <v>74</v>
      </c>
      <c r="Y2104" s="1" t="s">
        <v>70</v>
      </c>
      <c r="Z2104" s="1" t="s">
        <v>37</v>
      </c>
    </row>
    <row r="2105">
      <c r="A2105" s="1" t="s">
        <v>6670</v>
      </c>
      <c r="B2105" s="1" t="s">
        <v>1720</v>
      </c>
      <c r="C2105" s="1" t="s">
        <v>6671</v>
      </c>
      <c r="D2105" s="1" t="s">
        <v>122</v>
      </c>
      <c r="E2105" s="1" t="s">
        <v>28</v>
      </c>
      <c r="F2105" s="2">
        <v>500000.0</v>
      </c>
      <c r="G2105" s="1" t="s">
        <v>6672</v>
      </c>
      <c r="H2105" s="4">
        <f>IFERROR(__xludf.DUMMYFUNCTION("DATE(INDEX(SPLIT(G2105,""/""),,3),INDEX(SPLIT(G2105,""/""),,2),INDEX(SPLIT(G2105,""/""),,1))"),44543.0)</f>
        <v>44543</v>
      </c>
      <c r="I2105" s="1" t="s">
        <v>226</v>
      </c>
      <c r="J2105" s="4">
        <f>IFERROR(__xludf.DUMMYFUNCTION("DATE(INDEX(SPLIT(I2105,""/""),,3),INDEX(SPLIT(I2105,""/""),,2),INDEX(SPLIT(I2105,""/""),,1))"),44771.0)</f>
        <v>44771</v>
      </c>
      <c r="L2105" s="1">
        <v>0.0</v>
      </c>
      <c r="M2105" s="1" t="s">
        <v>1723</v>
      </c>
      <c r="N2105" s="1"/>
      <c r="O2105" s="1" t="s">
        <v>30</v>
      </c>
      <c r="P2105" s="1" t="s">
        <v>31</v>
      </c>
      <c r="Q2105" s="1" t="s">
        <v>157</v>
      </c>
      <c r="R2105" s="1" t="s">
        <v>157</v>
      </c>
      <c r="S2105" s="1" t="s">
        <v>158</v>
      </c>
      <c r="U2105" s="1">
        <v>1.00654085E8</v>
      </c>
      <c r="X2105" s="1" t="s">
        <v>74</v>
      </c>
      <c r="Y2105" s="1" t="s">
        <v>6503</v>
      </c>
      <c r="Z2105" s="1" t="s">
        <v>37</v>
      </c>
    </row>
    <row r="2106" hidden="1">
      <c r="A2106" s="1" t="s">
        <v>6673</v>
      </c>
      <c r="B2106" s="1" t="s">
        <v>301</v>
      </c>
      <c r="C2106" s="1" t="s">
        <v>6674</v>
      </c>
      <c r="D2106" s="1" t="s">
        <v>78</v>
      </c>
      <c r="E2106" s="1" t="s">
        <v>28</v>
      </c>
      <c r="F2106" s="2">
        <v>500000.0</v>
      </c>
      <c r="G2106" s="1" t="s">
        <v>3178</v>
      </c>
      <c r="H2106" s="4">
        <f>IFERROR(__xludf.DUMMYFUNCTION("DATE(INDEX(SPLIT(G2106,""/""),,3),INDEX(SPLIT(G2106,""/""),,2),INDEX(SPLIT(G2106,""/""),,1))"),44644.0)</f>
        <v>44644</v>
      </c>
      <c r="I2106" s="1" t="s">
        <v>6675</v>
      </c>
      <c r="J2106" s="4">
        <f>IFERROR(__xludf.DUMMYFUNCTION("DATE(INDEX(SPLIT(I2106,""/""),,3),INDEX(SPLIT(I2106,""/""),,2),INDEX(SPLIT(I2106,""/""),,1))"),44796.0)</f>
        <v>44796</v>
      </c>
      <c r="L2106" s="1">
        <v>0.0</v>
      </c>
      <c r="M2106" s="1" t="s">
        <v>873</v>
      </c>
      <c r="N2106" s="1"/>
      <c r="O2106" s="1" t="s">
        <v>30</v>
      </c>
      <c r="P2106" s="1" t="s">
        <v>31</v>
      </c>
      <c r="Q2106" s="1" t="s">
        <v>157</v>
      </c>
      <c r="R2106" s="1" t="s">
        <v>157</v>
      </c>
      <c r="S2106" s="1" t="s">
        <v>158</v>
      </c>
      <c r="T2106" s="1" t="s">
        <v>1427</v>
      </c>
      <c r="U2106" s="1">
        <v>1.00586701E8</v>
      </c>
      <c r="V2106" s="1" t="s">
        <v>6676</v>
      </c>
      <c r="W2106" s="1" t="s">
        <v>199</v>
      </c>
      <c r="X2106" s="1" t="s">
        <v>305</v>
      </c>
      <c r="Y2106" s="1" t="s">
        <v>6677</v>
      </c>
      <c r="Z2106" s="1" t="s">
        <v>37</v>
      </c>
    </row>
    <row r="2107" hidden="1">
      <c r="A2107" s="1" t="s">
        <v>6678</v>
      </c>
      <c r="B2107" s="1" t="s">
        <v>4511</v>
      </c>
      <c r="C2107" s="1" t="s">
        <v>6679</v>
      </c>
      <c r="D2107" s="1" t="s">
        <v>27</v>
      </c>
      <c r="E2107" s="1" t="s">
        <v>28</v>
      </c>
      <c r="F2107" s="2">
        <v>500000.0</v>
      </c>
      <c r="G2107" s="1" t="s">
        <v>93</v>
      </c>
      <c r="H2107" s="4">
        <f>IFERROR(__xludf.DUMMYFUNCTION("DATE(INDEX(SPLIT(G2107,""/""),,3),INDEX(SPLIT(G2107,""/""),,2),INDEX(SPLIT(G2107,""/""),,1))"),44671.0)</f>
        <v>44671</v>
      </c>
      <c r="I2107" s="1" t="s">
        <v>130</v>
      </c>
      <c r="J2107" s="4">
        <f>IFERROR(__xludf.DUMMYFUNCTION("DATE(INDEX(SPLIT(I2107,""/""),,3),INDEX(SPLIT(I2107,""/""),,2),INDEX(SPLIT(I2107,""/""),,1))"),44804.0)</f>
        <v>44804</v>
      </c>
      <c r="L2107" s="1">
        <v>0.0</v>
      </c>
      <c r="M2107" s="1" t="s">
        <v>5894</v>
      </c>
      <c r="N2107" s="1"/>
      <c r="O2107" s="1" t="s">
        <v>30</v>
      </c>
      <c r="P2107" s="1" t="s">
        <v>31</v>
      </c>
      <c r="Q2107" s="1" t="s">
        <v>32</v>
      </c>
      <c r="R2107" s="1" t="s">
        <v>32</v>
      </c>
      <c r="S2107" s="1" t="s">
        <v>33</v>
      </c>
      <c r="T2107" s="1" t="s">
        <v>1195</v>
      </c>
      <c r="U2107" s="1">
        <v>1.00580806E8</v>
      </c>
      <c r="X2107" s="1" t="s">
        <v>490</v>
      </c>
      <c r="Y2107" s="1" t="s">
        <v>2725</v>
      </c>
      <c r="Z2107" s="1" t="s">
        <v>37</v>
      </c>
    </row>
    <row r="2108">
      <c r="A2108" s="1" t="s">
        <v>6680</v>
      </c>
      <c r="B2108" s="1" t="s">
        <v>784</v>
      </c>
      <c r="C2108" s="1" t="s">
        <v>6681</v>
      </c>
      <c r="D2108" s="1" t="s">
        <v>27</v>
      </c>
      <c r="E2108" s="1" t="s">
        <v>28</v>
      </c>
      <c r="F2108" s="2">
        <v>500000.0</v>
      </c>
      <c r="G2108" s="4">
        <v>44779.0</v>
      </c>
      <c r="H2108" s="4">
        <f>IFERROR(__xludf.DUMMYFUNCTION("DATE(INDEX(SPLIT(G2108,""/""),,3),INDEX(SPLIT(G2108,""/""),,2),INDEX(SPLIT(G2108,""/""),,1))"),44720.0)</f>
        <v>44720</v>
      </c>
      <c r="I2108" s="1" t="s">
        <v>414</v>
      </c>
      <c r="J2108" s="4">
        <f>IFERROR(__xludf.DUMMYFUNCTION("DATE(INDEX(SPLIT(I2108,""/""),,3),INDEX(SPLIT(I2108,""/""),,2),INDEX(SPLIT(I2108,""/""),,1))"),44772.0)</f>
        <v>44772</v>
      </c>
      <c r="L2108" s="1">
        <v>0.0</v>
      </c>
      <c r="M2108" s="1" t="s">
        <v>6682</v>
      </c>
      <c r="N2108" s="1"/>
      <c r="O2108" s="1" t="s">
        <v>30</v>
      </c>
      <c r="P2108" s="1" t="s">
        <v>31</v>
      </c>
      <c r="Q2108" s="1" t="s">
        <v>157</v>
      </c>
      <c r="R2108" s="1" t="s">
        <v>157</v>
      </c>
      <c r="S2108" s="1" t="s">
        <v>158</v>
      </c>
      <c r="T2108" s="1" t="s">
        <v>442</v>
      </c>
      <c r="U2108" s="1">
        <v>1.0049491E8</v>
      </c>
      <c r="X2108" s="1" t="s">
        <v>63</v>
      </c>
      <c r="Y2108" s="1" t="s">
        <v>6682</v>
      </c>
      <c r="Z2108" s="1" t="s">
        <v>37</v>
      </c>
    </row>
    <row r="2109" hidden="1">
      <c r="A2109" s="1" t="s">
        <v>6683</v>
      </c>
      <c r="B2109" s="1" t="s">
        <v>2462</v>
      </c>
      <c r="C2109" s="1" t="s">
        <v>6684</v>
      </c>
      <c r="D2109" s="1" t="s">
        <v>78</v>
      </c>
      <c r="E2109" s="1" t="s">
        <v>28</v>
      </c>
      <c r="F2109" s="2">
        <v>500000.0</v>
      </c>
      <c r="G2109" s="4">
        <v>44870.0</v>
      </c>
      <c r="H2109" s="4">
        <f>IFERROR(__xludf.DUMMYFUNCTION("DATE(INDEX(SPLIT(G2109,""/""),,3),INDEX(SPLIT(G2109,""/""),,2),INDEX(SPLIT(G2109,""/""),,1))"),44692.0)</f>
        <v>44692</v>
      </c>
      <c r="I2109" s="1" t="s">
        <v>130</v>
      </c>
      <c r="J2109" s="4">
        <f>IFERROR(__xludf.DUMMYFUNCTION("DATE(INDEX(SPLIT(I2109,""/""),,3),INDEX(SPLIT(I2109,""/""),,2),INDEX(SPLIT(I2109,""/""),,1))"),44804.0)</f>
        <v>44804</v>
      </c>
      <c r="L2109" s="1">
        <v>0.0</v>
      </c>
      <c r="M2109" s="1" t="s">
        <v>2464</v>
      </c>
      <c r="N2109" s="1"/>
      <c r="O2109" s="1" t="s">
        <v>30</v>
      </c>
      <c r="P2109" s="1" t="s">
        <v>31</v>
      </c>
      <c r="Q2109" s="1" t="s">
        <v>157</v>
      </c>
      <c r="R2109" s="1" t="s">
        <v>157</v>
      </c>
      <c r="S2109" s="1" t="s">
        <v>158</v>
      </c>
      <c r="U2109" s="1">
        <v>1.00589278E8</v>
      </c>
      <c r="Y2109" s="1" t="s">
        <v>6685</v>
      </c>
      <c r="Z2109" s="1" t="s">
        <v>37</v>
      </c>
    </row>
    <row r="2110" hidden="1">
      <c r="A2110" s="1" t="s">
        <v>6686</v>
      </c>
      <c r="B2110" s="1" t="s">
        <v>605</v>
      </c>
      <c r="C2110" s="1" t="s">
        <v>6687</v>
      </c>
      <c r="D2110" s="1" t="s">
        <v>27</v>
      </c>
      <c r="E2110" s="1" t="s">
        <v>28</v>
      </c>
      <c r="F2110" s="2">
        <v>500000.0</v>
      </c>
      <c r="G2110" s="4">
        <v>44779.0</v>
      </c>
      <c r="H2110" s="4">
        <f>IFERROR(__xludf.DUMMYFUNCTION("DATE(INDEX(SPLIT(G2110,""/""),,3),INDEX(SPLIT(G2110,""/""),,2),INDEX(SPLIT(G2110,""/""),,1))"),44720.0)</f>
        <v>44720</v>
      </c>
      <c r="I2110" s="1" t="s">
        <v>130</v>
      </c>
      <c r="J2110" s="4">
        <f>IFERROR(__xludf.DUMMYFUNCTION("DATE(INDEX(SPLIT(I2110,""/""),,3),INDEX(SPLIT(I2110,""/""),,2),INDEX(SPLIT(I2110,""/""),,1))"),44804.0)</f>
        <v>44804</v>
      </c>
      <c r="L2110" s="1">
        <v>0.0</v>
      </c>
      <c r="M2110" s="1" t="s">
        <v>6688</v>
      </c>
      <c r="N2110" s="1"/>
      <c r="O2110" s="1" t="s">
        <v>30</v>
      </c>
      <c r="P2110" s="1" t="s">
        <v>31</v>
      </c>
      <c r="Q2110" s="1" t="s">
        <v>53</v>
      </c>
      <c r="R2110" s="1" t="s">
        <v>53</v>
      </c>
      <c r="S2110" s="1" t="s">
        <v>54</v>
      </c>
      <c r="T2110" s="1" t="s">
        <v>442</v>
      </c>
      <c r="U2110" s="1">
        <v>1.01204051E8</v>
      </c>
      <c r="X2110" s="1" t="s">
        <v>88</v>
      </c>
      <c r="Y2110" s="1" t="s">
        <v>6682</v>
      </c>
      <c r="Z2110" s="1" t="s">
        <v>37</v>
      </c>
    </row>
    <row r="2111">
      <c r="A2111" s="1" t="s">
        <v>6689</v>
      </c>
      <c r="B2111" s="1" t="s">
        <v>516</v>
      </c>
      <c r="C2111" s="1" t="s">
        <v>6690</v>
      </c>
      <c r="D2111" s="1" t="s">
        <v>27</v>
      </c>
      <c r="E2111" s="1" t="s">
        <v>28</v>
      </c>
      <c r="F2111" s="2">
        <v>500000.0</v>
      </c>
      <c r="G2111" s="1" t="s">
        <v>1767</v>
      </c>
      <c r="H2111" s="4">
        <f>IFERROR(__xludf.DUMMYFUNCTION("DATE(INDEX(SPLIT(G2111,""/""),,3),INDEX(SPLIT(G2111,""/""),,2),INDEX(SPLIT(G2111,""/""),,1))"),44698.0)</f>
        <v>44698</v>
      </c>
      <c r="I2111" s="4">
        <v>44626.0</v>
      </c>
      <c r="J2111" s="4">
        <f>IFERROR(__xludf.DUMMYFUNCTION("DATE(INDEX(SPLIT(I2111,""/""),,3),INDEX(SPLIT(I2111,""/""),,2),INDEX(SPLIT(I2111,""/""),,1))"),44715.0)</f>
        <v>44715</v>
      </c>
      <c r="L2111" s="1">
        <v>0.0</v>
      </c>
      <c r="M2111" s="1" t="s">
        <v>6691</v>
      </c>
      <c r="N2111" s="1"/>
      <c r="O2111" s="1" t="s">
        <v>30</v>
      </c>
      <c r="P2111" s="1" t="s">
        <v>31</v>
      </c>
      <c r="Q2111" s="1" t="s">
        <v>95</v>
      </c>
      <c r="R2111" s="1" t="s">
        <v>95</v>
      </c>
      <c r="S2111" s="1" t="s">
        <v>96</v>
      </c>
      <c r="T2111" s="1" t="s">
        <v>111</v>
      </c>
      <c r="U2111" s="1">
        <v>1.00694651E8</v>
      </c>
      <c r="X2111" s="1" t="s">
        <v>254</v>
      </c>
      <c r="Y2111" s="1" t="s">
        <v>6692</v>
      </c>
      <c r="Z2111" s="1" t="s">
        <v>37</v>
      </c>
    </row>
    <row r="2112" hidden="1">
      <c r="A2112" s="1" t="s">
        <v>6693</v>
      </c>
      <c r="B2112" s="1" t="s">
        <v>4188</v>
      </c>
      <c r="C2112" s="1" t="s">
        <v>6694</v>
      </c>
      <c r="D2112" s="1" t="s">
        <v>27</v>
      </c>
      <c r="E2112" s="1" t="s">
        <v>28</v>
      </c>
      <c r="F2112" s="2">
        <v>500000.0</v>
      </c>
      <c r="G2112" s="1" t="s">
        <v>1674</v>
      </c>
      <c r="H2112" s="4">
        <f>IFERROR(__xludf.DUMMYFUNCTION("DATE(INDEX(SPLIT(G2112,""/""),,3),INDEX(SPLIT(G2112,""/""),,2),INDEX(SPLIT(G2112,""/""),,1))"),44617.0)</f>
        <v>44617</v>
      </c>
      <c r="I2112" s="1" t="s">
        <v>130</v>
      </c>
      <c r="J2112" s="4">
        <f>IFERROR(__xludf.DUMMYFUNCTION("DATE(INDEX(SPLIT(I2112,""/""),,3),INDEX(SPLIT(I2112,""/""),,2),INDEX(SPLIT(I2112,""/""),,1))"),44804.0)</f>
        <v>44804</v>
      </c>
      <c r="L2112" s="1">
        <v>0.0</v>
      </c>
      <c r="M2112" s="1" t="s">
        <v>2277</v>
      </c>
      <c r="N2112" s="1"/>
      <c r="O2112" s="1" t="s">
        <v>30</v>
      </c>
      <c r="P2112" s="1" t="s">
        <v>31</v>
      </c>
      <c r="Q2112" s="1" t="s">
        <v>71</v>
      </c>
      <c r="R2112" s="1" t="s">
        <v>71</v>
      </c>
      <c r="S2112" s="1" t="s">
        <v>72</v>
      </c>
      <c r="T2112" s="1" t="s">
        <v>136</v>
      </c>
      <c r="U2112" s="1">
        <v>1.00619607E8</v>
      </c>
      <c r="X2112" s="1" t="s">
        <v>74</v>
      </c>
      <c r="Y2112" s="1" t="s">
        <v>6695</v>
      </c>
      <c r="Z2112" s="1" t="s">
        <v>37</v>
      </c>
    </row>
    <row r="2113" hidden="1">
      <c r="A2113" s="1" t="s">
        <v>6696</v>
      </c>
      <c r="B2113" s="1" t="s">
        <v>5260</v>
      </c>
      <c r="C2113" s="1" t="s">
        <v>6697</v>
      </c>
      <c r="D2113" s="1" t="s">
        <v>27</v>
      </c>
      <c r="E2113" s="1" t="s">
        <v>28</v>
      </c>
      <c r="F2113" s="2">
        <v>500000.0</v>
      </c>
      <c r="G2113" s="1" t="s">
        <v>751</v>
      </c>
      <c r="H2113" s="4">
        <f>IFERROR(__xludf.DUMMYFUNCTION("DATE(INDEX(SPLIT(G2113,""/""),,3),INDEX(SPLIT(G2113,""/""),,2),INDEX(SPLIT(G2113,""/""),,1))"),44519.0)</f>
        <v>44519</v>
      </c>
      <c r="I2113" s="4">
        <v>45265.0</v>
      </c>
      <c r="J2113" s="4">
        <f>IFERROR(__xludf.DUMMYFUNCTION("DATE(INDEX(SPLIT(I2113,""/""),,3),INDEX(SPLIT(I2113,""/""),,2),INDEX(SPLIT(I2113,""/""),,1))"),45058.0)</f>
        <v>45058</v>
      </c>
      <c r="L2113" s="1">
        <v>0.0</v>
      </c>
      <c r="M2113" s="1" t="s">
        <v>180</v>
      </c>
      <c r="N2113" s="1"/>
      <c r="O2113" s="1" t="s">
        <v>30</v>
      </c>
      <c r="P2113" s="1" t="s">
        <v>31</v>
      </c>
      <c r="Q2113" s="1" t="s">
        <v>53</v>
      </c>
      <c r="R2113" s="1" t="s">
        <v>53</v>
      </c>
      <c r="S2113" s="1" t="s">
        <v>54</v>
      </c>
      <c r="U2113" s="1">
        <v>1.00650619E8</v>
      </c>
      <c r="X2113" s="1" t="s">
        <v>74</v>
      </c>
      <c r="Y2113" s="1" t="s">
        <v>180</v>
      </c>
      <c r="Z2113" s="1" t="s">
        <v>37</v>
      </c>
    </row>
    <row r="2114" hidden="1">
      <c r="A2114" s="1" t="s">
        <v>6698</v>
      </c>
      <c r="B2114" s="1" t="s">
        <v>6699</v>
      </c>
      <c r="C2114" s="1" t="s">
        <v>6700</v>
      </c>
      <c r="D2114" s="1" t="s">
        <v>27</v>
      </c>
      <c r="E2114" s="1" t="s">
        <v>28</v>
      </c>
      <c r="F2114" s="2">
        <v>500000.0</v>
      </c>
      <c r="G2114" s="4">
        <v>44326.0</v>
      </c>
      <c r="H2114" s="4">
        <f>IFERROR(__xludf.DUMMYFUNCTION("DATE(INDEX(SPLIT(G2114,""/""),,3),INDEX(SPLIT(G2114,""/""),,2),INDEX(SPLIT(G2114,""/""),,1))"),44474.0)</f>
        <v>44474</v>
      </c>
      <c r="I2114" s="1" t="s">
        <v>165</v>
      </c>
      <c r="J2114" s="4">
        <f>IFERROR(__xludf.DUMMYFUNCTION("DATE(INDEX(SPLIT(I2114,""/""),,3),INDEX(SPLIT(I2114,""/""),,2),INDEX(SPLIT(I2114,""/""),,1))"),44803.0)</f>
        <v>44803</v>
      </c>
      <c r="L2114" s="1">
        <v>0.0</v>
      </c>
      <c r="M2114" s="1" t="s">
        <v>941</v>
      </c>
      <c r="N2114" s="1"/>
      <c r="O2114" s="1" t="s">
        <v>30</v>
      </c>
      <c r="P2114" s="1" t="s">
        <v>31</v>
      </c>
      <c r="Q2114" s="1" t="s">
        <v>235</v>
      </c>
      <c r="R2114" s="1" t="s">
        <v>235</v>
      </c>
      <c r="S2114" s="1" t="s">
        <v>236</v>
      </c>
      <c r="T2114" s="1" t="s">
        <v>438</v>
      </c>
      <c r="U2114" s="1">
        <v>1.00652846E8</v>
      </c>
      <c r="X2114" s="1" t="s">
        <v>88</v>
      </c>
      <c r="Y2114" s="1" t="s">
        <v>942</v>
      </c>
      <c r="Z2114" s="1" t="s">
        <v>37</v>
      </c>
    </row>
    <row r="2115">
      <c r="A2115" s="1" t="s">
        <v>6701</v>
      </c>
      <c r="B2115" s="1" t="s">
        <v>1030</v>
      </c>
      <c r="C2115" s="1" t="s">
        <v>6702</v>
      </c>
      <c r="D2115" s="1" t="s">
        <v>27</v>
      </c>
      <c r="E2115" s="1" t="s">
        <v>28</v>
      </c>
      <c r="F2115" s="2">
        <v>500000.0</v>
      </c>
      <c r="G2115" s="1" t="s">
        <v>1004</v>
      </c>
      <c r="H2115" s="4">
        <f>IFERROR(__xludf.DUMMYFUNCTION("DATE(INDEX(SPLIT(G2115,""/""),,3),INDEX(SPLIT(G2115,""/""),,2),INDEX(SPLIT(G2115,""/""),,1))"),44582.0)</f>
        <v>44582</v>
      </c>
      <c r="I2115" s="1" t="s">
        <v>1501</v>
      </c>
      <c r="J2115" s="4">
        <f>IFERROR(__xludf.DUMMYFUNCTION("DATE(INDEX(SPLIT(I2115,""/""),,3),INDEX(SPLIT(I2115,""/""),,2),INDEX(SPLIT(I2115,""/""),,1))"),44711.0)</f>
        <v>44711</v>
      </c>
      <c r="L2115" s="1">
        <v>0.0</v>
      </c>
      <c r="M2115" s="1" t="s">
        <v>6703</v>
      </c>
      <c r="N2115" s="1"/>
      <c r="O2115" s="1" t="s">
        <v>30</v>
      </c>
      <c r="P2115" s="1" t="s">
        <v>31</v>
      </c>
      <c r="Q2115" s="1" t="s">
        <v>157</v>
      </c>
      <c r="R2115" s="1" t="s">
        <v>157</v>
      </c>
      <c r="S2115" s="1" t="s">
        <v>158</v>
      </c>
      <c r="U2115" s="1">
        <v>1.00650254E8</v>
      </c>
      <c r="X2115" s="1" t="s">
        <v>63</v>
      </c>
      <c r="Y2115" s="1" t="s">
        <v>5020</v>
      </c>
      <c r="Z2115" s="1" t="s">
        <v>527</v>
      </c>
    </row>
    <row r="2116" hidden="1">
      <c r="A2116" s="1" t="s">
        <v>6704</v>
      </c>
      <c r="B2116" s="1" t="s">
        <v>3591</v>
      </c>
      <c r="C2116" s="1" t="s">
        <v>6705</v>
      </c>
      <c r="D2116" s="1" t="s">
        <v>78</v>
      </c>
      <c r="E2116" s="1" t="s">
        <v>28</v>
      </c>
      <c r="F2116" s="2">
        <v>500000.0</v>
      </c>
      <c r="G2116" s="4">
        <v>44083.0</v>
      </c>
      <c r="H2116" s="4">
        <f>IFERROR(__xludf.DUMMYFUNCTION("DATE(INDEX(SPLIT(G2116,""/""),,3),INDEX(SPLIT(G2116,""/""),,2),INDEX(SPLIT(G2116,""/""),,1))"),44083.0)</f>
        <v>44083</v>
      </c>
      <c r="I2116" s="1" t="s">
        <v>109</v>
      </c>
      <c r="J2116" s="4">
        <f>IFERROR(__xludf.DUMMYFUNCTION("DATE(INDEX(SPLIT(I2116,""/""),,3),INDEX(SPLIT(I2116,""/""),,2),INDEX(SPLIT(I2116,""/""),,1))"),44834.0)</f>
        <v>44834</v>
      </c>
      <c r="L2116" s="1">
        <v>0.0</v>
      </c>
      <c r="M2116" s="1" t="s">
        <v>1027</v>
      </c>
      <c r="N2116" s="1"/>
      <c r="O2116" s="1" t="s">
        <v>30</v>
      </c>
      <c r="P2116" s="1" t="s">
        <v>31</v>
      </c>
      <c r="Q2116" s="1" t="s">
        <v>53</v>
      </c>
      <c r="R2116" s="1" t="s">
        <v>53</v>
      </c>
      <c r="S2116" s="1" t="s">
        <v>54</v>
      </c>
      <c r="T2116" s="1" t="s">
        <v>181</v>
      </c>
      <c r="U2116" s="1">
        <v>1.00879751E8</v>
      </c>
      <c r="X2116" s="1" t="s">
        <v>74</v>
      </c>
      <c r="Y2116" s="1" t="s">
        <v>4745</v>
      </c>
      <c r="Z2116" s="1" t="s">
        <v>37</v>
      </c>
    </row>
    <row r="2117" hidden="1">
      <c r="A2117" s="1" t="s">
        <v>6706</v>
      </c>
      <c r="B2117" s="1" t="s">
        <v>76</v>
      </c>
      <c r="C2117" s="1" t="s">
        <v>6707</v>
      </c>
      <c r="D2117" s="1" t="s">
        <v>122</v>
      </c>
      <c r="E2117" s="1" t="s">
        <v>28</v>
      </c>
      <c r="F2117" s="2">
        <v>500000.0</v>
      </c>
      <c r="G2117" s="4">
        <v>44654.0</v>
      </c>
      <c r="H2117" s="4">
        <f>IFERROR(__xludf.DUMMYFUNCTION("DATE(INDEX(SPLIT(G2117,""/""),,3),INDEX(SPLIT(G2117,""/""),,2),INDEX(SPLIT(G2117,""/""),,1))"),44624.0)</f>
        <v>44624</v>
      </c>
      <c r="I2117" s="4">
        <v>44569.0</v>
      </c>
      <c r="J2117" s="4">
        <f>IFERROR(__xludf.DUMMYFUNCTION("DATE(INDEX(SPLIT(I2117,""/""),,3),INDEX(SPLIT(I2117,""/""),,2),INDEX(SPLIT(I2117,""/""),,1))"),44774.0)</f>
        <v>44774</v>
      </c>
      <c r="K2117" s="9">
        <v>44656.97638888889</v>
      </c>
      <c r="L2117" s="1">
        <v>0.0</v>
      </c>
      <c r="M2117" s="1" t="s">
        <v>1422</v>
      </c>
      <c r="N2117" s="1"/>
      <c r="O2117" s="1" t="s">
        <v>30</v>
      </c>
      <c r="P2117" s="1" t="s">
        <v>31</v>
      </c>
      <c r="Q2117" s="1" t="s">
        <v>157</v>
      </c>
      <c r="R2117" s="1" t="s">
        <v>157</v>
      </c>
      <c r="S2117" s="1" t="s">
        <v>158</v>
      </c>
      <c r="U2117" s="1">
        <v>1.00869794E8</v>
      </c>
      <c r="X2117" s="1" t="s">
        <v>81</v>
      </c>
      <c r="Y2117" s="1" t="s">
        <v>1423</v>
      </c>
      <c r="Z2117" s="1" t="s">
        <v>37</v>
      </c>
    </row>
    <row r="2118">
      <c r="A2118" s="1" t="s">
        <v>6708</v>
      </c>
      <c r="B2118" s="1" t="s">
        <v>889</v>
      </c>
      <c r="C2118" s="1" t="s">
        <v>6709</v>
      </c>
      <c r="D2118" s="1" t="s">
        <v>27</v>
      </c>
      <c r="E2118" s="1" t="s">
        <v>28</v>
      </c>
      <c r="F2118" s="2">
        <v>500000.0</v>
      </c>
      <c r="G2118" s="1" t="s">
        <v>3003</v>
      </c>
      <c r="H2118" s="4">
        <f>IFERROR(__xludf.DUMMYFUNCTION("DATE(INDEX(SPLIT(G2118,""/""),,3),INDEX(SPLIT(G2118,""/""),,2),INDEX(SPLIT(G2118,""/""),,1))"),44216.0)</f>
        <v>44216</v>
      </c>
      <c r="I2118" s="1" t="s">
        <v>226</v>
      </c>
      <c r="J2118" s="4">
        <f>IFERROR(__xludf.DUMMYFUNCTION("DATE(INDEX(SPLIT(I2118,""/""),,3),INDEX(SPLIT(I2118,""/""),,2),INDEX(SPLIT(I2118,""/""),,1))"),44771.0)</f>
        <v>44771</v>
      </c>
      <c r="L2118" s="1">
        <v>0.0</v>
      </c>
      <c r="M2118" s="1" t="s">
        <v>2510</v>
      </c>
      <c r="N2118" s="1"/>
      <c r="O2118" s="1" t="s">
        <v>30</v>
      </c>
      <c r="P2118" s="1" t="s">
        <v>31</v>
      </c>
      <c r="Q2118" s="1" t="s">
        <v>157</v>
      </c>
      <c r="R2118" s="1" t="s">
        <v>157</v>
      </c>
      <c r="S2118" s="1" t="s">
        <v>158</v>
      </c>
      <c r="T2118" s="1" t="s">
        <v>442</v>
      </c>
      <c r="U2118" s="1">
        <v>1.00634919E8</v>
      </c>
      <c r="X2118" s="1" t="s">
        <v>125</v>
      </c>
      <c r="Y2118" s="1" t="s">
        <v>2510</v>
      </c>
      <c r="Z2118" s="1" t="s">
        <v>37</v>
      </c>
    </row>
    <row r="2119" hidden="1">
      <c r="A2119" s="1" t="s">
        <v>6710</v>
      </c>
      <c r="B2119" s="1" t="s">
        <v>6711</v>
      </c>
      <c r="C2119" s="1" t="s">
        <v>6712</v>
      </c>
      <c r="D2119" s="1" t="s">
        <v>27</v>
      </c>
      <c r="E2119" s="1" t="s">
        <v>28</v>
      </c>
      <c r="F2119" s="2">
        <v>500000.0</v>
      </c>
      <c r="G2119" s="1" t="s">
        <v>3037</v>
      </c>
      <c r="H2119" s="4">
        <f>IFERROR(__xludf.DUMMYFUNCTION("DATE(INDEX(SPLIT(G2119,""/""),,3),INDEX(SPLIT(G2119,""/""),,2),INDEX(SPLIT(G2119,""/""),,1))"),44487.0)</f>
        <v>44487</v>
      </c>
      <c r="I2119" s="1" t="s">
        <v>130</v>
      </c>
      <c r="J2119" s="4">
        <f>IFERROR(__xludf.DUMMYFUNCTION("DATE(INDEX(SPLIT(I2119,""/""),,3),INDEX(SPLIT(I2119,""/""),,2),INDEX(SPLIT(I2119,""/""),,1))"),44804.0)</f>
        <v>44804</v>
      </c>
      <c r="L2119" s="1">
        <v>0.0</v>
      </c>
      <c r="M2119" s="1" t="s">
        <v>3187</v>
      </c>
      <c r="N2119" s="1"/>
      <c r="O2119" s="1" t="s">
        <v>30</v>
      </c>
      <c r="P2119" s="1" t="s">
        <v>31</v>
      </c>
      <c r="Q2119" s="1" t="s">
        <v>228</v>
      </c>
      <c r="R2119" s="1" t="s">
        <v>228</v>
      </c>
      <c r="S2119" s="1" t="s">
        <v>229</v>
      </c>
      <c r="T2119" s="1" t="s">
        <v>80</v>
      </c>
      <c r="U2119" s="1">
        <v>1.00638978E8</v>
      </c>
      <c r="X2119" s="1" t="s">
        <v>781</v>
      </c>
      <c r="Y2119" s="1" t="s">
        <v>173</v>
      </c>
      <c r="Z2119" s="1" t="s">
        <v>37</v>
      </c>
    </row>
    <row r="2120">
      <c r="A2120" s="1" t="s">
        <v>6713</v>
      </c>
      <c r="B2120" s="1" t="s">
        <v>1511</v>
      </c>
      <c r="C2120" s="1" t="s">
        <v>6714</v>
      </c>
      <c r="D2120" s="1" t="s">
        <v>27</v>
      </c>
      <c r="E2120" s="1" t="s">
        <v>28</v>
      </c>
      <c r="F2120" s="2">
        <v>500000.0</v>
      </c>
      <c r="G2120" s="1" t="s">
        <v>1058</v>
      </c>
      <c r="H2120" s="4">
        <f>IFERROR(__xludf.DUMMYFUNCTION("DATE(INDEX(SPLIT(G2120,""/""),,3),INDEX(SPLIT(G2120,""/""),,2),INDEX(SPLIT(G2120,""/""),,1))"),44733.0)</f>
        <v>44733</v>
      </c>
      <c r="I2120" s="4">
        <v>44568.0</v>
      </c>
      <c r="J2120" s="4">
        <f>IFERROR(__xludf.DUMMYFUNCTION("DATE(INDEX(SPLIT(I2120,""/""),,3),INDEX(SPLIT(I2120,""/""),,2),INDEX(SPLIT(I2120,""/""),,1))"),44743.0)</f>
        <v>44743</v>
      </c>
      <c r="L2120" s="1">
        <v>0.0</v>
      </c>
      <c r="M2120" s="1" t="s">
        <v>2596</v>
      </c>
      <c r="N2120" s="1"/>
      <c r="O2120" s="1" t="s">
        <v>30</v>
      </c>
      <c r="P2120" s="1" t="s">
        <v>31</v>
      </c>
      <c r="Q2120" s="1" t="s">
        <v>157</v>
      </c>
      <c r="R2120" s="1" t="s">
        <v>157</v>
      </c>
      <c r="S2120" s="1" t="s">
        <v>158</v>
      </c>
      <c r="U2120" s="1">
        <v>1.00653074E8</v>
      </c>
      <c r="X2120" s="1" t="s">
        <v>490</v>
      </c>
      <c r="Y2120" s="1" t="s">
        <v>6715</v>
      </c>
      <c r="Z2120" s="1" t="s">
        <v>37</v>
      </c>
    </row>
    <row r="2121" hidden="1">
      <c r="A2121" s="1" t="s">
        <v>6716</v>
      </c>
      <c r="B2121" s="1" t="s">
        <v>392</v>
      </c>
      <c r="C2121" s="1" t="s">
        <v>6717</v>
      </c>
      <c r="D2121" s="1" t="s">
        <v>68</v>
      </c>
      <c r="E2121" s="1" t="s">
        <v>28</v>
      </c>
      <c r="F2121" s="2">
        <v>500000.0</v>
      </c>
      <c r="G2121" s="4">
        <v>44594.0</v>
      </c>
      <c r="H2121" s="4">
        <f>IFERROR(__xludf.DUMMYFUNCTION("DATE(INDEX(SPLIT(G2121,""/""),,3),INDEX(SPLIT(G2121,""/""),,2),INDEX(SPLIT(G2121,""/""),,1))"),44594.0)</f>
        <v>44594</v>
      </c>
      <c r="I2121" s="1" t="s">
        <v>130</v>
      </c>
      <c r="J2121" s="4">
        <f>IFERROR(__xludf.DUMMYFUNCTION("DATE(INDEX(SPLIT(I2121,""/""),,3),INDEX(SPLIT(I2121,""/""),,2),INDEX(SPLIT(I2121,""/""),,1))"),44804.0)</f>
        <v>44804</v>
      </c>
      <c r="L2121" s="1">
        <v>0.0</v>
      </c>
      <c r="M2121" s="1" t="s">
        <v>2086</v>
      </c>
      <c r="N2121" s="1"/>
      <c r="O2121" s="1" t="s">
        <v>30</v>
      </c>
      <c r="P2121" s="1" t="s">
        <v>31</v>
      </c>
      <c r="Q2121" s="1" t="s">
        <v>235</v>
      </c>
      <c r="R2121" s="1" t="s">
        <v>235</v>
      </c>
      <c r="S2121" s="1" t="s">
        <v>236</v>
      </c>
      <c r="T2121" s="1" t="s">
        <v>237</v>
      </c>
      <c r="U2121" s="1">
        <v>1.00647488E8</v>
      </c>
      <c r="X2121" s="1" t="s">
        <v>239</v>
      </c>
      <c r="Y2121" s="1" t="s">
        <v>234</v>
      </c>
      <c r="Z2121" s="1" t="s">
        <v>37</v>
      </c>
    </row>
    <row r="2122" hidden="1">
      <c r="A2122" s="1" t="s">
        <v>6718</v>
      </c>
      <c r="B2122" s="1" t="s">
        <v>6719</v>
      </c>
      <c r="C2122" s="1" t="s">
        <v>6720</v>
      </c>
      <c r="D2122" s="1" t="s">
        <v>27</v>
      </c>
      <c r="E2122" s="1" t="s">
        <v>28</v>
      </c>
      <c r="F2122" s="2">
        <v>500000.0</v>
      </c>
      <c r="G2122" s="1" t="s">
        <v>1958</v>
      </c>
      <c r="H2122" s="4">
        <f>IFERROR(__xludf.DUMMYFUNCTION("DATE(INDEX(SPLIT(G2122,""/""),,3),INDEX(SPLIT(G2122,""/""),,2),INDEX(SPLIT(G2122,""/""),,1))"),44583.0)</f>
        <v>44583</v>
      </c>
      <c r="I2122" s="4">
        <v>44569.0</v>
      </c>
      <c r="J2122" s="4">
        <f>IFERROR(__xludf.DUMMYFUNCTION("DATE(INDEX(SPLIT(I2122,""/""),,3),INDEX(SPLIT(I2122,""/""),,2),INDEX(SPLIT(I2122,""/""),,1))"),44774.0)</f>
        <v>44774</v>
      </c>
      <c r="L2122" s="1">
        <v>0.0</v>
      </c>
      <c r="M2122" s="1" t="s">
        <v>601</v>
      </c>
      <c r="N2122" s="1"/>
      <c r="O2122" s="1" t="s">
        <v>30</v>
      </c>
      <c r="P2122" s="1" t="s">
        <v>31</v>
      </c>
      <c r="Q2122" s="1" t="s">
        <v>95</v>
      </c>
      <c r="R2122" s="1" t="s">
        <v>95</v>
      </c>
      <c r="S2122" s="1" t="s">
        <v>96</v>
      </c>
      <c r="T2122" s="1" t="s">
        <v>602</v>
      </c>
      <c r="U2122" s="1">
        <v>1.00625415E8</v>
      </c>
      <c r="X2122" s="1" t="s">
        <v>88</v>
      </c>
      <c r="Y2122" s="1" t="s">
        <v>6721</v>
      </c>
      <c r="Z2122" s="1" t="s">
        <v>37</v>
      </c>
    </row>
    <row r="2123" hidden="1">
      <c r="A2123" s="1" t="s">
        <v>6722</v>
      </c>
      <c r="B2123" s="1" t="s">
        <v>2501</v>
      </c>
      <c r="C2123" s="1" t="s">
        <v>6723</v>
      </c>
      <c r="D2123" s="1" t="s">
        <v>27</v>
      </c>
      <c r="E2123" s="1" t="s">
        <v>28</v>
      </c>
      <c r="F2123" s="2">
        <v>500000.0</v>
      </c>
      <c r="G2123" s="1" t="s">
        <v>586</v>
      </c>
      <c r="H2123" s="4">
        <f>IFERROR(__xludf.DUMMYFUNCTION("DATE(INDEX(SPLIT(G2123,""/""),,3),INDEX(SPLIT(G2123,""/""),,2),INDEX(SPLIT(G2123,""/""),,1))"),44726.0)</f>
        <v>44726</v>
      </c>
      <c r="I2123" s="1" t="s">
        <v>281</v>
      </c>
      <c r="J2123" s="4">
        <f>IFERROR(__xludf.DUMMYFUNCTION("DATE(INDEX(SPLIT(I2123,""/""),,3),INDEX(SPLIT(I2123,""/""),,2),INDEX(SPLIT(I2123,""/""),,1))"),44865.0)</f>
        <v>44865</v>
      </c>
      <c r="L2123" s="1">
        <v>0.0</v>
      </c>
      <c r="M2123" s="1" t="s">
        <v>2945</v>
      </c>
      <c r="N2123" s="1"/>
      <c r="O2123" s="1" t="s">
        <v>30</v>
      </c>
      <c r="P2123" s="1" t="s">
        <v>31</v>
      </c>
      <c r="Q2123" s="1" t="s">
        <v>157</v>
      </c>
      <c r="R2123" s="1" t="s">
        <v>157</v>
      </c>
      <c r="S2123" s="1" t="s">
        <v>158</v>
      </c>
      <c r="U2123" s="1">
        <v>1.01138319E8</v>
      </c>
      <c r="X2123" s="1" t="s">
        <v>490</v>
      </c>
      <c r="Y2123" s="1" t="s">
        <v>2945</v>
      </c>
      <c r="Z2123" s="1" t="s">
        <v>206</v>
      </c>
    </row>
    <row r="2124" hidden="1">
      <c r="A2124" s="1" t="s">
        <v>6724</v>
      </c>
      <c r="B2124" s="1" t="s">
        <v>6121</v>
      </c>
      <c r="C2124" s="1" t="s">
        <v>6725</v>
      </c>
      <c r="D2124" s="1" t="s">
        <v>27</v>
      </c>
      <c r="E2124" s="1" t="s">
        <v>28</v>
      </c>
      <c r="F2124" s="2">
        <v>500000.0</v>
      </c>
      <c r="G2124" s="1" t="s">
        <v>286</v>
      </c>
      <c r="H2124" s="4">
        <f>IFERROR(__xludf.DUMMYFUNCTION("DATE(INDEX(SPLIT(G2124,""/""),,3),INDEX(SPLIT(G2124,""/""),,2),INDEX(SPLIT(G2124,""/""),,1))"),44609.0)</f>
        <v>44609</v>
      </c>
      <c r="I2124" s="1" t="s">
        <v>569</v>
      </c>
      <c r="J2124" s="4">
        <f>IFERROR(__xludf.DUMMYFUNCTION("DATE(INDEX(SPLIT(I2124,""/""),,3),INDEX(SPLIT(I2124,""/""),,2),INDEX(SPLIT(I2124,""/""),,1))"),45016.0)</f>
        <v>45016</v>
      </c>
      <c r="L2124" s="1">
        <v>0.0</v>
      </c>
      <c r="M2124" s="1" t="s">
        <v>913</v>
      </c>
      <c r="N2124" s="1"/>
      <c r="O2124" s="1" t="s">
        <v>30</v>
      </c>
      <c r="P2124" s="1" t="s">
        <v>31</v>
      </c>
      <c r="Q2124" s="1" t="s">
        <v>71</v>
      </c>
      <c r="R2124" s="1" t="s">
        <v>71</v>
      </c>
      <c r="S2124" s="1" t="s">
        <v>72</v>
      </c>
      <c r="U2124" s="1">
        <v>1.0112897E8</v>
      </c>
      <c r="X2124" s="1" t="s">
        <v>74</v>
      </c>
      <c r="Y2124" s="1" t="s">
        <v>914</v>
      </c>
      <c r="Z2124" s="1" t="s">
        <v>37</v>
      </c>
    </row>
    <row r="2125">
      <c r="A2125" s="1" t="s">
        <v>6726</v>
      </c>
      <c r="B2125" s="1" t="s">
        <v>6727</v>
      </c>
      <c r="C2125" s="1" t="s">
        <v>6728</v>
      </c>
      <c r="D2125" s="1" t="s">
        <v>122</v>
      </c>
      <c r="E2125" s="1" t="s">
        <v>28</v>
      </c>
      <c r="F2125" s="2">
        <v>500000.0</v>
      </c>
      <c r="G2125" s="1" t="s">
        <v>6301</v>
      </c>
      <c r="H2125" s="4">
        <f>IFERROR(__xludf.DUMMYFUNCTION("DATE(INDEX(SPLIT(G2125,""/""),,3),INDEX(SPLIT(G2125,""/""),,2),INDEX(SPLIT(G2125,""/""),,1))"),44635.0)</f>
        <v>44635</v>
      </c>
      <c r="I2125" s="4">
        <v>44626.0</v>
      </c>
      <c r="J2125" s="4">
        <f>IFERROR(__xludf.DUMMYFUNCTION("DATE(INDEX(SPLIT(I2125,""/""),,3),INDEX(SPLIT(I2125,""/""),,2),INDEX(SPLIT(I2125,""/""),,1))"),44715.0)</f>
        <v>44715</v>
      </c>
      <c r="L2125" s="1">
        <v>0.0</v>
      </c>
      <c r="M2125" s="1" t="s">
        <v>6729</v>
      </c>
      <c r="N2125" s="1"/>
      <c r="O2125" s="1" t="s">
        <v>30</v>
      </c>
      <c r="P2125" s="1" t="s">
        <v>31</v>
      </c>
      <c r="Q2125" s="1" t="s">
        <v>228</v>
      </c>
      <c r="R2125" s="1" t="s">
        <v>228</v>
      </c>
      <c r="S2125" s="1" t="s">
        <v>229</v>
      </c>
      <c r="T2125" s="1" t="s">
        <v>513</v>
      </c>
      <c r="U2125" s="1">
        <v>1.00923205E8</v>
      </c>
      <c r="X2125" s="1" t="s">
        <v>46</v>
      </c>
      <c r="Y2125" s="1" t="s">
        <v>6729</v>
      </c>
      <c r="Z2125" s="1" t="s">
        <v>37</v>
      </c>
    </row>
    <row r="2126" hidden="1">
      <c r="A2126" s="1" t="s">
        <v>6730</v>
      </c>
      <c r="B2126" s="1" t="s">
        <v>1748</v>
      </c>
      <c r="C2126" s="1" t="s">
        <v>6731</v>
      </c>
      <c r="D2126" s="1" t="s">
        <v>78</v>
      </c>
      <c r="E2126" s="1" t="s">
        <v>28</v>
      </c>
      <c r="F2126" s="2">
        <v>500000.0</v>
      </c>
      <c r="G2126" s="1" t="s">
        <v>1058</v>
      </c>
      <c r="H2126" s="4">
        <f>IFERROR(__xludf.DUMMYFUNCTION("DATE(INDEX(SPLIT(G2126,""/""),,3),INDEX(SPLIT(G2126,""/""),,2),INDEX(SPLIT(G2126,""/""),,1))"),44733.0)</f>
        <v>44733</v>
      </c>
      <c r="I2126" s="1" t="s">
        <v>1750</v>
      </c>
      <c r="J2126" s="4">
        <f>IFERROR(__xludf.DUMMYFUNCTION("DATE(INDEX(SPLIT(I2126,""/""),,3),INDEX(SPLIT(I2126,""/""),,2),INDEX(SPLIT(I2126,""/""),,1))"),44802.0)</f>
        <v>44802</v>
      </c>
      <c r="L2126" s="1">
        <v>0.0</v>
      </c>
      <c r="M2126" s="1" t="s">
        <v>6195</v>
      </c>
      <c r="N2126" s="1"/>
      <c r="O2126" s="1" t="s">
        <v>30</v>
      </c>
      <c r="P2126" s="1" t="s">
        <v>31</v>
      </c>
      <c r="Q2126" s="1" t="s">
        <v>228</v>
      </c>
      <c r="R2126" s="1" t="s">
        <v>228</v>
      </c>
      <c r="S2126" s="1" t="s">
        <v>229</v>
      </c>
      <c r="T2126" s="1" t="s">
        <v>505</v>
      </c>
      <c r="U2126" s="1">
        <v>1.01051394E8</v>
      </c>
      <c r="X2126" s="1" t="s">
        <v>88</v>
      </c>
      <c r="Y2126" s="1" t="s">
        <v>4920</v>
      </c>
      <c r="Z2126" s="1" t="s">
        <v>37</v>
      </c>
    </row>
    <row r="2127" hidden="1">
      <c r="A2127" s="1" t="s">
        <v>6732</v>
      </c>
      <c r="B2127" s="1" t="s">
        <v>6733</v>
      </c>
      <c r="C2127" s="1" t="s">
        <v>6734</v>
      </c>
      <c r="D2127" s="1" t="s">
        <v>27</v>
      </c>
      <c r="E2127" s="1" t="s">
        <v>28</v>
      </c>
      <c r="F2127" s="2">
        <v>500000.0</v>
      </c>
      <c r="G2127" s="4">
        <v>43902.0</v>
      </c>
      <c r="H2127" s="4">
        <f>IFERROR(__xludf.DUMMYFUNCTION("DATE(INDEX(SPLIT(G2127,""/""),,3),INDEX(SPLIT(G2127,""/""),,2),INDEX(SPLIT(G2127,""/""),,1))"),44168.0)</f>
        <v>44168</v>
      </c>
      <c r="I2127" s="1" t="s">
        <v>569</v>
      </c>
      <c r="J2127" s="4">
        <f>IFERROR(__xludf.DUMMYFUNCTION("DATE(INDEX(SPLIT(I2127,""/""),,3),INDEX(SPLIT(I2127,""/""),,2),INDEX(SPLIT(I2127,""/""),,1))"),45016.0)</f>
        <v>45016</v>
      </c>
      <c r="L2127" s="1">
        <v>0.0</v>
      </c>
      <c r="M2127" s="1" t="s">
        <v>6735</v>
      </c>
      <c r="N2127" s="1"/>
      <c r="O2127" s="1" t="s">
        <v>30</v>
      </c>
      <c r="P2127" s="1" t="s">
        <v>31</v>
      </c>
      <c r="Q2127" s="1" t="s">
        <v>235</v>
      </c>
      <c r="R2127" s="1" t="s">
        <v>235</v>
      </c>
      <c r="S2127" s="1" t="s">
        <v>236</v>
      </c>
      <c r="T2127" s="1" t="s">
        <v>438</v>
      </c>
      <c r="U2127" s="1">
        <v>1.00911004E8</v>
      </c>
      <c r="X2127" s="1" t="s">
        <v>88</v>
      </c>
      <c r="Y2127" s="1" t="s">
        <v>6736</v>
      </c>
      <c r="Z2127" s="1" t="s">
        <v>37</v>
      </c>
    </row>
    <row r="2128">
      <c r="A2128" s="1" t="s">
        <v>6737</v>
      </c>
      <c r="B2128" s="1" t="s">
        <v>177</v>
      </c>
      <c r="C2128" s="1" t="s">
        <v>6738</v>
      </c>
      <c r="D2128" s="1" t="s">
        <v>78</v>
      </c>
      <c r="E2128" s="1" t="s">
        <v>28</v>
      </c>
      <c r="F2128" s="2">
        <v>500000.0</v>
      </c>
      <c r="G2128" s="4">
        <v>44207.0</v>
      </c>
      <c r="H2128" s="4">
        <f>IFERROR(__xludf.DUMMYFUNCTION("DATE(INDEX(SPLIT(G2128,""/""),,3),INDEX(SPLIT(G2128,""/""),,2),INDEX(SPLIT(G2128,""/""),,1))"),44501.0)</f>
        <v>44501</v>
      </c>
      <c r="I2128" s="1" t="s">
        <v>226</v>
      </c>
      <c r="J2128" s="4">
        <f>IFERROR(__xludf.DUMMYFUNCTION("DATE(INDEX(SPLIT(I2128,""/""),,3),INDEX(SPLIT(I2128,""/""),,2),INDEX(SPLIT(I2128,""/""),,1))"),44771.0)</f>
        <v>44771</v>
      </c>
      <c r="L2128" s="1">
        <v>0.0</v>
      </c>
      <c r="M2128" s="1" t="s">
        <v>1941</v>
      </c>
      <c r="N2128" s="1"/>
      <c r="O2128" s="1" t="s">
        <v>30</v>
      </c>
      <c r="P2128" s="1" t="s">
        <v>31</v>
      </c>
      <c r="Q2128" s="1" t="s">
        <v>71</v>
      </c>
      <c r="R2128" s="1" t="s">
        <v>71</v>
      </c>
      <c r="S2128" s="1" t="s">
        <v>72</v>
      </c>
      <c r="T2128" s="1" t="s">
        <v>442</v>
      </c>
      <c r="U2128" s="1">
        <v>1.00649673E8</v>
      </c>
      <c r="X2128" s="1" t="s">
        <v>74</v>
      </c>
      <c r="Y2128" s="1" t="s">
        <v>1208</v>
      </c>
      <c r="Z2128" s="1" t="s">
        <v>37</v>
      </c>
    </row>
    <row r="2129" hidden="1">
      <c r="A2129" s="1" t="s">
        <v>6739</v>
      </c>
      <c r="B2129" s="1" t="s">
        <v>392</v>
      </c>
      <c r="C2129" s="1" t="s">
        <v>6740</v>
      </c>
      <c r="D2129" s="1" t="s">
        <v>78</v>
      </c>
      <c r="E2129" s="1" t="s">
        <v>28</v>
      </c>
      <c r="F2129" s="2">
        <v>500000.0</v>
      </c>
      <c r="G2129" s="4">
        <v>44359.0</v>
      </c>
      <c r="H2129" s="4">
        <f>IFERROR(__xludf.DUMMYFUNCTION("DATE(INDEX(SPLIT(G2129,""/""),,3),INDEX(SPLIT(G2129,""/""),,2),INDEX(SPLIT(G2129,""/""),,1))"),44536.0)</f>
        <v>44536</v>
      </c>
      <c r="I2129" s="1" t="s">
        <v>109</v>
      </c>
      <c r="J2129" s="4">
        <f>IFERROR(__xludf.DUMMYFUNCTION("DATE(INDEX(SPLIT(I2129,""/""),,3),INDEX(SPLIT(I2129,""/""),,2),INDEX(SPLIT(I2129,""/""),,1))"),44834.0)</f>
        <v>44834</v>
      </c>
      <c r="L2129" s="1">
        <v>0.0</v>
      </c>
      <c r="M2129" s="1" t="s">
        <v>234</v>
      </c>
      <c r="N2129" s="1"/>
      <c r="O2129" s="1" t="s">
        <v>30</v>
      </c>
      <c r="P2129" s="1" t="s">
        <v>31</v>
      </c>
      <c r="Q2129" s="1" t="s">
        <v>235</v>
      </c>
      <c r="R2129" s="1" t="s">
        <v>235</v>
      </c>
      <c r="S2129" s="1" t="s">
        <v>236</v>
      </c>
      <c r="T2129" s="1" t="s">
        <v>237</v>
      </c>
      <c r="U2129" s="1">
        <v>1.00658132E8</v>
      </c>
      <c r="X2129" s="1" t="s">
        <v>239</v>
      </c>
      <c r="Y2129" s="1" t="s">
        <v>234</v>
      </c>
      <c r="Z2129" s="1" t="s">
        <v>37</v>
      </c>
    </row>
    <row r="2130" hidden="1">
      <c r="A2130" s="1" t="s">
        <v>6741</v>
      </c>
      <c r="B2130" s="1" t="s">
        <v>3429</v>
      </c>
      <c r="C2130" s="1" t="s">
        <v>6742</v>
      </c>
      <c r="D2130" s="1" t="s">
        <v>27</v>
      </c>
      <c r="E2130" s="1" t="s">
        <v>28</v>
      </c>
      <c r="F2130" s="2">
        <v>500000.0</v>
      </c>
      <c r="G2130" s="1" t="s">
        <v>2629</v>
      </c>
      <c r="H2130" s="4">
        <f>IFERROR(__xludf.DUMMYFUNCTION("DATE(INDEX(SPLIT(G2130,""/""),,3),INDEX(SPLIT(G2130,""/""),,2),INDEX(SPLIT(G2130,""/""),,1))"),44651.0)</f>
        <v>44651</v>
      </c>
      <c r="I2130" s="1" t="s">
        <v>109</v>
      </c>
      <c r="J2130" s="4">
        <f>IFERROR(__xludf.DUMMYFUNCTION("DATE(INDEX(SPLIT(I2130,""/""),,3),INDEX(SPLIT(I2130,""/""),,2),INDEX(SPLIT(I2130,""/""),,1))"),44834.0)</f>
        <v>44834</v>
      </c>
      <c r="L2130" s="1">
        <v>0.0</v>
      </c>
      <c r="M2130" s="1" t="s">
        <v>61</v>
      </c>
      <c r="N2130" s="1"/>
      <c r="O2130" s="1" t="s">
        <v>30</v>
      </c>
      <c r="P2130" s="1" t="s">
        <v>31</v>
      </c>
      <c r="Q2130" s="1" t="s">
        <v>32</v>
      </c>
      <c r="R2130" s="1" t="s">
        <v>32</v>
      </c>
      <c r="S2130" s="1" t="s">
        <v>33</v>
      </c>
      <c r="T2130" s="1" t="s">
        <v>103</v>
      </c>
      <c r="U2130" s="1">
        <v>1.0060843E8</v>
      </c>
      <c r="X2130" s="1" t="s">
        <v>63</v>
      </c>
      <c r="Y2130" s="1" t="s">
        <v>61</v>
      </c>
      <c r="Z2130" s="1" t="s">
        <v>37</v>
      </c>
    </row>
    <row r="2131" hidden="1">
      <c r="A2131" s="1" t="s">
        <v>6743</v>
      </c>
      <c r="B2131" s="1" t="s">
        <v>6744</v>
      </c>
      <c r="C2131" s="1" t="s">
        <v>6745</v>
      </c>
      <c r="D2131" s="1" t="s">
        <v>78</v>
      </c>
      <c r="E2131" s="1" t="s">
        <v>28</v>
      </c>
      <c r="F2131" s="2">
        <v>500000.0</v>
      </c>
      <c r="G2131" s="1" t="s">
        <v>6746</v>
      </c>
      <c r="H2131" s="4">
        <f>IFERROR(__xludf.DUMMYFUNCTION("DATE(INDEX(SPLIT(G2131,""/""),,3),INDEX(SPLIT(G2131,""/""),,2),INDEX(SPLIT(G2131,""/""),,1))"),44309.0)</f>
        <v>44309</v>
      </c>
      <c r="I2131" s="1" t="s">
        <v>1097</v>
      </c>
      <c r="J2131" s="4">
        <f>IFERROR(__xludf.DUMMYFUNCTION("DATE(INDEX(SPLIT(I2131,""/""),,3),INDEX(SPLIT(I2131,""/""),,2),INDEX(SPLIT(I2131,""/""),,1))"),45107.0)</f>
        <v>45107</v>
      </c>
      <c r="L2131" s="1">
        <v>0.0</v>
      </c>
      <c r="M2131" s="1" t="s">
        <v>4477</v>
      </c>
      <c r="N2131" s="1"/>
      <c r="O2131" s="1" t="s">
        <v>30</v>
      </c>
      <c r="P2131" s="1" t="s">
        <v>31</v>
      </c>
      <c r="Q2131" s="1" t="s">
        <v>228</v>
      </c>
      <c r="R2131" s="1" t="s">
        <v>228</v>
      </c>
      <c r="S2131" s="1" t="s">
        <v>229</v>
      </c>
      <c r="T2131" s="1" t="s">
        <v>513</v>
      </c>
      <c r="U2131" s="1">
        <v>1.00592715E8</v>
      </c>
      <c r="X2131" s="1" t="s">
        <v>98</v>
      </c>
      <c r="Y2131" s="1" t="s">
        <v>4477</v>
      </c>
      <c r="Z2131" s="1" t="s">
        <v>37</v>
      </c>
    </row>
    <row r="2132" hidden="1">
      <c r="A2132" s="1" t="s">
        <v>6747</v>
      </c>
      <c r="B2132" s="1" t="s">
        <v>6121</v>
      </c>
      <c r="C2132" s="1" t="s">
        <v>6748</v>
      </c>
      <c r="D2132" s="1" t="s">
        <v>78</v>
      </c>
      <c r="E2132" s="1" t="s">
        <v>28</v>
      </c>
      <c r="F2132" s="2">
        <v>500000.0</v>
      </c>
      <c r="G2132" s="1" t="s">
        <v>424</v>
      </c>
      <c r="H2132" s="4">
        <f>IFERROR(__xludf.DUMMYFUNCTION("DATE(INDEX(SPLIT(G2132,""/""),,3),INDEX(SPLIT(G2132,""/""),,2),INDEX(SPLIT(G2132,""/""),,1))"),44405.0)</f>
        <v>44405</v>
      </c>
      <c r="I2132" s="1" t="s">
        <v>109</v>
      </c>
      <c r="J2132" s="4">
        <f>IFERROR(__xludf.DUMMYFUNCTION("DATE(INDEX(SPLIT(I2132,""/""),,3),INDEX(SPLIT(I2132,""/""),,2),INDEX(SPLIT(I2132,""/""),,1))"),44834.0)</f>
        <v>44834</v>
      </c>
      <c r="L2132" s="1">
        <v>0.0</v>
      </c>
      <c r="M2132" s="1" t="s">
        <v>542</v>
      </c>
      <c r="N2132" s="1"/>
      <c r="O2132" s="1" t="s">
        <v>30</v>
      </c>
      <c r="P2132" s="1" t="s">
        <v>31</v>
      </c>
      <c r="Q2132" s="1" t="s">
        <v>53</v>
      </c>
      <c r="R2132" s="1" t="s">
        <v>53</v>
      </c>
      <c r="S2132" s="1" t="s">
        <v>54</v>
      </c>
      <c r="T2132" s="1" t="s">
        <v>181</v>
      </c>
      <c r="U2132" s="1">
        <v>1.01001596E8</v>
      </c>
      <c r="X2132" s="1" t="s">
        <v>74</v>
      </c>
      <c r="Y2132" s="1" t="s">
        <v>542</v>
      </c>
      <c r="Z2132" s="1" t="s">
        <v>37</v>
      </c>
    </row>
    <row r="2133">
      <c r="A2133" s="1" t="s">
        <v>6749</v>
      </c>
      <c r="B2133" s="1" t="s">
        <v>1854</v>
      </c>
      <c r="C2133" s="1" t="s">
        <v>6750</v>
      </c>
      <c r="D2133" s="1" t="s">
        <v>27</v>
      </c>
      <c r="E2133" s="1" t="s">
        <v>28</v>
      </c>
      <c r="F2133" s="2">
        <v>500000.0</v>
      </c>
      <c r="G2133" s="4">
        <v>44714.0</v>
      </c>
      <c r="H2133" s="4">
        <f>IFERROR(__xludf.DUMMYFUNCTION("DATE(INDEX(SPLIT(G2133,""/""),,3),INDEX(SPLIT(G2133,""/""),,2),INDEX(SPLIT(G2133,""/""),,1))"),44598.0)</f>
        <v>44598</v>
      </c>
      <c r="I2133" s="4">
        <v>44626.0</v>
      </c>
      <c r="J2133" s="4">
        <f>IFERROR(__xludf.DUMMYFUNCTION("DATE(INDEX(SPLIT(I2133,""/""),,3),INDEX(SPLIT(I2133,""/""),,2),INDEX(SPLIT(I2133,""/""),,1))"),44715.0)</f>
        <v>44715</v>
      </c>
      <c r="L2133" s="1">
        <v>0.0</v>
      </c>
      <c r="M2133" s="1" t="s">
        <v>2551</v>
      </c>
      <c r="N2133" s="1"/>
      <c r="O2133" s="1" t="s">
        <v>30</v>
      </c>
      <c r="P2133" s="1" t="s">
        <v>31</v>
      </c>
      <c r="Q2133" s="1" t="s">
        <v>95</v>
      </c>
      <c r="R2133" s="1" t="s">
        <v>95</v>
      </c>
      <c r="S2133" s="1" t="s">
        <v>96</v>
      </c>
      <c r="T2133" s="1" t="s">
        <v>111</v>
      </c>
      <c r="U2133" s="1">
        <v>1.00660092E8</v>
      </c>
      <c r="X2133" s="1" t="s">
        <v>63</v>
      </c>
      <c r="Y2133" s="1" t="s">
        <v>6751</v>
      </c>
      <c r="Z2133" s="1" t="s">
        <v>37</v>
      </c>
    </row>
    <row r="2134">
      <c r="A2134" s="1" t="s">
        <v>6752</v>
      </c>
      <c r="B2134" s="1" t="s">
        <v>2265</v>
      </c>
      <c r="C2134" s="1" t="s">
        <v>6753</v>
      </c>
      <c r="D2134" s="1" t="s">
        <v>27</v>
      </c>
      <c r="E2134" s="1" t="s">
        <v>28</v>
      </c>
      <c r="F2134" s="2">
        <v>500000.0</v>
      </c>
      <c r="G2134" s="4">
        <v>44653.0</v>
      </c>
      <c r="H2134" s="4">
        <f>IFERROR(__xludf.DUMMYFUNCTION("DATE(INDEX(SPLIT(G2134,""/""),,3),INDEX(SPLIT(G2134,""/""),,2),INDEX(SPLIT(G2134,""/""),,1))"),44596.0)</f>
        <v>44596</v>
      </c>
      <c r="I2134" s="1" t="s">
        <v>69</v>
      </c>
      <c r="J2134" s="4">
        <f>IFERROR(__xludf.DUMMYFUNCTION("DATE(INDEX(SPLIT(I2134,""/""),,3),INDEX(SPLIT(I2134,""/""),,2),INDEX(SPLIT(I2134,""/""),,1))"),44773.0)</f>
        <v>44773</v>
      </c>
      <c r="L2134" s="1">
        <v>0.0</v>
      </c>
      <c r="M2134" s="1" t="s">
        <v>2325</v>
      </c>
      <c r="N2134" s="1"/>
      <c r="O2134" s="1" t="s">
        <v>30</v>
      </c>
      <c r="P2134" s="1" t="s">
        <v>31</v>
      </c>
      <c r="Q2134" s="1" t="s">
        <v>235</v>
      </c>
      <c r="R2134" s="1" t="s">
        <v>235</v>
      </c>
      <c r="S2134" s="1" t="s">
        <v>236</v>
      </c>
      <c r="T2134" s="1" t="s">
        <v>237</v>
      </c>
      <c r="U2134" s="1">
        <v>1.00649726E8</v>
      </c>
      <c r="X2134" s="1" t="s">
        <v>239</v>
      </c>
      <c r="Y2134" s="1" t="s">
        <v>2325</v>
      </c>
      <c r="Z2134" s="1" t="s">
        <v>37</v>
      </c>
    </row>
    <row r="2135">
      <c r="A2135" s="1" t="s">
        <v>6754</v>
      </c>
      <c r="B2135" s="1" t="s">
        <v>3960</v>
      </c>
      <c r="C2135" s="1" t="s">
        <v>6755</v>
      </c>
      <c r="D2135" s="1" t="s">
        <v>27</v>
      </c>
      <c r="E2135" s="1" t="s">
        <v>28</v>
      </c>
      <c r="F2135" s="2">
        <v>500000.0</v>
      </c>
      <c r="G2135" s="1" t="s">
        <v>2329</v>
      </c>
      <c r="H2135" s="4">
        <f>IFERROR(__xludf.DUMMYFUNCTION("DATE(INDEX(SPLIT(G2135,""/""),,3),INDEX(SPLIT(G2135,""/""),,2),INDEX(SPLIT(G2135,""/""),,1))"),44732.0)</f>
        <v>44732</v>
      </c>
      <c r="I2135" s="1" t="s">
        <v>226</v>
      </c>
      <c r="J2135" s="4">
        <f>IFERROR(__xludf.DUMMYFUNCTION("DATE(INDEX(SPLIT(I2135,""/""),,3),INDEX(SPLIT(I2135,""/""),,2),INDEX(SPLIT(I2135,""/""),,1))"),44771.0)</f>
        <v>44771</v>
      </c>
      <c r="L2135" s="1">
        <v>0.0</v>
      </c>
      <c r="M2135" s="1" t="s">
        <v>4979</v>
      </c>
      <c r="N2135" s="1"/>
      <c r="O2135" s="1" t="s">
        <v>30</v>
      </c>
      <c r="P2135" s="1" t="s">
        <v>31</v>
      </c>
      <c r="Q2135" s="1" t="s">
        <v>235</v>
      </c>
      <c r="R2135" s="1" t="s">
        <v>235</v>
      </c>
      <c r="S2135" s="1" t="s">
        <v>236</v>
      </c>
      <c r="U2135" s="1">
        <v>1.00637587E8</v>
      </c>
      <c r="X2135" s="1" t="s">
        <v>88</v>
      </c>
      <c r="Y2135" s="1" t="s">
        <v>4979</v>
      </c>
      <c r="Z2135" s="1" t="s">
        <v>37</v>
      </c>
    </row>
    <row r="2136" hidden="1">
      <c r="A2136" s="1" t="s">
        <v>6756</v>
      </c>
      <c r="B2136" s="1" t="s">
        <v>617</v>
      </c>
      <c r="C2136" s="1" t="s">
        <v>6757</v>
      </c>
      <c r="D2136" s="1" t="s">
        <v>122</v>
      </c>
      <c r="E2136" s="1" t="s">
        <v>28</v>
      </c>
      <c r="F2136" s="2">
        <v>500000.0</v>
      </c>
      <c r="G2136" s="4">
        <v>44352.0</v>
      </c>
      <c r="H2136" s="4">
        <f>IFERROR(__xludf.DUMMYFUNCTION("DATE(INDEX(SPLIT(G2136,""/""),,3),INDEX(SPLIT(G2136,""/""),,2),INDEX(SPLIT(G2136,""/""),,1))"),44322.0)</f>
        <v>44322</v>
      </c>
      <c r="I2136" s="4">
        <v>44571.0</v>
      </c>
      <c r="J2136" s="4">
        <f>IFERROR(__xludf.DUMMYFUNCTION("DATE(INDEX(SPLIT(I2136,""/""),,3),INDEX(SPLIT(I2136,""/""),,2),INDEX(SPLIT(I2136,""/""),,1))"),44835.0)</f>
        <v>44835</v>
      </c>
      <c r="L2136" s="1">
        <v>0.0</v>
      </c>
      <c r="M2136" s="1" t="s">
        <v>467</v>
      </c>
      <c r="N2136" s="1"/>
      <c r="O2136" s="1" t="s">
        <v>30</v>
      </c>
      <c r="P2136" s="1" t="s">
        <v>31</v>
      </c>
      <c r="Q2136" s="1" t="s">
        <v>32</v>
      </c>
      <c r="R2136" s="1" t="s">
        <v>32</v>
      </c>
      <c r="S2136" s="1" t="s">
        <v>33</v>
      </c>
      <c r="T2136" s="1" t="s">
        <v>34</v>
      </c>
      <c r="U2136" s="1">
        <v>1.00619817E8</v>
      </c>
      <c r="X2136" s="1" t="s">
        <v>81</v>
      </c>
      <c r="Y2136" s="1" t="s">
        <v>6758</v>
      </c>
      <c r="Z2136" s="1" t="s">
        <v>37</v>
      </c>
    </row>
    <row r="2137">
      <c r="A2137" s="1" t="s">
        <v>6759</v>
      </c>
      <c r="B2137" s="1" t="s">
        <v>3532</v>
      </c>
      <c r="C2137" s="1" t="s">
        <v>6760</v>
      </c>
      <c r="D2137" s="1" t="s">
        <v>78</v>
      </c>
      <c r="E2137" s="1" t="s">
        <v>28</v>
      </c>
      <c r="F2137" s="2">
        <v>500000.0</v>
      </c>
      <c r="G2137" s="4">
        <v>44317.0</v>
      </c>
      <c r="H2137" s="4">
        <f>IFERROR(__xludf.DUMMYFUNCTION("DATE(INDEX(SPLIT(G2137,""/""),,3),INDEX(SPLIT(G2137,""/""),,2),INDEX(SPLIT(G2137,""/""),,1))"),44201.0)</f>
        <v>44201</v>
      </c>
      <c r="I2137" s="1" t="s">
        <v>226</v>
      </c>
      <c r="J2137" s="4">
        <f>IFERROR(__xludf.DUMMYFUNCTION("DATE(INDEX(SPLIT(I2137,""/""),,3),INDEX(SPLIT(I2137,""/""),,2),INDEX(SPLIT(I2137,""/""),,1))"),44771.0)</f>
        <v>44771</v>
      </c>
      <c r="L2137" s="1">
        <v>0.0</v>
      </c>
      <c r="M2137" s="1" t="s">
        <v>6761</v>
      </c>
      <c r="N2137" s="1"/>
      <c r="O2137" s="1" t="s">
        <v>30</v>
      </c>
      <c r="P2137" s="1" t="s">
        <v>31</v>
      </c>
      <c r="Q2137" s="1" t="s">
        <v>188</v>
      </c>
      <c r="R2137" s="1" t="s">
        <v>188</v>
      </c>
      <c r="S2137" s="1" t="s">
        <v>189</v>
      </c>
      <c r="T2137" s="1" t="s">
        <v>1344</v>
      </c>
      <c r="U2137" s="1">
        <v>1.00585036E8</v>
      </c>
      <c r="X2137" s="1" t="s">
        <v>63</v>
      </c>
      <c r="Y2137" s="1" t="s">
        <v>6761</v>
      </c>
      <c r="Z2137" s="1" t="s">
        <v>37</v>
      </c>
    </row>
    <row r="2138" hidden="1">
      <c r="A2138" s="1" t="s">
        <v>6762</v>
      </c>
      <c r="B2138" s="1" t="s">
        <v>6763</v>
      </c>
      <c r="C2138" s="1" t="s">
        <v>6764</v>
      </c>
      <c r="D2138" s="1" t="s">
        <v>27</v>
      </c>
      <c r="E2138" s="1" t="s">
        <v>28</v>
      </c>
      <c r="F2138" s="2">
        <v>500000.0</v>
      </c>
      <c r="G2138" s="4">
        <v>44809.0</v>
      </c>
      <c r="H2138" s="4">
        <f>IFERROR(__xludf.DUMMYFUNCTION("DATE(INDEX(SPLIT(G2138,""/""),,3),INDEX(SPLIT(G2138,""/""),,2),INDEX(SPLIT(G2138,""/""),,1))"),44690.0)</f>
        <v>44690</v>
      </c>
      <c r="I2138" s="4">
        <v>44569.0</v>
      </c>
      <c r="J2138" s="4">
        <f>IFERROR(__xludf.DUMMYFUNCTION("DATE(INDEX(SPLIT(I2138,""/""),,3),INDEX(SPLIT(I2138,""/""),,2),INDEX(SPLIT(I2138,""/""),,1))"),44774.0)</f>
        <v>44774</v>
      </c>
      <c r="L2138" s="1">
        <v>0.0</v>
      </c>
      <c r="M2138" s="1" t="s">
        <v>1422</v>
      </c>
      <c r="N2138" s="1"/>
      <c r="O2138" s="1" t="s">
        <v>30</v>
      </c>
      <c r="P2138" s="1" t="s">
        <v>31</v>
      </c>
      <c r="Q2138" s="1" t="s">
        <v>157</v>
      </c>
      <c r="R2138" s="1" t="s">
        <v>157</v>
      </c>
      <c r="S2138" s="1" t="s">
        <v>158</v>
      </c>
      <c r="U2138" s="1">
        <v>1.00869794E8</v>
      </c>
      <c r="X2138" s="1" t="s">
        <v>46</v>
      </c>
      <c r="Y2138" s="1" t="s">
        <v>6765</v>
      </c>
      <c r="Z2138" s="1" t="s">
        <v>37</v>
      </c>
    </row>
    <row r="2139" hidden="1">
      <c r="A2139" s="1" t="s">
        <v>6766</v>
      </c>
      <c r="B2139" s="1" t="s">
        <v>6763</v>
      </c>
      <c r="C2139" s="1" t="s">
        <v>6767</v>
      </c>
      <c r="D2139" s="1" t="s">
        <v>27</v>
      </c>
      <c r="E2139" s="1" t="s">
        <v>28</v>
      </c>
      <c r="F2139" s="2">
        <v>500000.0</v>
      </c>
      <c r="G2139" s="4">
        <v>44809.0</v>
      </c>
      <c r="H2139" s="4">
        <f>IFERROR(__xludf.DUMMYFUNCTION("DATE(INDEX(SPLIT(G2139,""/""),,3),INDEX(SPLIT(G2139,""/""),,2),INDEX(SPLIT(G2139,""/""),,1))"),44690.0)</f>
        <v>44690</v>
      </c>
      <c r="I2139" s="4">
        <v>44569.0</v>
      </c>
      <c r="J2139" s="4">
        <f>IFERROR(__xludf.DUMMYFUNCTION("DATE(INDEX(SPLIT(I2139,""/""),,3),INDEX(SPLIT(I2139,""/""),,2),INDEX(SPLIT(I2139,""/""),,1))"),44774.0)</f>
        <v>44774</v>
      </c>
      <c r="L2139" s="1">
        <v>0.0</v>
      </c>
      <c r="M2139" s="1" t="s">
        <v>1422</v>
      </c>
      <c r="N2139" s="1"/>
      <c r="O2139" s="1" t="s">
        <v>30</v>
      </c>
      <c r="P2139" s="1" t="s">
        <v>31</v>
      </c>
      <c r="Q2139" s="1" t="s">
        <v>157</v>
      </c>
      <c r="R2139" s="1" t="s">
        <v>157</v>
      </c>
      <c r="S2139" s="1" t="s">
        <v>158</v>
      </c>
      <c r="U2139" s="1">
        <v>1.00869794E8</v>
      </c>
      <c r="X2139" s="1" t="s">
        <v>46</v>
      </c>
      <c r="Y2139" s="1" t="s">
        <v>6765</v>
      </c>
      <c r="Z2139" s="1" t="s">
        <v>37</v>
      </c>
    </row>
    <row r="2140" hidden="1">
      <c r="A2140" s="1" t="s">
        <v>6768</v>
      </c>
      <c r="B2140" s="1" t="s">
        <v>2462</v>
      </c>
      <c r="C2140" s="1" t="s">
        <v>6769</v>
      </c>
      <c r="D2140" s="1" t="s">
        <v>122</v>
      </c>
      <c r="E2140" s="1" t="s">
        <v>28</v>
      </c>
      <c r="F2140" s="2">
        <v>500000.0</v>
      </c>
      <c r="G2140" s="1" t="s">
        <v>164</v>
      </c>
      <c r="H2140" s="4">
        <f>IFERROR(__xludf.DUMMYFUNCTION("DATE(INDEX(SPLIT(G2140,""/""),,3),INDEX(SPLIT(G2140,""/""),,2),INDEX(SPLIT(G2140,""/""),,1))"),44706.0)</f>
        <v>44706</v>
      </c>
      <c r="I2140" s="1" t="s">
        <v>130</v>
      </c>
      <c r="J2140" s="4">
        <f>IFERROR(__xludf.DUMMYFUNCTION("DATE(INDEX(SPLIT(I2140,""/""),,3),INDEX(SPLIT(I2140,""/""),,2),INDEX(SPLIT(I2140,""/""),,1))"),44804.0)</f>
        <v>44804</v>
      </c>
      <c r="L2140" s="1">
        <v>0.0</v>
      </c>
      <c r="M2140" s="1" t="s">
        <v>504</v>
      </c>
      <c r="N2140" s="1"/>
      <c r="O2140" s="1" t="s">
        <v>30</v>
      </c>
      <c r="P2140" s="1" t="s">
        <v>31</v>
      </c>
      <c r="Q2140" s="1" t="s">
        <v>228</v>
      </c>
      <c r="R2140" s="1" t="s">
        <v>228</v>
      </c>
      <c r="S2140" s="1" t="s">
        <v>229</v>
      </c>
      <c r="T2140" s="1" t="s">
        <v>640</v>
      </c>
      <c r="U2140" s="1">
        <v>1.00901211E8</v>
      </c>
      <c r="Y2140" s="1" t="s">
        <v>6770</v>
      </c>
      <c r="Z2140" s="1" t="s">
        <v>37</v>
      </c>
    </row>
    <row r="2141" hidden="1">
      <c r="A2141" s="1" t="s">
        <v>6771</v>
      </c>
      <c r="B2141" s="1" t="s">
        <v>6763</v>
      </c>
      <c r="C2141" s="1" t="s">
        <v>6772</v>
      </c>
      <c r="D2141" s="1" t="s">
        <v>27</v>
      </c>
      <c r="E2141" s="1" t="s">
        <v>28</v>
      </c>
      <c r="F2141" s="2">
        <v>500000.0</v>
      </c>
      <c r="G2141" s="4">
        <v>44809.0</v>
      </c>
      <c r="H2141" s="4">
        <f>IFERROR(__xludf.DUMMYFUNCTION("DATE(INDEX(SPLIT(G2141,""/""),,3),INDEX(SPLIT(G2141,""/""),,2),INDEX(SPLIT(G2141,""/""),,1))"),44690.0)</f>
        <v>44690</v>
      </c>
      <c r="I2141" s="4">
        <v>44569.0</v>
      </c>
      <c r="J2141" s="4">
        <f>IFERROR(__xludf.DUMMYFUNCTION("DATE(INDEX(SPLIT(I2141,""/""),,3),INDEX(SPLIT(I2141,""/""),,2),INDEX(SPLIT(I2141,""/""),,1))"),44774.0)</f>
        <v>44774</v>
      </c>
      <c r="L2141" s="1">
        <v>0.0</v>
      </c>
      <c r="M2141" s="1" t="s">
        <v>1422</v>
      </c>
      <c r="N2141" s="1"/>
      <c r="O2141" s="1" t="s">
        <v>30</v>
      </c>
      <c r="P2141" s="1" t="s">
        <v>31</v>
      </c>
      <c r="Q2141" s="1" t="s">
        <v>157</v>
      </c>
      <c r="R2141" s="1" t="s">
        <v>157</v>
      </c>
      <c r="S2141" s="1" t="s">
        <v>158</v>
      </c>
      <c r="U2141" s="1">
        <v>1.00869794E8</v>
      </c>
      <c r="X2141" s="1" t="s">
        <v>46</v>
      </c>
      <c r="Y2141" s="1" t="s">
        <v>6765</v>
      </c>
      <c r="Z2141" s="1" t="s">
        <v>37</v>
      </c>
    </row>
    <row r="2142" hidden="1">
      <c r="A2142" s="1" t="s">
        <v>6773</v>
      </c>
      <c r="B2142" s="1" t="s">
        <v>2501</v>
      </c>
      <c r="C2142" s="1" t="s">
        <v>6774</v>
      </c>
      <c r="D2142" s="1" t="s">
        <v>27</v>
      </c>
      <c r="E2142" s="1" t="s">
        <v>28</v>
      </c>
      <c r="F2142" s="2">
        <v>500000.0</v>
      </c>
      <c r="G2142" s="4">
        <v>44204.0</v>
      </c>
      <c r="H2142" s="4">
        <f>IFERROR(__xludf.DUMMYFUNCTION("DATE(INDEX(SPLIT(G2142,""/""),,3),INDEX(SPLIT(G2142,""/""),,2),INDEX(SPLIT(G2142,""/""),,1))"),44409.0)</f>
        <v>44409</v>
      </c>
      <c r="I2142" s="1" t="s">
        <v>42</v>
      </c>
      <c r="J2142" s="4">
        <f>IFERROR(__xludf.DUMMYFUNCTION("DATE(INDEX(SPLIT(I2142,""/""),,3),INDEX(SPLIT(I2142,""/""),,2),INDEX(SPLIT(I2142,""/""),,1))"),44926.0)</f>
        <v>44926</v>
      </c>
      <c r="L2142" s="1">
        <v>0.0</v>
      </c>
      <c r="M2142" s="1" t="s">
        <v>1552</v>
      </c>
      <c r="N2142" s="1"/>
      <c r="O2142" s="1" t="s">
        <v>30</v>
      </c>
      <c r="P2142" s="1" t="s">
        <v>31</v>
      </c>
      <c r="Q2142" s="1" t="s">
        <v>32</v>
      </c>
      <c r="R2142" s="1" t="s">
        <v>32</v>
      </c>
      <c r="S2142" s="1" t="s">
        <v>33</v>
      </c>
      <c r="T2142" s="1" t="s">
        <v>1195</v>
      </c>
      <c r="U2142" s="1">
        <v>1.00637597E8</v>
      </c>
      <c r="V2142" s="1" t="s">
        <v>6775</v>
      </c>
      <c r="W2142" s="1" t="s">
        <v>199</v>
      </c>
      <c r="X2142" s="1" t="s">
        <v>490</v>
      </c>
      <c r="Y2142" s="1" t="s">
        <v>1552</v>
      </c>
      <c r="Z2142" s="1" t="s">
        <v>37</v>
      </c>
    </row>
    <row r="2143" hidden="1">
      <c r="A2143" s="1" t="s">
        <v>6776</v>
      </c>
      <c r="B2143" s="1" t="s">
        <v>954</v>
      </c>
      <c r="C2143" s="1" t="s">
        <v>6777</v>
      </c>
      <c r="D2143" s="1" t="s">
        <v>27</v>
      </c>
      <c r="E2143" s="1" t="s">
        <v>28</v>
      </c>
      <c r="F2143" s="2">
        <v>500000.0</v>
      </c>
      <c r="G2143" s="4">
        <v>44870.0</v>
      </c>
      <c r="H2143" s="4">
        <f>IFERROR(__xludf.DUMMYFUNCTION("DATE(INDEX(SPLIT(G2143,""/""),,3),INDEX(SPLIT(G2143,""/""),,2),INDEX(SPLIT(G2143,""/""),,1))"),44692.0)</f>
        <v>44692</v>
      </c>
      <c r="I2143" s="1" t="s">
        <v>281</v>
      </c>
      <c r="J2143" s="4">
        <f>IFERROR(__xludf.DUMMYFUNCTION("DATE(INDEX(SPLIT(I2143,""/""),,3),INDEX(SPLIT(I2143,""/""),,2),INDEX(SPLIT(I2143,""/""),,1))"),44865.0)</f>
        <v>44865</v>
      </c>
      <c r="L2143" s="1">
        <v>0.0</v>
      </c>
      <c r="M2143" s="1" t="s">
        <v>956</v>
      </c>
      <c r="N2143" s="1"/>
      <c r="O2143" s="1" t="s">
        <v>30</v>
      </c>
      <c r="P2143" s="1" t="s">
        <v>31</v>
      </c>
      <c r="Q2143" s="1" t="s">
        <v>71</v>
      </c>
      <c r="R2143" s="1" t="s">
        <v>71</v>
      </c>
      <c r="S2143" s="1" t="s">
        <v>72</v>
      </c>
      <c r="T2143" s="1" t="s">
        <v>73</v>
      </c>
      <c r="U2143" s="1">
        <v>1.00653499E8</v>
      </c>
      <c r="X2143" s="1" t="s">
        <v>74</v>
      </c>
      <c r="Y2143" s="1" t="s">
        <v>957</v>
      </c>
      <c r="Z2143" s="1" t="s">
        <v>37</v>
      </c>
    </row>
    <row r="2144" hidden="1">
      <c r="A2144" s="1" t="s">
        <v>6778</v>
      </c>
      <c r="B2144" s="1" t="s">
        <v>39</v>
      </c>
      <c r="C2144" s="1" t="s">
        <v>6779</v>
      </c>
      <c r="D2144" s="1" t="s">
        <v>78</v>
      </c>
      <c r="E2144" s="1" t="s">
        <v>28</v>
      </c>
      <c r="F2144" s="2">
        <v>500000.0</v>
      </c>
      <c r="G2144" s="1" t="s">
        <v>1740</v>
      </c>
      <c r="H2144" s="4">
        <f>IFERROR(__xludf.DUMMYFUNCTION("DATE(INDEX(SPLIT(G2144,""/""),,3),INDEX(SPLIT(G2144,""/""),,2),INDEX(SPLIT(G2144,""/""),,1))"),44456.0)</f>
        <v>44456</v>
      </c>
      <c r="I2144" s="1" t="s">
        <v>42</v>
      </c>
      <c r="J2144" s="4">
        <f>IFERROR(__xludf.DUMMYFUNCTION("DATE(INDEX(SPLIT(I2144,""/""),,3),INDEX(SPLIT(I2144,""/""),,2),INDEX(SPLIT(I2144,""/""),,1))"),44926.0)</f>
        <v>44926</v>
      </c>
      <c r="L2144" s="1">
        <v>0.0</v>
      </c>
      <c r="M2144" s="1" t="s">
        <v>4432</v>
      </c>
      <c r="N2144" s="1"/>
      <c r="O2144" s="1" t="s">
        <v>30</v>
      </c>
      <c r="P2144" s="1" t="s">
        <v>31</v>
      </c>
      <c r="Q2144" s="1" t="s">
        <v>32</v>
      </c>
      <c r="R2144" s="1" t="s">
        <v>32</v>
      </c>
      <c r="S2144" s="1" t="s">
        <v>33</v>
      </c>
      <c r="T2144" s="1" t="s">
        <v>103</v>
      </c>
      <c r="U2144" s="1">
        <v>1.00584558E8</v>
      </c>
      <c r="X2144" s="1" t="s">
        <v>46</v>
      </c>
      <c r="Y2144" s="1" t="s">
        <v>3049</v>
      </c>
      <c r="Z2144" s="1" t="s">
        <v>37</v>
      </c>
    </row>
    <row r="2145" hidden="1">
      <c r="A2145" s="1" t="s">
        <v>6780</v>
      </c>
      <c r="B2145" s="1" t="s">
        <v>6781</v>
      </c>
      <c r="C2145" s="1" t="s">
        <v>6782</v>
      </c>
      <c r="D2145" s="1" t="s">
        <v>27</v>
      </c>
      <c r="E2145" s="1" t="s">
        <v>28</v>
      </c>
      <c r="F2145" s="2">
        <v>500000.0</v>
      </c>
      <c r="G2145" s="1" t="s">
        <v>453</v>
      </c>
      <c r="H2145" s="4">
        <f>IFERROR(__xludf.DUMMYFUNCTION("DATE(INDEX(SPLIT(G2145,""/""),,3),INDEX(SPLIT(G2145,""/""),,2),INDEX(SPLIT(G2145,""/""),,1))"),44029.0)</f>
        <v>44029</v>
      </c>
      <c r="I2145" s="1" t="s">
        <v>293</v>
      </c>
      <c r="J2145" s="4">
        <f>IFERROR(__xludf.DUMMYFUNCTION("DATE(INDEX(SPLIT(I2145,""/""),,3),INDEX(SPLIT(I2145,""/""),,2),INDEX(SPLIT(I2145,""/""),,1))"),44918.0)</f>
        <v>44918</v>
      </c>
      <c r="L2145" s="1">
        <v>0.0</v>
      </c>
      <c r="M2145" s="1" t="s">
        <v>437</v>
      </c>
      <c r="N2145" s="1"/>
      <c r="O2145" s="1" t="s">
        <v>30</v>
      </c>
      <c r="P2145" s="1" t="s">
        <v>31</v>
      </c>
      <c r="Q2145" s="1" t="s">
        <v>235</v>
      </c>
      <c r="R2145" s="1" t="s">
        <v>235</v>
      </c>
      <c r="S2145" s="1" t="s">
        <v>236</v>
      </c>
      <c r="T2145" s="1" t="s">
        <v>97</v>
      </c>
      <c r="U2145" s="1">
        <v>1.00650375E8</v>
      </c>
      <c r="X2145" s="1" t="s">
        <v>117</v>
      </c>
      <c r="Y2145" s="1" t="s">
        <v>437</v>
      </c>
      <c r="Z2145" s="1" t="s">
        <v>37</v>
      </c>
    </row>
    <row r="2146" hidden="1">
      <c r="A2146" s="1" t="s">
        <v>6783</v>
      </c>
      <c r="B2146" s="1" t="s">
        <v>1854</v>
      </c>
      <c r="C2146" s="1" t="s">
        <v>6784</v>
      </c>
      <c r="D2146" s="1" t="s">
        <v>78</v>
      </c>
      <c r="E2146" s="1" t="s">
        <v>28</v>
      </c>
      <c r="F2146" s="2">
        <v>500000.0</v>
      </c>
      <c r="G2146" s="1" t="s">
        <v>3003</v>
      </c>
      <c r="H2146" s="4">
        <f>IFERROR(__xludf.DUMMYFUNCTION("DATE(INDEX(SPLIT(G2146,""/""),,3),INDEX(SPLIT(G2146,""/""),,2),INDEX(SPLIT(G2146,""/""),,1))"),44216.0)</f>
        <v>44216</v>
      </c>
      <c r="I2146" s="1" t="s">
        <v>109</v>
      </c>
      <c r="J2146" s="4">
        <f>IFERROR(__xludf.DUMMYFUNCTION("DATE(INDEX(SPLIT(I2146,""/""),,3),INDEX(SPLIT(I2146,""/""),,2),INDEX(SPLIT(I2146,""/""),,1))"),44834.0)</f>
        <v>44834</v>
      </c>
      <c r="L2146" s="1">
        <v>0.0</v>
      </c>
      <c r="M2146" s="1" t="s">
        <v>1856</v>
      </c>
      <c r="N2146" s="1"/>
      <c r="O2146" s="1" t="s">
        <v>30</v>
      </c>
      <c r="P2146" s="1" t="s">
        <v>31</v>
      </c>
      <c r="Q2146" s="1" t="s">
        <v>32</v>
      </c>
      <c r="R2146" s="1" t="s">
        <v>32</v>
      </c>
      <c r="S2146" s="1" t="s">
        <v>33</v>
      </c>
      <c r="T2146" s="1" t="s">
        <v>103</v>
      </c>
      <c r="U2146" s="1">
        <v>1.00587434E8</v>
      </c>
      <c r="X2146" s="1" t="s">
        <v>63</v>
      </c>
      <c r="Y2146" s="1" t="s">
        <v>1856</v>
      </c>
      <c r="Z2146" s="1" t="s">
        <v>37</v>
      </c>
    </row>
    <row r="2147" hidden="1">
      <c r="A2147" s="1" t="s">
        <v>6785</v>
      </c>
      <c r="B2147" s="1" t="s">
        <v>4090</v>
      </c>
      <c r="C2147" s="1" t="s">
        <v>6786</v>
      </c>
      <c r="D2147" s="1" t="s">
        <v>27</v>
      </c>
      <c r="E2147" s="1" t="s">
        <v>28</v>
      </c>
      <c r="F2147" s="2">
        <v>500000.0</v>
      </c>
      <c r="G2147" s="1" t="s">
        <v>453</v>
      </c>
      <c r="H2147" s="4">
        <f>IFERROR(__xludf.DUMMYFUNCTION("DATE(INDEX(SPLIT(G2147,""/""),,3),INDEX(SPLIT(G2147,""/""),,2),INDEX(SPLIT(G2147,""/""),,1))"),44029.0)</f>
        <v>44029</v>
      </c>
      <c r="I2147" s="4">
        <v>44569.0</v>
      </c>
      <c r="J2147" s="4">
        <f>IFERROR(__xludf.DUMMYFUNCTION("DATE(INDEX(SPLIT(I2147,""/""),,3),INDEX(SPLIT(I2147,""/""),,2),INDEX(SPLIT(I2147,""/""),,1))"),44774.0)</f>
        <v>44774</v>
      </c>
      <c r="L2147" s="1">
        <v>0.0</v>
      </c>
      <c r="M2147" s="1" t="s">
        <v>1565</v>
      </c>
      <c r="N2147" s="1"/>
      <c r="O2147" s="1" t="s">
        <v>30</v>
      </c>
      <c r="P2147" s="1" t="s">
        <v>31</v>
      </c>
      <c r="Q2147" s="1" t="s">
        <v>157</v>
      </c>
      <c r="R2147" s="1" t="s">
        <v>157</v>
      </c>
      <c r="S2147" s="1" t="s">
        <v>158</v>
      </c>
      <c r="U2147" s="1">
        <v>1.00646908E8</v>
      </c>
      <c r="X2147" s="1" t="s">
        <v>190</v>
      </c>
      <c r="Y2147" s="1" t="s">
        <v>5294</v>
      </c>
      <c r="Z2147" s="1" t="s">
        <v>37</v>
      </c>
    </row>
    <row r="2148">
      <c r="A2148" s="1" t="s">
        <v>6787</v>
      </c>
      <c r="B2148" s="1" t="s">
        <v>223</v>
      </c>
      <c r="C2148" s="1" t="s">
        <v>6788</v>
      </c>
      <c r="D2148" s="1" t="s">
        <v>27</v>
      </c>
      <c r="E2148" s="1" t="s">
        <v>28</v>
      </c>
      <c r="F2148" s="2">
        <v>500000.0</v>
      </c>
      <c r="G2148" s="1" t="s">
        <v>2712</v>
      </c>
      <c r="H2148" s="4">
        <f>IFERROR(__xludf.DUMMYFUNCTION("DATE(INDEX(SPLIT(G2148,""/""),,3),INDEX(SPLIT(G2148,""/""),,2),INDEX(SPLIT(G2148,""/""),,1))"),44435.0)</f>
        <v>44435</v>
      </c>
      <c r="I2148" s="1" t="s">
        <v>226</v>
      </c>
      <c r="J2148" s="4">
        <f>IFERROR(__xludf.DUMMYFUNCTION("DATE(INDEX(SPLIT(I2148,""/""),,3),INDEX(SPLIT(I2148,""/""),,2),INDEX(SPLIT(I2148,""/""),,1))"),44771.0)</f>
        <v>44771</v>
      </c>
      <c r="L2148" s="1">
        <v>0.0</v>
      </c>
      <c r="M2148" s="1" t="s">
        <v>227</v>
      </c>
      <c r="N2148" s="1"/>
      <c r="O2148" s="1" t="s">
        <v>30</v>
      </c>
      <c r="P2148" s="1" t="s">
        <v>31</v>
      </c>
      <c r="Q2148" s="1" t="s">
        <v>228</v>
      </c>
      <c r="R2148" s="1" t="s">
        <v>228</v>
      </c>
      <c r="S2148" s="1" t="s">
        <v>229</v>
      </c>
      <c r="U2148" s="1">
        <v>1.00660017E8</v>
      </c>
      <c r="X2148" s="1" t="s">
        <v>81</v>
      </c>
      <c r="Y2148" s="1" t="s">
        <v>227</v>
      </c>
      <c r="Z2148" s="1" t="s">
        <v>37</v>
      </c>
    </row>
    <row r="2149" hidden="1">
      <c r="A2149" s="1" t="s">
        <v>6789</v>
      </c>
      <c r="B2149" s="1" t="s">
        <v>948</v>
      </c>
      <c r="C2149" s="1" t="s">
        <v>6790</v>
      </c>
      <c r="D2149" s="1" t="s">
        <v>27</v>
      </c>
      <c r="E2149" s="1" t="s">
        <v>28</v>
      </c>
      <c r="F2149" s="2">
        <v>500000.0</v>
      </c>
      <c r="G2149" s="4">
        <v>44203.0</v>
      </c>
      <c r="H2149" s="4">
        <f>IFERROR(__xludf.DUMMYFUNCTION("DATE(INDEX(SPLIT(G2149,""/""),,3),INDEX(SPLIT(G2149,""/""),,2),INDEX(SPLIT(G2149,""/""),,1))"),44378.0)</f>
        <v>44378</v>
      </c>
      <c r="I2149" s="1" t="s">
        <v>109</v>
      </c>
      <c r="J2149" s="4">
        <f>IFERROR(__xludf.DUMMYFUNCTION("DATE(INDEX(SPLIT(I2149,""/""),,3),INDEX(SPLIT(I2149,""/""),,2),INDEX(SPLIT(I2149,""/""),,1))"),44834.0)</f>
        <v>44834</v>
      </c>
      <c r="L2149" s="1">
        <v>0.0</v>
      </c>
      <c r="M2149" s="1" t="s">
        <v>5020</v>
      </c>
      <c r="N2149" s="1"/>
      <c r="O2149" s="1" t="s">
        <v>30</v>
      </c>
      <c r="P2149" s="1" t="s">
        <v>31</v>
      </c>
      <c r="Q2149" s="1" t="s">
        <v>157</v>
      </c>
      <c r="R2149" s="1" t="s">
        <v>157</v>
      </c>
      <c r="S2149" s="1" t="s">
        <v>158</v>
      </c>
      <c r="T2149" s="1" t="s">
        <v>159</v>
      </c>
      <c r="U2149" s="1">
        <v>1.0064746E8</v>
      </c>
      <c r="X2149" s="1" t="s">
        <v>74</v>
      </c>
      <c r="Y2149" s="1" t="s">
        <v>5020</v>
      </c>
      <c r="Z2149" s="1" t="s">
        <v>37</v>
      </c>
    </row>
    <row r="2150">
      <c r="A2150" s="1" t="s">
        <v>6791</v>
      </c>
      <c r="B2150" s="1" t="s">
        <v>3429</v>
      </c>
      <c r="C2150" s="1" t="s">
        <v>6792</v>
      </c>
      <c r="D2150" s="1" t="s">
        <v>78</v>
      </c>
      <c r="E2150" s="1" t="s">
        <v>28</v>
      </c>
      <c r="F2150" s="2">
        <v>500000.0</v>
      </c>
      <c r="G2150" s="4">
        <v>44567.0</v>
      </c>
      <c r="H2150" s="4">
        <f>IFERROR(__xludf.DUMMYFUNCTION("DATE(INDEX(SPLIT(G2150,""/""),,3),INDEX(SPLIT(G2150,""/""),,2),INDEX(SPLIT(G2150,""/""),,1))"),44713.0)</f>
        <v>44713</v>
      </c>
      <c r="I2150" s="1" t="s">
        <v>1244</v>
      </c>
      <c r="J2150" s="4">
        <f>IFERROR(__xludf.DUMMYFUNCTION("DATE(INDEX(SPLIT(I2150,""/""),,3),INDEX(SPLIT(I2150,""/""),,2),INDEX(SPLIT(I2150,""/""),,1))"),44742.0)</f>
        <v>44742</v>
      </c>
      <c r="L2150" s="1">
        <v>0.0</v>
      </c>
      <c r="M2150" s="1" t="s">
        <v>653</v>
      </c>
      <c r="N2150" s="1"/>
      <c r="O2150" s="1" t="s">
        <v>30</v>
      </c>
      <c r="P2150" s="1" t="s">
        <v>31</v>
      </c>
      <c r="Q2150" s="1" t="s">
        <v>157</v>
      </c>
      <c r="R2150" s="1" t="s">
        <v>157</v>
      </c>
      <c r="S2150" s="1" t="s">
        <v>158</v>
      </c>
      <c r="U2150" s="1">
        <v>1.00591141E8</v>
      </c>
      <c r="X2150" s="1" t="s">
        <v>63</v>
      </c>
      <c r="Y2150" s="1" t="s">
        <v>3880</v>
      </c>
      <c r="Z2150" s="1" t="s">
        <v>37</v>
      </c>
    </row>
    <row r="2151" hidden="1">
      <c r="A2151" s="1" t="s">
        <v>6793</v>
      </c>
      <c r="B2151" s="1" t="s">
        <v>4055</v>
      </c>
      <c r="C2151" s="1" t="s">
        <v>6794</v>
      </c>
      <c r="D2151" s="1" t="s">
        <v>122</v>
      </c>
      <c r="E2151" s="1" t="s">
        <v>28</v>
      </c>
      <c r="F2151" s="2">
        <v>500000.0</v>
      </c>
      <c r="G2151" s="1" t="s">
        <v>4901</v>
      </c>
      <c r="H2151" s="4">
        <f>IFERROR(__xludf.DUMMYFUNCTION("DATE(INDEX(SPLIT(G2151,""/""),,3),INDEX(SPLIT(G2151,""/""),,2),INDEX(SPLIT(G2151,""/""),,1))"),44488.0)</f>
        <v>44488</v>
      </c>
      <c r="I2151" s="1" t="s">
        <v>109</v>
      </c>
      <c r="J2151" s="4">
        <f>IFERROR(__xludf.DUMMYFUNCTION("DATE(INDEX(SPLIT(I2151,""/""),,3),INDEX(SPLIT(I2151,""/""),,2),INDEX(SPLIT(I2151,""/""),,1))"),44834.0)</f>
        <v>44834</v>
      </c>
      <c r="L2151" s="1">
        <v>0.0</v>
      </c>
      <c r="M2151" s="1" t="s">
        <v>3133</v>
      </c>
      <c r="N2151" s="1"/>
      <c r="O2151" s="1" t="s">
        <v>30</v>
      </c>
      <c r="P2151" s="1" t="s">
        <v>31</v>
      </c>
      <c r="Q2151" s="1" t="s">
        <v>228</v>
      </c>
      <c r="R2151" s="1" t="s">
        <v>228</v>
      </c>
      <c r="S2151" s="1" t="s">
        <v>229</v>
      </c>
      <c r="T2151" s="1" t="s">
        <v>513</v>
      </c>
      <c r="U2151" s="1">
        <v>1.00611158E8</v>
      </c>
      <c r="X2151" s="1" t="s">
        <v>63</v>
      </c>
      <c r="Y2151" s="1" t="s">
        <v>6795</v>
      </c>
      <c r="Z2151" s="1" t="s">
        <v>37</v>
      </c>
    </row>
    <row r="2152">
      <c r="A2152" s="1" t="s">
        <v>6796</v>
      </c>
      <c r="B2152" s="1" t="s">
        <v>2121</v>
      </c>
      <c r="C2152" s="1" t="s">
        <v>6797</v>
      </c>
      <c r="D2152" s="1" t="s">
        <v>27</v>
      </c>
      <c r="E2152" s="1" t="s">
        <v>28</v>
      </c>
      <c r="F2152" s="2">
        <v>500000.0</v>
      </c>
      <c r="G2152" s="4">
        <v>44419.0</v>
      </c>
      <c r="H2152" s="4">
        <f>IFERROR(__xludf.DUMMYFUNCTION("DATE(INDEX(SPLIT(G2152,""/""),,3),INDEX(SPLIT(G2152,""/""),,2),INDEX(SPLIT(G2152,""/""),,1))"),44508.0)</f>
        <v>44508</v>
      </c>
      <c r="I2152" s="1" t="s">
        <v>1244</v>
      </c>
      <c r="J2152" s="4">
        <f>IFERROR(__xludf.DUMMYFUNCTION("DATE(INDEX(SPLIT(I2152,""/""),,3),INDEX(SPLIT(I2152,""/""),,2),INDEX(SPLIT(I2152,""/""),,1))"),44742.0)</f>
        <v>44742</v>
      </c>
      <c r="L2152" s="1">
        <v>0.0</v>
      </c>
      <c r="M2152" s="1" t="s">
        <v>1792</v>
      </c>
      <c r="N2152" s="1"/>
      <c r="O2152" s="1" t="s">
        <v>30</v>
      </c>
      <c r="P2152" s="1" t="s">
        <v>31</v>
      </c>
      <c r="Q2152" s="1" t="s">
        <v>235</v>
      </c>
      <c r="R2152" s="1" t="s">
        <v>235</v>
      </c>
      <c r="S2152" s="1" t="s">
        <v>236</v>
      </c>
      <c r="T2152" s="1" t="s">
        <v>438</v>
      </c>
      <c r="U2152" s="1">
        <v>1.00964362E8</v>
      </c>
      <c r="X2152" s="1" t="s">
        <v>88</v>
      </c>
      <c r="Y2152" s="1" t="s">
        <v>6798</v>
      </c>
      <c r="Z2152" s="1" t="s">
        <v>37</v>
      </c>
    </row>
    <row r="2153" hidden="1">
      <c r="A2153" s="1" t="s">
        <v>6799</v>
      </c>
      <c r="B2153" s="1" t="s">
        <v>4496</v>
      </c>
      <c r="C2153" s="1" t="s">
        <v>6800</v>
      </c>
      <c r="D2153" s="1" t="s">
        <v>27</v>
      </c>
      <c r="E2153" s="1" t="s">
        <v>28</v>
      </c>
      <c r="F2153" s="2">
        <v>500000.0</v>
      </c>
      <c r="G2153" s="1" t="s">
        <v>940</v>
      </c>
      <c r="H2153" s="4">
        <f>IFERROR(__xludf.DUMMYFUNCTION("DATE(INDEX(SPLIT(G2153,""/""),,3),INDEX(SPLIT(G2153,""/""),,2),INDEX(SPLIT(G2153,""/""),,1))"),44574.0)</f>
        <v>44574</v>
      </c>
      <c r="I2153" s="1" t="s">
        <v>165</v>
      </c>
      <c r="J2153" s="4">
        <f>IFERROR(__xludf.DUMMYFUNCTION("DATE(INDEX(SPLIT(I2153,""/""),,3),INDEX(SPLIT(I2153,""/""),,2),INDEX(SPLIT(I2153,""/""),,1))"),44803.0)</f>
        <v>44803</v>
      </c>
      <c r="L2153" s="1">
        <v>0.0</v>
      </c>
      <c r="M2153" s="1" t="s">
        <v>941</v>
      </c>
      <c r="N2153" s="1"/>
      <c r="O2153" s="1" t="s">
        <v>30</v>
      </c>
      <c r="P2153" s="1" t="s">
        <v>31</v>
      </c>
      <c r="Q2153" s="1" t="s">
        <v>235</v>
      </c>
      <c r="R2153" s="1" t="s">
        <v>235</v>
      </c>
      <c r="S2153" s="1" t="s">
        <v>236</v>
      </c>
      <c r="T2153" s="1" t="s">
        <v>438</v>
      </c>
      <c r="U2153" s="1">
        <v>1.00652846E8</v>
      </c>
      <c r="X2153" s="1" t="s">
        <v>88</v>
      </c>
      <c r="Y2153" s="1" t="s">
        <v>942</v>
      </c>
      <c r="Z2153" s="1" t="s">
        <v>37</v>
      </c>
    </row>
    <row r="2154" hidden="1">
      <c r="A2154" s="1" t="s">
        <v>6801</v>
      </c>
      <c r="B2154" s="1" t="s">
        <v>6802</v>
      </c>
      <c r="C2154" s="1" t="s">
        <v>6803</v>
      </c>
      <c r="D2154" s="1" t="s">
        <v>27</v>
      </c>
      <c r="E2154" s="1" t="s">
        <v>28</v>
      </c>
      <c r="F2154" s="2">
        <v>500000.0</v>
      </c>
      <c r="G2154" s="4">
        <v>44567.0</v>
      </c>
      <c r="H2154" s="4">
        <f>IFERROR(__xludf.DUMMYFUNCTION("DATE(INDEX(SPLIT(G2154,""/""),,3),INDEX(SPLIT(G2154,""/""),,2),INDEX(SPLIT(G2154,""/""),,1))"),44713.0)</f>
        <v>44713</v>
      </c>
      <c r="I2154" s="1" t="s">
        <v>109</v>
      </c>
      <c r="J2154" s="4">
        <f>IFERROR(__xludf.DUMMYFUNCTION("DATE(INDEX(SPLIT(I2154,""/""),,3),INDEX(SPLIT(I2154,""/""),,2),INDEX(SPLIT(I2154,""/""),,1))"),44834.0)</f>
        <v>44834</v>
      </c>
      <c r="L2154" s="1">
        <v>0.0</v>
      </c>
      <c r="M2154" s="1" t="s">
        <v>653</v>
      </c>
      <c r="N2154" s="1"/>
      <c r="O2154" s="1" t="s">
        <v>30</v>
      </c>
      <c r="P2154" s="1" t="s">
        <v>31</v>
      </c>
      <c r="Q2154" s="1" t="s">
        <v>157</v>
      </c>
      <c r="R2154" s="1" t="s">
        <v>157</v>
      </c>
      <c r="S2154" s="1" t="s">
        <v>158</v>
      </c>
      <c r="U2154" s="1">
        <v>1.00591141E8</v>
      </c>
      <c r="X2154" s="1" t="s">
        <v>63</v>
      </c>
      <c r="Y2154" s="1" t="s">
        <v>3880</v>
      </c>
      <c r="Z2154" s="1" t="s">
        <v>37</v>
      </c>
    </row>
    <row r="2155" hidden="1">
      <c r="A2155" s="1" t="s">
        <v>6804</v>
      </c>
      <c r="B2155" s="1" t="s">
        <v>120</v>
      </c>
      <c r="C2155" s="1" t="s">
        <v>6805</v>
      </c>
      <c r="D2155" s="1" t="s">
        <v>78</v>
      </c>
      <c r="E2155" s="1" t="s">
        <v>28</v>
      </c>
      <c r="F2155" s="2">
        <v>500000.0</v>
      </c>
      <c r="G2155" s="4">
        <v>44744.0</v>
      </c>
      <c r="H2155" s="4">
        <f>IFERROR(__xludf.DUMMYFUNCTION("DATE(INDEX(SPLIT(G2155,""/""),,3),INDEX(SPLIT(G2155,""/""),,2),INDEX(SPLIT(G2155,""/""),,1))"),44599.0)</f>
        <v>44599</v>
      </c>
      <c r="I2155" s="1" t="s">
        <v>109</v>
      </c>
      <c r="J2155" s="4">
        <f>IFERROR(__xludf.DUMMYFUNCTION("DATE(INDEX(SPLIT(I2155,""/""),,3),INDEX(SPLIT(I2155,""/""),,2),INDEX(SPLIT(I2155,""/""),,1))"),44834.0)</f>
        <v>44834</v>
      </c>
      <c r="L2155" s="1">
        <v>0.0</v>
      </c>
      <c r="M2155" s="1" t="s">
        <v>1643</v>
      </c>
      <c r="N2155" s="1"/>
      <c r="O2155" s="1" t="s">
        <v>30</v>
      </c>
      <c r="P2155" s="1" t="s">
        <v>31</v>
      </c>
      <c r="Q2155" s="1" t="s">
        <v>53</v>
      </c>
      <c r="R2155" s="1" t="s">
        <v>53</v>
      </c>
      <c r="S2155" s="1" t="s">
        <v>54</v>
      </c>
      <c r="T2155" s="1" t="s">
        <v>442</v>
      </c>
      <c r="U2155" s="1">
        <v>1.00653977E8</v>
      </c>
      <c r="X2155" s="1" t="s">
        <v>125</v>
      </c>
      <c r="Y2155" s="1" t="s">
        <v>1643</v>
      </c>
      <c r="Z2155" s="1" t="s">
        <v>37</v>
      </c>
    </row>
    <row r="2156" hidden="1">
      <c r="A2156" s="1" t="s">
        <v>6806</v>
      </c>
      <c r="B2156" s="1" t="s">
        <v>1445</v>
      </c>
      <c r="C2156" s="1" t="s">
        <v>6807</v>
      </c>
      <c r="D2156" s="1" t="s">
        <v>78</v>
      </c>
      <c r="E2156" s="1" t="s">
        <v>28</v>
      </c>
      <c r="F2156" s="2">
        <v>500000.0</v>
      </c>
      <c r="G2156" s="1" t="s">
        <v>6808</v>
      </c>
      <c r="H2156" s="4">
        <f>IFERROR(__xludf.DUMMYFUNCTION("DATE(INDEX(SPLIT(G2156,""/""),,3),INDEX(SPLIT(G2156,""/""),,2),INDEX(SPLIT(G2156,""/""),,1))"),44096.0)</f>
        <v>44096</v>
      </c>
      <c r="I2156" s="1" t="s">
        <v>317</v>
      </c>
      <c r="J2156" s="4">
        <f>IFERROR(__xludf.DUMMYFUNCTION("DATE(INDEX(SPLIT(I2156,""/""),,3),INDEX(SPLIT(I2156,""/""),,2),INDEX(SPLIT(I2156,""/""),,1))"),44862.0)</f>
        <v>44862</v>
      </c>
      <c r="L2156" s="1">
        <v>0.0</v>
      </c>
      <c r="M2156" s="1" t="s">
        <v>3810</v>
      </c>
      <c r="N2156" s="1"/>
      <c r="O2156" s="1" t="s">
        <v>30</v>
      </c>
      <c r="P2156" s="1" t="s">
        <v>31</v>
      </c>
      <c r="Q2156" s="1" t="s">
        <v>188</v>
      </c>
      <c r="R2156" s="1" t="s">
        <v>188</v>
      </c>
      <c r="S2156" s="1" t="s">
        <v>189</v>
      </c>
      <c r="T2156" s="1" t="s">
        <v>136</v>
      </c>
      <c r="U2156" s="1">
        <v>1.00635485E8</v>
      </c>
      <c r="X2156" s="1" t="s">
        <v>74</v>
      </c>
      <c r="Y2156" s="1" t="s">
        <v>3810</v>
      </c>
      <c r="Z2156" s="1" t="s">
        <v>37</v>
      </c>
    </row>
    <row r="2157" hidden="1">
      <c r="A2157" s="1" t="s">
        <v>6809</v>
      </c>
      <c r="B2157" s="1" t="s">
        <v>532</v>
      </c>
      <c r="C2157" s="1" t="s">
        <v>6810</v>
      </c>
      <c r="D2157" s="1" t="s">
        <v>27</v>
      </c>
      <c r="E2157" s="1" t="s">
        <v>28</v>
      </c>
      <c r="F2157" s="2">
        <v>500000.0</v>
      </c>
      <c r="G2157" s="4">
        <v>44357.0</v>
      </c>
      <c r="H2157" s="4">
        <f>IFERROR(__xludf.DUMMYFUNCTION("DATE(INDEX(SPLIT(G2157,""/""),,3),INDEX(SPLIT(G2157,""/""),,2),INDEX(SPLIT(G2157,""/""),,1))"),44475.0)</f>
        <v>44475</v>
      </c>
      <c r="I2157" s="1" t="s">
        <v>130</v>
      </c>
      <c r="J2157" s="4">
        <f>IFERROR(__xludf.DUMMYFUNCTION("DATE(INDEX(SPLIT(I2157,""/""),,3),INDEX(SPLIT(I2157,""/""),,2),INDEX(SPLIT(I2157,""/""),,1))"),44804.0)</f>
        <v>44804</v>
      </c>
      <c r="L2157" s="1">
        <v>0.0</v>
      </c>
      <c r="M2157" s="1" t="s">
        <v>488</v>
      </c>
      <c r="N2157" s="1"/>
      <c r="O2157" s="1" t="s">
        <v>30</v>
      </c>
      <c r="P2157" s="1" t="s">
        <v>31</v>
      </c>
      <c r="Q2157" s="1" t="s">
        <v>95</v>
      </c>
      <c r="R2157" s="1" t="s">
        <v>95</v>
      </c>
      <c r="S2157" s="1" t="s">
        <v>96</v>
      </c>
      <c r="T2157" s="1" t="s">
        <v>489</v>
      </c>
      <c r="U2157" s="1">
        <v>1.00611486E8</v>
      </c>
      <c r="X2157" s="1" t="s">
        <v>490</v>
      </c>
      <c r="Y2157" s="1" t="s">
        <v>2835</v>
      </c>
      <c r="Z2157" s="1" t="s">
        <v>37</v>
      </c>
    </row>
    <row r="2158">
      <c r="A2158" s="1" t="s">
        <v>6811</v>
      </c>
      <c r="B2158" s="1" t="s">
        <v>1371</v>
      </c>
      <c r="C2158" s="1" t="s">
        <v>6812</v>
      </c>
      <c r="D2158" s="1" t="s">
        <v>27</v>
      </c>
      <c r="E2158" s="1" t="s">
        <v>28</v>
      </c>
      <c r="F2158" s="2">
        <v>500000.0</v>
      </c>
      <c r="G2158" s="1" t="s">
        <v>2064</v>
      </c>
      <c r="H2158" s="4">
        <f>IFERROR(__xludf.DUMMYFUNCTION("DATE(INDEX(SPLIT(G2158,""/""),,3),INDEX(SPLIT(G2158,""/""),,2),INDEX(SPLIT(G2158,""/""),,1))"),44616.0)</f>
        <v>44616</v>
      </c>
      <c r="I2158" s="1" t="s">
        <v>607</v>
      </c>
      <c r="J2158" s="4">
        <f>IFERROR(__xludf.DUMMYFUNCTION("DATE(INDEX(SPLIT(I2158,""/""),,3),INDEX(SPLIT(I2158,""/""),,2),INDEX(SPLIT(I2158,""/""),,1))"),44770.0)</f>
        <v>44770</v>
      </c>
      <c r="L2158" s="1">
        <v>0.0</v>
      </c>
      <c r="M2158" s="1" t="s">
        <v>1817</v>
      </c>
      <c r="N2158" s="1"/>
      <c r="O2158" s="1" t="s">
        <v>30</v>
      </c>
      <c r="P2158" s="1" t="s">
        <v>31</v>
      </c>
      <c r="Q2158" s="1" t="s">
        <v>95</v>
      </c>
      <c r="R2158" s="1" t="s">
        <v>95</v>
      </c>
      <c r="S2158" s="1" t="s">
        <v>96</v>
      </c>
      <c r="U2158" s="1">
        <v>1.00610489E8</v>
      </c>
      <c r="X2158" s="1" t="s">
        <v>63</v>
      </c>
      <c r="Y2158" s="1" t="s">
        <v>6813</v>
      </c>
      <c r="Z2158" s="1" t="s">
        <v>37</v>
      </c>
    </row>
    <row r="2159" hidden="1">
      <c r="A2159" s="1" t="s">
        <v>6814</v>
      </c>
      <c r="B2159" s="1" t="s">
        <v>6815</v>
      </c>
      <c r="C2159" s="1" t="s">
        <v>6816</v>
      </c>
      <c r="D2159" s="1" t="s">
        <v>78</v>
      </c>
      <c r="E2159" s="1" t="s">
        <v>28</v>
      </c>
      <c r="F2159" s="2">
        <v>500000.0</v>
      </c>
      <c r="G2159" s="1" t="s">
        <v>3896</v>
      </c>
      <c r="H2159" s="4">
        <f>IFERROR(__xludf.DUMMYFUNCTION("DATE(INDEX(SPLIT(G2159,""/""),,3),INDEX(SPLIT(G2159,""/""),,2),INDEX(SPLIT(G2159,""/""),,1))"),44697.0)</f>
        <v>44697</v>
      </c>
      <c r="I2159" s="4">
        <v>44601.0</v>
      </c>
      <c r="J2159" s="4">
        <f>IFERROR(__xludf.DUMMYFUNCTION("DATE(INDEX(SPLIT(I2159,""/""),,3),INDEX(SPLIT(I2159,""/""),,2),INDEX(SPLIT(I2159,""/""),,1))"),44806.0)</f>
        <v>44806</v>
      </c>
      <c r="L2159" s="1">
        <v>0.0</v>
      </c>
      <c r="M2159" s="1" t="s">
        <v>2444</v>
      </c>
      <c r="N2159" s="1"/>
      <c r="O2159" s="1" t="s">
        <v>30</v>
      </c>
      <c r="P2159" s="1" t="s">
        <v>31</v>
      </c>
      <c r="Q2159" s="1" t="s">
        <v>71</v>
      </c>
      <c r="R2159" s="1" t="s">
        <v>71</v>
      </c>
      <c r="S2159" s="1" t="s">
        <v>72</v>
      </c>
      <c r="T2159" s="1" t="s">
        <v>73</v>
      </c>
      <c r="U2159" s="1">
        <v>1.00612395E8</v>
      </c>
      <c r="X2159" s="1" t="s">
        <v>74</v>
      </c>
      <c r="Y2159" s="1" t="s">
        <v>6817</v>
      </c>
      <c r="Z2159" s="1" t="s">
        <v>37</v>
      </c>
    </row>
    <row r="2160" hidden="1">
      <c r="A2160" s="1" t="s">
        <v>6818</v>
      </c>
      <c r="B2160" s="1" t="s">
        <v>1743</v>
      </c>
      <c r="C2160" s="1" t="s">
        <v>6819</v>
      </c>
      <c r="D2160" s="1" t="s">
        <v>27</v>
      </c>
      <c r="E2160" s="1" t="s">
        <v>28</v>
      </c>
      <c r="F2160" s="2">
        <v>500000.0</v>
      </c>
      <c r="G2160" s="1" t="s">
        <v>5672</v>
      </c>
      <c r="H2160" s="4">
        <f>IFERROR(__xludf.DUMMYFUNCTION("DATE(INDEX(SPLIT(G2160,""/""),,3),INDEX(SPLIT(G2160,""/""),,2),INDEX(SPLIT(G2160,""/""),,1))"),43515.0)</f>
        <v>43515</v>
      </c>
      <c r="I2160" s="1" t="s">
        <v>130</v>
      </c>
      <c r="J2160" s="4">
        <f>IFERROR(__xludf.DUMMYFUNCTION("DATE(INDEX(SPLIT(I2160,""/""),,3),INDEX(SPLIT(I2160,""/""),,2),INDEX(SPLIT(I2160,""/""),,1))"),44804.0)</f>
        <v>44804</v>
      </c>
      <c r="L2160" s="1">
        <v>0.0</v>
      </c>
      <c r="M2160" s="1" t="s">
        <v>1745</v>
      </c>
      <c r="N2160" s="1"/>
      <c r="O2160" s="1" t="s">
        <v>30</v>
      </c>
      <c r="P2160" s="1" t="s">
        <v>31</v>
      </c>
      <c r="Q2160" s="1" t="s">
        <v>71</v>
      </c>
      <c r="R2160" s="1" t="s">
        <v>71</v>
      </c>
      <c r="S2160" s="1" t="s">
        <v>72</v>
      </c>
      <c r="T2160" s="1" t="s">
        <v>136</v>
      </c>
      <c r="U2160" s="1">
        <v>1.00582847E8</v>
      </c>
      <c r="X2160" s="1" t="s">
        <v>74</v>
      </c>
      <c r="Y2160" s="1" t="s">
        <v>1746</v>
      </c>
      <c r="Z2160" s="1" t="s">
        <v>37</v>
      </c>
    </row>
    <row r="2161">
      <c r="A2161" s="1" t="s">
        <v>6820</v>
      </c>
      <c r="B2161" s="1" t="s">
        <v>6821</v>
      </c>
      <c r="C2161" s="1" t="s">
        <v>6822</v>
      </c>
      <c r="D2161" s="1" t="s">
        <v>122</v>
      </c>
      <c r="E2161" s="1" t="s">
        <v>28</v>
      </c>
      <c r="F2161" s="2">
        <v>500000.0</v>
      </c>
      <c r="G2161" s="4">
        <v>44810.0</v>
      </c>
      <c r="H2161" s="4">
        <f>IFERROR(__xludf.DUMMYFUNCTION("DATE(INDEX(SPLIT(G2161,""/""),,3),INDEX(SPLIT(G2161,""/""),,2),INDEX(SPLIT(G2161,""/""),,1))"),44721.0)</f>
        <v>44721</v>
      </c>
      <c r="I2161" s="1" t="s">
        <v>518</v>
      </c>
      <c r="J2161" s="4">
        <f>IFERROR(__xludf.DUMMYFUNCTION("DATE(INDEX(SPLIT(I2161,""/""),,3),INDEX(SPLIT(I2161,""/""),,2),INDEX(SPLIT(I2161,""/""),,1))"),44757.0)</f>
        <v>44757</v>
      </c>
      <c r="L2161" s="1">
        <v>0.0</v>
      </c>
      <c r="M2161" s="1" t="s">
        <v>941</v>
      </c>
      <c r="N2161" s="1"/>
      <c r="O2161" s="1" t="s">
        <v>30</v>
      </c>
      <c r="P2161" s="1" t="s">
        <v>31</v>
      </c>
      <c r="Q2161" s="1" t="s">
        <v>235</v>
      </c>
      <c r="R2161" s="1" t="s">
        <v>235</v>
      </c>
      <c r="S2161" s="1" t="s">
        <v>236</v>
      </c>
      <c r="U2161" s="1">
        <v>1.00652846E8</v>
      </c>
      <c r="X2161" s="1" t="s">
        <v>98</v>
      </c>
      <c r="Y2161" s="1" t="s">
        <v>6823</v>
      </c>
      <c r="Z2161" s="1" t="s">
        <v>37</v>
      </c>
    </row>
    <row r="2162" hidden="1">
      <c r="A2162" s="1" t="s">
        <v>6824</v>
      </c>
      <c r="B2162" s="1" t="s">
        <v>301</v>
      </c>
      <c r="C2162" s="1" t="s">
        <v>6825</v>
      </c>
      <c r="D2162" s="1" t="s">
        <v>27</v>
      </c>
      <c r="E2162" s="1" t="s">
        <v>28</v>
      </c>
      <c r="F2162" s="2">
        <v>500000.0</v>
      </c>
      <c r="G2162" s="4">
        <v>44870.0</v>
      </c>
      <c r="H2162" s="4">
        <f>IFERROR(__xludf.DUMMYFUNCTION("DATE(INDEX(SPLIT(G2162,""/""),,3),INDEX(SPLIT(G2162,""/""),,2),INDEX(SPLIT(G2162,""/""),,1))"),44692.0)</f>
        <v>44692</v>
      </c>
      <c r="I2162" s="1" t="s">
        <v>1097</v>
      </c>
      <c r="J2162" s="4">
        <f>IFERROR(__xludf.DUMMYFUNCTION("DATE(INDEX(SPLIT(I2162,""/""),,3),INDEX(SPLIT(I2162,""/""),,2),INDEX(SPLIT(I2162,""/""),,1))"),45107.0)</f>
        <v>45107</v>
      </c>
      <c r="L2162" s="1">
        <v>0.0</v>
      </c>
      <c r="M2162" s="1" t="s">
        <v>2582</v>
      </c>
      <c r="N2162" s="1"/>
      <c r="O2162" s="1" t="s">
        <v>30</v>
      </c>
      <c r="P2162" s="1" t="s">
        <v>31</v>
      </c>
      <c r="Q2162" s="1" t="s">
        <v>157</v>
      </c>
      <c r="R2162" s="1" t="s">
        <v>157</v>
      </c>
      <c r="S2162" s="1" t="s">
        <v>158</v>
      </c>
      <c r="U2162" s="1">
        <v>1.00590772E8</v>
      </c>
      <c r="X2162" s="1" t="s">
        <v>305</v>
      </c>
      <c r="Y2162" s="1" t="s">
        <v>2224</v>
      </c>
      <c r="Z2162" s="1" t="s">
        <v>37</v>
      </c>
    </row>
    <row r="2163" hidden="1">
      <c r="A2163" s="1" t="s">
        <v>6826</v>
      </c>
      <c r="B2163" s="1" t="s">
        <v>954</v>
      </c>
      <c r="C2163" s="1" t="s">
        <v>6827</v>
      </c>
      <c r="D2163" s="1" t="s">
        <v>27</v>
      </c>
      <c r="E2163" s="1" t="s">
        <v>28</v>
      </c>
      <c r="F2163" s="2">
        <v>500000.0</v>
      </c>
      <c r="G2163" s="1" t="s">
        <v>576</v>
      </c>
      <c r="H2163" s="4">
        <f>IFERROR(__xludf.DUMMYFUNCTION("DATE(INDEX(SPLIT(G2163,""/""),,3),INDEX(SPLIT(G2163,""/""),,2),INDEX(SPLIT(G2163,""/""),,1))"),44614.0)</f>
        <v>44614</v>
      </c>
      <c r="I2163" s="1" t="s">
        <v>281</v>
      </c>
      <c r="J2163" s="4">
        <f>IFERROR(__xludf.DUMMYFUNCTION("DATE(INDEX(SPLIT(I2163,""/""),,3),INDEX(SPLIT(I2163,""/""),,2),INDEX(SPLIT(I2163,""/""),,1))"),44865.0)</f>
        <v>44865</v>
      </c>
      <c r="L2163" s="1">
        <v>0.0</v>
      </c>
      <c r="M2163" s="1" t="s">
        <v>2107</v>
      </c>
      <c r="N2163" s="1"/>
      <c r="O2163" s="1" t="s">
        <v>30</v>
      </c>
      <c r="P2163" s="1" t="s">
        <v>31</v>
      </c>
      <c r="Q2163" s="1" t="s">
        <v>71</v>
      </c>
      <c r="R2163" s="1" t="s">
        <v>71</v>
      </c>
      <c r="S2163" s="1" t="s">
        <v>72</v>
      </c>
      <c r="T2163" s="1" t="s">
        <v>73</v>
      </c>
      <c r="U2163" s="1">
        <v>1.0061233E8</v>
      </c>
      <c r="X2163" s="1" t="s">
        <v>74</v>
      </c>
      <c r="Y2163" s="1" t="s">
        <v>2107</v>
      </c>
      <c r="Z2163" s="1" t="s">
        <v>37</v>
      </c>
    </row>
    <row r="2164" hidden="1">
      <c r="A2164" s="1" t="s">
        <v>6828</v>
      </c>
      <c r="B2164" s="1" t="s">
        <v>784</v>
      </c>
      <c r="C2164" s="1" t="s">
        <v>6829</v>
      </c>
      <c r="D2164" s="1" t="s">
        <v>27</v>
      </c>
      <c r="E2164" s="1" t="s">
        <v>28</v>
      </c>
      <c r="F2164" s="2">
        <v>500000.0</v>
      </c>
      <c r="G2164" s="1" t="s">
        <v>586</v>
      </c>
      <c r="H2164" s="4">
        <f>IFERROR(__xludf.DUMMYFUNCTION("DATE(INDEX(SPLIT(G2164,""/""),,3),INDEX(SPLIT(G2164,""/""),,2),INDEX(SPLIT(G2164,""/""),,1))"),44726.0)</f>
        <v>44726</v>
      </c>
      <c r="I2164" s="4">
        <v>45078.0</v>
      </c>
      <c r="J2164" s="4">
        <f>IFERROR(__xludf.DUMMYFUNCTION("DATE(INDEX(SPLIT(I2164,""/""),,3),INDEX(SPLIT(I2164,""/""),,2),INDEX(SPLIT(I2164,""/""),,1))"),44932.0)</f>
        <v>44932</v>
      </c>
      <c r="L2164" s="1">
        <v>0.0</v>
      </c>
      <c r="M2164" s="1" t="s">
        <v>2827</v>
      </c>
      <c r="N2164" s="1"/>
      <c r="O2164" s="1" t="s">
        <v>30</v>
      </c>
      <c r="P2164" s="1" t="s">
        <v>31</v>
      </c>
      <c r="Q2164" s="1" t="s">
        <v>228</v>
      </c>
      <c r="R2164" s="1" t="s">
        <v>228</v>
      </c>
      <c r="S2164" s="1" t="s">
        <v>229</v>
      </c>
      <c r="T2164" s="1" t="s">
        <v>1344</v>
      </c>
      <c r="U2164" s="1">
        <v>1.006376E8</v>
      </c>
      <c r="V2164" s="1" t="s">
        <v>6830</v>
      </c>
      <c r="W2164" s="1" t="s">
        <v>2556</v>
      </c>
      <c r="X2164" s="1" t="s">
        <v>63</v>
      </c>
      <c r="Y2164" s="1" t="s">
        <v>2828</v>
      </c>
      <c r="Z2164" s="1" t="s">
        <v>37</v>
      </c>
    </row>
    <row r="2165" hidden="1">
      <c r="A2165" s="1" t="s">
        <v>6831</v>
      </c>
      <c r="B2165" s="1" t="s">
        <v>2283</v>
      </c>
      <c r="C2165" s="1" t="s">
        <v>6832</v>
      </c>
      <c r="D2165" s="1" t="s">
        <v>27</v>
      </c>
      <c r="E2165" s="1" t="s">
        <v>28</v>
      </c>
      <c r="F2165" s="2">
        <v>500000.0</v>
      </c>
      <c r="G2165" s="1" t="s">
        <v>1500</v>
      </c>
      <c r="H2165" s="4">
        <f>IFERROR(__xludf.DUMMYFUNCTION("DATE(INDEX(SPLIT(G2165,""/""),,3),INDEX(SPLIT(G2165,""/""),,2),INDEX(SPLIT(G2165,""/""),,1))"),44695.0)</f>
        <v>44695</v>
      </c>
      <c r="I2165" s="1" t="s">
        <v>109</v>
      </c>
      <c r="J2165" s="4">
        <f>IFERROR(__xludf.DUMMYFUNCTION("DATE(INDEX(SPLIT(I2165,""/""),,3),INDEX(SPLIT(I2165,""/""),,2),INDEX(SPLIT(I2165,""/""),,1))"),44834.0)</f>
        <v>44834</v>
      </c>
      <c r="L2165" s="1">
        <v>0.0</v>
      </c>
      <c r="M2165" s="1" t="s">
        <v>6833</v>
      </c>
      <c r="N2165" s="1"/>
      <c r="O2165" s="1" t="s">
        <v>30</v>
      </c>
      <c r="P2165" s="1" t="s">
        <v>31</v>
      </c>
      <c r="Q2165" s="1" t="s">
        <v>32</v>
      </c>
      <c r="R2165" s="1" t="s">
        <v>32</v>
      </c>
      <c r="S2165" s="1" t="s">
        <v>33</v>
      </c>
      <c r="T2165" s="1" t="s">
        <v>1195</v>
      </c>
      <c r="U2165" s="1">
        <v>1.01210545E8</v>
      </c>
      <c r="X2165" s="1" t="s">
        <v>490</v>
      </c>
      <c r="Y2165" s="1" t="s">
        <v>6833</v>
      </c>
      <c r="Z2165" s="1" t="s">
        <v>206</v>
      </c>
    </row>
    <row r="2166" hidden="1">
      <c r="A2166" s="1" t="s">
        <v>6834</v>
      </c>
      <c r="B2166" s="1" t="s">
        <v>6835</v>
      </c>
      <c r="C2166" s="1" t="s">
        <v>6836</v>
      </c>
      <c r="D2166" s="1" t="s">
        <v>27</v>
      </c>
      <c r="E2166" s="1" t="s">
        <v>28</v>
      </c>
      <c r="F2166" s="2">
        <v>500000.0</v>
      </c>
      <c r="G2166" s="1" t="s">
        <v>3269</v>
      </c>
      <c r="H2166" s="4">
        <f>IFERROR(__xludf.DUMMYFUNCTION("DATE(INDEX(SPLIT(G2166,""/""),,3),INDEX(SPLIT(G2166,""/""),,2),INDEX(SPLIT(G2166,""/""),,1))"),44399.0)</f>
        <v>44399</v>
      </c>
      <c r="I2166" s="4">
        <v>44662.0</v>
      </c>
      <c r="J2166" s="4">
        <f>IFERROR(__xludf.DUMMYFUNCTION("DATE(INDEX(SPLIT(I2166,""/""),,3),INDEX(SPLIT(I2166,""/""),,2),INDEX(SPLIT(I2166,""/""),,1))"),44869.0)</f>
        <v>44869</v>
      </c>
      <c r="L2166" s="1">
        <v>0.0</v>
      </c>
      <c r="M2166" s="1" t="s">
        <v>1115</v>
      </c>
      <c r="N2166" s="1"/>
      <c r="O2166" s="1" t="s">
        <v>30</v>
      </c>
      <c r="P2166" s="1" t="s">
        <v>31</v>
      </c>
      <c r="Q2166" s="1" t="s">
        <v>157</v>
      </c>
      <c r="R2166" s="1" t="s">
        <v>157</v>
      </c>
      <c r="S2166" s="1" t="s">
        <v>158</v>
      </c>
      <c r="T2166" s="1" t="s">
        <v>159</v>
      </c>
      <c r="U2166" s="1">
        <v>1.00609827E8</v>
      </c>
      <c r="X2166" s="1" t="s">
        <v>46</v>
      </c>
      <c r="Y2166" s="1" t="s">
        <v>6837</v>
      </c>
      <c r="Z2166" s="1" t="s">
        <v>37</v>
      </c>
    </row>
    <row r="2167" hidden="1">
      <c r="A2167" s="1" t="s">
        <v>6838</v>
      </c>
      <c r="B2167" s="1" t="s">
        <v>1665</v>
      </c>
      <c r="C2167" s="1" t="s">
        <v>6839</v>
      </c>
      <c r="D2167" s="1" t="s">
        <v>27</v>
      </c>
      <c r="E2167" s="1" t="s">
        <v>28</v>
      </c>
      <c r="F2167" s="2">
        <v>500000.0</v>
      </c>
      <c r="G2167" s="1" t="s">
        <v>3934</v>
      </c>
      <c r="H2167" s="4">
        <f>IFERROR(__xludf.DUMMYFUNCTION("DATE(INDEX(SPLIT(G2167,""/""),,3),INDEX(SPLIT(G2167,""/""),,2),INDEX(SPLIT(G2167,""/""),,1))"),44428.0)</f>
        <v>44428</v>
      </c>
      <c r="I2167" s="1" t="s">
        <v>109</v>
      </c>
      <c r="J2167" s="4">
        <f>IFERROR(__xludf.DUMMYFUNCTION("DATE(INDEX(SPLIT(I2167,""/""),,3),INDEX(SPLIT(I2167,""/""),,2),INDEX(SPLIT(I2167,""/""),,1))"),44834.0)</f>
        <v>44834</v>
      </c>
      <c r="L2167" s="1">
        <v>0.0</v>
      </c>
      <c r="M2167" s="1" t="s">
        <v>1833</v>
      </c>
      <c r="N2167" s="1"/>
      <c r="O2167" s="1" t="s">
        <v>30</v>
      </c>
      <c r="P2167" s="1" t="s">
        <v>31</v>
      </c>
      <c r="Q2167" s="1" t="s">
        <v>53</v>
      </c>
      <c r="R2167" s="1" t="s">
        <v>53</v>
      </c>
      <c r="S2167" s="1" t="s">
        <v>54</v>
      </c>
      <c r="T2167" s="1" t="s">
        <v>634</v>
      </c>
      <c r="U2167" s="1">
        <v>1.0105484E8</v>
      </c>
      <c r="V2167" s="1" t="s">
        <v>6840</v>
      </c>
      <c r="W2167" s="1" t="s">
        <v>45</v>
      </c>
      <c r="X2167" s="1" t="s">
        <v>490</v>
      </c>
      <c r="Y2167" s="1" t="s">
        <v>1833</v>
      </c>
      <c r="Z2167" s="1" t="s">
        <v>37</v>
      </c>
    </row>
    <row r="2168" hidden="1">
      <c r="A2168" s="1" t="s">
        <v>6841</v>
      </c>
      <c r="B2168" s="1" t="s">
        <v>1838</v>
      </c>
      <c r="C2168" s="1" t="s">
        <v>6842</v>
      </c>
      <c r="D2168" s="1" t="s">
        <v>27</v>
      </c>
      <c r="E2168" s="1" t="s">
        <v>28</v>
      </c>
      <c r="F2168" s="2">
        <v>500000.0</v>
      </c>
      <c r="G2168" s="1" t="s">
        <v>1500</v>
      </c>
      <c r="H2168" s="4">
        <f>IFERROR(__xludf.DUMMYFUNCTION("DATE(INDEX(SPLIT(G2168,""/""),,3),INDEX(SPLIT(G2168,""/""),,2),INDEX(SPLIT(G2168,""/""),,1))"),44695.0)</f>
        <v>44695</v>
      </c>
      <c r="I2168" s="1" t="s">
        <v>281</v>
      </c>
      <c r="J2168" s="4">
        <f>IFERROR(__xludf.DUMMYFUNCTION("DATE(INDEX(SPLIT(I2168,""/""),,3),INDEX(SPLIT(I2168,""/""),,2),INDEX(SPLIT(I2168,""/""),,1))"),44865.0)</f>
        <v>44865</v>
      </c>
      <c r="L2168" s="1">
        <v>0.0</v>
      </c>
      <c r="M2168" s="1" t="s">
        <v>6833</v>
      </c>
      <c r="N2168" s="1"/>
      <c r="O2168" s="1" t="s">
        <v>30</v>
      </c>
      <c r="P2168" s="1" t="s">
        <v>31</v>
      </c>
      <c r="Q2168" s="1" t="s">
        <v>32</v>
      </c>
      <c r="R2168" s="1" t="s">
        <v>32</v>
      </c>
      <c r="S2168" s="1" t="s">
        <v>33</v>
      </c>
      <c r="T2168" s="1" t="s">
        <v>1195</v>
      </c>
      <c r="U2168" s="1">
        <v>1.01210545E8</v>
      </c>
      <c r="X2168" s="1" t="s">
        <v>490</v>
      </c>
      <c r="Y2168" s="1" t="s">
        <v>6833</v>
      </c>
      <c r="Z2168" s="1" t="s">
        <v>206</v>
      </c>
    </row>
    <row r="2169" hidden="1">
      <c r="A2169" s="1" t="s">
        <v>6843</v>
      </c>
      <c r="B2169" s="1" t="s">
        <v>2439</v>
      </c>
      <c r="C2169" s="1" t="s">
        <v>6844</v>
      </c>
      <c r="D2169" s="1" t="s">
        <v>27</v>
      </c>
      <c r="E2169" s="1" t="s">
        <v>28</v>
      </c>
      <c r="F2169" s="2">
        <v>500000.0</v>
      </c>
      <c r="G2169" s="1" t="s">
        <v>934</v>
      </c>
      <c r="H2169" s="4">
        <f>IFERROR(__xludf.DUMMYFUNCTION("DATE(INDEX(SPLIT(G2169,""/""),,3),INDEX(SPLIT(G2169,""/""),,2),INDEX(SPLIT(G2169,""/""),,1))"),44681.0)</f>
        <v>44681</v>
      </c>
      <c r="I2169" s="1" t="s">
        <v>203</v>
      </c>
      <c r="J2169" s="4">
        <f>IFERROR(__xludf.DUMMYFUNCTION("DATE(INDEX(SPLIT(I2169,""/""),,3),INDEX(SPLIT(I2169,""/""),,2),INDEX(SPLIT(I2169,""/""),,1))"),44925.0)</f>
        <v>44925</v>
      </c>
      <c r="L2169" s="1">
        <v>0.0</v>
      </c>
      <c r="M2169" s="1" t="s">
        <v>1565</v>
      </c>
      <c r="N2169" s="1"/>
      <c r="O2169" s="1" t="s">
        <v>30</v>
      </c>
      <c r="P2169" s="1" t="s">
        <v>31</v>
      </c>
      <c r="Q2169" s="1" t="s">
        <v>157</v>
      </c>
      <c r="R2169" s="1" t="s">
        <v>157</v>
      </c>
      <c r="S2169" s="1" t="s">
        <v>158</v>
      </c>
      <c r="T2169" s="1" t="s">
        <v>442</v>
      </c>
      <c r="U2169" s="1">
        <v>1.00646908E8</v>
      </c>
      <c r="X2169" s="1" t="s">
        <v>781</v>
      </c>
      <c r="Y2169" s="1" t="s">
        <v>3455</v>
      </c>
      <c r="Z2169" s="1" t="s">
        <v>37</v>
      </c>
    </row>
    <row r="2170" hidden="1">
      <c r="A2170" s="1" t="s">
        <v>6845</v>
      </c>
      <c r="B2170" s="1" t="s">
        <v>4090</v>
      </c>
      <c r="C2170" s="1" t="s">
        <v>6846</v>
      </c>
      <c r="D2170" s="1" t="s">
        <v>27</v>
      </c>
      <c r="E2170" s="1" t="s">
        <v>28</v>
      </c>
      <c r="F2170" s="2">
        <v>500000.0</v>
      </c>
      <c r="G2170" s="1" t="s">
        <v>6847</v>
      </c>
      <c r="H2170" s="4">
        <f>IFERROR(__xludf.DUMMYFUNCTION("DATE(INDEX(SPLIT(G2170,""/""),,3),INDEX(SPLIT(G2170,""/""),,2),INDEX(SPLIT(G2170,""/""),,1))"),43756.0)</f>
        <v>43756</v>
      </c>
      <c r="I2170" s="1" t="s">
        <v>85</v>
      </c>
      <c r="J2170" s="4">
        <f>IFERROR(__xludf.DUMMYFUNCTION("DATE(INDEX(SPLIT(I2170,""/""),,3),INDEX(SPLIT(I2170,""/""),,2),INDEX(SPLIT(I2170,""/""),,1))"),44799.0)</f>
        <v>44799</v>
      </c>
      <c r="L2170" s="1">
        <v>0.0</v>
      </c>
      <c r="M2170" s="1" t="s">
        <v>4111</v>
      </c>
      <c r="N2170" s="1"/>
      <c r="O2170" s="1" t="s">
        <v>30</v>
      </c>
      <c r="P2170" s="1" t="s">
        <v>31</v>
      </c>
      <c r="Q2170" s="1" t="s">
        <v>32</v>
      </c>
      <c r="R2170" s="1" t="s">
        <v>32</v>
      </c>
      <c r="S2170" s="1" t="s">
        <v>33</v>
      </c>
      <c r="T2170" s="1" t="s">
        <v>402</v>
      </c>
      <c r="U2170" s="1">
        <v>1.00586786E8</v>
      </c>
      <c r="X2170" s="1" t="s">
        <v>190</v>
      </c>
      <c r="Y2170" s="1" t="s">
        <v>4111</v>
      </c>
      <c r="Z2170" s="1" t="s">
        <v>37</v>
      </c>
    </row>
    <row r="2171" hidden="1">
      <c r="A2171" s="1" t="s">
        <v>6848</v>
      </c>
      <c r="B2171" s="1" t="s">
        <v>4063</v>
      </c>
      <c r="C2171" s="1" t="s">
        <v>6849</v>
      </c>
      <c r="D2171" s="1" t="s">
        <v>78</v>
      </c>
      <c r="E2171" s="1" t="s">
        <v>28</v>
      </c>
      <c r="F2171" s="2">
        <v>500000.0</v>
      </c>
      <c r="G2171" s="1" t="s">
        <v>557</v>
      </c>
      <c r="H2171" s="4">
        <f>IFERROR(__xludf.DUMMYFUNCTION("DATE(INDEX(SPLIT(G2171,""/""),,3),INDEX(SPLIT(G2171,""/""),,2),INDEX(SPLIT(G2171,""/""),,1))"),44439.0)</f>
        <v>44439</v>
      </c>
      <c r="I2171" s="1" t="s">
        <v>130</v>
      </c>
      <c r="J2171" s="4">
        <f>IFERROR(__xludf.DUMMYFUNCTION("DATE(INDEX(SPLIT(I2171,""/""),,3),INDEX(SPLIT(I2171,""/""),,2),INDEX(SPLIT(I2171,""/""),,1))"),44804.0)</f>
        <v>44804</v>
      </c>
      <c r="L2171" s="1">
        <v>0.0</v>
      </c>
      <c r="M2171" s="1" t="s">
        <v>401</v>
      </c>
      <c r="N2171" s="1"/>
      <c r="O2171" s="1" t="s">
        <v>30</v>
      </c>
      <c r="P2171" s="1" t="s">
        <v>31</v>
      </c>
      <c r="Q2171" s="1" t="s">
        <v>32</v>
      </c>
      <c r="R2171" s="1" t="s">
        <v>32</v>
      </c>
      <c r="S2171" s="1" t="s">
        <v>33</v>
      </c>
      <c r="T2171" s="1" t="s">
        <v>402</v>
      </c>
      <c r="U2171" s="1">
        <v>1.0059112E8</v>
      </c>
      <c r="X2171" s="1" t="s">
        <v>117</v>
      </c>
      <c r="Y2171" s="1" t="s">
        <v>2576</v>
      </c>
      <c r="Z2171" s="1" t="s">
        <v>37</v>
      </c>
    </row>
    <row r="2172">
      <c r="A2172" s="1" t="s">
        <v>6850</v>
      </c>
      <c r="B2172" s="1" t="s">
        <v>2884</v>
      </c>
      <c r="C2172" s="1" t="s">
        <v>6851</v>
      </c>
      <c r="D2172" s="1" t="s">
        <v>27</v>
      </c>
      <c r="E2172" s="1" t="s">
        <v>28</v>
      </c>
      <c r="F2172" s="2">
        <v>500000.0</v>
      </c>
      <c r="G2172" s="4">
        <v>44775.0</v>
      </c>
      <c r="H2172" s="4">
        <f>IFERROR(__xludf.DUMMYFUNCTION("DATE(INDEX(SPLIT(G2172,""/""),,3),INDEX(SPLIT(G2172,""/""),,2),INDEX(SPLIT(G2172,""/""),,1))"),44600.0)</f>
        <v>44600</v>
      </c>
      <c r="I2172" s="1" t="s">
        <v>1244</v>
      </c>
      <c r="J2172" s="4">
        <f>IFERROR(__xludf.DUMMYFUNCTION("DATE(INDEX(SPLIT(I2172,""/""),,3),INDEX(SPLIT(I2172,""/""),,2),INDEX(SPLIT(I2172,""/""),,1))"),44742.0)</f>
        <v>44742</v>
      </c>
      <c r="L2172" s="1">
        <v>0.0</v>
      </c>
      <c r="M2172" s="1" t="s">
        <v>1723</v>
      </c>
      <c r="N2172" s="1"/>
      <c r="O2172" s="1" t="s">
        <v>30</v>
      </c>
      <c r="P2172" s="1" t="s">
        <v>31</v>
      </c>
      <c r="Q2172" s="1" t="s">
        <v>157</v>
      </c>
      <c r="R2172" s="1" t="s">
        <v>157</v>
      </c>
      <c r="S2172" s="1" t="s">
        <v>158</v>
      </c>
      <c r="U2172" s="1">
        <v>1.00654085E8</v>
      </c>
      <c r="X2172" s="1" t="s">
        <v>74</v>
      </c>
      <c r="Y2172" s="1" t="s">
        <v>1622</v>
      </c>
      <c r="Z2172" s="1" t="s">
        <v>37</v>
      </c>
    </row>
    <row r="2173" hidden="1">
      <c r="A2173" s="1" t="s">
        <v>6852</v>
      </c>
      <c r="B2173" s="1" t="s">
        <v>1192</v>
      </c>
      <c r="C2173" s="1" t="s">
        <v>6853</v>
      </c>
      <c r="D2173" s="1" t="s">
        <v>27</v>
      </c>
      <c r="E2173" s="1" t="s">
        <v>28</v>
      </c>
      <c r="F2173" s="2">
        <v>500000.0</v>
      </c>
      <c r="G2173" s="4">
        <v>44779.0</v>
      </c>
      <c r="H2173" s="4">
        <f>IFERROR(__xludf.DUMMYFUNCTION("DATE(INDEX(SPLIT(G2173,""/""),,3),INDEX(SPLIT(G2173,""/""),,2),INDEX(SPLIT(G2173,""/""),,1))"),44720.0)</f>
        <v>44720</v>
      </c>
      <c r="I2173" s="1" t="s">
        <v>625</v>
      </c>
      <c r="J2173" s="4">
        <f>IFERROR(__xludf.DUMMYFUNCTION("DATE(INDEX(SPLIT(I2173,""/""),,3),INDEX(SPLIT(I2173,""/""),,2),INDEX(SPLIT(I2173,""/""),,1))"),44848.0)</f>
        <v>44848</v>
      </c>
      <c r="L2173" s="1">
        <v>0.0</v>
      </c>
      <c r="M2173" s="1" t="s">
        <v>3099</v>
      </c>
      <c r="N2173" s="1"/>
      <c r="O2173" s="1" t="s">
        <v>30</v>
      </c>
      <c r="P2173" s="1" t="s">
        <v>31</v>
      </c>
      <c r="Q2173" s="1" t="s">
        <v>95</v>
      </c>
      <c r="R2173" s="1" t="s">
        <v>95</v>
      </c>
      <c r="S2173" s="1" t="s">
        <v>96</v>
      </c>
      <c r="T2173" s="1" t="s">
        <v>97</v>
      </c>
      <c r="U2173" s="1">
        <v>1.00589299E8</v>
      </c>
      <c r="X2173" s="1" t="s">
        <v>125</v>
      </c>
      <c r="Y2173" s="1" t="s">
        <v>2576</v>
      </c>
      <c r="Z2173" s="1" t="s">
        <v>37</v>
      </c>
    </row>
    <row r="2174" hidden="1">
      <c r="A2174" s="1" t="s">
        <v>6854</v>
      </c>
      <c r="B2174" s="1" t="s">
        <v>1619</v>
      </c>
      <c r="C2174" s="1" t="s">
        <v>6855</v>
      </c>
      <c r="D2174" s="1" t="s">
        <v>27</v>
      </c>
      <c r="E2174" s="1" t="s">
        <v>28</v>
      </c>
      <c r="F2174" s="2">
        <v>500000.0</v>
      </c>
      <c r="G2174" s="1" t="s">
        <v>424</v>
      </c>
      <c r="H2174" s="4">
        <f>IFERROR(__xludf.DUMMYFUNCTION("DATE(INDEX(SPLIT(G2174,""/""),,3),INDEX(SPLIT(G2174,""/""),,2),INDEX(SPLIT(G2174,""/""),,1))"),44405.0)</f>
        <v>44405</v>
      </c>
      <c r="I2174" s="1" t="s">
        <v>109</v>
      </c>
      <c r="J2174" s="4">
        <f>IFERROR(__xludf.DUMMYFUNCTION("DATE(INDEX(SPLIT(I2174,""/""),,3),INDEX(SPLIT(I2174,""/""),,2),INDEX(SPLIT(I2174,""/""),,1))"),44834.0)</f>
        <v>44834</v>
      </c>
      <c r="K2174" s="1" t="s">
        <v>6856</v>
      </c>
      <c r="L2174" s="1">
        <v>0.0</v>
      </c>
      <c r="M2174" s="1" t="s">
        <v>1833</v>
      </c>
      <c r="N2174" s="1"/>
      <c r="O2174" s="1" t="s">
        <v>30</v>
      </c>
      <c r="P2174" s="1" t="s">
        <v>31</v>
      </c>
      <c r="Q2174" s="1" t="s">
        <v>53</v>
      </c>
      <c r="R2174" s="1" t="s">
        <v>53</v>
      </c>
      <c r="S2174" s="1" t="s">
        <v>54</v>
      </c>
      <c r="T2174" s="1" t="s">
        <v>634</v>
      </c>
      <c r="U2174" s="1">
        <v>1.0105484E8</v>
      </c>
      <c r="X2174" s="1" t="s">
        <v>117</v>
      </c>
      <c r="Y2174" s="1" t="s">
        <v>1833</v>
      </c>
      <c r="Z2174" s="1" t="s">
        <v>37</v>
      </c>
    </row>
    <row r="2175">
      <c r="A2175" s="1" t="s">
        <v>6857</v>
      </c>
      <c r="B2175" s="1" t="s">
        <v>4785</v>
      </c>
      <c r="C2175" s="1" t="s">
        <v>6858</v>
      </c>
      <c r="D2175" s="1" t="s">
        <v>68</v>
      </c>
      <c r="E2175" s="1" t="s">
        <v>28</v>
      </c>
      <c r="F2175" s="2">
        <v>500000.0</v>
      </c>
      <c r="G2175" s="1" t="s">
        <v>2324</v>
      </c>
      <c r="H2175" s="4">
        <f>IFERROR(__xludf.DUMMYFUNCTION("DATE(INDEX(SPLIT(G2175,""/""),,3),INDEX(SPLIT(G2175,""/""),,2),INDEX(SPLIT(G2175,""/""),,1))"),44705.0)</f>
        <v>44705</v>
      </c>
      <c r="I2175" s="1" t="s">
        <v>1244</v>
      </c>
      <c r="J2175" s="4">
        <f>IFERROR(__xludf.DUMMYFUNCTION("DATE(INDEX(SPLIT(I2175,""/""),,3),INDEX(SPLIT(I2175,""/""),,2),INDEX(SPLIT(I2175,""/""),,1))"),44742.0)</f>
        <v>44742</v>
      </c>
      <c r="L2175" s="1">
        <v>0.0</v>
      </c>
      <c r="M2175" s="1" t="s">
        <v>5493</v>
      </c>
      <c r="N2175" s="1"/>
      <c r="O2175" s="1" t="s">
        <v>30</v>
      </c>
      <c r="P2175" s="1" t="s">
        <v>31</v>
      </c>
      <c r="Q2175" s="1" t="s">
        <v>95</v>
      </c>
      <c r="R2175" s="1" t="s">
        <v>95</v>
      </c>
      <c r="S2175" s="1" t="s">
        <v>96</v>
      </c>
      <c r="T2175" s="1" t="s">
        <v>97</v>
      </c>
      <c r="U2175" s="1">
        <v>1.00591654E8</v>
      </c>
      <c r="X2175" s="1" t="s">
        <v>781</v>
      </c>
      <c r="Y2175" s="1" t="s">
        <v>4523</v>
      </c>
      <c r="Z2175" s="1" t="s">
        <v>37</v>
      </c>
    </row>
    <row r="2176" hidden="1">
      <c r="A2176" s="1" t="s">
        <v>6859</v>
      </c>
      <c r="B2176" s="1" t="s">
        <v>6860</v>
      </c>
      <c r="C2176" s="1" t="s">
        <v>6861</v>
      </c>
      <c r="D2176" s="1" t="s">
        <v>78</v>
      </c>
      <c r="E2176" s="1" t="s">
        <v>28</v>
      </c>
      <c r="F2176" s="2">
        <v>500000.0</v>
      </c>
      <c r="G2176" s="4">
        <v>44203.0</v>
      </c>
      <c r="H2176" s="4">
        <f>IFERROR(__xludf.DUMMYFUNCTION("DATE(INDEX(SPLIT(G2176,""/""),,3),INDEX(SPLIT(G2176,""/""),,2),INDEX(SPLIT(G2176,""/""),,1))"),44378.0)</f>
        <v>44378</v>
      </c>
      <c r="I2176" s="1" t="s">
        <v>165</v>
      </c>
      <c r="J2176" s="4">
        <f>IFERROR(__xludf.DUMMYFUNCTION("DATE(INDEX(SPLIT(I2176,""/""),,3),INDEX(SPLIT(I2176,""/""),,2),INDEX(SPLIT(I2176,""/""),,1))"),44803.0)</f>
        <v>44803</v>
      </c>
      <c r="L2176" s="1">
        <v>0.0</v>
      </c>
      <c r="M2176" s="1" t="s">
        <v>823</v>
      </c>
      <c r="N2176" s="1"/>
      <c r="O2176" s="1" t="s">
        <v>30</v>
      </c>
      <c r="P2176" s="1" t="s">
        <v>31</v>
      </c>
      <c r="Q2176" s="1" t="s">
        <v>95</v>
      </c>
      <c r="R2176" s="1" t="s">
        <v>95</v>
      </c>
      <c r="S2176" s="1" t="s">
        <v>96</v>
      </c>
      <c r="T2176" s="1" t="s">
        <v>489</v>
      </c>
      <c r="U2176" s="1">
        <v>1.00629729E8</v>
      </c>
      <c r="X2176" s="1" t="s">
        <v>490</v>
      </c>
      <c r="Y2176" s="1" t="s">
        <v>6862</v>
      </c>
      <c r="Z2176" s="1" t="s">
        <v>37</v>
      </c>
    </row>
    <row r="2177">
      <c r="A2177" s="1" t="s">
        <v>6863</v>
      </c>
      <c r="B2177" s="1" t="s">
        <v>546</v>
      </c>
      <c r="C2177" s="1" t="s">
        <v>6864</v>
      </c>
      <c r="D2177" s="1" t="s">
        <v>78</v>
      </c>
      <c r="E2177" s="1" t="s">
        <v>28</v>
      </c>
      <c r="F2177" s="2">
        <v>500000.0</v>
      </c>
      <c r="G2177" s="4">
        <v>44779.0</v>
      </c>
      <c r="H2177" s="4">
        <f>IFERROR(__xludf.DUMMYFUNCTION("DATE(INDEX(SPLIT(G2177,""/""),,3),INDEX(SPLIT(G2177,""/""),,2),INDEX(SPLIT(G2177,""/""),,1))"),44720.0)</f>
        <v>44720</v>
      </c>
      <c r="I2177" s="1" t="s">
        <v>69</v>
      </c>
      <c r="J2177" s="4">
        <f>IFERROR(__xludf.DUMMYFUNCTION("DATE(INDEX(SPLIT(I2177,""/""),,3),INDEX(SPLIT(I2177,""/""),,2),INDEX(SPLIT(I2177,""/""),,1))"),44773.0)</f>
        <v>44773</v>
      </c>
      <c r="L2177" s="1">
        <v>0.0</v>
      </c>
      <c r="M2177" s="1" t="s">
        <v>4134</v>
      </c>
      <c r="N2177" s="1"/>
      <c r="O2177" s="1" t="s">
        <v>30</v>
      </c>
      <c r="P2177" s="1" t="s">
        <v>31</v>
      </c>
      <c r="Q2177" s="1" t="s">
        <v>53</v>
      </c>
      <c r="R2177" s="1" t="s">
        <v>53</v>
      </c>
      <c r="S2177" s="1" t="s">
        <v>54</v>
      </c>
      <c r="T2177" s="1" t="s">
        <v>181</v>
      </c>
      <c r="U2177" s="1">
        <v>1.00652666E8</v>
      </c>
      <c r="X2177" s="1" t="s">
        <v>74</v>
      </c>
      <c r="Y2177" s="1" t="s">
        <v>4134</v>
      </c>
      <c r="Z2177" s="1" t="s">
        <v>37</v>
      </c>
    </row>
    <row r="2178" hidden="1">
      <c r="A2178" s="1" t="s">
        <v>6865</v>
      </c>
      <c r="B2178" s="1" t="s">
        <v>700</v>
      </c>
      <c r="C2178" s="1" t="s">
        <v>6866</v>
      </c>
      <c r="D2178" s="1" t="s">
        <v>27</v>
      </c>
      <c r="E2178" s="1" t="s">
        <v>28</v>
      </c>
      <c r="F2178" s="2">
        <v>500000.0</v>
      </c>
      <c r="G2178" s="4">
        <v>44778.0</v>
      </c>
      <c r="H2178" s="4">
        <f>IFERROR(__xludf.DUMMYFUNCTION("DATE(INDEX(SPLIT(G2178,""/""),,3),INDEX(SPLIT(G2178,""/""),,2),INDEX(SPLIT(G2178,""/""),,1))"),44689.0)</f>
        <v>44689</v>
      </c>
      <c r="I2178" s="1" t="s">
        <v>569</v>
      </c>
      <c r="J2178" s="4">
        <f>IFERROR(__xludf.DUMMYFUNCTION("DATE(INDEX(SPLIT(I2178,""/""),,3),INDEX(SPLIT(I2178,""/""),,2),INDEX(SPLIT(I2178,""/""),,1))"),45016.0)</f>
        <v>45016</v>
      </c>
      <c r="L2178" s="1">
        <v>0.0</v>
      </c>
      <c r="M2178" s="1" t="s">
        <v>702</v>
      </c>
      <c r="N2178" s="1"/>
      <c r="O2178" s="1" t="s">
        <v>30</v>
      </c>
      <c r="P2178" s="1" t="s">
        <v>31</v>
      </c>
      <c r="Q2178" s="1" t="s">
        <v>95</v>
      </c>
      <c r="R2178" s="1" t="s">
        <v>95</v>
      </c>
      <c r="S2178" s="1" t="s">
        <v>96</v>
      </c>
      <c r="T2178" s="1" t="s">
        <v>311</v>
      </c>
      <c r="U2178" s="1">
        <v>1.00616804E8</v>
      </c>
      <c r="X2178" s="1" t="s">
        <v>98</v>
      </c>
      <c r="Y2178" s="1" t="s">
        <v>702</v>
      </c>
      <c r="Z2178" s="1" t="s">
        <v>37</v>
      </c>
    </row>
    <row r="2179" hidden="1">
      <c r="A2179" s="1" t="s">
        <v>6867</v>
      </c>
      <c r="B2179" s="1" t="s">
        <v>700</v>
      </c>
      <c r="C2179" s="1" t="s">
        <v>6868</v>
      </c>
      <c r="D2179" s="1" t="s">
        <v>27</v>
      </c>
      <c r="E2179" s="1" t="s">
        <v>28</v>
      </c>
      <c r="F2179" s="2">
        <v>500000.0</v>
      </c>
      <c r="G2179" s="4">
        <v>44778.0</v>
      </c>
      <c r="H2179" s="4">
        <f>IFERROR(__xludf.DUMMYFUNCTION("DATE(INDEX(SPLIT(G2179,""/""),,3),INDEX(SPLIT(G2179,""/""),,2),INDEX(SPLIT(G2179,""/""),,1))"),44689.0)</f>
        <v>44689</v>
      </c>
      <c r="I2179" s="4">
        <v>44927.0</v>
      </c>
      <c r="J2179" s="4">
        <f>IFERROR(__xludf.DUMMYFUNCTION("DATE(INDEX(SPLIT(I2179,""/""),,3),INDEX(SPLIT(I2179,""/""),,2),INDEX(SPLIT(I2179,""/""),,1))"),44927.0)</f>
        <v>44927</v>
      </c>
      <c r="L2179" s="1">
        <v>0.0</v>
      </c>
      <c r="M2179" s="1" t="s">
        <v>702</v>
      </c>
      <c r="N2179" s="1"/>
      <c r="O2179" s="1" t="s">
        <v>30</v>
      </c>
      <c r="P2179" s="1" t="s">
        <v>31</v>
      </c>
      <c r="Q2179" s="1" t="s">
        <v>95</v>
      </c>
      <c r="R2179" s="1" t="s">
        <v>95</v>
      </c>
      <c r="S2179" s="1" t="s">
        <v>96</v>
      </c>
      <c r="T2179" s="1" t="s">
        <v>311</v>
      </c>
      <c r="U2179" s="1">
        <v>1.00616804E8</v>
      </c>
      <c r="X2179" s="1" t="s">
        <v>98</v>
      </c>
      <c r="Y2179" s="1" t="s">
        <v>702</v>
      </c>
      <c r="Z2179" s="1" t="s">
        <v>37</v>
      </c>
    </row>
    <row r="2180">
      <c r="A2180" s="1" t="s">
        <v>6869</v>
      </c>
      <c r="B2180" s="1" t="s">
        <v>120</v>
      </c>
      <c r="C2180" s="1" t="s">
        <v>6870</v>
      </c>
      <c r="D2180" s="1" t="s">
        <v>27</v>
      </c>
      <c r="E2180" s="1" t="s">
        <v>28</v>
      </c>
      <c r="F2180" s="2">
        <v>500000.0</v>
      </c>
      <c r="G2180" s="1" t="s">
        <v>1806</v>
      </c>
      <c r="H2180" s="4">
        <f>IFERROR(__xludf.DUMMYFUNCTION("DATE(INDEX(SPLIT(G2180,""/""),,3),INDEX(SPLIT(G2180,""/""),,2),INDEX(SPLIT(G2180,""/""),,1))"),44694.0)</f>
        <v>44694</v>
      </c>
      <c r="I2180" s="1" t="s">
        <v>226</v>
      </c>
      <c r="J2180" s="4">
        <f>IFERROR(__xludf.DUMMYFUNCTION("DATE(INDEX(SPLIT(I2180,""/""),,3),INDEX(SPLIT(I2180,""/""),,2),INDEX(SPLIT(I2180,""/""),,1))"),44771.0)</f>
        <v>44771</v>
      </c>
      <c r="L2180" s="1">
        <v>0.0</v>
      </c>
      <c r="M2180" s="1" t="s">
        <v>1573</v>
      </c>
      <c r="N2180" s="1"/>
      <c r="O2180" s="1" t="s">
        <v>30</v>
      </c>
      <c r="P2180" s="1" t="s">
        <v>31</v>
      </c>
      <c r="Q2180" s="1" t="s">
        <v>95</v>
      </c>
      <c r="R2180" s="1" t="s">
        <v>95</v>
      </c>
      <c r="S2180" s="1" t="s">
        <v>96</v>
      </c>
      <c r="T2180" s="1" t="s">
        <v>1386</v>
      </c>
      <c r="U2180" s="1">
        <v>1.00595231E8</v>
      </c>
      <c r="X2180" s="1" t="s">
        <v>125</v>
      </c>
      <c r="Y2180" s="1" t="s">
        <v>2172</v>
      </c>
      <c r="Z2180" s="1" t="s">
        <v>37</v>
      </c>
    </row>
    <row r="2181" hidden="1">
      <c r="A2181" s="1" t="s">
        <v>6871</v>
      </c>
      <c r="B2181" s="1" t="s">
        <v>91</v>
      </c>
      <c r="C2181" s="1" t="s">
        <v>6872</v>
      </c>
      <c r="D2181" s="1" t="s">
        <v>78</v>
      </c>
      <c r="E2181" s="1" t="s">
        <v>28</v>
      </c>
      <c r="F2181" s="2">
        <v>500000.0</v>
      </c>
      <c r="G2181" s="1" t="s">
        <v>93</v>
      </c>
      <c r="H2181" s="4">
        <f>IFERROR(__xludf.DUMMYFUNCTION("DATE(INDEX(SPLIT(G2181,""/""),,3),INDEX(SPLIT(G2181,""/""),,2),INDEX(SPLIT(G2181,""/""),,1))"),44671.0)</f>
        <v>44671</v>
      </c>
      <c r="I2181" s="1" t="s">
        <v>130</v>
      </c>
      <c r="J2181" s="4">
        <f>IFERROR(__xludf.DUMMYFUNCTION("DATE(INDEX(SPLIT(I2181,""/""),,3),INDEX(SPLIT(I2181,""/""),,2),INDEX(SPLIT(I2181,""/""),,1))"),44804.0)</f>
        <v>44804</v>
      </c>
      <c r="L2181" s="1">
        <v>0.0</v>
      </c>
      <c r="M2181" s="1" t="s">
        <v>94</v>
      </c>
      <c r="N2181" s="1"/>
      <c r="O2181" s="1" t="s">
        <v>30</v>
      </c>
      <c r="P2181" s="1" t="s">
        <v>31</v>
      </c>
      <c r="Q2181" s="1" t="s">
        <v>95</v>
      </c>
      <c r="R2181" s="1" t="s">
        <v>95</v>
      </c>
      <c r="S2181" s="1" t="s">
        <v>96</v>
      </c>
      <c r="T2181" s="1" t="s">
        <v>111</v>
      </c>
      <c r="U2181" s="1">
        <v>1.00596941E8</v>
      </c>
      <c r="X2181" s="1" t="s">
        <v>98</v>
      </c>
      <c r="Y2181" s="1" t="s">
        <v>94</v>
      </c>
      <c r="Z2181" s="1" t="s">
        <v>37</v>
      </c>
    </row>
    <row r="2182" hidden="1">
      <c r="A2182" s="1" t="s">
        <v>6873</v>
      </c>
      <c r="B2182" s="1" t="s">
        <v>357</v>
      </c>
      <c r="C2182" s="1" t="s">
        <v>6874</v>
      </c>
      <c r="D2182" s="1" t="s">
        <v>27</v>
      </c>
      <c r="E2182" s="1" t="s">
        <v>28</v>
      </c>
      <c r="F2182" s="2">
        <v>500000.0</v>
      </c>
      <c r="G2182" s="4">
        <v>44809.0</v>
      </c>
      <c r="H2182" s="4">
        <f>IFERROR(__xludf.DUMMYFUNCTION("DATE(INDEX(SPLIT(G2182,""/""),,3),INDEX(SPLIT(G2182,""/""),,2),INDEX(SPLIT(G2182,""/""),,1))"),44690.0)</f>
        <v>44690</v>
      </c>
      <c r="I2182" s="4">
        <v>44570.0</v>
      </c>
      <c r="J2182" s="4">
        <f>IFERROR(__xludf.DUMMYFUNCTION("DATE(INDEX(SPLIT(I2182,""/""),,3),INDEX(SPLIT(I2182,""/""),,2),INDEX(SPLIT(I2182,""/""),,1))"),44805.0)</f>
        <v>44805</v>
      </c>
      <c r="L2182" s="1">
        <v>0.0</v>
      </c>
      <c r="M2182" s="1" t="s">
        <v>702</v>
      </c>
      <c r="N2182" s="1"/>
      <c r="O2182" s="1" t="s">
        <v>30</v>
      </c>
      <c r="P2182" s="1" t="s">
        <v>31</v>
      </c>
      <c r="Q2182" s="1" t="s">
        <v>95</v>
      </c>
      <c r="R2182" s="1" t="s">
        <v>95</v>
      </c>
      <c r="S2182" s="1" t="s">
        <v>96</v>
      </c>
      <c r="T2182" s="1" t="s">
        <v>311</v>
      </c>
      <c r="U2182" s="1">
        <v>1.00616804E8</v>
      </c>
      <c r="X2182" s="1" t="s">
        <v>361</v>
      </c>
      <c r="Y2182" s="1" t="s">
        <v>702</v>
      </c>
      <c r="Z2182" s="1" t="s">
        <v>37</v>
      </c>
    </row>
    <row r="2183" hidden="1">
      <c r="A2183" s="1" t="s">
        <v>6875</v>
      </c>
      <c r="B2183" s="1" t="s">
        <v>357</v>
      </c>
      <c r="C2183" s="1" t="s">
        <v>6876</v>
      </c>
      <c r="D2183" s="1" t="s">
        <v>27</v>
      </c>
      <c r="E2183" s="1" t="s">
        <v>28</v>
      </c>
      <c r="F2183" s="2">
        <v>500000.0</v>
      </c>
      <c r="G2183" s="4">
        <v>44809.0</v>
      </c>
      <c r="H2183" s="4">
        <f>IFERROR(__xludf.DUMMYFUNCTION("DATE(INDEX(SPLIT(G2183,""/""),,3),INDEX(SPLIT(G2183,""/""),,2),INDEX(SPLIT(G2183,""/""),,1))"),44690.0)</f>
        <v>44690</v>
      </c>
      <c r="I2183" s="4">
        <v>44571.0</v>
      </c>
      <c r="J2183" s="4">
        <f>IFERROR(__xludf.DUMMYFUNCTION("DATE(INDEX(SPLIT(I2183,""/""),,3),INDEX(SPLIT(I2183,""/""),,2),INDEX(SPLIT(I2183,""/""),,1))"),44835.0)</f>
        <v>44835</v>
      </c>
      <c r="L2183" s="1">
        <v>0.0</v>
      </c>
      <c r="M2183" s="1" t="s">
        <v>702</v>
      </c>
      <c r="N2183" s="1"/>
      <c r="O2183" s="1" t="s">
        <v>30</v>
      </c>
      <c r="P2183" s="1" t="s">
        <v>31</v>
      </c>
      <c r="Q2183" s="1" t="s">
        <v>95</v>
      </c>
      <c r="R2183" s="1" t="s">
        <v>95</v>
      </c>
      <c r="S2183" s="1" t="s">
        <v>96</v>
      </c>
      <c r="T2183" s="1" t="s">
        <v>311</v>
      </c>
      <c r="U2183" s="1">
        <v>1.00616804E8</v>
      </c>
      <c r="X2183" s="1" t="s">
        <v>361</v>
      </c>
      <c r="Y2183" s="1" t="s">
        <v>702</v>
      </c>
      <c r="Z2183" s="1" t="s">
        <v>37</v>
      </c>
    </row>
    <row r="2184" hidden="1">
      <c r="A2184" s="1" t="s">
        <v>6877</v>
      </c>
      <c r="B2184" s="1" t="s">
        <v>357</v>
      </c>
      <c r="C2184" s="1" t="s">
        <v>6878</v>
      </c>
      <c r="D2184" s="1" t="s">
        <v>27</v>
      </c>
      <c r="E2184" s="1" t="s">
        <v>28</v>
      </c>
      <c r="F2184" s="2">
        <v>500000.0</v>
      </c>
      <c r="G2184" s="4">
        <v>44809.0</v>
      </c>
      <c r="H2184" s="4">
        <f>IFERROR(__xludf.DUMMYFUNCTION("DATE(INDEX(SPLIT(G2184,""/""),,3),INDEX(SPLIT(G2184,""/""),,2),INDEX(SPLIT(G2184,""/""),,1))"),44690.0)</f>
        <v>44690</v>
      </c>
      <c r="I2184" s="4">
        <v>44571.0</v>
      </c>
      <c r="J2184" s="4">
        <f>IFERROR(__xludf.DUMMYFUNCTION("DATE(INDEX(SPLIT(I2184,""/""),,3),INDEX(SPLIT(I2184,""/""),,2),INDEX(SPLIT(I2184,""/""),,1))"),44835.0)</f>
        <v>44835</v>
      </c>
      <c r="L2184" s="1">
        <v>0.0</v>
      </c>
      <c r="M2184" s="1" t="s">
        <v>702</v>
      </c>
      <c r="N2184" s="1"/>
      <c r="O2184" s="1" t="s">
        <v>30</v>
      </c>
      <c r="P2184" s="1" t="s">
        <v>31</v>
      </c>
      <c r="Q2184" s="1" t="s">
        <v>95</v>
      </c>
      <c r="R2184" s="1" t="s">
        <v>95</v>
      </c>
      <c r="S2184" s="1" t="s">
        <v>96</v>
      </c>
      <c r="T2184" s="1" t="s">
        <v>311</v>
      </c>
      <c r="U2184" s="1">
        <v>1.00616804E8</v>
      </c>
      <c r="X2184" s="1" t="s">
        <v>361</v>
      </c>
      <c r="Y2184" s="1" t="s">
        <v>702</v>
      </c>
      <c r="Z2184" s="1" t="s">
        <v>37</v>
      </c>
    </row>
    <row r="2185" hidden="1">
      <c r="A2185" s="1" t="s">
        <v>6879</v>
      </c>
      <c r="B2185" s="1" t="s">
        <v>6880</v>
      </c>
      <c r="C2185" s="1" t="s">
        <v>6881</v>
      </c>
      <c r="D2185" s="1" t="s">
        <v>27</v>
      </c>
      <c r="E2185" s="1" t="s">
        <v>28</v>
      </c>
      <c r="F2185" s="2">
        <v>500000.0</v>
      </c>
      <c r="G2185" s="1" t="s">
        <v>511</v>
      </c>
      <c r="H2185" s="4">
        <f>IFERROR(__xludf.DUMMYFUNCTION("DATE(INDEX(SPLIT(G2185,""/""),,3),INDEX(SPLIT(G2185,""/""),,2),INDEX(SPLIT(G2185,""/""),,1))"),44400.0)</f>
        <v>44400</v>
      </c>
      <c r="I2185" s="1" t="s">
        <v>281</v>
      </c>
      <c r="J2185" s="4">
        <f>IFERROR(__xludf.DUMMYFUNCTION("DATE(INDEX(SPLIT(I2185,""/""),,3),INDEX(SPLIT(I2185,""/""),,2),INDEX(SPLIT(I2185,""/""),,1))"),44865.0)</f>
        <v>44865</v>
      </c>
      <c r="L2185" s="1">
        <v>0.0</v>
      </c>
      <c r="M2185" s="1" t="s">
        <v>1649</v>
      </c>
      <c r="N2185" s="1"/>
      <c r="O2185" s="1" t="s">
        <v>30</v>
      </c>
      <c r="P2185" s="1" t="s">
        <v>31</v>
      </c>
      <c r="Q2185" s="1" t="s">
        <v>157</v>
      </c>
      <c r="R2185" s="1" t="s">
        <v>157</v>
      </c>
      <c r="S2185" s="1" t="s">
        <v>158</v>
      </c>
      <c r="T2185" s="1" t="s">
        <v>159</v>
      </c>
      <c r="U2185" s="1">
        <v>1.00643454E8</v>
      </c>
      <c r="V2185" s="1" t="s">
        <v>6882</v>
      </c>
      <c r="W2185" s="1" t="s">
        <v>45</v>
      </c>
      <c r="X2185" s="1" t="s">
        <v>490</v>
      </c>
      <c r="Y2185" s="1" t="s">
        <v>6883</v>
      </c>
      <c r="Z2185" s="1" t="s">
        <v>37</v>
      </c>
    </row>
    <row r="2186" hidden="1">
      <c r="A2186" s="1" t="s">
        <v>6884</v>
      </c>
      <c r="B2186" s="1" t="s">
        <v>1371</v>
      </c>
      <c r="C2186" s="1" t="s">
        <v>6885</v>
      </c>
      <c r="D2186" s="1" t="s">
        <v>27</v>
      </c>
      <c r="E2186" s="1" t="s">
        <v>28</v>
      </c>
      <c r="F2186" s="2">
        <v>500000.0</v>
      </c>
      <c r="G2186" s="4">
        <v>44867.0</v>
      </c>
      <c r="H2186" s="4">
        <f>IFERROR(__xludf.DUMMYFUNCTION("DATE(INDEX(SPLIT(G2186,""/""),,3),INDEX(SPLIT(G2186,""/""),,2),INDEX(SPLIT(G2186,""/""),,1))"),44603.0)</f>
        <v>44603</v>
      </c>
      <c r="I2186" s="1" t="s">
        <v>130</v>
      </c>
      <c r="J2186" s="4">
        <f>IFERROR(__xludf.DUMMYFUNCTION("DATE(INDEX(SPLIT(I2186,""/""),,3),INDEX(SPLIT(I2186,""/""),,2),INDEX(SPLIT(I2186,""/""),,1))"),44804.0)</f>
        <v>44804</v>
      </c>
      <c r="L2186" s="1">
        <v>0.0</v>
      </c>
      <c r="M2186" s="1" t="s">
        <v>1817</v>
      </c>
      <c r="N2186" s="1"/>
      <c r="O2186" s="1" t="s">
        <v>30</v>
      </c>
      <c r="P2186" s="1" t="s">
        <v>31</v>
      </c>
      <c r="Q2186" s="1" t="s">
        <v>95</v>
      </c>
      <c r="R2186" s="1" t="s">
        <v>95</v>
      </c>
      <c r="S2186" s="1" t="s">
        <v>96</v>
      </c>
      <c r="T2186" s="1" t="s">
        <v>640</v>
      </c>
      <c r="U2186" s="1">
        <v>1.00610489E8</v>
      </c>
      <c r="X2186" s="1" t="s">
        <v>63</v>
      </c>
      <c r="Y2186" s="1" t="s">
        <v>1817</v>
      </c>
      <c r="Z2186" s="1" t="s">
        <v>37</v>
      </c>
    </row>
    <row r="2187" hidden="1">
      <c r="A2187" s="1" t="s">
        <v>6886</v>
      </c>
      <c r="B2187" s="1" t="s">
        <v>617</v>
      </c>
      <c r="C2187" s="1" t="s">
        <v>6887</v>
      </c>
      <c r="D2187" s="1" t="s">
        <v>27</v>
      </c>
      <c r="E2187" s="1" t="s">
        <v>28</v>
      </c>
      <c r="F2187" s="2">
        <v>500000.0</v>
      </c>
      <c r="G2187" s="1" t="s">
        <v>2900</v>
      </c>
      <c r="H2187" s="4">
        <f>IFERROR(__xludf.DUMMYFUNCTION("DATE(INDEX(SPLIT(G2187,""/""),,3),INDEX(SPLIT(G2187,""/""),,2),INDEX(SPLIT(G2187,""/""),,1))"),44678.0)</f>
        <v>44678</v>
      </c>
      <c r="I2187" s="4">
        <v>45080.0</v>
      </c>
      <c r="J2187" s="4">
        <f>IFERROR(__xludf.DUMMYFUNCTION("DATE(INDEX(SPLIT(I2187,""/""),,3),INDEX(SPLIT(I2187,""/""),,2),INDEX(SPLIT(I2187,""/""),,1))"),44991.0)</f>
        <v>44991</v>
      </c>
      <c r="L2187" s="1">
        <v>0.0</v>
      </c>
      <c r="M2187" s="1" t="s">
        <v>79</v>
      </c>
      <c r="N2187" s="1"/>
      <c r="O2187" s="1" t="s">
        <v>30</v>
      </c>
      <c r="P2187" s="1" t="s">
        <v>31</v>
      </c>
      <c r="Q2187" s="1" t="s">
        <v>32</v>
      </c>
      <c r="R2187" s="1" t="s">
        <v>32</v>
      </c>
      <c r="S2187" s="1" t="s">
        <v>33</v>
      </c>
      <c r="T2187" s="1" t="s">
        <v>34</v>
      </c>
      <c r="U2187" s="1">
        <v>1.00609569E8</v>
      </c>
      <c r="X2187" s="1" t="s">
        <v>81</v>
      </c>
      <c r="Y2187" s="1" t="s">
        <v>1925</v>
      </c>
      <c r="Z2187" s="1" t="s">
        <v>37</v>
      </c>
    </row>
    <row r="2188" hidden="1">
      <c r="A2188" s="1" t="s">
        <v>6888</v>
      </c>
      <c r="B2188" s="1" t="s">
        <v>392</v>
      </c>
      <c r="C2188" s="1" t="s">
        <v>6889</v>
      </c>
      <c r="D2188" s="1" t="s">
        <v>27</v>
      </c>
      <c r="E2188" s="1" t="s">
        <v>28</v>
      </c>
      <c r="F2188" s="2">
        <v>500000.0</v>
      </c>
      <c r="G2188" s="4">
        <v>44683.0</v>
      </c>
      <c r="H2188" s="4">
        <f>IFERROR(__xludf.DUMMYFUNCTION("DATE(INDEX(SPLIT(G2188,""/""),,3),INDEX(SPLIT(G2188,""/""),,2),INDEX(SPLIT(G2188,""/""),,1))"),44597.0)</f>
        <v>44597</v>
      </c>
      <c r="I2188" s="1" t="s">
        <v>360</v>
      </c>
      <c r="J2188" s="4">
        <f>IFERROR(__xludf.DUMMYFUNCTION("DATE(INDEX(SPLIT(I2188,""/""),,3),INDEX(SPLIT(I2188,""/""),,2),INDEX(SPLIT(I2188,""/""),,1))"),44895.0)</f>
        <v>44895</v>
      </c>
      <c r="L2188" s="1">
        <v>0.0</v>
      </c>
      <c r="M2188" s="1" t="s">
        <v>4705</v>
      </c>
      <c r="N2188" s="1"/>
      <c r="O2188" s="1" t="s">
        <v>30</v>
      </c>
      <c r="P2188" s="1" t="s">
        <v>31</v>
      </c>
      <c r="Q2188" s="1" t="s">
        <v>95</v>
      </c>
      <c r="R2188" s="1" t="s">
        <v>95</v>
      </c>
      <c r="S2188" s="1" t="s">
        <v>96</v>
      </c>
      <c r="U2188" s="1">
        <v>1.00615309E8</v>
      </c>
      <c r="X2188" s="1" t="s">
        <v>239</v>
      </c>
      <c r="Y2188" s="1" t="s">
        <v>4705</v>
      </c>
      <c r="Z2188" s="1" t="s">
        <v>527</v>
      </c>
    </row>
    <row r="2189" hidden="1">
      <c r="A2189" s="1" t="s">
        <v>6890</v>
      </c>
      <c r="B2189" s="1" t="s">
        <v>1492</v>
      </c>
      <c r="C2189" s="1" t="s">
        <v>6891</v>
      </c>
      <c r="D2189" s="1" t="s">
        <v>27</v>
      </c>
      <c r="E2189" s="1" t="s">
        <v>28</v>
      </c>
      <c r="F2189" s="2">
        <v>500000.0</v>
      </c>
      <c r="G2189" s="1" t="s">
        <v>2712</v>
      </c>
      <c r="H2189" s="4">
        <f>IFERROR(__xludf.DUMMYFUNCTION("DATE(INDEX(SPLIT(G2189,""/""),,3),INDEX(SPLIT(G2189,""/""),,2),INDEX(SPLIT(G2189,""/""),,1))"),44435.0)</f>
        <v>44435</v>
      </c>
      <c r="I2189" s="1" t="s">
        <v>535</v>
      </c>
      <c r="J2189" s="4">
        <f>IFERROR(__xludf.DUMMYFUNCTION("DATE(INDEX(SPLIT(I2189,""/""),,3),INDEX(SPLIT(I2189,""/""),,2),INDEX(SPLIT(I2189,""/""),,1))"),44957.0)</f>
        <v>44957</v>
      </c>
      <c r="L2189" s="1">
        <v>0.0</v>
      </c>
      <c r="M2189" s="1" t="s">
        <v>1496</v>
      </c>
      <c r="N2189" s="1"/>
      <c r="O2189" s="1" t="s">
        <v>30</v>
      </c>
      <c r="P2189" s="1" t="s">
        <v>31</v>
      </c>
      <c r="Q2189" s="1" t="s">
        <v>53</v>
      </c>
      <c r="R2189" s="1" t="s">
        <v>53</v>
      </c>
      <c r="S2189" s="1" t="s">
        <v>54</v>
      </c>
      <c r="T2189" s="1" t="s">
        <v>1386</v>
      </c>
      <c r="U2189" s="1">
        <v>1.00610014E8</v>
      </c>
      <c r="X2189" s="1" t="s">
        <v>81</v>
      </c>
      <c r="Y2189" s="1" t="s">
        <v>4311</v>
      </c>
      <c r="Z2189" s="1" t="s">
        <v>37</v>
      </c>
    </row>
    <row r="2190" hidden="1">
      <c r="A2190" s="1" t="s">
        <v>6892</v>
      </c>
      <c r="B2190" s="1" t="s">
        <v>177</v>
      </c>
      <c r="C2190" s="1" t="s">
        <v>6893</v>
      </c>
      <c r="D2190" s="1" t="s">
        <v>27</v>
      </c>
      <c r="E2190" s="1" t="s">
        <v>28</v>
      </c>
      <c r="F2190" s="2">
        <v>500000.0</v>
      </c>
      <c r="G2190" s="1" t="s">
        <v>424</v>
      </c>
      <c r="H2190" s="4">
        <f>IFERROR(__xludf.DUMMYFUNCTION("DATE(INDEX(SPLIT(G2190,""/""),,3),INDEX(SPLIT(G2190,""/""),,2),INDEX(SPLIT(G2190,""/""),,1))"),44405.0)</f>
        <v>44405</v>
      </c>
      <c r="I2190" s="4">
        <v>44843.0</v>
      </c>
      <c r="J2190" s="4">
        <f>IFERROR(__xludf.DUMMYFUNCTION("DATE(INDEX(SPLIT(I2190,""/""),,3),INDEX(SPLIT(I2190,""/""),,2),INDEX(SPLIT(I2190,""/""),,1))"),44814.0)</f>
        <v>44814</v>
      </c>
      <c r="L2190" s="1">
        <v>0.0</v>
      </c>
      <c r="M2190" s="1" t="s">
        <v>542</v>
      </c>
      <c r="N2190" s="1"/>
      <c r="O2190" s="1" t="s">
        <v>30</v>
      </c>
      <c r="P2190" s="1" t="s">
        <v>31</v>
      </c>
      <c r="Q2190" s="1" t="s">
        <v>53</v>
      </c>
      <c r="R2190" s="1" t="s">
        <v>53</v>
      </c>
      <c r="S2190" s="1" t="s">
        <v>54</v>
      </c>
      <c r="T2190" s="1" t="s">
        <v>181</v>
      </c>
      <c r="U2190" s="1">
        <v>1.01001596E8</v>
      </c>
      <c r="X2190" s="1" t="s">
        <v>74</v>
      </c>
      <c r="Y2190" s="1" t="s">
        <v>542</v>
      </c>
      <c r="Z2190" s="1" t="s">
        <v>37</v>
      </c>
    </row>
    <row r="2191">
      <c r="A2191" s="1" t="s">
        <v>6894</v>
      </c>
      <c r="B2191" s="1" t="s">
        <v>484</v>
      </c>
      <c r="C2191" s="1" t="s">
        <v>6895</v>
      </c>
      <c r="D2191" s="1" t="s">
        <v>27</v>
      </c>
      <c r="E2191" s="1" t="s">
        <v>28</v>
      </c>
      <c r="F2191" s="2">
        <v>500000.0</v>
      </c>
      <c r="G2191" s="1" t="s">
        <v>983</v>
      </c>
      <c r="H2191" s="4">
        <f>IFERROR(__xludf.DUMMYFUNCTION("DATE(INDEX(SPLIT(G2191,""/""),,3),INDEX(SPLIT(G2191,""/""),,2),INDEX(SPLIT(G2191,""/""),,1))"),44393.0)</f>
        <v>44393</v>
      </c>
      <c r="I2191" s="4">
        <v>44568.0</v>
      </c>
      <c r="J2191" s="4">
        <f>IFERROR(__xludf.DUMMYFUNCTION("DATE(INDEX(SPLIT(I2191,""/""),,3),INDEX(SPLIT(I2191,""/""),,2),INDEX(SPLIT(I2191,""/""),,1))"),44743.0)</f>
        <v>44743</v>
      </c>
      <c r="L2191" s="1">
        <v>0.0</v>
      </c>
      <c r="M2191" s="1" t="s">
        <v>488</v>
      </c>
      <c r="N2191" s="1"/>
      <c r="O2191" s="1" t="s">
        <v>30</v>
      </c>
      <c r="P2191" s="1" t="s">
        <v>31</v>
      </c>
      <c r="Q2191" s="1" t="s">
        <v>95</v>
      </c>
      <c r="R2191" s="1" t="s">
        <v>95</v>
      </c>
      <c r="S2191" s="1" t="s">
        <v>96</v>
      </c>
      <c r="T2191" s="1" t="s">
        <v>489</v>
      </c>
      <c r="U2191" s="1">
        <v>1.00611486E8</v>
      </c>
      <c r="X2191" s="1" t="s">
        <v>490</v>
      </c>
      <c r="Y2191" s="1" t="s">
        <v>6896</v>
      </c>
      <c r="Z2191" s="1" t="s">
        <v>37</v>
      </c>
    </row>
    <row r="2192" hidden="1">
      <c r="A2192" s="1" t="s">
        <v>6897</v>
      </c>
      <c r="B2192" s="1" t="s">
        <v>2261</v>
      </c>
      <c r="C2192" s="1" t="s">
        <v>6898</v>
      </c>
      <c r="D2192" s="1" t="s">
        <v>27</v>
      </c>
      <c r="E2192" s="1" t="s">
        <v>28</v>
      </c>
      <c r="F2192" s="2">
        <v>500000.0</v>
      </c>
      <c r="G2192" s="1" t="s">
        <v>1039</v>
      </c>
      <c r="H2192" s="4">
        <f>IFERROR(__xludf.DUMMYFUNCTION("DATE(INDEX(SPLIT(G2192,""/""),,3),INDEX(SPLIT(G2192,""/""),,2),INDEX(SPLIT(G2192,""/""),,1))"),44155.0)</f>
        <v>44155</v>
      </c>
      <c r="I2192" s="1" t="s">
        <v>179</v>
      </c>
      <c r="J2192" s="4">
        <f>IFERROR(__xludf.DUMMYFUNCTION("DATE(INDEX(SPLIT(I2192,""/""),,3),INDEX(SPLIT(I2192,""/""),,2),INDEX(SPLIT(I2192,""/""),,1))"),44890.0)</f>
        <v>44890</v>
      </c>
      <c r="L2192" s="1">
        <v>0.0</v>
      </c>
      <c r="M2192" s="1" t="s">
        <v>1723</v>
      </c>
      <c r="N2192" s="1"/>
      <c r="O2192" s="1" t="s">
        <v>30</v>
      </c>
      <c r="P2192" s="1" t="s">
        <v>31</v>
      </c>
      <c r="Q2192" s="1" t="s">
        <v>157</v>
      </c>
      <c r="R2192" s="1" t="s">
        <v>157</v>
      </c>
      <c r="S2192" s="1" t="s">
        <v>158</v>
      </c>
      <c r="T2192" s="1" t="s">
        <v>181</v>
      </c>
      <c r="U2192" s="1">
        <v>1.00654085E8</v>
      </c>
      <c r="X2192" s="1" t="s">
        <v>74</v>
      </c>
      <c r="Y2192" s="1" t="s">
        <v>6899</v>
      </c>
      <c r="Z2192" s="1" t="s">
        <v>37</v>
      </c>
    </row>
    <row r="2193" hidden="1">
      <c r="A2193" s="1" t="s">
        <v>6900</v>
      </c>
      <c r="B2193" s="1" t="s">
        <v>3532</v>
      </c>
      <c r="C2193" s="1" t="s">
        <v>6901</v>
      </c>
      <c r="D2193" s="1" t="s">
        <v>78</v>
      </c>
      <c r="E2193" s="1" t="s">
        <v>28</v>
      </c>
      <c r="F2193" s="2">
        <v>500000.0</v>
      </c>
      <c r="G2193" s="4">
        <v>44147.0</v>
      </c>
      <c r="H2193" s="4">
        <f>IFERROR(__xludf.DUMMYFUNCTION("DATE(INDEX(SPLIT(G2193,""/""),,3),INDEX(SPLIT(G2193,""/""),,2),INDEX(SPLIT(G2193,""/""),,1))"),44176.0)</f>
        <v>44176</v>
      </c>
      <c r="I2193" s="1" t="s">
        <v>535</v>
      </c>
      <c r="J2193" s="4">
        <f>IFERROR(__xludf.DUMMYFUNCTION("DATE(INDEX(SPLIT(I2193,""/""),,3),INDEX(SPLIT(I2193,""/""),,2),INDEX(SPLIT(I2193,""/""),,1))"),44957.0)</f>
        <v>44957</v>
      </c>
      <c r="L2193" s="1">
        <v>0.0</v>
      </c>
      <c r="M2193" s="1" t="s">
        <v>1373</v>
      </c>
      <c r="N2193" s="1"/>
      <c r="O2193" s="1" t="s">
        <v>30</v>
      </c>
      <c r="P2193" s="1" t="s">
        <v>31</v>
      </c>
      <c r="Q2193" s="1" t="s">
        <v>95</v>
      </c>
      <c r="R2193" s="1" t="s">
        <v>95</v>
      </c>
      <c r="S2193" s="1" t="s">
        <v>96</v>
      </c>
      <c r="T2193" s="1" t="s">
        <v>111</v>
      </c>
      <c r="U2193" s="1">
        <v>1.00626753E8</v>
      </c>
      <c r="X2193" s="1" t="s">
        <v>63</v>
      </c>
      <c r="Y2193" s="1" t="s">
        <v>1373</v>
      </c>
      <c r="Z2193" s="1" t="s">
        <v>37</v>
      </c>
    </row>
    <row r="2194">
      <c r="A2194" s="1" t="s">
        <v>6902</v>
      </c>
      <c r="B2194" s="1" t="s">
        <v>1797</v>
      </c>
      <c r="C2194" s="1" t="s">
        <v>6903</v>
      </c>
      <c r="D2194" s="1" t="s">
        <v>78</v>
      </c>
      <c r="E2194" s="1" t="s">
        <v>28</v>
      </c>
      <c r="F2194" s="2">
        <v>500000.0</v>
      </c>
      <c r="G2194" s="1" t="s">
        <v>1786</v>
      </c>
      <c r="H2194" s="4">
        <f>IFERROR(__xludf.DUMMYFUNCTION("DATE(INDEX(SPLIT(G2194,""/""),,3),INDEX(SPLIT(G2194,""/""),,2),INDEX(SPLIT(G2194,""/""),,1))"),44709.0)</f>
        <v>44709</v>
      </c>
      <c r="I2194" s="1" t="s">
        <v>1244</v>
      </c>
      <c r="J2194" s="4">
        <f>IFERROR(__xludf.DUMMYFUNCTION("DATE(INDEX(SPLIT(I2194,""/""),,3),INDEX(SPLIT(I2194,""/""),,2),INDEX(SPLIT(I2194,""/""),,1))"),44742.0)</f>
        <v>44742</v>
      </c>
      <c r="L2194" s="1">
        <v>0.0</v>
      </c>
      <c r="M2194" s="1" t="s">
        <v>6904</v>
      </c>
      <c r="N2194" s="1"/>
      <c r="O2194" s="1" t="s">
        <v>30</v>
      </c>
      <c r="P2194" s="1" t="s">
        <v>31</v>
      </c>
      <c r="Q2194" s="1" t="s">
        <v>228</v>
      </c>
      <c r="R2194" s="1" t="s">
        <v>228</v>
      </c>
      <c r="S2194" s="1" t="s">
        <v>229</v>
      </c>
      <c r="U2194" s="1">
        <v>1.00643946E8</v>
      </c>
      <c r="X2194" s="1" t="s">
        <v>490</v>
      </c>
      <c r="Y2194" s="1" t="s">
        <v>3949</v>
      </c>
      <c r="Z2194" s="1" t="s">
        <v>37</v>
      </c>
    </row>
    <row r="2195">
      <c r="A2195" s="1" t="s">
        <v>6905</v>
      </c>
      <c r="B2195" s="1" t="s">
        <v>3078</v>
      </c>
      <c r="C2195" s="1" t="s">
        <v>6906</v>
      </c>
      <c r="D2195" s="1" t="s">
        <v>27</v>
      </c>
      <c r="E2195" s="1" t="s">
        <v>28</v>
      </c>
      <c r="F2195" s="2">
        <v>500000.0</v>
      </c>
      <c r="G2195" s="4">
        <v>44685.0</v>
      </c>
      <c r="H2195" s="4">
        <f>IFERROR(__xludf.DUMMYFUNCTION("DATE(INDEX(SPLIT(G2195,""/""),,3),INDEX(SPLIT(G2195,""/""),,2),INDEX(SPLIT(G2195,""/""),,1))"),44656.0)</f>
        <v>44656</v>
      </c>
      <c r="I2195" s="1" t="s">
        <v>226</v>
      </c>
      <c r="J2195" s="4">
        <f>IFERROR(__xludf.DUMMYFUNCTION("DATE(INDEX(SPLIT(I2195,""/""),,3),INDEX(SPLIT(I2195,""/""),,2),INDEX(SPLIT(I2195,""/""),,1))"),44771.0)</f>
        <v>44771</v>
      </c>
      <c r="L2195" s="1">
        <v>0.0</v>
      </c>
      <c r="M2195" s="1" t="s">
        <v>2247</v>
      </c>
      <c r="N2195" s="1"/>
      <c r="O2195" s="1" t="s">
        <v>30</v>
      </c>
      <c r="P2195" s="1" t="s">
        <v>31</v>
      </c>
      <c r="Q2195" s="1" t="s">
        <v>32</v>
      </c>
      <c r="R2195" s="1" t="s">
        <v>32</v>
      </c>
      <c r="S2195" s="1" t="s">
        <v>33</v>
      </c>
      <c r="U2195" s="1">
        <v>1.01076271E8</v>
      </c>
      <c r="X2195" s="1" t="s">
        <v>125</v>
      </c>
      <c r="Y2195" s="1" t="s">
        <v>2247</v>
      </c>
      <c r="Z2195" s="1" t="s">
        <v>206</v>
      </c>
    </row>
    <row r="2196">
      <c r="A2196" s="1" t="s">
        <v>6907</v>
      </c>
      <c r="B2196" s="1" t="s">
        <v>6274</v>
      </c>
      <c r="C2196" s="1" t="s">
        <v>6908</v>
      </c>
      <c r="D2196" s="1" t="s">
        <v>78</v>
      </c>
      <c r="E2196" s="1" t="s">
        <v>28</v>
      </c>
      <c r="F2196" s="2">
        <v>500000.0</v>
      </c>
      <c r="G2196" s="4">
        <v>44809.0</v>
      </c>
      <c r="H2196" s="4">
        <f>IFERROR(__xludf.DUMMYFUNCTION("DATE(INDEX(SPLIT(G2196,""/""),,3),INDEX(SPLIT(G2196,""/""),,2),INDEX(SPLIT(G2196,""/""),,1))"),44690.0)</f>
        <v>44690</v>
      </c>
      <c r="I2196" s="1" t="s">
        <v>1244</v>
      </c>
      <c r="J2196" s="4">
        <f>IFERROR(__xludf.DUMMYFUNCTION("DATE(INDEX(SPLIT(I2196,""/""),,3),INDEX(SPLIT(I2196,""/""),,2),INDEX(SPLIT(I2196,""/""),,1))"),44742.0)</f>
        <v>44742</v>
      </c>
      <c r="L2196" s="1">
        <v>0.0</v>
      </c>
      <c r="M2196" s="1" t="s">
        <v>5366</v>
      </c>
      <c r="N2196" s="1"/>
      <c r="O2196" s="1" t="s">
        <v>30</v>
      </c>
      <c r="P2196" s="1" t="s">
        <v>31</v>
      </c>
      <c r="Q2196" s="1" t="s">
        <v>157</v>
      </c>
      <c r="R2196" s="1" t="s">
        <v>157</v>
      </c>
      <c r="S2196" s="1" t="s">
        <v>158</v>
      </c>
      <c r="T2196" s="1" t="s">
        <v>159</v>
      </c>
      <c r="U2196" s="1">
        <v>1.00609544E8</v>
      </c>
      <c r="X2196" s="1" t="s">
        <v>490</v>
      </c>
      <c r="Y2196" s="1" t="s">
        <v>6276</v>
      </c>
      <c r="Z2196" s="1" t="s">
        <v>37</v>
      </c>
    </row>
    <row r="2197">
      <c r="A2197" s="1" t="s">
        <v>6909</v>
      </c>
      <c r="B2197" s="1" t="s">
        <v>6910</v>
      </c>
      <c r="C2197" s="1" t="s">
        <v>6911</v>
      </c>
      <c r="D2197" s="1" t="s">
        <v>68</v>
      </c>
      <c r="E2197" s="1" t="s">
        <v>28</v>
      </c>
      <c r="F2197" s="2">
        <v>500000.0</v>
      </c>
      <c r="G2197" s="1" t="s">
        <v>1154</v>
      </c>
      <c r="H2197" s="4">
        <f>IFERROR(__xludf.DUMMYFUNCTION("DATE(INDEX(SPLIT(G2197,""/""),,3),INDEX(SPLIT(G2197,""/""),,2),INDEX(SPLIT(G2197,""/""),,1))"),44735.0)</f>
        <v>44735</v>
      </c>
      <c r="I2197" s="4">
        <v>44568.0</v>
      </c>
      <c r="J2197" s="4">
        <f>IFERROR(__xludf.DUMMYFUNCTION("DATE(INDEX(SPLIT(I2197,""/""),,3),INDEX(SPLIT(I2197,""/""),,2),INDEX(SPLIT(I2197,""/""),,1))"),44743.0)</f>
        <v>44743</v>
      </c>
      <c r="L2197" s="1">
        <v>0.0</v>
      </c>
      <c r="M2197" s="1" t="s">
        <v>6912</v>
      </c>
      <c r="N2197" s="1"/>
      <c r="O2197" s="1" t="s">
        <v>30</v>
      </c>
      <c r="P2197" s="1" t="s">
        <v>31</v>
      </c>
      <c r="Q2197" s="1" t="s">
        <v>32</v>
      </c>
      <c r="R2197" s="1" t="s">
        <v>32</v>
      </c>
      <c r="S2197" s="1" t="s">
        <v>33</v>
      </c>
      <c r="U2197" s="1">
        <v>1.00608771E8</v>
      </c>
      <c r="X2197" s="1" t="s">
        <v>63</v>
      </c>
      <c r="Y2197" s="1" t="s">
        <v>6913</v>
      </c>
      <c r="Z2197" s="1" t="s">
        <v>37</v>
      </c>
    </row>
    <row r="2198" hidden="1">
      <c r="A2198" s="1" t="s">
        <v>6914</v>
      </c>
      <c r="B2198" s="1" t="s">
        <v>479</v>
      </c>
      <c r="C2198" s="1" t="s">
        <v>6915</v>
      </c>
      <c r="D2198" s="1" t="s">
        <v>78</v>
      </c>
      <c r="E2198" s="1" t="s">
        <v>28</v>
      </c>
      <c r="F2198" s="2">
        <v>500000.0</v>
      </c>
      <c r="G2198" s="1" t="s">
        <v>2988</v>
      </c>
      <c r="H2198" s="4">
        <f>IFERROR(__xludf.DUMMYFUNCTION("DATE(INDEX(SPLIT(G2198,""/""),,3),INDEX(SPLIT(G2198,""/""),,2),INDEX(SPLIT(G2198,""/""),,1))"),44523.0)</f>
        <v>44523</v>
      </c>
      <c r="I2198" s="1" t="s">
        <v>430</v>
      </c>
      <c r="J2198" s="4">
        <f>IFERROR(__xludf.DUMMYFUNCTION("DATE(INDEX(SPLIT(I2198,""/""),,3),INDEX(SPLIT(I2198,""/""),,2),INDEX(SPLIT(I2198,""/""),,1))"),44985.0)</f>
        <v>44985</v>
      </c>
      <c r="L2198" s="1">
        <v>0.0</v>
      </c>
      <c r="M2198" s="1" t="s">
        <v>4117</v>
      </c>
      <c r="N2198" s="1"/>
      <c r="O2198" s="1" t="s">
        <v>30</v>
      </c>
      <c r="P2198" s="1" t="s">
        <v>31</v>
      </c>
      <c r="Q2198" s="1" t="s">
        <v>95</v>
      </c>
      <c r="R2198" s="1" t="s">
        <v>95</v>
      </c>
      <c r="S2198" s="1" t="s">
        <v>96</v>
      </c>
      <c r="T2198" s="1" t="s">
        <v>103</v>
      </c>
      <c r="U2198" s="1">
        <v>1.00658777E8</v>
      </c>
      <c r="X2198" s="1" t="s">
        <v>312</v>
      </c>
      <c r="Y2198" s="1" t="s">
        <v>6916</v>
      </c>
      <c r="Z2198" s="1" t="s">
        <v>206</v>
      </c>
    </row>
    <row r="2199" hidden="1">
      <c r="A2199" s="1" t="s">
        <v>6917</v>
      </c>
      <c r="B2199" s="1" t="s">
        <v>357</v>
      </c>
      <c r="C2199" s="1" t="s">
        <v>6918</v>
      </c>
      <c r="D2199" s="1" t="s">
        <v>78</v>
      </c>
      <c r="E2199" s="1" t="s">
        <v>28</v>
      </c>
      <c r="F2199" s="2">
        <v>500000.0</v>
      </c>
      <c r="G2199" s="1" t="s">
        <v>1767</v>
      </c>
      <c r="H2199" s="4">
        <f>IFERROR(__xludf.DUMMYFUNCTION("DATE(INDEX(SPLIT(G2199,""/""),,3),INDEX(SPLIT(G2199,""/""),,2),INDEX(SPLIT(G2199,""/""),,1))"),44698.0)</f>
        <v>44698</v>
      </c>
      <c r="I2199" s="4">
        <v>44752.0</v>
      </c>
      <c r="J2199" s="4">
        <f>IFERROR(__xludf.DUMMYFUNCTION("DATE(INDEX(SPLIT(I2199,""/""),,3),INDEX(SPLIT(I2199,""/""),,2),INDEX(SPLIT(I2199,""/""),,1))"),44841.0)</f>
        <v>44841</v>
      </c>
      <c r="L2199" s="1">
        <v>0.0</v>
      </c>
      <c r="M2199" s="1" t="s">
        <v>6919</v>
      </c>
      <c r="N2199" s="1"/>
      <c r="O2199" s="1" t="s">
        <v>30</v>
      </c>
      <c r="P2199" s="1" t="s">
        <v>31</v>
      </c>
      <c r="Q2199" s="1" t="s">
        <v>188</v>
      </c>
      <c r="R2199" s="1" t="s">
        <v>188</v>
      </c>
      <c r="S2199" s="1" t="s">
        <v>189</v>
      </c>
      <c r="U2199" s="1">
        <v>1.00591972E8</v>
      </c>
      <c r="X2199" s="1" t="s">
        <v>361</v>
      </c>
      <c r="Y2199" s="1" t="s">
        <v>884</v>
      </c>
      <c r="Z2199" s="1" t="s">
        <v>37</v>
      </c>
    </row>
    <row r="2200" hidden="1">
      <c r="A2200" s="1" t="s">
        <v>6920</v>
      </c>
      <c r="B2200" s="1" t="s">
        <v>5724</v>
      </c>
      <c r="C2200" s="1" t="s">
        <v>6921</v>
      </c>
      <c r="D2200" s="1" t="s">
        <v>27</v>
      </c>
      <c r="E2200" s="1" t="s">
        <v>28</v>
      </c>
      <c r="F2200" s="2">
        <v>500000.0</v>
      </c>
      <c r="G2200" s="1" t="s">
        <v>2572</v>
      </c>
      <c r="H2200" s="4">
        <f>IFERROR(__xludf.DUMMYFUNCTION("DATE(INDEX(SPLIT(G2200,""/""),,3),INDEX(SPLIT(G2200,""/""),,2),INDEX(SPLIT(G2200,""/""),,1))"),44581.0)</f>
        <v>44581</v>
      </c>
      <c r="I2200" s="1" t="s">
        <v>42</v>
      </c>
      <c r="J2200" s="4">
        <f>IFERROR(__xludf.DUMMYFUNCTION("DATE(INDEX(SPLIT(I2200,""/""),,3),INDEX(SPLIT(I2200,""/""),,2),INDEX(SPLIT(I2200,""/""),,1))"),44926.0)</f>
        <v>44926</v>
      </c>
      <c r="L2200" s="1">
        <v>0.0</v>
      </c>
      <c r="M2200" s="1" t="s">
        <v>52</v>
      </c>
      <c r="N2200" s="1"/>
      <c r="O2200" s="1" t="s">
        <v>30</v>
      </c>
      <c r="P2200" s="1" t="s">
        <v>31</v>
      </c>
      <c r="Q2200" s="1" t="s">
        <v>53</v>
      </c>
      <c r="R2200" s="1" t="s">
        <v>53</v>
      </c>
      <c r="S2200" s="1" t="s">
        <v>54</v>
      </c>
      <c r="T2200" s="1" t="s">
        <v>55</v>
      </c>
      <c r="U2200" s="1">
        <v>1.01059432E8</v>
      </c>
      <c r="X2200" s="1" t="s">
        <v>312</v>
      </c>
      <c r="Y2200" s="1" t="s">
        <v>5726</v>
      </c>
      <c r="Z2200" s="1" t="s">
        <v>37</v>
      </c>
    </row>
    <row r="2201" hidden="1">
      <c r="A2201" s="1" t="s">
        <v>6922</v>
      </c>
      <c r="B2201" s="1" t="s">
        <v>6923</v>
      </c>
      <c r="C2201" s="1" t="s">
        <v>6924</v>
      </c>
      <c r="D2201" s="1" t="s">
        <v>27</v>
      </c>
      <c r="E2201" s="1" t="s">
        <v>28</v>
      </c>
      <c r="F2201" s="2">
        <v>500000.0</v>
      </c>
      <c r="G2201" s="1" t="s">
        <v>424</v>
      </c>
      <c r="H2201" s="4">
        <f>IFERROR(__xludf.DUMMYFUNCTION("DATE(INDEX(SPLIT(G2201,""/""),,3),INDEX(SPLIT(G2201,""/""),,2),INDEX(SPLIT(G2201,""/""),,1))"),44405.0)</f>
        <v>44405</v>
      </c>
      <c r="I2201" s="1" t="s">
        <v>109</v>
      </c>
      <c r="J2201" s="4">
        <f>IFERROR(__xludf.DUMMYFUNCTION("DATE(INDEX(SPLIT(I2201,""/""),,3),INDEX(SPLIT(I2201,""/""),,2),INDEX(SPLIT(I2201,""/""),,1))"),44834.0)</f>
        <v>44834</v>
      </c>
      <c r="L2201" s="1">
        <v>0.0</v>
      </c>
      <c r="M2201" s="1" t="s">
        <v>542</v>
      </c>
      <c r="N2201" s="1"/>
      <c r="O2201" s="1" t="s">
        <v>30</v>
      </c>
      <c r="P2201" s="1" t="s">
        <v>31</v>
      </c>
      <c r="Q2201" s="1" t="s">
        <v>53</v>
      </c>
      <c r="R2201" s="1" t="s">
        <v>53</v>
      </c>
      <c r="S2201" s="1" t="s">
        <v>54</v>
      </c>
      <c r="T2201" s="1" t="s">
        <v>136</v>
      </c>
      <c r="U2201" s="1">
        <v>1.01001596E8</v>
      </c>
      <c r="X2201" s="1" t="s">
        <v>74</v>
      </c>
      <c r="Y2201" s="1" t="s">
        <v>542</v>
      </c>
      <c r="Z2201" s="1" t="s">
        <v>37</v>
      </c>
    </row>
    <row r="2202" hidden="1">
      <c r="A2202" s="1" t="s">
        <v>6925</v>
      </c>
      <c r="B2202" s="1" t="s">
        <v>76</v>
      </c>
      <c r="C2202" s="1" t="s">
        <v>6926</v>
      </c>
      <c r="D2202" s="1" t="s">
        <v>27</v>
      </c>
      <c r="E2202" s="1" t="s">
        <v>28</v>
      </c>
      <c r="F2202" s="2">
        <v>500000.0</v>
      </c>
      <c r="G2202" s="1" t="s">
        <v>2064</v>
      </c>
      <c r="H2202" s="4">
        <f>IFERROR(__xludf.DUMMYFUNCTION("DATE(INDEX(SPLIT(G2202,""/""),,3),INDEX(SPLIT(G2202,""/""),,2),INDEX(SPLIT(G2202,""/""),,1))"),44616.0)</f>
        <v>44616</v>
      </c>
      <c r="I2202" s="1" t="s">
        <v>317</v>
      </c>
      <c r="J2202" s="4">
        <f>IFERROR(__xludf.DUMMYFUNCTION("DATE(INDEX(SPLIT(I2202,""/""),,3),INDEX(SPLIT(I2202,""/""),,2),INDEX(SPLIT(I2202,""/""),,1))"),44862.0)</f>
        <v>44862</v>
      </c>
      <c r="L2202" s="1">
        <v>0.0</v>
      </c>
      <c r="M2202" s="1" t="s">
        <v>79</v>
      </c>
      <c r="N2202" s="1"/>
      <c r="O2202" s="1" t="s">
        <v>30</v>
      </c>
      <c r="P2202" s="1" t="s">
        <v>31</v>
      </c>
      <c r="Q2202" s="1" t="s">
        <v>32</v>
      </c>
      <c r="R2202" s="1" t="s">
        <v>32</v>
      </c>
      <c r="S2202" s="1" t="s">
        <v>33</v>
      </c>
      <c r="U2202" s="1">
        <v>1.00609569E8</v>
      </c>
      <c r="X2202" s="1" t="s">
        <v>81</v>
      </c>
      <c r="Y2202" s="1" t="s">
        <v>79</v>
      </c>
      <c r="Z2202" s="1" t="s">
        <v>37</v>
      </c>
    </row>
    <row r="2203">
      <c r="A2203" s="1" t="s">
        <v>6927</v>
      </c>
      <c r="B2203" s="1" t="s">
        <v>1158</v>
      </c>
      <c r="C2203" s="1" t="s">
        <v>6928</v>
      </c>
      <c r="D2203" s="1" t="s">
        <v>27</v>
      </c>
      <c r="E2203" s="1" t="s">
        <v>28</v>
      </c>
      <c r="F2203" s="2">
        <v>500000.0</v>
      </c>
      <c r="G2203" s="4">
        <v>44897.0</v>
      </c>
      <c r="H2203" s="4">
        <f>IFERROR(__xludf.DUMMYFUNCTION("DATE(INDEX(SPLIT(G2203,""/""),,3),INDEX(SPLIT(G2203,""/""),,2),INDEX(SPLIT(G2203,""/""),,1))"),44604.0)</f>
        <v>44604</v>
      </c>
      <c r="I2203" s="1" t="s">
        <v>1521</v>
      </c>
      <c r="J2203" s="4">
        <f>IFERROR(__xludf.DUMMYFUNCTION("DATE(INDEX(SPLIT(I2203,""/""),,3),INDEX(SPLIT(I2203,""/""),,2),INDEX(SPLIT(I2203,""/""),,1))"),44756.0)</f>
        <v>44756</v>
      </c>
      <c r="L2203" s="1">
        <v>0.0</v>
      </c>
      <c r="M2203" s="1" t="s">
        <v>166</v>
      </c>
      <c r="N2203" s="1"/>
      <c r="O2203" s="1" t="s">
        <v>30</v>
      </c>
      <c r="P2203" s="1" t="s">
        <v>31</v>
      </c>
      <c r="Q2203" s="1" t="s">
        <v>53</v>
      </c>
      <c r="R2203" s="1" t="s">
        <v>53</v>
      </c>
      <c r="S2203" s="1" t="s">
        <v>54</v>
      </c>
      <c r="T2203" s="1" t="s">
        <v>87</v>
      </c>
      <c r="U2203" s="1">
        <v>1.00651094E8</v>
      </c>
      <c r="X2203" s="1" t="s">
        <v>88</v>
      </c>
      <c r="Y2203" s="1" t="s">
        <v>1161</v>
      </c>
      <c r="Z2203" s="1" t="s">
        <v>37</v>
      </c>
    </row>
    <row r="2204" hidden="1">
      <c r="A2204" s="1" t="s">
        <v>6929</v>
      </c>
      <c r="B2204" s="1" t="s">
        <v>1042</v>
      </c>
      <c r="C2204" s="1" t="s">
        <v>6930</v>
      </c>
      <c r="D2204" s="1" t="s">
        <v>122</v>
      </c>
      <c r="E2204" s="1" t="s">
        <v>28</v>
      </c>
      <c r="F2204" s="2">
        <v>500000.0</v>
      </c>
      <c r="G2204" s="4">
        <v>44872.0</v>
      </c>
      <c r="H2204" s="4">
        <f>IFERROR(__xludf.DUMMYFUNCTION("DATE(INDEX(SPLIT(G2204,""/""),,3),INDEX(SPLIT(G2204,""/""),,2),INDEX(SPLIT(G2204,""/""),,1))"),44753.0)</f>
        <v>44753</v>
      </c>
      <c r="I2204" s="1" t="s">
        <v>130</v>
      </c>
      <c r="J2204" s="4">
        <f>IFERROR(__xludf.DUMMYFUNCTION("DATE(INDEX(SPLIT(I2204,""/""),,3),INDEX(SPLIT(I2204,""/""),,2),INDEX(SPLIT(I2204,""/""),,1))"),44804.0)</f>
        <v>44804</v>
      </c>
      <c r="L2204" s="1">
        <v>0.0</v>
      </c>
      <c r="M2204" s="1" t="s">
        <v>1737</v>
      </c>
      <c r="N2204" s="1"/>
      <c r="O2204" s="1" t="s">
        <v>30</v>
      </c>
      <c r="P2204" s="1" t="s">
        <v>31</v>
      </c>
      <c r="Q2204" s="1" t="s">
        <v>53</v>
      </c>
      <c r="R2204" s="1" t="s">
        <v>53</v>
      </c>
      <c r="S2204" s="1" t="s">
        <v>54</v>
      </c>
      <c r="T2204" s="1" t="s">
        <v>1386</v>
      </c>
      <c r="U2204" s="1">
        <v>1.00642067E8</v>
      </c>
      <c r="X2204" s="1" t="s">
        <v>88</v>
      </c>
      <c r="Y2204" s="1" t="s">
        <v>5421</v>
      </c>
      <c r="Z2204" s="1" t="s">
        <v>37</v>
      </c>
    </row>
    <row r="2205" hidden="1">
      <c r="A2205" s="1" t="s">
        <v>6931</v>
      </c>
      <c r="B2205" s="1" t="s">
        <v>2275</v>
      </c>
      <c r="C2205" s="1" t="s">
        <v>6932</v>
      </c>
      <c r="D2205" s="1" t="s">
        <v>27</v>
      </c>
      <c r="E2205" s="1" t="s">
        <v>28</v>
      </c>
      <c r="F2205" s="2">
        <v>500000.0</v>
      </c>
      <c r="G2205" s="4">
        <v>44626.0</v>
      </c>
      <c r="H2205" s="4">
        <f>IFERROR(__xludf.DUMMYFUNCTION("DATE(INDEX(SPLIT(G2205,""/""),,3),INDEX(SPLIT(G2205,""/""),,2),INDEX(SPLIT(G2205,""/""),,1))"),44715.0)</f>
        <v>44715</v>
      </c>
      <c r="I2205" s="4">
        <v>44931.0</v>
      </c>
      <c r="J2205" s="4">
        <f>IFERROR(__xludf.DUMMYFUNCTION("DATE(INDEX(SPLIT(I2205,""/""),,3),INDEX(SPLIT(I2205,""/""),,2),INDEX(SPLIT(I2205,""/""),,1))"),45047.0)</f>
        <v>45047</v>
      </c>
      <c r="L2205" s="1">
        <v>0.0</v>
      </c>
      <c r="M2205" s="1" t="s">
        <v>3601</v>
      </c>
      <c r="N2205" s="1"/>
      <c r="O2205" s="1" t="s">
        <v>30</v>
      </c>
      <c r="P2205" s="1" t="s">
        <v>31</v>
      </c>
      <c r="Q2205" s="1" t="s">
        <v>71</v>
      </c>
      <c r="R2205" s="1" t="s">
        <v>71</v>
      </c>
      <c r="S2205" s="1" t="s">
        <v>72</v>
      </c>
      <c r="T2205" s="1" t="s">
        <v>136</v>
      </c>
      <c r="U2205" s="1">
        <v>1.00611547E8</v>
      </c>
      <c r="X2205" s="1" t="s">
        <v>2028</v>
      </c>
      <c r="Y2205" s="1" t="s">
        <v>2278</v>
      </c>
      <c r="Z2205" s="1" t="s">
        <v>37</v>
      </c>
    </row>
    <row r="2206">
      <c r="A2206" s="1" t="s">
        <v>6933</v>
      </c>
      <c r="B2206" s="1" t="s">
        <v>4255</v>
      </c>
      <c r="C2206" s="1" t="s">
        <v>6934</v>
      </c>
      <c r="D2206" s="1" t="s">
        <v>78</v>
      </c>
      <c r="E2206" s="1" t="s">
        <v>28</v>
      </c>
      <c r="F2206" s="2">
        <v>500000.0</v>
      </c>
      <c r="G2206" s="4">
        <v>44105.0</v>
      </c>
      <c r="H2206" s="4">
        <f>IFERROR(__xludf.DUMMYFUNCTION("DATE(INDEX(SPLIT(G2206,""/""),,3),INDEX(SPLIT(G2206,""/""),,2),INDEX(SPLIT(G2206,""/""),,1))"),43840.0)</f>
        <v>43840</v>
      </c>
      <c r="I2206" s="1" t="s">
        <v>226</v>
      </c>
      <c r="J2206" s="4">
        <f>IFERROR(__xludf.DUMMYFUNCTION("DATE(INDEX(SPLIT(I2206,""/""),,3),INDEX(SPLIT(I2206,""/""),,2),INDEX(SPLIT(I2206,""/""),,1))"),44771.0)</f>
        <v>44771</v>
      </c>
      <c r="L2206" s="1">
        <v>0.0</v>
      </c>
      <c r="M2206" s="1" t="s">
        <v>4257</v>
      </c>
      <c r="N2206" s="1"/>
      <c r="O2206" s="1" t="s">
        <v>30</v>
      </c>
      <c r="P2206" s="1" t="s">
        <v>31</v>
      </c>
      <c r="Q2206" s="1" t="s">
        <v>188</v>
      </c>
      <c r="R2206" s="1" t="s">
        <v>188</v>
      </c>
      <c r="S2206" s="1" t="s">
        <v>189</v>
      </c>
      <c r="T2206" s="1" t="s">
        <v>640</v>
      </c>
      <c r="U2206" s="1">
        <v>1.00598931E8</v>
      </c>
      <c r="X2206" s="1" t="s">
        <v>254</v>
      </c>
      <c r="Y2206" s="1" t="s">
        <v>4257</v>
      </c>
      <c r="Z2206" s="1" t="s">
        <v>37</v>
      </c>
    </row>
    <row r="2207" hidden="1">
      <c r="A2207" s="1" t="s">
        <v>6935</v>
      </c>
      <c r="B2207" s="1" t="s">
        <v>6936</v>
      </c>
      <c r="C2207" s="1" t="s">
        <v>6937</v>
      </c>
      <c r="D2207" s="1" t="s">
        <v>27</v>
      </c>
      <c r="E2207" s="1" t="s">
        <v>28</v>
      </c>
      <c r="F2207" s="2">
        <v>500000.0</v>
      </c>
      <c r="G2207" s="1" t="s">
        <v>2900</v>
      </c>
      <c r="H2207" s="4">
        <f>IFERROR(__xludf.DUMMYFUNCTION("DATE(INDEX(SPLIT(G2207,""/""),,3),INDEX(SPLIT(G2207,""/""),,2),INDEX(SPLIT(G2207,""/""),,1))"),44678.0)</f>
        <v>44678</v>
      </c>
      <c r="I2207" s="1" t="s">
        <v>1799</v>
      </c>
      <c r="J2207" s="4">
        <f>IFERROR(__xludf.DUMMYFUNCTION("DATE(INDEX(SPLIT(I2207,""/""),,3),INDEX(SPLIT(I2207,""/""),,2),INDEX(SPLIT(I2207,""/""),,1))"),44788.0)</f>
        <v>44788</v>
      </c>
      <c r="L2207" s="1">
        <v>0.0</v>
      </c>
      <c r="M2207" s="1" t="s">
        <v>6938</v>
      </c>
      <c r="N2207" s="1"/>
      <c r="O2207" s="1" t="s">
        <v>30</v>
      </c>
      <c r="P2207" s="1" t="s">
        <v>31</v>
      </c>
      <c r="Q2207" s="1" t="s">
        <v>235</v>
      </c>
      <c r="R2207" s="1" t="s">
        <v>235</v>
      </c>
      <c r="S2207" s="1" t="s">
        <v>236</v>
      </c>
      <c r="U2207" s="1">
        <v>1.01161608E8</v>
      </c>
      <c r="X2207" s="1" t="s">
        <v>239</v>
      </c>
      <c r="Y2207" s="1" t="s">
        <v>6939</v>
      </c>
      <c r="Z2207" s="1" t="s">
        <v>37</v>
      </c>
    </row>
    <row r="2208" hidden="1">
      <c r="A2208" s="1" t="s">
        <v>6940</v>
      </c>
      <c r="B2208" s="1" t="s">
        <v>630</v>
      </c>
      <c r="C2208" s="1" t="s">
        <v>6941</v>
      </c>
      <c r="D2208" s="1" t="s">
        <v>27</v>
      </c>
      <c r="E2208" s="1" t="s">
        <v>28</v>
      </c>
      <c r="F2208" s="2">
        <v>500000.0</v>
      </c>
      <c r="G2208" s="1" t="s">
        <v>6942</v>
      </c>
      <c r="H2208" s="4">
        <f>IFERROR(__xludf.DUMMYFUNCTION("DATE(INDEX(SPLIT(G2208,""/""),,3),INDEX(SPLIT(G2208,""/""),,2),INDEX(SPLIT(G2208,""/""),,1))"),44492.0)</f>
        <v>44492</v>
      </c>
      <c r="I2208" s="1" t="s">
        <v>203</v>
      </c>
      <c r="J2208" s="4">
        <f>IFERROR(__xludf.DUMMYFUNCTION("DATE(INDEX(SPLIT(I2208,""/""),,3),INDEX(SPLIT(I2208,""/""),,2),INDEX(SPLIT(I2208,""/""),,1))"),44925.0)</f>
        <v>44925</v>
      </c>
      <c r="L2208" s="1">
        <v>0.0</v>
      </c>
      <c r="M2208" s="1" t="s">
        <v>1552</v>
      </c>
      <c r="N2208" s="1"/>
      <c r="O2208" s="1" t="s">
        <v>30</v>
      </c>
      <c r="P2208" s="1" t="s">
        <v>31</v>
      </c>
      <c r="Q2208" s="1" t="s">
        <v>32</v>
      </c>
      <c r="R2208" s="1" t="s">
        <v>32</v>
      </c>
      <c r="S2208" s="1" t="s">
        <v>33</v>
      </c>
      <c r="T2208" s="1" t="s">
        <v>1195</v>
      </c>
      <c r="U2208" s="1">
        <v>1.00637597E8</v>
      </c>
      <c r="V2208" s="1" t="s">
        <v>6943</v>
      </c>
      <c r="W2208" s="1" t="s">
        <v>199</v>
      </c>
      <c r="X2208" s="1" t="s">
        <v>490</v>
      </c>
      <c r="Y2208" s="1" t="s">
        <v>1552</v>
      </c>
      <c r="Z2208" s="1" t="s">
        <v>37</v>
      </c>
    </row>
    <row r="2209">
      <c r="A2209" s="1" t="s">
        <v>6944</v>
      </c>
      <c r="B2209" s="1" t="s">
        <v>566</v>
      </c>
      <c r="C2209" s="1" t="s">
        <v>6945</v>
      </c>
      <c r="D2209" s="1" t="s">
        <v>27</v>
      </c>
      <c r="E2209" s="1" t="s">
        <v>28</v>
      </c>
      <c r="F2209" s="2">
        <v>500000.0</v>
      </c>
      <c r="G2209" s="1" t="s">
        <v>286</v>
      </c>
      <c r="H2209" s="4">
        <f>IFERROR(__xludf.DUMMYFUNCTION("DATE(INDEX(SPLIT(G2209,""/""),,3),INDEX(SPLIT(G2209,""/""),,2),INDEX(SPLIT(G2209,""/""),,1))"),44609.0)</f>
        <v>44609</v>
      </c>
      <c r="I2209" s="1" t="s">
        <v>2300</v>
      </c>
      <c r="J2209" s="4">
        <f>IFERROR(__xludf.DUMMYFUNCTION("DATE(INDEX(SPLIT(I2209,""/""),,3),INDEX(SPLIT(I2209,""/""),,2),INDEX(SPLIT(I2209,""/""),,1))"),44712.0)</f>
        <v>44712</v>
      </c>
      <c r="L2209" s="1">
        <v>0.0</v>
      </c>
      <c r="M2209" s="1" t="s">
        <v>5974</v>
      </c>
      <c r="N2209" s="1"/>
      <c r="O2209" s="1" t="s">
        <v>30</v>
      </c>
      <c r="P2209" s="1" t="s">
        <v>31</v>
      </c>
      <c r="Q2209" s="1" t="s">
        <v>235</v>
      </c>
      <c r="R2209" s="1" t="s">
        <v>235</v>
      </c>
      <c r="S2209" s="1" t="s">
        <v>236</v>
      </c>
      <c r="T2209" s="1" t="s">
        <v>438</v>
      </c>
      <c r="U2209" s="1">
        <v>1.00637651E8</v>
      </c>
      <c r="X2209" s="1" t="s">
        <v>63</v>
      </c>
      <c r="Y2209" s="1" t="s">
        <v>767</v>
      </c>
      <c r="Z2209" s="1" t="s">
        <v>206</v>
      </c>
    </row>
    <row r="2210" hidden="1">
      <c r="A2210" s="1" t="s">
        <v>6946</v>
      </c>
      <c r="B2210" s="1" t="s">
        <v>6947</v>
      </c>
      <c r="C2210" s="1" t="s">
        <v>6948</v>
      </c>
      <c r="D2210" s="1" t="s">
        <v>27</v>
      </c>
      <c r="E2210" s="1" t="s">
        <v>28</v>
      </c>
      <c r="F2210" s="2">
        <v>500000.0</v>
      </c>
      <c r="G2210" s="4">
        <v>44899.0</v>
      </c>
      <c r="H2210" s="4">
        <f>IFERROR(__xludf.DUMMYFUNCTION("DATE(INDEX(SPLIT(G2210,""/""),,3),INDEX(SPLIT(G2210,""/""),,2),INDEX(SPLIT(G2210,""/""),,1))"),44663.0)</f>
        <v>44663</v>
      </c>
      <c r="I2210" s="1" t="s">
        <v>6949</v>
      </c>
      <c r="J2210" s="4">
        <f>IFERROR(__xludf.DUMMYFUNCTION("DATE(INDEX(SPLIT(I2210,""/""),,3),INDEX(SPLIT(I2210,""/""),,2),INDEX(SPLIT(I2210,""/""),,1))"),44879.0)</f>
        <v>44879</v>
      </c>
      <c r="L2210" s="1">
        <v>0.0</v>
      </c>
      <c r="M2210" s="1" t="s">
        <v>936</v>
      </c>
      <c r="N2210" s="1"/>
      <c r="O2210" s="1" t="s">
        <v>30</v>
      </c>
      <c r="P2210" s="1" t="s">
        <v>31</v>
      </c>
      <c r="Q2210" s="1" t="s">
        <v>71</v>
      </c>
      <c r="R2210" s="1" t="s">
        <v>71</v>
      </c>
      <c r="S2210" s="1" t="s">
        <v>72</v>
      </c>
      <c r="T2210" s="1" t="s">
        <v>73</v>
      </c>
      <c r="U2210" s="1">
        <v>1.00941744E8</v>
      </c>
      <c r="Y2210" s="1" t="s">
        <v>936</v>
      </c>
      <c r="Z2210" s="1" t="s">
        <v>37</v>
      </c>
    </row>
    <row r="2211">
      <c r="A2211" s="1" t="s">
        <v>6950</v>
      </c>
      <c r="B2211" s="1" t="s">
        <v>5165</v>
      </c>
      <c r="C2211" s="1" t="s">
        <v>6951</v>
      </c>
      <c r="D2211" s="1" t="s">
        <v>27</v>
      </c>
      <c r="E2211" s="1" t="s">
        <v>28</v>
      </c>
      <c r="F2211" s="2">
        <v>500000.0</v>
      </c>
      <c r="G2211" s="4">
        <v>44747.0</v>
      </c>
      <c r="H2211" s="4">
        <f>IFERROR(__xludf.DUMMYFUNCTION("DATE(INDEX(SPLIT(G2211,""/""),,3),INDEX(SPLIT(G2211,""/""),,2),INDEX(SPLIT(G2211,""/""),,1))"),44688.0)</f>
        <v>44688</v>
      </c>
      <c r="I2211" s="1" t="s">
        <v>226</v>
      </c>
      <c r="J2211" s="4">
        <f>IFERROR(__xludf.DUMMYFUNCTION("DATE(INDEX(SPLIT(I2211,""/""),,3),INDEX(SPLIT(I2211,""/""),,2),INDEX(SPLIT(I2211,""/""),,1))"),44771.0)</f>
        <v>44771</v>
      </c>
      <c r="L2211" s="1">
        <v>0.0</v>
      </c>
      <c r="M2211" s="1" t="s">
        <v>146</v>
      </c>
      <c r="N2211" s="1"/>
      <c r="O2211" s="1" t="s">
        <v>30</v>
      </c>
      <c r="P2211" s="1" t="s">
        <v>31</v>
      </c>
      <c r="Q2211" s="1" t="s">
        <v>53</v>
      </c>
      <c r="R2211" s="1" t="s">
        <v>53</v>
      </c>
      <c r="S2211" s="1" t="s">
        <v>54</v>
      </c>
      <c r="U2211" s="1">
        <v>1.00652489E8</v>
      </c>
      <c r="X2211" s="1" t="s">
        <v>88</v>
      </c>
      <c r="Y2211" s="1" t="s">
        <v>146</v>
      </c>
      <c r="Z2211" s="1" t="s">
        <v>37</v>
      </c>
    </row>
    <row r="2212">
      <c r="A2212" s="1" t="s">
        <v>6952</v>
      </c>
      <c r="B2212" s="1" t="s">
        <v>1144</v>
      </c>
      <c r="C2212" s="1" t="s">
        <v>6953</v>
      </c>
      <c r="D2212" s="1" t="s">
        <v>27</v>
      </c>
      <c r="E2212" s="1" t="s">
        <v>28</v>
      </c>
      <c r="F2212" s="2">
        <v>500000.0</v>
      </c>
      <c r="G2212" s="1" t="s">
        <v>2055</v>
      </c>
      <c r="H2212" s="4">
        <f>IFERROR(__xludf.DUMMYFUNCTION("DATE(INDEX(SPLIT(G2212,""/""),,3),INDEX(SPLIT(G2212,""/""),,2),INDEX(SPLIT(G2212,""/""),,1))"),44497.0)</f>
        <v>44497</v>
      </c>
      <c r="I2212" s="1" t="s">
        <v>1244</v>
      </c>
      <c r="J2212" s="4">
        <f>IFERROR(__xludf.DUMMYFUNCTION("DATE(INDEX(SPLIT(I2212,""/""),,3),INDEX(SPLIT(I2212,""/""),,2),INDEX(SPLIT(I2212,""/""),,1))"),44742.0)</f>
        <v>44742</v>
      </c>
      <c r="L2212" s="1">
        <v>0.0</v>
      </c>
      <c r="M2212" s="1" t="s">
        <v>6371</v>
      </c>
      <c r="N2212" s="1"/>
      <c r="O2212" s="1" t="s">
        <v>30</v>
      </c>
      <c r="P2212" s="1" t="s">
        <v>31</v>
      </c>
      <c r="Q2212" s="1" t="s">
        <v>228</v>
      </c>
      <c r="R2212" s="1" t="s">
        <v>228</v>
      </c>
      <c r="S2212" s="1" t="s">
        <v>229</v>
      </c>
      <c r="T2212" s="1" t="s">
        <v>640</v>
      </c>
      <c r="U2212" s="1">
        <v>1.00607287E8</v>
      </c>
      <c r="X2212" s="1" t="s">
        <v>63</v>
      </c>
      <c r="Y2212" s="1" t="s">
        <v>6371</v>
      </c>
      <c r="Z2212" s="1" t="s">
        <v>527</v>
      </c>
    </row>
    <row r="2213" hidden="1">
      <c r="A2213" s="1" t="s">
        <v>6954</v>
      </c>
      <c r="B2213" s="1" t="s">
        <v>6955</v>
      </c>
      <c r="C2213" s="1" t="s">
        <v>6956</v>
      </c>
      <c r="D2213" s="1" t="s">
        <v>27</v>
      </c>
      <c r="E2213" s="1" t="s">
        <v>28</v>
      </c>
      <c r="F2213" s="2">
        <v>500000.0</v>
      </c>
      <c r="G2213" s="1" t="s">
        <v>5224</v>
      </c>
      <c r="H2213" s="4">
        <f>IFERROR(__xludf.DUMMYFUNCTION("DATE(INDEX(SPLIT(G2213,""/""),,3),INDEX(SPLIT(G2213,""/""),,2),INDEX(SPLIT(G2213,""/""),,1))"),44421.0)</f>
        <v>44421</v>
      </c>
      <c r="I2213" s="1" t="s">
        <v>109</v>
      </c>
      <c r="J2213" s="4">
        <f>IFERROR(__xludf.DUMMYFUNCTION("DATE(INDEX(SPLIT(I2213,""/""),,3),INDEX(SPLIT(I2213,""/""),,2),INDEX(SPLIT(I2213,""/""),,1))"),44834.0)</f>
        <v>44834</v>
      </c>
      <c r="L2213" s="1">
        <v>0.0</v>
      </c>
      <c r="M2213" s="1" t="s">
        <v>3580</v>
      </c>
      <c r="N2213" s="1"/>
      <c r="O2213" s="1" t="s">
        <v>30</v>
      </c>
      <c r="P2213" s="1" t="s">
        <v>31</v>
      </c>
      <c r="Q2213" s="1" t="s">
        <v>157</v>
      </c>
      <c r="R2213" s="1" t="s">
        <v>157</v>
      </c>
      <c r="S2213" s="1" t="s">
        <v>158</v>
      </c>
      <c r="U2213" s="1">
        <v>1.00956516E8</v>
      </c>
      <c r="X2213" s="1" t="s">
        <v>239</v>
      </c>
      <c r="Y2213" s="1" t="s">
        <v>6957</v>
      </c>
      <c r="Z2213" s="1" t="s">
        <v>37</v>
      </c>
    </row>
    <row r="2214" hidden="1">
      <c r="A2214" s="1" t="s">
        <v>6958</v>
      </c>
      <c r="B2214" s="1" t="s">
        <v>6959</v>
      </c>
      <c r="C2214" s="1" t="s">
        <v>6960</v>
      </c>
      <c r="D2214" s="1" t="s">
        <v>27</v>
      </c>
      <c r="E2214" s="1" t="s">
        <v>28</v>
      </c>
      <c r="F2214" s="2">
        <v>500000.0</v>
      </c>
      <c r="G2214" s="4">
        <v>44239.0</v>
      </c>
      <c r="H2214" s="4">
        <f>IFERROR(__xludf.DUMMYFUNCTION("DATE(INDEX(SPLIT(G2214,""/""),,3),INDEX(SPLIT(G2214,""/""),,2),INDEX(SPLIT(G2214,""/""),,1))"),44532.0)</f>
        <v>44532</v>
      </c>
      <c r="I2214" s="1" t="s">
        <v>281</v>
      </c>
      <c r="J2214" s="4">
        <f>IFERROR(__xludf.DUMMYFUNCTION("DATE(INDEX(SPLIT(I2214,""/""),,3),INDEX(SPLIT(I2214,""/""),,2),INDEX(SPLIT(I2214,""/""),,1))"),44865.0)</f>
        <v>44865</v>
      </c>
      <c r="L2214" s="1">
        <v>0.0</v>
      </c>
      <c r="M2214" s="1" t="s">
        <v>2614</v>
      </c>
      <c r="N2214" s="1"/>
      <c r="O2214" s="1" t="s">
        <v>30</v>
      </c>
      <c r="P2214" s="1" t="s">
        <v>31</v>
      </c>
      <c r="Q2214" s="1" t="s">
        <v>53</v>
      </c>
      <c r="R2214" s="1" t="s">
        <v>53</v>
      </c>
      <c r="S2214" s="1" t="s">
        <v>54</v>
      </c>
      <c r="T2214" s="1" t="s">
        <v>197</v>
      </c>
      <c r="U2214" s="1">
        <v>1.00592932E8</v>
      </c>
      <c r="X2214" s="1" t="s">
        <v>254</v>
      </c>
      <c r="Y2214" s="1" t="s">
        <v>3056</v>
      </c>
      <c r="Z2214" s="1" t="s">
        <v>37</v>
      </c>
    </row>
    <row r="2215">
      <c r="A2215" s="1" t="s">
        <v>6961</v>
      </c>
      <c r="B2215" s="1" t="s">
        <v>1237</v>
      </c>
      <c r="C2215" s="1" t="s">
        <v>6962</v>
      </c>
      <c r="D2215" s="1" t="s">
        <v>78</v>
      </c>
      <c r="E2215" s="1" t="s">
        <v>28</v>
      </c>
      <c r="F2215" s="2">
        <v>500000.0</v>
      </c>
      <c r="G2215" s="1" t="s">
        <v>1806</v>
      </c>
      <c r="H2215" s="4">
        <f>IFERROR(__xludf.DUMMYFUNCTION("DATE(INDEX(SPLIT(G2215,""/""),,3),INDEX(SPLIT(G2215,""/""),,2),INDEX(SPLIT(G2215,""/""),,1))"),44694.0)</f>
        <v>44694</v>
      </c>
      <c r="I2215" s="1" t="s">
        <v>226</v>
      </c>
      <c r="J2215" s="4">
        <f>IFERROR(__xludf.DUMMYFUNCTION("DATE(INDEX(SPLIT(I2215,""/""),,3),INDEX(SPLIT(I2215,""/""),,2),INDEX(SPLIT(I2215,""/""),,1))"),44771.0)</f>
        <v>44771</v>
      </c>
      <c r="L2215" s="1">
        <v>0.0</v>
      </c>
      <c r="M2215" s="1" t="s">
        <v>929</v>
      </c>
      <c r="N2215" s="1"/>
      <c r="O2215" s="1" t="s">
        <v>30</v>
      </c>
      <c r="P2215" s="1" t="s">
        <v>31</v>
      </c>
      <c r="Q2215" s="1" t="s">
        <v>71</v>
      </c>
      <c r="R2215" s="1" t="s">
        <v>71</v>
      </c>
      <c r="S2215" s="1" t="s">
        <v>72</v>
      </c>
      <c r="T2215" s="1" t="s">
        <v>73</v>
      </c>
      <c r="U2215" s="1">
        <v>1.00649698E8</v>
      </c>
      <c r="X2215" s="1" t="s">
        <v>74</v>
      </c>
      <c r="Y2215" s="1" t="s">
        <v>929</v>
      </c>
      <c r="Z2215" s="1" t="s">
        <v>37</v>
      </c>
    </row>
    <row r="2216" hidden="1">
      <c r="A2216" s="1" t="s">
        <v>6963</v>
      </c>
      <c r="B2216" s="1" t="s">
        <v>6964</v>
      </c>
      <c r="C2216" s="1" t="s">
        <v>6965</v>
      </c>
      <c r="D2216" s="1" t="s">
        <v>122</v>
      </c>
      <c r="E2216" s="1" t="s">
        <v>28</v>
      </c>
      <c r="F2216" s="2">
        <v>500000.0</v>
      </c>
      <c r="G2216" s="4">
        <v>44321.0</v>
      </c>
      <c r="H2216" s="4">
        <f>IFERROR(__xludf.DUMMYFUNCTION("DATE(INDEX(SPLIT(G2216,""/""),,3),INDEX(SPLIT(G2216,""/""),,2),INDEX(SPLIT(G2216,""/""),,1))"),44321.0)</f>
        <v>44321</v>
      </c>
      <c r="I2216" s="1" t="s">
        <v>42</v>
      </c>
      <c r="J2216" s="4">
        <f>IFERROR(__xludf.DUMMYFUNCTION("DATE(INDEX(SPLIT(I2216,""/""),,3),INDEX(SPLIT(I2216,""/""),,2),INDEX(SPLIT(I2216,""/""),,1))"),44926.0)</f>
        <v>44926</v>
      </c>
      <c r="L2216" s="1">
        <v>0.0</v>
      </c>
      <c r="M2216" s="1" t="s">
        <v>2752</v>
      </c>
      <c r="N2216" s="1"/>
      <c r="O2216" s="1" t="s">
        <v>30</v>
      </c>
      <c r="P2216" s="1" t="s">
        <v>31</v>
      </c>
      <c r="Q2216" s="1" t="s">
        <v>235</v>
      </c>
      <c r="R2216" s="1" t="s">
        <v>235</v>
      </c>
      <c r="S2216" s="1" t="s">
        <v>236</v>
      </c>
      <c r="T2216" s="1" t="s">
        <v>1427</v>
      </c>
      <c r="U2216" s="1">
        <v>1.0062606E8</v>
      </c>
      <c r="X2216" s="1" t="s">
        <v>289</v>
      </c>
      <c r="Y2216" s="1" t="s">
        <v>6966</v>
      </c>
      <c r="Z2216" s="1" t="s">
        <v>37</v>
      </c>
    </row>
    <row r="2217">
      <c r="A2217" s="1" t="s">
        <v>6967</v>
      </c>
      <c r="B2217" s="1" t="s">
        <v>6968</v>
      </c>
      <c r="C2217" s="1" t="s">
        <v>6969</v>
      </c>
      <c r="D2217" s="1" t="s">
        <v>78</v>
      </c>
      <c r="E2217" s="1" t="s">
        <v>28</v>
      </c>
      <c r="F2217" s="2">
        <v>500000.0</v>
      </c>
      <c r="G2217" s="1" t="s">
        <v>3972</v>
      </c>
      <c r="H2217" s="4">
        <f>IFERROR(__xludf.DUMMYFUNCTION("DATE(INDEX(SPLIT(G2217,""/""),,3),INDEX(SPLIT(G2217,""/""),,2),INDEX(SPLIT(G2217,""/""),,1))"),44637.0)</f>
        <v>44637</v>
      </c>
      <c r="I2217" s="1" t="s">
        <v>518</v>
      </c>
      <c r="J2217" s="4">
        <f>IFERROR(__xludf.DUMMYFUNCTION("DATE(INDEX(SPLIT(I2217,""/""),,3),INDEX(SPLIT(I2217,""/""),,2),INDEX(SPLIT(I2217,""/""),,1))"),44757.0)</f>
        <v>44757</v>
      </c>
      <c r="L2217" s="1">
        <v>0.0</v>
      </c>
      <c r="M2217" s="1" t="s">
        <v>339</v>
      </c>
      <c r="N2217" s="1"/>
      <c r="O2217" s="1" t="s">
        <v>30</v>
      </c>
      <c r="P2217" s="1" t="s">
        <v>31</v>
      </c>
      <c r="Q2217" s="1" t="s">
        <v>235</v>
      </c>
      <c r="R2217" s="1" t="s">
        <v>235</v>
      </c>
      <c r="S2217" s="1" t="s">
        <v>236</v>
      </c>
      <c r="U2217" s="1">
        <v>1.00588753E8</v>
      </c>
      <c r="X2217" s="1" t="s">
        <v>63</v>
      </c>
      <c r="Y2217" s="1" t="s">
        <v>339</v>
      </c>
      <c r="Z2217" s="1" t="s">
        <v>37</v>
      </c>
    </row>
    <row r="2218">
      <c r="A2218" s="1" t="s">
        <v>6970</v>
      </c>
      <c r="B2218" s="1" t="s">
        <v>1826</v>
      </c>
      <c r="C2218" s="1" t="s">
        <v>6971</v>
      </c>
      <c r="D2218" s="1" t="s">
        <v>78</v>
      </c>
      <c r="E2218" s="1" t="s">
        <v>28</v>
      </c>
      <c r="F2218" s="2">
        <v>500000.0</v>
      </c>
      <c r="G2218" s="1" t="s">
        <v>275</v>
      </c>
      <c r="H2218" s="4">
        <f>IFERROR(__xludf.DUMMYFUNCTION("DATE(INDEX(SPLIT(G2218,""/""),,3),INDEX(SPLIT(G2218,""/""),,2),INDEX(SPLIT(G2218,""/""),,1))"),44462.0)</f>
        <v>44462</v>
      </c>
      <c r="I2218" s="1" t="s">
        <v>226</v>
      </c>
      <c r="J2218" s="4">
        <f>IFERROR(__xludf.DUMMYFUNCTION("DATE(INDEX(SPLIT(I2218,""/""),,3),INDEX(SPLIT(I2218,""/""),,2),INDEX(SPLIT(I2218,""/""),,1))"),44771.0)</f>
        <v>44771</v>
      </c>
      <c r="L2218" s="1">
        <v>0.0</v>
      </c>
      <c r="M2218" s="1" t="s">
        <v>1828</v>
      </c>
      <c r="N2218" s="1"/>
      <c r="O2218" s="1" t="s">
        <v>30</v>
      </c>
      <c r="P2218" s="1" t="s">
        <v>31</v>
      </c>
      <c r="Q2218" s="1" t="s">
        <v>235</v>
      </c>
      <c r="R2218" s="1" t="s">
        <v>235</v>
      </c>
      <c r="S2218" s="1" t="s">
        <v>236</v>
      </c>
      <c r="T2218" s="1" t="s">
        <v>1349</v>
      </c>
      <c r="U2218" s="1">
        <v>1.00593918E8</v>
      </c>
      <c r="X2218" s="1" t="s">
        <v>375</v>
      </c>
      <c r="Y2218" s="1" t="s">
        <v>1829</v>
      </c>
      <c r="Z2218" s="1" t="s">
        <v>37</v>
      </c>
    </row>
    <row r="2219">
      <c r="A2219" s="1" t="s">
        <v>6972</v>
      </c>
      <c r="B2219" s="1" t="s">
        <v>5158</v>
      </c>
      <c r="C2219" s="1" t="s">
        <v>6973</v>
      </c>
      <c r="D2219" s="1" t="s">
        <v>27</v>
      </c>
      <c r="E2219" s="1" t="s">
        <v>28</v>
      </c>
      <c r="F2219" s="2">
        <v>500000.0</v>
      </c>
      <c r="G2219" s="4">
        <v>44899.0</v>
      </c>
      <c r="H2219" s="4">
        <f>IFERROR(__xludf.DUMMYFUNCTION("DATE(INDEX(SPLIT(G2219,""/""),,3),INDEX(SPLIT(G2219,""/""),,2),INDEX(SPLIT(G2219,""/""),,1))"),44663.0)</f>
        <v>44663</v>
      </c>
      <c r="I2219" s="1" t="s">
        <v>69</v>
      </c>
      <c r="J2219" s="4">
        <f>IFERROR(__xludf.DUMMYFUNCTION("DATE(INDEX(SPLIT(I2219,""/""),,3),INDEX(SPLIT(I2219,""/""),,2),INDEX(SPLIT(I2219,""/""),,1))"),44773.0)</f>
        <v>44773</v>
      </c>
      <c r="L2219" s="1">
        <v>0.0</v>
      </c>
      <c r="M2219" s="1" t="s">
        <v>936</v>
      </c>
      <c r="N2219" s="1"/>
      <c r="O2219" s="1" t="s">
        <v>30</v>
      </c>
      <c r="P2219" s="1" t="s">
        <v>31</v>
      </c>
      <c r="Q2219" s="1" t="s">
        <v>71</v>
      </c>
      <c r="R2219" s="1" t="s">
        <v>71</v>
      </c>
      <c r="S2219" s="1" t="s">
        <v>72</v>
      </c>
      <c r="T2219" s="1" t="s">
        <v>73</v>
      </c>
      <c r="U2219" s="1">
        <v>1.00941744E8</v>
      </c>
      <c r="X2219" s="1" t="s">
        <v>74</v>
      </c>
      <c r="Y2219" s="1" t="s">
        <v>6974</v>
      </c>
      <c r="Z2219" s="1" t="s">
        <v>37</v>
      </c>
    </row>
    <row r="2220" hidden="1">
      <c r="A2220" s="1" t="s">
        <v>6975</v>
      </c>
      <c r="B2220" s="1" t="s">
        <v>6976</v>
      </c>
      <c r="C2220" s="1" t="s">
        <v>6977</v>
      </c>
      <c r="D2220" s="1" t="s">
        <v>122</v>
      </c>
      <c r="E2220" s="1" t="s">
        <v>28</v>
      </c>
      <c r="F2220" s="2">
        <v>500000.0</v>
      </c>
      <c r="G2220" s="1" t="s">
        <v>3883</v>
      </c>
      <c r="H2220" s="4">
        <f>IFERROR(__xludf.DUMMYFUNCTION("DATE(INDEX(SPLIT(G2220,""/""),,3),INDEX(SPLIT(G2220,""/""),,2),INDEX(SPLIT(G2220,""/""),,1))"),44666.0)</f>
        <v>44666</v>
      </c>
      <c r="I2220" s="1" t="s">
        <v>1312</v>
      </c>
      <c r="J2220" s="4">
        <f>IFERROR(__xludf.DUMMYFUNCTION("DATE(INDEX(SPLIT(I2220,""/""),,3),INDEX(SPLIT(I2220,""/""),,2),INDEX(SPLIT(I2220,""/""),,1))"),44791.0)</f>
        <v>44791</v>
      </c>
      <c r="L2220" s="1">
        <v>0.0</v>
      </c>
      <c r="M2220" s="1" t="s">
        <v>3419</v>
      </c>
      <c r="N2220" s="1"/>
      <c r="O2220" s="1" t="s">
        <v>30</v>
      </c>
      <c r="P2220" s="1" t="s">
        <v>31</v>
      </c>
      <c r="Q2220" s="1" t="s">
        <v>32</v>
      </c>
      <c r="R2220" s="1" t="s">
        <v>32</v>
      </c>
      <c r="S2220" s="1" t="s">
        <v>33</v>
      </c>
      <c r="T2220" s="1" t="s">
        <v>1195</v>
      </c>
      <c r="U2220" s="1">
        <v>1.00651998E8</v>
      </c>
      <c r="X2220" s="1" t="s">
        <v>490</v>
      </c>
      <c r="Y2220" s="1" t="s">
        <v>2725</v>
      </c>
      <c r="Z2220" s="1" t="s">
        <v>37</v>
      </c>
    </row>
    <row r="2221" hidden="1">
      <c r="A2221" s="1" t="s">
        <v>6978</v>
      </c>
      <c r="B2221" s="1" t="s">
        <v>6247</v>
      </c>
      <c r="C2221" s="1" t="s">
        <v>6979</v>
      </c>
      <c r="D2221" s="1" t="s">
        <v>122</v>
      </c>
      <c r="E2221" s="1" t="s">
        <v>28</v>
      </c>
      <c r="F2221" s="2">
        <v>500000.0</v>
      </c>
      <c r="G2221" s="1" t="s">
        <v>1581</v>
      </c>
      <c r="H2221" s="4">
        <f>IFERROR(__xludf.DUMMYFUNCTION("DATE(INDEX(SPLIT(G2221,""/""),,3),INDEX(SPLIT(G2221,""/""),,2),INDEX(SPLIT(G2221,""/""),,1))"),44453.0)</f>
        <v>44453</v>
      </c>
      <c r="I2221" s="1" t="s">
        <v>42</v>
      </c>
      <c r="J2221" s="4">
        <f>IFERROR(__xludf.DUMMYFUNCTION("DATE(INDEX(SPLIT(I2221,""/""),,3),INDEX(SPLIT(I2221,""/""),,2),INDEX(SPLIT(I2221,""/""),,1))"),44926.0)</f>
        <v>44926</v>
      </c>
      <c r="L2221" s="1">
        <v>0.0</v>
      </c>
      <c r="M2221" s="1" t="s">
        <v>2568</v>
      </c>
      <c r="N2221" s="1"/>
      <c r="O2221" s="1" t="s">
        <v>30</v>
      </c>
      <c r="P2221" s="1" t="s">
        <v>31</v>
      </c>
      <c r="Q2221" s="1" t="s">
        <v>228</v>
      </c>
      <c r="R2221" s="1" t="s">
        <v>228</v>
      </c>
      <c r="S2221" s="1" t="s">
        <v>229</v>
      </c>
      <c r="T2221" s="1" t="s">
        <v>513</v>
      </c>
      <c r="U2221" s="1">
        <v>1.00659458E8</v>
      </c>
      <c r="X2221" s="1" t="s">
        <v>98</v>
      </c>
      <c r="Y2221" s="1" t="s">
        <v>5636</v>
      </c>
      <c r="Z2221" s="1" t="s">
        <v>37</v>
      </c>
    </row>
    <row r="2222">
      <c r="A2222" s="1" t="s">
        <v>6980</v>
      </c>
      <c r="B2222" s="1" t="s">
        <v>2295</v>
      </c>
      <c r="C2222" s="1" t="s">
        <v>6981</v>
      </c>
      <c r="D2222" s="1" t="s">
        <v>27</v>
      </c>
      <c r="E2222" s="1" t="s">
        <v>28</v>
      </c>
      <c r="F2222" s="2">
        <v>500000.0</v>
      </c>
      <c r="G2222" s="1" t="s">
        <v>3853</v>
      </c>
      <c r="H2222" s="4">
        <f>IFERROR(__xludf.DUMMYFUNCTION("DATE(INDEX(SPLIT(G2222,""/""),,3),INDEX(SPLIT(G2222,""/""),,2),INDEX(SPLIT(G2222,""/""),,1))"),44679.0)</f>
        <v>44679</v>
      </c>
      <c r="I2222" s="1" t="s">
        <v>359</v>
      </c>
      <c r="J2222" s="4">
        <f>IFERROR(__xludf.DUMMYFUNCTION("DATE(INDEX(SPLIT(I2222,""/""),,3),INDEX(SPLIT(I2222,""/""),,2),INDEX(SPLIT(I2222,""/""),,1))"),44740.0)</f>
        <v>44740</v>
      </c>
      <c r="L2222" s="1">
        <v>0.0</v>
      </c>
      <c r="M2222" s="1" t="s">
        <v>1040</v>
      </c>
      <c r="N2222" s="1"/>
      <c r="O2222" s="1" t="s">
        <v>30</v>
      </c>
      <c r="P2222" s="1" t="s">
        <v>31</v>
      </c>
      <c r="Q2222" s="1" t="s">
        <v>71</v>
      </c>
      <c r="R2222" s="1" t="s">
        <v>71</v>
      </c>
      <c r="S2222" s="1" t="s">
        <v>72</v>
      </c>
      <c r="T2222" s="1" t="s">
        <v>73</v>
      </c>
      <c r="U2222" s="1">
        <v>1.00619899E8</v>
      </c>
      <c r="X2222" s="1" t="s">
        <v>74</v>
      </c>
      <c r="Y2222" s="1" t="s">
        <v>6982</v>
      </c>
      <c r="Z2222" s="1" t="s">
        <v>37</v>
      </c>
    </row>
    <row r="2223" hidden="1">
      <c r="A2223" s="1" t="s">
        <v>6983</v>
      </c>
      <c r="B2223" s="1" t="s">
        <v>1730</v>
      </c>
      <c r="C2223" s="1" t="s">
        <v>2847</v>
      </c>
      <c r="D2223" s="1" t="s">
        <v>122</v>
      </c>
      <c r="E2223" s="1" t="s">
        <v>28</v>
      </c>
      <c r="F2223" s="2">
        <v>500000.0</v>
      </c>
      <c r="G2223" s="1" t="s">
        <v>1806</v>
      </c>
      <c r="H2223" s="4">
        <f>IFERROR(__xludf.DUMMYFUNCTION("DATE(INDEX(SPLIT(G2223,""/""),,3),INDEX(SPLIT(G2223,""/""),,2),INDEX(SPLIT(G2223,""/""),,1))"),44694.0)</f>
        <v>44694</v>
      </c>
      <c r="I2223" s="1" t="s">
        <v>1495</v>
      </c>
      <c r="J2223" s="4">
        <f>IFERROR(__xludf.DUMMYFUNCTION("DATE(INDEX(SPLIT(I2223,""/""),,3),INDEX(SPLIT(I2223,""/""),,2),INDEX(SPLIT(I2223,""/""),,1))"),44864.0)</f>
        <v>44864</v>
      </c>
      <c r="L2223" s="1">
        <v>0.0</v>
      </c>
      <c r="M2223" s="1" t="s">
        <v>524</v>
      </c>
      <c r="N2223" s="1"/>
      <c r="O2223" s="1" t="s">
        <v>30</v>
      </c>
      <c r="P2223" s="1" t="s">
        <v>31</v>
      </c>
      <c r="Q2223" s="1" t="s">
        <v>32</v>
      </c>
      <c r="R2223" s="1" t="s">
        <v>32</v>
      </c>
      <c r="S2223" s="1" t="s">
        <v>33</v>
      </c>
      <c r="T2223" s="1" t="s">
        <v>2846</v>
      </c>
      <c r="U2223" s="1">
        <v>1.00627768E8</v>
      </c>
      <c r="W2223" s="1" t="s">
        <v>56</v>
      </c>
      <c r="X2223" s="1" t="s">
        <v>125</v>
      </c>
      <c r="Y2223" s="1" t="s">
        <v>524</v>
      </c>
      <c r="Z2223" s="1" t="s">
        <v>527</v>
      </c>
    </row>
    <row r="2224" hidden="1">
      <c r="A2224" s="1" t="s">
        <v>6984</v>
      </c>
      <c r="B2224" s="1" t="s">
        <v>1352</v>
      </c>
      <c r="C2224" s="1" t="s">
        <v>6985</v>
      </c>
      <c r="D2224" s="1" t="s">
        <v>27</v>
      </c>
      <c r="E2224" s="1" t="s">
        <v>28</v>
      </c>
      <c r="F2224" s="2">
        <v>500000.0</v>
      </c>
      <c r="G2224" s="1" t="s">
        <v>1154</v>
      </c>
      <c r="H2224" s="4">
        <f>IFERROR(__xludf.DUMMYFUNCTION("DATE(INDEX(SPLIT(G2224,""/""),,3),INDEX(SPLIT(G2224,""/""),,2),INDEX(SPLIT(G2224,""/""),,1))"),44735.0)</f>
        <v>44735</v>
      </c>
      <c r="I2224" s="1" t="s">
        <v>1678</v>
      </c>
      <c r="J2224" s="4">
        <f>IFERROR(__xludf.DUMMYFUNCTION("DATE(INDEX(SPLIT(I2224,""/""),,3),INDEX(SPLIT(I2224,""/""),,2),INDEX(SPLIT(I2224,""/""),,1))"),44819.0)</f>
        <v>44819</v>
      </c>
      <c r="L2224" s="1">
        <v>0.0</v>
      </c>
      <c r="M2224" s="1" t="s">
        <v>1532</v>
      </c>
      <c r="N2224" s="1"/>
      <c r="O2224" s="1" t="s">
        <v>30</v>
      </c>
      <c r="P2224" s="1" t="s">
        <v>31</v>
      </c>
      <c r="Q2224" s="1" t="s">
        <v>228</v>
      </c>
      <c r="R2224" s="1" t="s">
        <v>228</v>
      </c>
      <c r="S2224" s="1" t="s">
        <v>229</v>
      </c>
      <c r="T2224" s="1" t="s">
        <v>640</v>
      </c>
      <c r="U2224" s="1">
        <v>1.00711752E8</v>
      </c>
      <c r="X2224" s="1" t="s">
        <v>375</v>
      </c>
      <c r="Y2224" s="1" t="s">
        <v>1533</v>
      </c>
      <c r="Z2224" s="1" t="s">
        <v>37</v>
      </c>
    </row>
    <row r="2225" hidden="1">
      <c r="A2225" s="1" t="s">
        <v>6986</v>
      </c>
      <c r="B2225" s="1" t="s">
        <v>6987</v>
      </c>
      <c r="C2225" s="1" t="s">
        <v>6988</v>
      </c>
      <c r="D2225" s="1" t="s">
        <v>27</v>
      </c>
      <c r="E2225" s="1" t="s">
        <v>28</v>
      </c>
      <c r="F2225" s="2">
        <v>500000.0</v>
      </c>
      <c r="G2225" s="1" t="s">
        <v>3349</v>
      </c>
      <c r="H2225" s="4">
        <f>IFERROR(__xludf.DUMMYFUNCTION("DATE(INDEX(SPLIT(G2225,""/""),,3),INDEX(SPLIT(G2225,""/""),,2),INDEX(SPLIT(G2225,""/""),,1))"),44648.0)</f>
        <v>44648</v>
      </c>
      <c r="I2225" s="1" t="s">
        <v>569</v>
      </c>
      <c r="J2225" s="4">
        <f>IFERROR(__xludf.DUMMYFUNCTION("DATE(INDEX(SPLIT(I2225,""/""),,3),INDEX(SPLIT(I2225,""/""),,2),INDEX(SPLIT(I2225,""/""),,1))"),45016.0)</f>
        <v>45016</v>
      </c>
      <c r="L2225" s="1">
        <v>0.0</v>
      </c>
      <c r="M2225" s="1" t="s">
        <v>1230</v>
      </c>
      <c r="N2225" s="1"/>
      <c r="O2225" s="1" t="s">
        <v>30</v>
      </c>
      <c r="P2225" s="1" t="s">
        <v>31</v>
      </c>
      <c r="Q2225" s="1" t="s">
        <v>53</v>
      </c>
      <c r="R2225" s="1" t="s">
        <v>53</v>
      </c>
      <c r="S2225" s="1" t="s">
        <v>54</v>
      </c>
      <c r="U2225" s="1">
        <v>1.01127868E8</v>
      </c>
      <c r="X2225" s="1" t="s">
        <v>312</v>
      </c>
      <c r="Y2225" s="1" t="s">
        <v>4868</v>
      </c>
      <c r="Z2225" s="1" t="s">
        <v>37</v>
      </c>
    </row>
    <row r="2226">
      <c r="A2226" s="1" t="s">
        <v>6989</v>
      </c>
      <c r="B2226" s="1" t="s">
        <v>6990</v>
      </c>
      <c r="C2226" s="1" t="s">
        <v>6991</v>
      </c>
      <c r="D2226" s="1" t="s">
        <v>122</v>
      </c>
      <c r="E2226" s="1" t="s">
        <v>28</v>
      </c>
      <c r="F2226" s="2">
        <v>500000.0</v>
      </c>
      <c r="G2226" s="4">
        <v>44747.0</v>
      </c>
      <c r="H2226" s="4">
        <f>IFERROR(__xludf.DUMMYFUNCTION("DATE(INDEX(SPLIT(G2226,""/""),,3),INDEX(SPLIT(G2226,""/""),,2),INDEX(SPLIT(G2226,""/""),,1))"),44688.0)</f>
        <v>44688</v>
      </c>
      <c r="I2226" s="1" t="s">
        <v>226</v>
      </c>
      <c r="J2226" s="4">
        <f>IFERROR(__xludf.DUMMYFUNCTION("DATE(INDEX(SPLIT(I2226,""/""),,3),INDEX(SPLIT(I2226,""/""),,2),INDEX(SPLIT(I2226,""/""),,1))"),44771.0)</f>
        <v>44771</v>
      </c>
      <c r="L2226" s="1">
        <v>0.0</v>
      </c>
      <c r="M2226" s="1" t="s">
        <v>4530</v>
      </c>
      <c r="N2226" s="1"/>
      <c r="O2226" s="1" t="s">
        <v>30</v>
      </c>
      <c r="P2226" s="1" t="s">
        <v>31</v>
      </c>
      <c r="Q2226" s="1" t="s">
        <v>157</v>
      </c>
      <c r="R2226" s="1" t="s">
        <v>157</v>
      </c>
      <c r="S2226" s="1" t="s">
        <v>158</v>
      </c>
      <c r="U2226" s="1">
        <v>1.00659846E8</v>
      </c>
      <c r="X2226" s="1" t="s">
        <v>63</v>
      </c>
      <c r="Y2226" s="1" t="s">
        <v>6992</v>
      </c>
      <c r="Z2226" s="1" t="s">
        <v>37</v>
      </c>
    </row>
    <row r="2227" hidden="1">
      <c r="A2227" s="1" t="s">
        <v>6993</v>
      </c>
      <c r="B2227" s="1" t="s">
        <v>1445</v>
      </c>
      <c r="C2227" s="1" t="s">
        <v>6994</v>
      </c>
      <c r="D2227" s="1" t="s">
        <v>27</v>
      </c>
      <c r="E2227" s="1" t="s">
        <v>28</v>
      </c>
      <c r="F2227" s="2">
        <v>500000.0</v>
      </c>
      <c r="G2227" s="1" t="s">
        <v>1381</v>
      </c>
      <c r="H2227" s="4">
        <f>IFERROR(__xludf.DUMMYFUNCTION("DATE(INDEX(SPLIT(G2227,""/""),,3),INDEX(SPLIT(G2227,""/""),,2),INDEX(SPLIT(G2227,""/""),,1))"),44643.0)</f>
        <v>44643</v>
      </c>
      <c r="I2227" s="1" t="s">
        <v>109</v>
      </c>
      <c r="J2227" s="4">
        <f>IFERROR(__xludf.DUMMYFUNCTION("DATE(INDEX(SPLIT(I2227,""/""),,3),INDEX(SPLIT(I2227,""/""),,2),INDEX(SPLIT(I2227,""/""),,1))"),44834.0)</f>
        <v>44834</v>
      </c>
      <c r="L2227" s="1">
        <v>0.0</v>
      </c>
      <c r="M2227" s="1" t="s">
        <v>1723</v>
      </c>
      <c r="N2227" s="1"/>
      <c r="O2227" s="1" t="s">
        <v>30</v>
      </c>
      <c r="P2227" s="1" t="s">
        <v>31</v>
      </c>
      <c r="Q2227" s="1" t="s">
        <v>157</v>
      </c>
      <c r="R2227" s="1" t="s">
        <v>157</v>
      </c>
      <c r="S2227" s="1" t="s">
        <v>158</v>
      </c>
      <c r="U2227" s="1">
        <v>1.00654085E8</v>
      </c>
      <c r="X2227" s="1" t="s">
        <v>74</v>
      </c>
      <c r="Y2227" s="1" t="s">
        <v>1622</v>
      </c>
      <c r="Z2227" s="1" t="s">
        <v>37</v>
      </c>
    </row>
    <row r="2228">
      <c r="A2228" s="1" t="s">
        <v>6995</v>
      </c>
      <c r="B2228" s="1" t="s">
        <v>1144</v>
      </c>
      <c r="C2228" s="1" t="s">
        <v>6996</v>
      </c>
      <c r="D2228" s="1" t="s">
        <v>78</v>
      </c>
      <c r="E2228" s="1" t="s">
        <v>28</v>
      </c>
      <c r="F2228" s="2">
        <v>500000.0</v>
      </c>
      <c r="G2228" s="1" t="s">
        <v>2309</v>
      </c>
      <c r="H2228" s="4">
        <f>IFERROR(__xludf.DUMMYFUNCTION("DATE(INDEX(SPLIT(G2228,""/""),,3),INDEX(SPLIT(G2228,""/""),,2),INDEX(SPLIT(G2228,""/""),,1))"),44672.0)</f>
        <v>44672</v>
      </c>
      <c r="I2228" s="1" t="s">
        <v>1244</v>
      </c>
      <c r="J2228" s="4">
        <f>IFERROR(__xludf.DUMMYFUNCTION("DATE(INDEX(SPLIT(I2228,""/""),,3),INDEX(SPLIT(I2228,""/""),,2),INDEX(SPLIT(I2228,""/""),,1))"),44742.0)</f>
        <v>44742</v>
      </c>
      <c r="L2228" s="1">
        <v>0.0</v>
      </c>
      <c r="M2228" s="1" t="s">
        <v>1146</v>
      </c>
      <c r="N2228" s="1"/>
      <c r="O2228" s="1" t="s">
        <v>30</v>
      </c>
      <c r="P2228" s="1" t="s">
        <v>31</v>
      </c>
      <c r="Q2228" s="1" t="s">
        <v>228</v>
      </c>
      <c r="R2228" s="1" t="s">
        <v>228</v>
      </c>
      <c r="S2228" s="1" t="s">
        <v>229</v>
      </c>
      <c r="T2228" s="1" t="s">
        <v>640</v>
      </c>
      <c r="U2228" s="1">
        <v>1.0061139E8</v>
      </c>
      <c r="X2228" s="1" t="s">
        <v>63</v>
      </c>
      <c r="Y2228" s="1" t="s">
        <v>1147</v>
      </c>
      <c r="Z2228" s="1" t="s">
        <v>37</v>
      </c>
    </row>
    <row r="2229">
      <c r="A2229" s="1" t="s">
        <v>6997</v>
      </c>
      <c r="B2229" s="1" t="s">
        <v>3288</v>
      </c>
      <c r="C2229" s="1" t="s">
        <v>6998</v>
      </c>
      <c r="D2229" s="1" t="s">
        <v>78</v>
      </c>
      <c r="E2229" s="1" t="s">
        <v>28</v>
      </c>
      <c r="F2229" s="2">
        <v>500000.0</v>
      </c>
      <c r="G2229" s="1" t="s">
        <v>600</v>
      </c>
      <c r="H2229" s="4">
        <f>IFERROR(__xludf.DUMMYFUNCTION("DATE(INDEX(SPLIT(G2229,""/""),,3),INDEX(SPLIT(G2229,""/""),,2),INDEX(SPLIT(G2229,""/""),,1))"),44665.0)</f>
        <v>44665</v>
      </c>
      <c r="I2229" s="1" t="s">
        <v>226</v>
      </c>
      <c r="J2229" s="4">
        <f>IFERROR(__xludf.DUMMYFUNCTION("DATE(INDEX(SPLIT(I2229,""/""),,3),INDEX(SPLIT(I2229,""/""),,2),INDEX(SPLIT(I2229,""/""),,1))"),44771.0)</f>
        <v>44771</v>
      </c>
      <c r="L2229" s="1">
        <v>0.0</v>
      </c>
      <c r="M2229" s="1" t="s">
        <v>913</v>
      </c>
      <c r="N2229" s="1"/>
      <c r="O2229" s="1" t="s">
        <v>30</v>
      </c>
      <c r="P2229" s="1" t="s">
        <v>31</v>
      </c>
      <c r="Q2229" s="1" t="s">
        <v>71</v>
      </c>
      <c r="R2229" s="1" t="s">
        <v>71</v>
      </c>
      <c r="S2229" s="1" t="s">
        <v>72</v>
      </c>
      <c r="T2229" s="1" t="s">
        <v>136</v>
      </c>
      <c r="U2229" s="1">
        <v>1.0112897E8</v>
      </c>
      <c r="X2229" s="1" t="s">
        <v>74</v>
      </c>
      <c r="Y2229" s="1" t="s">
        <v>6999</v>
      </c>
      <c r="Z2229" s="1" t="s">
        <v>37</v>
      </c>
    </row>
    <row r="2230" hidden="1">
      <c r="A2230" s="1" t="s">
        <v>7000</v>
      </c>
      <c r="B2230" s="1" t="s">
        <v>2889</v>
      </c>
      <c r="C2230" s="1" t="s">
        <v>7001</v>
      </c>
      <c r="D2230" s="1" t="s">
        <v>122</v>
      </c>
      <c r="E2230" s="1" t="s">
        <v>28</v>
      </c>
      <c r="F2230" s="2">
        <v>500000.0</v>
      </c>
      <c r="G2230" s="1" t="s">
        <v>7002</v>
      </c>
      <c r="H2230" s="4">
        <f>IFERROR(__xludf.DUMMYFUNCTION("DATE(INDEX(SPLIT(G2230,""/""),,3),INDEX(SPLIT(G2230,""/""),,2),INDEX(SPLIT(G2230,""/""),,1))"),44041.0)</f>
        <v>44041</v>
      </c>
      <c r="I2230" s="1" t="s">
        <v>109</v>
      </c>
      <c r="J2230" s="4">
        <f>IFERROR(__xludf.DUMMYFUNCTION("DATE(INDEX(SPLIT(I2230,""/""),,3),INDEX(SPLIT(I2230,""/""),,2),INDEX(SPLIT(I2230,""/""),,1))"),44834.0)</f>
        <v>44834</v>
      </c>
      <c r="L2230" s="1">
        <v>0.0</v>
      </c>
      <c r="M2230" s="1" t="s">
        <v>1723</v>
      </c>
      <c r="N2230" s="1"/>
      <c r="O2230" s="1" t="s">
        <v>30</v>
      </c>
      <c r="P2230" s="1" t="s">
        <v>31</v>
      </c>
      <c r="Q2230" s="1" t="s">
        <v>157</v>
      </c>
      <c r="R2230" s="1" t="s">
        <v>157</v>
      </c>
      <c r="S2230" s="1" t="s">
        <v>158</v>
      </c>
      <c r="T2230" s="1" t="s">
        <v>159</v>
      </c>
      <c r="U2230" s="1">
        <v>1.00654085E8</v>
      </c>
      <c r="X2230" s="1" t="s">
        <v>74</v>
      </c>
      <c r="Y2230" s="1" t="s">
        <v>4761</v>
      </c>
      <c r="Z2230" s="1" t="s">
        <v>37</v>
      </c>
    </row>
    <row r="2231" hidden="1">
      <c r="A2231" s="1" t="s">
        <v>7003</v>
      </c>
      <c r="B2231" s="1" t="s">
        <v>357</v>
      </c>
      <c r="C2231" s="1" t="s">
        <v>7004</v>
      </c>
      <c r="D2231" s="1" t="s">
        <v>78</v>
      </c>
      <c r="E2231" s="1" t="s">
        <v>28</v>
      </c>
      <c r="F2231" s="2">
        <v>500000.0</v>
      </c>
      <c r="G2231" s="1" t="s">
        <v>1767</v>
      </c>
      <c r="H2231" s="4">
        <f>IFERROR(__xludf.DUMMYFUNCTION("DATE(INDEX(SPLIT(G2231,""/""),,3),INDEX(SPLIT(G2231,""/""),,2),INDEX(SPLIT(G2231,""/""),,1))"),44698.0)</f>
        <v>44698</v>
      </c>
      <c r="I2231" s="4">
        <v>44752.0</v>
      </c>
      <c r="J2231" s="4">
        <f>IFERROR(__xludf.DUMMYFUNCTION("DATE(INDEX(SPLIT(I2231,""/""),,3),INDEX(SPLIT(I2231,""/""),,2),INDEX(SPLIT(I2231,""/""),,1))"),44841.0)</f>
        <v>44841</v>
      </c>
      <c r="L2231" s="1">
        <v>0.0</v>
      </c>
      <c r="M2231" s="1" t="s">
        <v>6904</v>
      </c>
      <c r="N2231" s="1"/>
      <c r="O2231" s="1" t="s">
        <v>30</v>
      </c>
      <c r="P2231" s="1" t="s">
        <v>31</v>
      </c>
      <c r="Q2231" s="1" t="s">
        <v>228</v>
      </c>
      <c r="R2231" s="1" t="s">
        <v>228</v>
      </c>
      <c r="S2231" s="1" t="s">
        <v>229</v>
      </c>
      <c r="T2231" s="1" t="s">
        <v>287</v>
      </c>
      <c r="U2231" s="1">
        <v>1.00643946E8</v>
      </c>
      <c r="X2231" s="1" t="s">
        <v>361</v>
      </c>
      <c r="Y2231" s="1" t="s">
        <v>884</v>
      </c>
      <c r="Z2231" s="1" t="s">
        <v>37</v>
      </c>
    </row>
    <row r="2232" hidden="1">
      <c r="A2232" s="1" t="s">
        <v>7005</v>
      </c>
      <c r="B2232" s="1" t="s">
        <v>1854</v>
      </c>
      <c r="C2232" s="1" t="s">
        <v>7006</v>
      </c>
      <c r="D2232" s="1" t="s">
        <v>78</v>
      </c>
      <c r="E2232" s="1" t="s">
        <v>28</v>
      </c>
      <c r="F2232" s="2">
        <v>500000.0</v>
      </c>
      <c r="G2232" s="1" t="s">
        <v>275</v>
      </c>
      <c r="H2232" s="4">
        <f>IFERROR(__xludf.DUMMYFUNCTION("DATE(INDEX(SPLIT(G2232,""/""),,3),INDEX(SPLIT(G2232,""/""),,2),INDEX(SPLIT(G2232,""/""),,1))"),44462.0)</f>
        <v>44462</v>
      </c>
      <c r="I2232" s="1" t="s">
        <v>42</v>
      </c>
      <c r="J2232" s="4">
        <f>IFERROR(__xludf.DUMMYFUNCTION("DATE(INDEX(SPLIT(I2232,""/""),,3),INDEX(SPLIT(I2232,""/""),,2),INDEX(SPLIT(I2232,""/""),,1))"),44926.0)</f>
        <v>44926</v>
      </c>
      <c r="L2232" s="1">
        <v>0.0</v>
      </c>
      <c r="M2232" s="1" t="s">
        <v>4186</v>
      </c>
      <c r="N2232" s="1"/>
      <c r="O2232" s="1" t="s">
        <v>30</v>
      </c>
      <c r="P2232" s="1" t="s">
        <v>31</v>
      </c>
      <c r="Q2232" s="1" t="s">
        <v>53</v>
      </c>
      <c r="R2232" s="1" t="s">
        <v>53</v>
      </c>
      <c r="S2232" s="1" t="s">
        <v>54</v>
      </c>
      <c r="T2232" s="1" t="s">
        <v>1386</v>
      </c>
      <c r="U2232" s="1">
        <v>1.00650382E8</v>
      </c>
      <c r="X2232" s="1" t="s">
        <v>63</v>
      </c>
      <c r="Y2232" s="1" t="s">
        <v>4186</v>
      </c>
      <c r="Z2232" s="1" t="s">
        <v>37</v>
      </c>
    </row>
    <row r="2233" hidden="1">
      <c r="A2233" s="1" t="s">
        <v>7007</v>
      </c>
      <c r="B2233" s="1" t="s">
        <v>357</v>
      </c>
      <c r="C2233" s="1" t="s">
        <v>7008</v>
      </c>
      <c r="D2233" s="1" t="s">
        <v>78</v>
      </c>
      <c r="E2233" s="1" t="s">
        <v>28</v>
      </c>
      <c r="F2233" s="2">
        <v>500000.0</v>
      </c>
      <c r="G2233" s="1" t="s">
        <v>1767</v>
      </c>
      <c r="H2233" s="4">
        <f>IFERROR(__xludf.DUMMYFUNCTION("DATE(INDEX(SPLIT(G2233,""/""),,3),INDEX(SPLIT(G2233,""/""),,2),INDEX(SPLIT(G2233,""/""),,1))"),44698.0)</f>
        <v>44698</v>
      </c>
      <c r="I2233" s="4">
        <v>44752.0</v>
      </c>
      <c r="J2233" s="4">
        <f>IFERROR(__xludf.DUMMYFUNCTION("DATE(INDEX(SPLIT(I2233,""/""),,3),INDEX(SPLIT(I2233,""/""),,2),INDEX(SPLIT(I2233,""/""),,1))"),44841.0)</f>
        <v>44841</v>
      </c>
      <c r="L2233" s="1">
        <v>0.0</v>
      </c>
      <c r="M2233" s="1" t="s">
        <v>187</v>
      </c>
      <c r="N2233" s="1"/>
      <c r="O2233" s="1" t="s">
        <v>30</v>
      </c>
      <c r="P2233" s="1" t="s">
        <v>31</v>
      </c>
      <c r="Q2233" s="1" t="s">
        <v>188</v>
      </c>
      <c r="R2233" s="1" t="s">
        <v>188</v>
      </c>
      <c r="S2233" s="1" t="s">
        <v>189</v>
      </c>
      <c r="T2233" s="1" t="s">
        <v>287</v>
      </c>
      <c r="U2233" s="1">
        <v>1.00613095E8</v>
      </c>
      <c r="X2233" s="1" t="s">
        <v>361</v>
      </c>
      <c r="Y2233" s="1" t="s">
        <v>884</v>
      </c>
      <c r="Z2233" s="1" t="s">
        <v>37</v>
      </c>
    </row>
    <row r="2234" hidden="1">
      <c r="A2234" s="1" t="s">
        <v>7009</v>
      </c>
      <c r="B2234" s="1" t="s">
        <v>357</v>
      </c>
      <c r="C2234" s="1" t="s">
        <v>7010</v>
      </c>
      <c r="D2234" s="1" t="s">
        <v>27</v>
      </c>
      <c r="E2234" s="1" t="s">
        <v>28</v>
      </c>
      <c r="F2234" s="2">
        <v>500000.0</v>
      </c>
      <c r="G2234" s="1" t="s">
        <v>1767</v>
      </c>
      <c r="H2234" s="4">
        <f>IFERROR(__xludf.DUMMYFUNCTION("DATE(INDEX(SPLIT(G2234,""/""),,3),INDEX(SPLIT(G2234,""/""),,2),INDEX(SPLIT(G2234,""/""),,1))"),44698.0)</f>
        <v>44698</v>
      </c>
      <c r="I2234" s="4">
        <v>44752.0</v>
      </c>
      <c r="J2234" s="4">
        <f>IFERROR(__xludf.DUMMYFUNCTION("DATE(INDEX(SPLIT(I2234,""/""),,3),INDEX(SPLIT(I2234,""/""),,2),INDEX(SPLIT(I2234,""/""),,1))"),44841.0)</f>
        <v>44841</v>
      </c>
      <c r="L2234" s="1">
        <v>0.0</v>
      </c>
      <c r="M2234" s="1" t="s">
        <v>1365</v>
      </c>
      <c r="N2234" s="1"/>
      <c r="O2234" s="1" t="s">
        <v>30</v>
      </c>
      <c r="P2234" s="1" t="s">
        <v>31</v>
      </c>
      <c r="Q2234" s="1" t="s">
        <v>228</v>
      </c>
      <c r="R2234" s="1" t="s">
        <v>228</v>
      </c>
      <c r="S2234" s="1" t="s">
        <v>229</v>
      </c>
      <c r="T2234" s="1" t="s">
        <v>287</v>
      </c>
      <c r="U2234" s="1">
        <v>1.00631257E8</v>
      </c>
      <c r="X2234" s="1" t="s">
        <v>361</v>
      </c>
      <c r="Y2234" s="1" t="s">
        <v>884</v>
      </c>
      <c r="Z2234" s="1" t="s">
        <v>37</v>
      </c>
    </row>
    <row r="2235" hidden="1">
      <c r="A2235" s="1" t="s">
        <v>7011</v>
      </c>
      <c r="B2235" s="1" t="s">
        <v>392</v>
      </c>
      <c r="C2235" s="1" t="s">
        <v>7012</v>
      </c>
      <c r="D2235" s="1" t="s">
        <v>27</v>
      </c>
      <c r="E2235" s="1" t="s">
        <v>28</v>
      </c>
      <c r="F2235" s="2">
        <v>500000.0</v>
      </c>
      <c r="G2235" s="1" t="s">
        <v>298</v>
      </c>
      <c r="H2235" s="4">
        <f>IFERROR(__xludf.DUMMYFUNCTION("DATE(INDEX(SPLIT(G2235,""/""),,3),INDEX(SPLIT(G2235,""/""),,2),INDEX(SPLIT(G2235,""/""),,1))"),44762.0)</f>
        <v>44762</v>
      </c>
      <c r="I2235" s="1" t="s">
        <v>85</v>
      </c>
      <c r="J2235" s="4">
        <f>IFERROR(__xludf.DUMMYFUNCTION("DATE(INDEX(SPLIT(I2235,""/""),,3),INDEX(SPLIT(I2235,""/""),,2),INDEX(SPLIT(I2235,""/""),,1))"),44799.0)</f>
        <v>44799</v>
      </c>
      <c r="L2235" s="1">
        <v>0.0</v>
      </c>
      <c r="M2235" s="1" t="s">
        <v>234</v>
      </c>
      <c r="N2235" s="1"/>
      <c r="O2235" s="1" t="s">
        <v>30</v>
      </c>
      <c r="P2235" s="1" t="s">
        <v>31</v>
      </c>
      <c r="Q2235" s="1" t="s">
        <v>235</v>
      </c>
      <c r="R2235" s="1" t="s">
        <v>235</v>
      </c>
      <c r="S2235" s="1" t="s">
        <v>236</v>
      </c>
      <c r="T2235" s="1" t="s">
        <v>237</v>
      </c>
      <c r="U2235" s="1">
        <v>1.00658132E8</v>
      </c>
      <c r="X2235" s="1" t="s">
        <v>239</v>
      </c>
      <c r="Y2235" s="1" t="s">
        <v>234</v>
      </c>
      <c r="Z2235" s="1" t="s">
        <v>37</v>
      </c>
    </row>
    <row r="2236" hidden="1">
      <c r="A2236" s="1" t="s">
        <v>7013</v>
      </c>
      <c r="B2236" s="1" t="s">
        <v>1546</v>
      </c>
      <c r="C2236" s="1" t="s">
        <v>7014</v>
      </c>
      <c r="D2236" s="1" t="s">
        <v>27</v>
      </c>
      <c r="E2236" s="1" t="s">
        <v>28</v>
      </c>
      <c r="F2236" s="2">
        <v>500000.0</v>
      </c>
      <c r="G2236" s="4">
        <v>44599.0</v>
      </c>
      <c r="H2236" s="4">
        <f>IFERROR(__xludf.DUMMYFUNCTION("DATE(INDEX(SPLIT(G2236,""/""),,3),INDEX(SPLIT(G2236,""/""),,2),INDEX(SPLIT(G2236,""/""),,1))"),44744.0)</f>
        <v>44744</v>
      </c>
      <c r="I2236" s="1" t="s">
        <v>203</v>
      </c>
      <c r="J2236" s="4">
        <f>IFERROR(__xludf.DUMMYFUNCTION("DATE(INDEX(SPLIT(I2236,""/""),,3),INDEX(SPLIT(I2236,""/""),,2),INDEX(SPLIT(I2236,""/""),,1))"),44925.0)</f>
        <v>44925</v>
      </c>
      <c r="L2236" s="1">
        <v>0.0</v>
      </c>
      <c r="M2236" s="1" t="s">
        <v>2281</v>
      </c>
      <c r="N2236" s="1"/>
      <c r="O2236" s="1" t="s">
        <v>30</v>
      </c>
      <c r="P2236" s="1" t="s">
        <v>31</v>
      </c>
      <c r="Q2236" s="1" t="s">
        <v>95</v>
      </c>
      <c r="R2236" s="1" t="s">
        <v>95</v>
      </c>
      <c r="S2236" s="1" t="s">
        <v>96</v>
      </c>
      <c r="T2236" s="1" t="s">
        <v>311</v>
      </c>
      <c r="U2236" s="1">
        <v>1.00646427E8</v>
      </c>
      <c r="X2236" s="1" t="s">
        <v>46</v>
      </c>
      <c r="Y2236" s="1" t="s">
        <v>2281</v>
      </c>
      <c r="Z2236" s="1" t="s">
        <v>37</v>
      </c>
    </row>
    <row r="2237" hidden="1">
      <c r="A2237" s="1" t="s">
        <v>7015</v>
      </c>
      <c r="B2237" s="1" t="s">
        <v>39</v>
      </c>
      <c r="C2237" s="1" t="s">
        <v>7016</v>
      </c>
      <c r="D2237" s="1" t="s">
        <v>78</v>
      </c>
      <c r="E2237" s="1" t="s">
        <v>28</v>
      </c>
      <c r="F2237" s="2">
        <v>500000.0</v>
      </c>
      <c r="G2237" s="1" t="s">
        <v>503</v>
      </c>
      <c r="H2237" s="4">
        <f>IFERROR(__xludf.DUMMYFUNCTION("DATE(INDEX(SPLIT(G2237,""/""),,3),INDEX(SPLIT(G2237,""/""),,2),INDEX(SPLIT(G2237,""/""),,1))"),44736.0)</f>
        <v>44736</v>
      </c>
      <c r="I2237" s="1" t="s">
        <v>130</v>
      </c>
      <c r="J2237" s="4">
        <f>IFERROR(__xludf.DUMMYFUNCTION("DATE(INDEX(SPLIT(I2237,""/""),,3),INDEX(SPLIT(I2237,""/""),,2),INDEX(SPLIT(I2237,""/""),,1))"),44804.0)</f>
        <v>44804</v>
      </c>
      <c r="L2237" s="1">
        <v>0.0</v>
      </c>
      <c r="M2237" s="1" t="s">
        <v>1019</v>
      </c>
      <c r="N2237" s="1"/>
      <c r="O2237" s="1" t="s">
        <v>30</v>
      </c>
      <c r="P2237" s="1" t="s">
        <v>31</v>
      </c>
      <c r="Q2237" s="1" t="s">
        <v>95</v>
      </c>
      <c r="R2237" s="1" t="s">
        <v>95</v>
      </c>
      <c r="S2237" s="1" t="s">
        <v>96</v>
      </c>
      <c r="T2237" s="1" t="s">
        <v>311</v>
      </c>
      <c r="U2237" s="1">
        <v>1.00607644E8</v>
      </c>
      <c r="X2237" s="1" t="s">
        <v>46</v>
      </c>
      <c r="Y2237" s="1" t="s">
        <v>3049</v>
      </c>
      <c r="Z2237" s="1" t="s">
        <v>37</v>
      </c>
    </row>
    <row r="2238" hidden="1">
      <c r="A2238" s="1" t="s">
        <v>7017</v>
      </c>
      <c r="B2238" s="1" t="s">
        <v>120</v>
      </c>
      <c r="C2238" s="1" t="s">
        <v>7018</v>
      </c>
      <c r="D2238" s="1" t="s">
        <v>78</v>
      </c>
      <c r="E2238" s="1" t="s">
        <v>28</v>
      </c>
      <c r="F2238" s="2">
        <v>500000.0</v>
      </c>
      <c r="G2238" s="1" t="s">
        <v>298</v>
      </c>
      <c r="H2238" s="4">
        <f>IFERROR(__xludf.DUMMYFUNCTION("DATE(INDEX(SPLIT(G2238,""/""),,3),INDEX(SPLIT(G2238,""/""),,2),INDEX(SPLIT(G2238,""/""),,1))"),44762.0)</f>
        <v>44762</v>
      </c>
      <c r="I2238" s="4">
        <v>44903.0</v>
      </c>
      <c r="J2238" s="4">
        <f>IFERROR(__xludf.DUMMYFUNCTION("DATE(INDEX(SPLIT(I2238,""/""),,3),INDEX(SPLIT(I2238,""/""),,2),INDEX(SPLIT(I2238,""/""),,1))"),44785.0)</f>
        <v>44785</v>
      </c>
      <c r="L2238" s="1">
        <v>0.0</v>
      </c>
      <c r="M2238" s="1" t="s">
        <v>7019</v>
      </c>
      <c r="N2238" s="1"/>
      <c r="O2238" s="1" t="s">
        <v>30</v>
      </c>
      <c r="P2238" s="1" t="s">
        <v>31</v>
      </c>
      <c r="Q2238" s="1" t="s">
        <v>32</v>
      </c>
      <c r="R2238" s="1" t="s">
        <v>32</v>
      </c>
      <c r="S2238" s="1" t="s">
        <v>33</v>
      </c>
      <c r="U2238" s="1">
        <v>1.00481462E8</v>
      </c>
      <c r="X2238" s="1" t="s">
        <v>125</v>
      </c>
      <c r="Y2238" s="1" t="s">
        <v>7019</v>
      </c>
      <c r="Z2238" s="1" t="s">
        <v>37</v>
      </c>
    </row>
    <row r="2239" hidden="1">
      <c r="A2239" s="1" t="s">
        <v>7020</v>
      </c>
      <c r="B2239" s="1" t="s">
        <v>7021</v>
      </c>
      <c r="C2239" s="1" t="s">
        <v>7022</v>
      </c>
      <c r="D2239" s="1" t="s">
        <v>27</v>
      </c>
      <c r="E2239" s="1" t="s">
        <v>28</v>
      </c>
      <c r="F2239" s="2">
        <v>500000.0</v>
      </c>
      <c r="G2239" s="1" t="s">
        <v>298</v>
      </c>
      <c r="H2239" s="4">
        <f>IFERROR(__xludf.DUMMYFUNCTION("DATE(INDEX(SPLIT(G2239,""/""),,3),INDEX(SPLIT(G2239,""/""),,2),INDEX(SPLIT(G2239,""/""),,1))"),44762.0)</f>
        <v>44762</v>
      </c>
      <c r="I2239" s="1" t="s">
        <v>109</v>
      </c>
      <c r="J2239" s="4">
        <f>IFERROR(__xludf.DUMMYFUNCTION("DATE(INDEX(SPLIT(I2239,""/""),,3),INDEX(SPLIT(I2239,""/""),,2),INDEX(SPLIT(I2239,""/""),,1))"),44834.0)</f>
        <v>44834</v>
      </c>
      <c r="L2239" s="1">
        <v>0.0</v>
      </c>
      <c r="M2239" s="1" t="s">
        <v>7023</v>
      </c>
      <c r="N2239" s="1"/>
      <c r="O2239" s="1" t="s">
        <v>30</v>
      </c>
      <c r="P2239" s="1" t="s">
        <v>31</v>
      </c>
      <c r="Q2239" s="1" t="s">
        <v>71</v>
      </c>
      <c r="R2239" s="1" t="s">
        <v>71</v>
      </c>
      <c r="S2239" s="1" t="s">
        <v>72</v>
      </c>
      <c r="U2239" s="1">
        <v>1.00623906E8</v>
      </c>
      <c r="X2239" s="1" t="s">
        <v>2769</v>
      </c>
      <c r="Y2239" s="1" t="s">
        <v>7023</v>
      </c>
      <c r="Z2239" s="1" t="s">
        <v>206</v>
      </c>
    </row>
    <row r="2240" hidden="1">
      <c r="A2240" s="1" t="s">
        <v>7024</v>
      </c>
      <c r="B2240" s="1" t="s">
        <v>479</v>
      </c>
      <c r="C2240" s="1" t="s">
        <v>7025</v>
      </c>
      <c r="D2240" s="1" t="s">
        <v>27</v>
      </c>
      <c r="E2240" s="1" t="s">
        <v>28</v>
      </c>
      <c r="F2240" s="2">
        <v>500000.0</v>
      </c>
      <c r="G2240" s="1" t="s">
        <v>2263</v>
      </c>
      <c r="H2240" s="4">
        <f>IFERROR(__xludf.DUMMYFUNCTION("DATE(INDEX(SPLIT(G2240,""/""),,3),INDEX(SPLIT(G2240,""/""),,2),INDEX(SPLIT(G2240,""/""),,1))"),44638.0)</f>
        <v>44638</v>
      </c>
      <c r="I2240" s="1" t="s">
        <v>130</v>
      </c>
      <c r="J2240" s="4">
        <f>IFERROR(__xludf.DUMMYFUNCTION("DATE(INDEX(SPLIT(I2240,""/""),,3),INDEX(SPLIT(I2240,""/""),,2),INDEX(SPLIT(I2240,""/""),,1))"),44804.0)</f>
        <v>44804</v>
      </c>
      <c r="L2240" s="1">
        <v>0.0</v>
      </c>
      <c r="M2240" s="1" t="s">
        <v>1685</v>
      </c>
      <c r="N2240" s="1"/>
      <c r="O2240" s="1" t="s">
        <v>30</v>
      </c>
      <c r="P2240" s="1" t="s">
        <v>31</v>
      </c>
      <c r="Q2240" s="1" t="s">
        <v>228</v>
      </c>
      <c r="R2240" s="1" t="s">
        <v>228</v>
      </c>
      <c r="S2240" s="1" t="s">
        <v>229</v>
      </c>
      <c r="T2240" s="1" t="s">
        <v>505</v>
      </c>
      <c r="U2240" s="1">
        <v>1.00612055E8</v>
      </c>
      <c r="X2240" s="1" t="s">
        <v>312</v>
      </c>
      <c r="Y2240" s="1" t="s">
        <v>7026</v>
      </c>
      <c r="Z2240" s="1" t="s">
        <v>37</v>
      </c>
    </row>
    <row r="2241" hidden="1">
      <c r="A2241" s="1" t="s">
        <v>7027</v>
      </c>
      <c r="B2241" s="1" t="s">
        <v>76</v>
      </c>
      <c r="C2241" s="1" t="s">
        <v>7028</v>
      </c>
      <c r="D2241" s="1" t="s">
        <v>27</v>
      </c>
      <c r="E2241" s="1" t="s">
        <v>28</v>
      </c>
      <c r="F2241" s="2">
        <v>500000.0</v>
      </c>
      <c r="G2241" s="1" t="s">
        <v>298</v>
      </c>
      <c r="H2241" s="4">
        <f>IFERROR(__xludf.DUMMYFUNCTION("DATE(INDEX(SPLIT(G2241,""/""),,3),INDEX(SPLIT(G2241,""/""),,2),INDEX(SPLIT(G2241,""/""),,1))"),44762.0)</f>
        <v>44762</v>
      </c>
      <c r="I2241" s="1" t="s">
        <v>109</v>
      </c>
      <c r="J2241" s="4">
        <f>IFERROR(__xludf.DUMMYFUNCTION("DATE(INDEX(SPLIT(I2241,""/""),,3),INDEX(SPLIT(I2241,""/""),,2),INDEX(SPLIT(I2241,""/""),,1))"),44834.0)</f>
        <v>44834</v>
      </c>
      <c r="L2241" s="1">
        <v>0.0</v>
      </c>
      <c r="M2241" s="1" t="s">
        <v>1084</v>
      </c>
      <c r="N2241" s="1"/>
      <c r="O2241" s="1" t="s">
        <v>30</v>
      </c>
      <c r="P2241" s="1" t="s">
        <v>31</v>
      </c>
      <c r="Q2241" s="1" t="s">
        <v>32</v>
      </c>
      <c r="R2241" s="1" t="s">
        <v>32</v>
      </c>
      <c r="S2241" s="1" t="s">
        <v>33</v>
      </c>
      <c r="T2241" s="1" t="s">
        <v>34</v>
      </c>
      <c r="U2241" s="1">
        <v>1.00601386E8</v>
      </c>
      <c r="X2241" s="1" t="s">
        <v>81</v>
      </c>
      <c r="Y2241" s="1" t="s">
        <v>79</v>
      </c>
      <c r="Z2241" s="1" t="s">
        <v>37</v>
      </c>
    </row>
    <row r="2242" hidden="1">
      <c r="A2242" s="1" t="s">
        <v>7029</v>
      </c>
      <c r="B2242" s="1" t="s">
        <v>120</v>
      </c>
      <c r="C2242" s="1" t="s">
        <v>7030</v>
      </c>
      <c r="D2242" s="1" t="s">
        <v>78</v>
      </c>
      <c r="E2242" s="1" t="s">
        <v>28</v>
      </c>
      <c r="F2242" s="2">
        <v>500000.0</v>
      </c>
      <c r="G2242" s="1" t="s">
        <v>1958</v>
      </c>
      <c r="H2242" s="4">
        <f>IFERROR(__xludf.DUMMYFUNCTION("DATE(INDEX(SPLIT(G2242,""/""),,3),INDEX(SPLIT(G2242,""/""),,2),INDEX(SPLIT(G2242,""/""),,1))"),44583.0)</f>
        <v>44583</v>
      </c>
      <c r="I2242" s="1" t="s">
        <v>85</v>
      </c>
      <c r="J2242" s="4">
        <f>IFERROR(__xludf.DUMMYFUNCTION("DATE(INDEX(SPLIT(I2242,""/""),,3),INDEX(SPLIT(I2242,""/""),,2),INDEX(SPLIT(I2242,""/""),,1))"),44799.0)</f>
        <v>44799</v>
      </c>
      <c r="L2242" s="1">
        <v>0.0</v>
      </c>
      <c r="M2242" s="1" t="s">
        <v>441</v>
      </c>
      <c r="N2242" s="1"/>
      <c r="O2242" s="1" t="s">
        <v>30</v>
      </c>
      <c r="P2242" s="1" t="s">
        <v>31</v>
      </c>
      <c r="Q2242" s="1" t="s">
        <v>157</v>
      </c>
      <c r="R2242" s="1" t="s">
        <v>157</v>
      </c>
      <c r="S2242" s="1" t="s">
        <v>158</v>
      </c>
      <c r="T2242" s="1" t="s">
        <v>442</v>
      </c>
      <c r="U2242" s="1">
        <v>1.00581784E8</v>
      </c>
      <c r="X2242" s="1" t="s">
        <v>125</v>
      </c>
      <c r="Y2242" s="1" t="s">
        <v>441</v>
      </c>
      <c r="Z2242" s="1" t="s">
        <v>37</v>
      </c>
    </row>
    <row r="2243" hidden="1">
      <c r="A2243" s="1" t="s">
        <v>7031</v>
      </c>
      <c r="B2243" s="1" t="s">
        <v>1095</v>
      </c>
      <c r="C2243" s="1" t="s">
        <v>7032</v>
      </c>
      <c r="D2243" s="1" t="s">
        <v>78</v>
      </c>
      <c r="E2243" s="1" t="s">
        <v>28</v>
      </c>
      <c r="F2243" s="2">
        <v>500000.0</v>
      </c>
      <c r="G2243" s="1" t="s">
        <v>632</v>
      </c>
      <c r="H2243" s="4">
        <f>IFERROR(__xludf.DUMMYFUNCTION("DATE(INDEX(SPLIT(G2243,""/""),,3),INDEX(SPLIT(G2243,""/""),,2),INDEX(SPLIT(G2243,""/""),,1))"),44484.0)</f>
        <v>44484</v>
      </c>
      <c r="I2243" s="1" t="s">
        <v>109</v>
      </c>
      <c r="J2243" s="4">
        <f>IFERROR(__xludf.DUMMYFUNCTION("DATE(INDEX(SPLIT(I2243,""/""),,3),INDEX(SPLIT(I2243,""/""),,2),INDEX(SPLIT(I2243,""/""),,1))"),44834.0)</f>
        <v>44834</v>
      </c>
      <c r="L2243" s="1">
        <v>0.0</v>
      </c>
      <c r="M2243" s="1" t="s">
        <v>1098</v>
      </c>
      <c r="N2243" s="1"/>
      <c r="O2243" s="1" t="s">
        <v>30</v>
      </c>
      <c r="P2243" s="1" t="s">
        <v>31</v>
      </c>
      <c r="Q2243" s="1" t="s">
        <v>95</v>
      </c>
      <c r="R2243" s="1" t="s">
        <v>95</v>
      </c>
      <c r="S2243" s="1" t="s">
        <v>96</v>
      </c>
      <c r="T2243" s="1" t="s">
        <v>311</v>
      </c>
      <c r="U2243" s="1">
        <v>1.00634994E8</v>
      </c>
      <c r="X2243" s="1" t="s">
        <v>312</v>
      </c>
      <c r="Y2243" s="1" t="s">
        <v>1098</v>
      </c>
      <c r="Z2243" s="1" t="s">
        <v>37</v>
      </c>
    </row>
    <row r="2244">
      <c r="A2244" s="1" t="s">
        <v>7033</v>
      </c>
      <c r="B2244" s="1" t="s">
        <v>7034</v>
      </c>
      <c r="C2244" s="1" t="s">
        <v>7035</v>
      </c>
      <c r="D2244" s="1" t="s">
        <v>27</v>
      </c>
      <c r="E2244" s="1" t="s">
        <v>28</v>
      </c>
      <c r="F2244" s="2">
        <v>500000.0</v>
      </c>
      <c r="G2244" s="1" t="s">
        <v>4036</v>
      </c>
      <c r="H2244" s="4">
        <f>IFERROR(__xludf.DUMMYFUNCTION("DATE(INDEX(SPLIT(G2244,""/""),,3),INDEX(SPLIT(G2244,""/""),,2),INDEX(SPLIT(G2244,""/""),,1))"),44592.0)</f>
        <v>44592</v>
      </c>
      <c r="I2244" s="1" t="s">
        <v>226</v>
      </c>
      <c r="J2244" s="4">
        <f>IFERROR(__xludf.DUMMYFUNCTION("DATE(INDEX(SPLIT(I2244,""/""),,3),INDEX(SPLIT(I2244,""/""),,2),INDEX(SPLIT(I2244,""/""),,1))"),44771.0)</f>
        <v>44771</v>
      </c>
      <c r="L2244" s="1">
        <v>0.0</v>
      </c>
      <c r="M2244" s="1" t="s">
        <v>1496</v>
      </c>
      <c r="N2244" s="1"/>
      <c r="O2244" s="1" t="s">
        <v>30</v>
      </c>
      <c r="P2244" s="1" t="s">
        <v>31</v>
      </c>
      <c r="Q2244" s="1" t="s">
        <v>53</v>
      </c>
      <c r="R2244" s="1" t="s">
        <v>53</v>
      </c>
      <c r="S2244" s="1" t="s">
        <v>54</v>
      </c>
      <c r="T2244" s="1" t="s">
        <v>1386</v>
      </c>
      <c r="U2244" s="1">
        <v>1.00610014E8</v>
      </c>
      <c r="X2244" s="1" t="s">
        <v>81</v>
      </c>
      <c r="Y2244" s="1" t="s">
        <v>1610</v>
      </c>
      <c r="Z2244" s="1" t="s">
        <v>37</v>
      </c>
    </row>
    <row r="2245" hidden="1">
      <c r="A2245" s="1" t="s">
        <v>7036</v>
      </c>
      <c r="B2245" s="1" t="s">
        <v>650</v>
      </c>
      <c r="C2245" s="1" t="s">
        <v>7037</v>
      </c>
      <c r="D2245" s="1" t="s">
        <v>78</v>
      </c>
      <c r="E2245" s="1" t="s">
        <v>28</v>
      </c>
      <c r="F2245" s="2">
        <v>500000.0</v>
      </c>
      <c r="G2245" s="4">
        <v>44538.0</v>
      </c>
      <c r="H2245" s="4">
        <f>IFERROR(__xludf.DUMMYFUNCTION("DATE(INDEX(SPLIT(G2245,""/""),,3),INDEX(SPLIT(G2245,""/""),,2),INDEX(SPLIT(G2245,""/""),,1))"),44420.0)</f>
        <v>44420</v>
      </c>
      <c r="I2245" s="1" t="s">
        <v>109</v>
      </c>
      <c r="J2245" s="4">
        <f>IFERROR(__xludf.DUMMYFUNCTION("DATE(INDEX(SPLIT(I2245,""/""),,3),INDEX(SPLIT(I2245,""/""),,2),INDEX(SPLIT(I2245,""/""),,1))"),44834.0)</f>
        <v>44834</v>
      </c>
      <c r="L2245" s="1">
        <v>0.0</v>
      </c>
      <c r="M2245" s="1" t="s">
        <v>653</v>
      </c>
      <c r="N2245" s="1"/>
      <c r="O2245" s="1" t="s">
        <v>30</v>
      </c>
      <c r="P2245" s="1" t="s">
        <v>31</v>
      </c>
      <c r="Q2245" s="1" t="s">
        <v>157</v>
      </c>
      <c r="R2245" s="1" t="s">
        <v>157</v>
      </c>
      <c r="S2245" s="1" t="s">
        <v>158</v>
      </c>
      <c r="T2245" s="1" t="s">
        <v>571</v>
      </c>
      <c r="U2245" s="1">
        <v>1.00591141E8</v>
      </c>
      <c r="X2245" s="1" t="s">
        <v>63</v>
      </c>
      <c r="Y2245" s="1" t="s">
        <v>3056</v>
      </c>
      <c r="Z2245" s="1" t="s">
        <v>37</v>
      </c>
    </row>
    <row r="2246" hidden="1">
      <c r="A2246" s="1" t="s">
        <v>7038</v>
      </c>
      <c r="B2246" s="1" t="s">
        <v>6392</v>
      </c>
      <c r="C2246" s="1" t="s">
        <v>7039</v>
      </c>
      <c r="D2246" s="1" t="s">
        <v>27</v>
      </c>
      <c r="E2246" s="1" t="s">
        <v>28</v>
      </c>
      <c r="F2246" s="2">
        <v>500000.0</v>
      </c>
      <c r="G2246" s="4">
        <v>44775.0</v>
      </c>
      <c r="H2246" s="4">
        <f>IFERROR(__xludf.DUMMYFUNCTION("DATE(INDEX(SPLIT(G2246,""/""),,3),INDEX(SPLIT(G2246,""/""),,2),INDEX(SPLIT(G2246,""/""),,1))"),44600.0)</f>
        <v>44600</v>
      </c>
      <c r="I2246" s="1" t="s">
        <v>109</v>
      </c>
      <c r="J2246" s="4">
        <f>IFERROR(__xludf.DUMMYFUNCTION("DATE(INDEX(SPLIT(I2246,""/""),,3),INDEX(SPLIT(I2246,""/""),,2),INDEX(SPLIT(I2246,""/""),,1))"),44834.0)</f>
        <v>44834</v>
      </c>
      <c r="L2246" s="1">
        <v>0.0</v>
      </c>
      <c r="M2246" s="1" t="s">
        <v>1904</v>
      </c>
      <c r="N2246" s="1"/>
      <c r="O2246" s="1" t="s">
        <v>30</v>
      </c>
      <c r="P2246" s="1" t="s">
        <v>31</v>
      </c>
      <c r="Q2246" s="1" t="s">
        <v>95</v>
      </c>
      <c r="R2246" s="1" t="s">
        <v>95</v>
      </c>
      <c r="S2246" s="1" t="s">
        <v>96</v>
      </c>
      <c r="T2246" s="1" t="s">
        <v>311</v>
      </c>
      <c r="U2246" s="1">
        <v>1.0059365E8</v>
      </c>
      <c r="X2246" s="1" t="s">
        <v>46</v>
      </c>
      <c r="Y2246" s="1" t="s">
        <v>1904</v>
      </c>
      <c r="Z2246" s="1" t="s">
        <v>37</v>
      </c>
    </row>
    <row r="2247">
      <c r="A2247" s="1" t="s">
        <v>7040</v>
      </c>
      <c r="B2247" s="1" t="s">
        <v>7041</v>
      </c>
      <c r="C2247" s="1" t="s">
        <v>7042</v>
      </c>
      <c r="D2247" s="1" t="s">
        <v>122</v>
      </c>
      <c r="E2247" s="1" t="s">
        <v>28</v>
      </c>
      <c r="F2247" s="2">
        <v>500000.0</v>
      </c>
      <c r="G2247" s="1" t="s">
        <v>7043</v>
      </c>
      <c r="H2247" s="4">
        <f>IFERROR(__xludf.DUMMYFUNCTION("DATE(INDEX(SPLIT(G2247,""/""),,3),INDEX(SPLIT(G2247,""/""),,2),INDEX(SPLIT(G2247,""/""),,1))"),44103.0)</f>
        <v>44103</v>
      </c>
      <c r="I2247" s="1" t="s">
        <v>1244</v>
      </c>
      <c r="J2247" s="4">
        <f>IFERROR(__xludf.DUMMYFUNCTION("DATE(INDEX(SPLIT(I2247,""/""),,3),INDEX(SPLIT(I2247,""/""),,2),INDEX(SPLIT(I2247,""/""),,1))"),44742.0)</f>
        <v>44742</v>
      </c>
      <c r="L2247" s="1">
        <v>0.0</v>
      </c>
      <c r="M2247" s="1" t="s">
        <v>1723</v>
      </c>
      <c r="N2247" s="1"/>
      <c r="O2247" s="1" t="s">
        <v>30</v>
      </c>
      <c r="P2247" s="1" t="s">
        <v>31</v>
      </c>
      <c r="Q2247" s="1" t="s">
        <v>157</v>
      </c>
      <c r="R2247" s="1" t="s">
        <v>157</v>
      </c>
      <c r="S2247" s="1" t="s">
        <v>158</v>
      </c>
      <c r="T2247" s="1" t="s">
        <v>7044</v>
      </c>
      <c r="U2247" s="1">
        <v>1.00654085E8</v>
      </c>
      <c r="X2247" s="1" t="s">
        <v>74</v>
      </c>
      <c r="Y2247" s="1" t="s">
        <v>1723</v>
      </c>
      <c r="Z2247" s="1" t="s">
        <v>37</v>
      </c>
    </row>
    <row r="2248" hidden="1">
      <c r="A2248" s="1" t="s">
        <v>7045</v>
      </c>
      <c r="B2248" s="1" t="s">
        <v>392</v>
      </c>
      <c r="C2248" s="1" t="s">
        <v>7046</v>
      </c>
      <c r="D2248" s="1" t="s">
        <v>78</v>
      </c>
      <c r="E2248" s="1" t="s">
        <v>28</v>
      </c>
      <c r="F2248" s="2">
        <v>500000.0</v>
      </c>
      <c r="G2248" s="1" t="s">
        <v>3438</v>
      </c>
      <c r="H2248" s="4">
        <f>IFERROR(__xludf.DUMMYFUNCTION("DATE(INDEX(SPLIT(G2248,""/""),,3),INDEX(SPLIT(G2248,""/""),,2),INDEX(SPLIT(G2248,""/""),,1))"),44407.0)</f>
        <v>44407</v>
      </c>
      <c r="I2248" s="1" t="s">
        <v>130</v>
      </c>
      <c r="J2248" s="4">
        <f>IFERROR(__xludf.DUMMYFUNCTION("DATE(INDEX(SPLIT(I2248,""/""),,3),INDEX(SPLIT(I2248,""/""),,2),INDEX(SPLIT(I2248,""/""),,1))"),44804.0)</f>
        <v>44804</v>
      </c>
      <c r="L2248" s="1">
        <v>0.0</v>
      </c>
      <c r="M2248" s="1" t="s">
        <v>3580</v>
      </c>
      <c r="N2248" s="1"/>
      <c r="O2248" s="1" t="s">
        <v>30</v>
      </c>
      <c r="P2248" s="1" t="s">
        <v>31</v>
      </c>
      <c r="Q2248" s="1" t="s">
        <v>157</v>
      </c>
      <c r="R2248" s="1" t="s">
        <v>157</v>
      </c>
      <c r="S2248" s="1" t="s">
        <v>158</v>
      </c>
      <c r="U2248" s="1">
        <v>1.00956516E8</v>
      </c>
      <c r="X2248" s="1" t="s">
        <v>239</v>
      </c>
      <c r="Y2248" s="1" t="s">
        <v>7047</v>
      </c>
      <c r="Z2248" s="1" t="s">
        <v>37</v>
      </c>
    </row>
    <row r="2249" hidden="1">
      <c r="A2249" s="1" t="s">
        <v>7048</v>
      </c>
      <c r="B2249" s="1" t="s">
        <v>5325</v>
      </c>
      <c r="C2249" s="1" t="s">
        <v>7049</v>
      </c>
      <c r="D2249" s="1" t="s">
        <v>78</v>
      </c>
      <c r="E2249" s="1" t="s">
        <v>28</v>
      </c>
      <c r="F2249" s="2">
        <v>500000.0</v>
      </c>
      <c r="G2249" s="1" t="s">
        <v>298</v>
      </c>
      <c r="H2249" s="4">
        <f>IFERROR(__xludf.DUMMYFUNCTION("DATE(INDEX(SPLIT(G2249,""/""),,3),INDEX(SPLIT(G2249,""/""),,2),INDEX(SPLIT(G2249,""/""),,1))"),44762.0)</f>
        <v>44762</v>
      </c>
      <c r="I2249" s="1" t="s">
        <v>625</v>
      </c>
      <c r="J2249" s="4">
        <f>IFERROR(__xludf.DUMMYFUNCTION("DATE(INDEX(SPLIT(I2249,""/""),,3),INDEX(SPLIT(I2249,""/""),,2),INDEX(SPLIT(I2249,""/""),,1))"),44848.0)</f>
        <v>44848</v>
      </c>
      <c r="L2249" s="1">
        <v>0.0</v>
      </c>
      <c r="M2249" s="1" t="s">
        <v>3474</v>
      </c>
      <c r="N2249" s="1"/>
      <c r="O2249" s="1" t="s">
        <v>30</v>
      </c>
      <c r="P2249" s="1" t="s">
        <v>31</v>
      </c>
      <c r="Q2249" s="1" t="s">
        <v>95</v>
      </c>
      <c r="R2249" s="1" t="s">
        <v>95</v>
      </c>
      <c r="S2249" s="1" t="s">
        <v>96</v>
      </c>
      <c r="U2249" s="1">
        <v>1.00650841E8</v>
      </c>
      <c r="X2249" s="1" t="s">
        <v>490</v>
      </c>
      <c r="Y2249" s="1" t="s">
        <v>3474</v>
      </c>
      <c r="Z2249" s="1" t="s">
        <v>37</v>
      </c>
    </row>
    <row r="2250" hidden="1">
      <c r="A2250" s="1" t="s">
        <v>7050</v>
      </c>
      <c r="B2250" s="1" t="s">
        <v>7051</v>
      </c>
      <c r="C2250" s="1" t="s">
        <v>7052</v>
      </c>
      <c r="D2250" s="1" t="s">
        <v>78</v>
      </c>
      <c r="E2250" s="1" t="s">
        <v>28</v>
      </c>
      <c r="F2250" s="2">
        <v>500000.0</v>
      </c>
      <c r="G2250" s="1" t="s">
        <v>7053</v>
      </c>
      <c r="H2250" s="4">
        <f>IFERROR(__xludf.DUMMYFUNCTION("DATE(INDEX(SPLIT(G2250,""/""),,3),INDEX(SPLIT(G2250,""/""),,2),INDEX(SPLIT(G2250,""/""),,1))"),44696.0)</f>
        <v>44696</v>
      </c>
      <c r="I2250" s="1" t="s">
        <v>203</v>
      </c>
      <c r="J2250" s="4">
        <f>IFERROR(__xludf.DUMMYFUNCTION("DATE(INDEX(SPLIT(I2250,""/""),,3),INDEX(SPLIT(I2250,""/""),,2),INDEX(SPLIT(I2250,""/""),,1))"),44925.0)</f>
        <v>44925</v>
      </c>
      <c r="L2250" s="1">
        <v>0.0</v>
      </c>
      <c r="M2250" s="1" t="s">
        <v>7054</v>
      </c>
      <c r="N2250" s="1"/>
      <c r="O2250" s="1" t="s">
        <v>30</v>
      </c>
      <c r="P2250" s="1" t="s">
        <v>31</v>
      </c>
      <c r="Q2250" s="1" t="s">
        <v>157</v>
      </c>
      <c r="R2250" s="1" t="s">
        <v>157</v>
      </c>
      <c r="S2250" s="1" t="s">
        <v>158</v>
      </c>
      <c r="T2250" s="1" t="s">
        <v>159</v>
      </c>
      <c r="U2250" s="1">
        <v>1.00648324E8</v>
      </c>
      <c r="X2250" s="1" t="s">
        <v>63</v>
      </c>
      <c r="Y2250" s="1" t="s">
        <v>6637</v>
      </c>
      <c r="Z2250" s="1" t="s">
        <v>37</v>
      </c>
    </row>
    <row r="2251" hidden="1">
      <c r="A2251" s="1" t="s">
        <v>7055</v>
      </c>
      <c r="B2251" s="1" t="s">
        <v>1634</v>
      </c>
      <c r="C2251" s="1" t="s">
        <v>7056</v>
      </c>
      <c r="D2251" s="1" t="s">
        <v>78</v>
      </c>
      <c r="E2251" s="1" t="s">
        <v>28</v>
      </c>
      <c r="F2251" s="2">
        <v>500000.0</v>
      </c>
      <c r="G2251" s="4">
        <v>44512.0</v>
      </c>
      <c r="H2251" s="4">
        <f>IFERROR(__xludf.DUMMYFUNCTION("DATE(INDEX(SPLIT(G2251,""/""),,3),INDEX(SPLIT(G2251,""/""),,2),INDEX(SPLIT(G2251,""/""),,1))"),44541.0)</f>
        <v>44541</v>
      </c>
      <c r="I2251" s="1" t="s">
        <v>109</v>
      </c>
      <c r="J2251" s="4">
        <f>IFERROR(__xludf.DUMMYFUNCTION("DATE(INDEX(SPLIT(I2251,""/""),,3),INDEX(SPLIT(I2251,""/""),,2),INDEX(SPLIT(I2251,""/""),,1))"),44834.0)</f>
        <v>44834</v>
      </c>
      <c r="L2251" s="1">
        <v>0.0</v>
      </c>
      <c r="M2251" s="1" t="s">
        <v>1514</v>
      </c>
      <c r="N2251" s="1"/>
      <c r="O2251" s="1" t="s">
        <v>30</v>
      </c>
      <c r="P2251" s="1" t="s">
        <v>31</v>
      </c>
      <c r="Q2251" s="1" t="s">
        <v>71</v>
      </c>
      <c r="R2251" s="1" t="s">
        <v>71</v>
      </c>
      <c r="S2251" s="1" t="s">
        <v>72</v>
      </c>
      <c r="T2251" s="1" t="s">
        <v>615</v>
      </c>
      <c r="U2251" s="1">
        <v>1.006324E8</v>
      </c>
      <c r="X2251" s="1" t="s">
        <v>490</v>
      </c>
      <c r="Y2251" s="1" t="s">
        <v>1514</v>
      </c>
      <c r="Z2251" s="1" t="s">
        <v>37</v>
      </c>
    </row>
    <row r="2252" hidden="1">
      <c r="A2252" s="1" t="s">
        <v>7057</v>
      </c>
      <c r="B2252" s="1" t="s">
        <v>5158</v>
      </c>
      <c r="C2252" s="1" t="s">
        <v>7058</v>
      </c>
      <c r="D2252" s="1" t="s">
        <v>27</v>
      </c>
      <c r="E2252" s="1" t="s">
        <v>28</v>
      </c>
      <c r="F2252" s="2">
        <v>500000.0</v>
      </c>
      <c r="G2252" s="4">
        <v>44510.0</v>
      </c>
      <c r="H2252" s="4">
        <f>IFERROR(__xludf.DUMMYFUNCTION("DATE(INDEX(SPLIT(G2252,""/""),,3),INDEX(SPLIT(G2252,""/""),,2),INDEX(SPLIT(G2252,""/""),,1))"),44480.0)</f>
        <v>44480</v>
      </c>
      <c r="I2252" s="1" t="s">
        <v>42</v>
      </c>
      <c r="J2252" s="4">
        <f>IFERROR(__xludf.DUMMYFUNCTION("DATE(INDEX(SPLIT(I2252,""/""),,3),INDEX(SPLIT(I2252,""/""),,2),INDEX(SPLIT(I2252,""/""),,1))"),44926.0)</f>
        <v>44926</v>
      </c>
      <c r="L2252" s="1">
        <v>0.0</v>
      </c>
      <c r="M2252" s="1" t="s">
        <v>577</v>
      </c>
      <c r="N2252" s="1"/>
      <c r="O2252" s="1" t="s">
        <v>30</v>
      </c>
      <c r="P2252" s="1" t="s">
        <v>31</v>
      </c>
      <c r="Q2252" s="1" t="s">
        <v>53</v>
      </c>
      <c r="R2252" s="1" t="s">
        <v>53</v>
      </c>
      <c r="S2252" s="1" t="s">
        <v>54</v>
      </c>
      <c r="T2252" s="1" t="s">
        <v>73</v>
      </c>
      <c r="U2252" s="1">
        <v>1.00579505E8</v>
      </c>
      <c r="X2252" s="1" t="s">
        <v>74</v>
      </c>
      <c r="Y2252" s="1" t="s">
        <v>577</v>
      </c>
      <c r="Z2252" s="1" t="s">
        <v>37</v>
      </c>
    </row>
    <row r="2253" hidden="1">
      <c r="A2253" s="1" t="s">
        <v>7059</v>
      </c>
      <c r="B2253" s="1" t="s">
        <v>127</v>
      </c>
      <c r="C2253" s="1" t="s">
        <v>7060</v>
      </c>
      <c r="D2253" s="1" t="s">
        <v>27</v>
      </c>
      <c r="E2253" s="1" t="s">
        <v>28</v>
      </c>
      <c r="F2253" s="2">
        <v>500000.0</v>
      </c>
      <c r="G2253" s="1" t="s">
        <v>486</v>
      </c>
      <c r="H2253" s="4">
        <f>IFERROR(__xludf.DUMMYFUNCTION("DATE(INDEX(SPLIT(G2253,""/""),,3),INDEX(SPLIT(G2253,""/""),,2),INDEX(SPLIT(G2253,""/""),,1))"),44209.0)</f>
        <v>44209</v>
      </c>
      <c r="I2253" s="1" t="s">
        <v>317</v>
      </c>
      <c r="J2253" s="4">
        <f>IFERROR(__xludf.DUMMYFUNCTION("DATE(INDEX(SPLIT(I2253,""/""),,3),INDEX(SPLIT(I2253,""/""),,2),INDEX(SPLIT(I2253,""/""),,1))"),44862.0)</f>
        <v>44862</v>
      </c>
      <c r="L2253" s="1">
        <v>0.0</v>
      </c>
      <c r="M2253" s="1" t="s">
        <v>467</v>
      </c>
      <c r="N2253" s="1"/>
      <c r="O2253" s="1" t="s">
        <v>30</v>
      </c>
      <c r="P2253" s="1" t="s">
        <v>31</v>
      </c>
      <c r="Q2253" s="1" t="s">
        <v>32</v>
      </c>
      <c r="R2253" s="1" t="s">
        <v>32</v>
      </c>
      <c r="S2253" s="1" t="s">
        <v>33</v>
      </c>
      <c r="T2253" s="1" t="s">
        <v>34</v>
      </c>
      <c r="U2253" s="1">
        <v>1.00619817E8</v>
      </c>
      <c r="X2253" s="1" t="s">
        <v>81</v>
      </c>
      <c r="Y2253" s="1" t="s">
        <v>467</v>
      </c>
      <c r="Z2253" s="1" t="s">
        <v>37</v>
      </c>
    </row>
    <row r="2254" hidden="1">
      <c r="A2254" s="1" t="s">
        <v>7061</v>
      </c>
      <c r="B2254" s="1" t="s">
        <v>532</v>
      </c>
      <c r="C2254" s="1" t="s">
        <v>7062</v>
      </c>
      <c r="D2254" s="1" t="s">
        <v>27</v>
      </c>
      <c r="E2254" s="1" t="s">
        <v>28</v>
      </c>
      <c r="F2254" s="2">
        <v>500000.0</v>
      </c>
      <c r="G2254" s="4">
        <v>44839.0</v>
      </c>
      <c r="H2254" s="4">
        <f>IFERROR(__xludf.DUMMYFUNCTION("DATE(INDEX(SPLIT(G2254,""/""),,3),INDEX(SPLIT(G2254,""/""),,2),INDEX(SPLIT(G2254,""/""),,1))"),44691.0)</f>
        <v>44691</v>
      </c>
      <c r="I2254" s="4">
        <v>45087.0</v>
      </c>
      <c r="J2254" s="4">
        <f>IFERROR(__xludf.DUMMYFUNCTION("DATE(INDEX(SPLIT(I2254,""/""),,3),INDEX(SPLIT(I2254,""/""),,2),INDEX(SPLIT(I2254,""/""),,1))"),45205.0)</f>
        <v>45205</v>
      </c>
      <c r="L2254" s="1">
        <v>0.0</v>
      </c>
      <c r="M2254" s="1" t="s">
        <v>2856</v>
      </c>
      <c r="N2254" s="1"/>
      <c r="O2254" s="1" t="s">
        <v>30</v>
      </c>
      <c r="P2254" s="1" t="s">
        <v>31</v>
      </c>
      <c r="Q2254" s="1" t="s">
        <v>71</v>
      </c>
      <c r="R2254" s="1" t="s">
        <v>71</v>
      </c>
      <c r="S2254" s="1" t="s">
        <v>72</v>
      </c>
      <c r="T2254" s="1" t="s">
        <v>615</v>
      </c>
      <c r="U2254" s="1">
        <v>1.00637221E8</v>
      </c>
      <c r="X2254" s="1" t="s">
        <v>490</v>
      </c>
      <c r="Y2254" s="1" t="s">
        <v>2857</v>
      </c>
      <c r="Z2254" s="1" t="s">
        <v>37</v>
      </c>
    </row>
    <row r="2255" hidden="1">
      <c r="A2255" s="1" t="s">
        <v>7063</v>
      </c>
      <c r="B2255" s="1" t="s">
        <v>1275</v>
      </c>
      <c r="C2255" s="1" t="s">
        <v>7064</v>
      </c>
      <c r="D2255" s="1" t="s">
        <v>27</v>
      </c>
      <c r="E2255" s="1" t="s">
        <v>28</v>
      </c>
      <c r="F2255" s="2">
        <v>500000.0</v>
      </c>
      <c r="G2255" s="1" t="s">
        <v>394</v>
      </c>
      <c r="H2255" s="4">
        <f>IFERROR(__xludf.DUMMYFUNCTION("DATE(INDEX(SPLIT(G2255,""/""),,3),INDEX(SPLIT(G2255,""/""),,2),INDEX(SPLIT(G2255,""/""),,1))"),44677.0)</f>
        <v>44677</v>
      </c>
      <c r="I2255" s="1" t="s">
        <v>130</v>
      </c>
      <c r="J2255" s="4">
        <f>IFERROR(__xludf.DUMMYFUNCTION("DATE(INDEX(SPLIT(I2255,""/""),,3),INDEX(SPLIT(I2255,""/""),,2),INDEX(SPLIT(I2255,""/""),,1))"),44804.0)</f>
        <v>44804</v>
      </c>
      <c r="L2255" s="1">
        <v>0.0</v>
      </c>
      <c r="M2255" s="1" t="s">
        <v>5740</v>
      </c>
      <c r="N2255" s="1"/>
      <c r="O2255" s="1" t="s">
        <v>30</v>
      </c>
      <c r="P2255" s="1" t="s">
        <v>31</v>
      </c>
      <c r="Q2255" s="1" t="s">
        <v>71</v>
      </c>
      <c r="R2255" s="1" t="s">
        <v>71</v>
      </c>
      <c r="S2255" s="1" t="s">
        <v>72</v>
      </c>
      <c r="T2255" s="1" t="s">
        <v>136</v>
      </c>
      <c r="U2255" s="1">
        <v>1.01152256E8</v>
      </c>
      <c r="X2255" s="1" t="s">
        <v>74</v>
      </c>
      <c r="Y2255" s="1" t="s">
        <v>1746</v>
      </c>
      <c r="Z2255" s="1" t="s">
        <v>37</v>
      </c>
    </row>
    <row r="2256" hidden="1">
      <c r="A2256" s="1" t="s">
        <v>7065</v>
      </c>
      <c r="B2256" s="1" t="s">
        <v>4938</v>
      </c>
      <c r="C2256" s="1" t="s">
        <v>7066</v>
      </c>
      <c r="D2256" s="1" t="s">
        <v>122</v>
      </c>
      <c r="E2256" s="1" t="s">
        <v>28</v>
      </c>
      <c r="F2256" s="2">
        <v>500000.0</v>
      </c>
      <c r="G2256" s="4">
        <v>44779.0</v>
      </c>
      <c r="H2256" s="4">
        <f>IFERROR(__xludf.DUMMYFUNCTION("DATE(INDEX(SPLIT(G2256,""/""),,3),INDEX(SPLIT(G2256,""/""),,2),INDEX(SPLIT(G2256,""/""),,1))"),44720.0)</f>
        <v>44720</v>
      </c>
      <c r="I2256" s="1" t="s">
        <v>109</v>
      </c>
      <c r="J2256" s="4">
        <f>IFERROR(__xludf.DUMMYFUNCTION("DATE(INDEX(SPLIT(I2256,""/""),,3),INDEX(SPLIT(I2256,""/""),,2),INDEX(SPLIT(I2256,""/""),,1))"),44834.0)</f>
        <v>44834</v>
      </c>
      <c r="L2256" s="1">
        <v>0.0</v>
      </c>
      <c r="M2256" s="1" t="s">
        <v>4477</v>
      </c>
      <c r="N2256" s="1"/>
      <c r="O2256" s="1" t="s">
        <v>30</v>
      </c>
      <c r="P2256" s="1" t="s">
        <v>31</v>
      </c>
      <c r="Q2256" s="1" t="s">
        <v>228</v>
      </c>
      <c r="R2256" s="1" t="s">
        <v>228</v>
      </c>
      <c r="S2256" s="1" t="s">
        <v>229</v>
      </c>
      <c r="T2256" s="1" t="s">
        <v>513</v>
      </c>
      <c r="U2256" s="1">
        <v>1.00592715E8</v>
      </c>
      <c r="X2256" s="1" t="s">
        <v>98</v>
      </c>
      <c r="Y2256" s="1" t="s">
        <v>4477</v>
      </c>
      <c r="Z2256" s="1" t="s">
        <v>37</v>
      </c>
    </row>
    <row r="2257" hidden="1">
      <c r="A2257" s="1" t="s">
        <v>7067</v>
      </c>
      <c r="B2257" s="1" t="s">
        <v>896</v>
      </c>
      <c r="C2257" s="1" t="s">
        <v>7068</v>
      </c>
      <c r="D2257" s="1" t="s">
        <v>122</v>
      </c>
      <c r="E2257" s="1" t="s">
        <v>28</v>
      </c>
      <c r="F2257" s="2">
        <v>500000.0</v>
      </c>
      <c r="G2257" s="1" t="s">
        <v>93</v>
      </c>
      <c r="H2257" s="4">
        <f>IFERROR(__xludf.DUMMYFUNCTION("DATE(INDEX(SPLIT(G2257,""/""),,3),INDEX(SPLIT(G2257,""/""),,2),INDEX(SPLIT(G2257,""/""),,1))"),44671.0)</f>
        <v>44671</v>
      </c>
      <c r="I2257" s="1" t="s">
        <v>317</v>
      </c>
      <c r="J2257" s="4">
        <f>IFERROR(__xludf.DUMMYFUNCTION("DATE(INDEX(SPLIT(I2257,""/""),,3),INDEX(SPLIT(I2257,""/""),,2),INDEX(SPLIT(I2257,""/""),,1))"),44862.0)</f>
        <v>44862</v>
      </c>
      <c r="L2257" s="1">
        <v>0.0</v>
      </c>
      <c r="M2257" s="1" t="s">
        <v>5411</v>
      </c>
      <c r="N2257" s="1"/>
      <c r="O2257" s="1" t="s">
        <v>30</v>
      </c>
      <c r="P2257" s="1" t="s">
        <v>31</v>
      </c>
      <c r="Q2257" s="1" t="s">
        <v>53</v>
      </c>
      <c r="R2257" s="1" t="s">
        <v>53</v>
      </c>
      <c r="S2257" s="1" t="s">
        <v>54</v>
      </c>
      <c r="T2257" s="1" t="s">
        <v>634</v>
      </c>
      <c r="U2257" s="1">
        <v>1.00610826E8</v>
      </c>
      <c r="X2257" s="1" t="s">
        <v>490</v>
      </c>
      <c r="Y2257" s="1" t="s">
        <v>7069</v>
      </c>
      <c r="Z2257" s="1" t="s">
        <v>37</v>
      </c>
    </row>
    <row r="2258" hidden="1">
      <c r="A2258" s="1" t="s">
        <v>7070</v>
      </c>
      <c r="B2258" s="1" t="s">
        <v>532</v>
      </c>
      <c r="C2258" s="1" t="s">
        <v>7071</v>
      </c>
      <c r="D2258" s="1" t="s">
        <v>27</v>
      </c>
      <c r="E2258" s="1" t="s">
        <v>28</v>
      </c>
      <c r="F2258" s="2">
        <v>500000.0</v>
      </c>
      <c r="G2258" s="4">
        <v>44839.0</v>
      </c>
      <c r="H2258" s="4">
        <f>IFERROR(__xludf.DUMMYFUNCTION("DATE(INDEX(SPLIT(G2258,""/""),,3),INDEX(SPLIT(G2258,""/""),,2),INDEX(SPLIT(G2258,""/""),,1))"),44691.0)</f>
        <v>44691</v>
      </c>
      <c r="I2258" s="4">
        <v>44967.0</v>
      </c>
      <c r="J2258" s="4">
        <f>IFERROR(__xludf.DUMMYFUNCTION("DATE(INDEX(SPLIT(I2258,""/""),,3),INDEX(SPLIT(I2258,""/""),,2),INDEX(SPLIT(I2258,""/""),,1))"),45201.0)</f>
        <v>45201</v>
      </c>
      <c r="L2258" s="1">
        <v>0.0</v>
      </c>
      <c r="M2258" s="1" t="s">
        <v>2856</v>
      </c>
      <c r="N2258" s="1"/>
      <c r="O2258" s="1" t="s">
        <v>30</v>
      </c>
      <c r="P2258" s="1" t="s">
        <v>31</v>
      </c>
      <c r="Q2258" s="1" t="s">
        <v>71</v>
      </c>
      <c r="R2258" s="1" t="s">
        <v>71</v>
      </c>
      <c r="S2258" s="1" t="s">
        <v>72</v>
      </c>
      <c r="T2258" s="1" t="s">
        <v>615</v>
      </c>
      <c r="U2258" s="1">
        <v>1.00637221E8</v>
      </c>
      <c r="X2258" s="1" t="s">
        <v>490</v>
      </c>
      <c r="Y2258" s="1" t="s">
        <v>2857</v>
      </c>
      <c r="Z2258" s="1" t="s">
        <v>37</v>
      </c>
    </row>
    <row r="2259" hidden="1">
      <c r="A2259" s="1" t="s">
        <v>7072</v>
      </c>
      <c r="B2259" s="1" t="s">
        <v>7073</v>
      </c>
      <c r="C2259" s="1" t="s">
        <v>7074</v>
      </c>
      <c r="D2259" s="1" t="s">
        <v>78</v>
      </c>
      <c r="E2259" s="1" t="s">
        <v>28</v>
      </c>
      <c r="F2259" s="2">
        <v>500000.0</v>
      </c>
      <c r="G2259" s="1" t="s">
        <v>1154</v>
      </c>
      <c r="H2259" s="4">
        <f>IFERROR(__xludf.DUMMYFUNCTION("DATE(INDEX(SPLIT(G2259,""/""),,3),INDEX(SPLIT(G2259,""/""),,2),INDEX(SPLIT(G2259,""/""),,1))"),44735.0)</f>
        <v>44735</v>
      </c>
      <c r="I2259" s="4">
        <v>44630.0</v>
      </c>
      <c r="J2259" s="4">
        <f>IFERROR(__xludf.DUMMYFUNCTION("DATE(INDEX(SPLIT(I2259,""/""),,3),INDEX(SPLIT(I2259,""/""),,2),INDEX(SPLIT(I2259,""/""),,1))"),44837.0)</f>
        <v>44837</v>
      </c>
      <c r="L2259" s="1">
        <v>0.0</v>
      </c>
      <c r="M2259" s="1" t="s">
        <v>4098</v>
      </c>
      <c r="N2259" s="1"/>
      <c r="O2259" s="1" t="s">
        <v>30</v>
      </c>
      <c r="P2259" s="1" t="s">
        <v>31</v>
      </c>
      <c r="Q2259" s="1" t="s">
        <v>32</v>
      </c>
      <c r="R2259" s="1" t="s">
        <v>32</v>
      </c>
      <c r="S2259" s="1" t="s">
        <v>33</v>
      </c>
      <c r="T2259" s="1" t="s">
        <v>34</v>
      </c>
      <c r="U2259" s="1">
        <v>1.00586097E8</v>
      </c>
      <c r="X2259" s="1" t="s">
        <v>35</v>
      </c>
      <c r="Y2259" s="1" t="s">
        <v>4099</v>
      </c>
      <c r="Z2259" s="1" t="s">
        <v>37</v>
      </c>
    </row>
    <row r="2260" hidden="1">
      <c r="A2260" s="1" t="s">
        <v>7075</v>
      </c>
      <c r="B2260" s="1" t="s">
        <v>7076</v>
      </c>
      <c r="C2260" s="1" t="s">
        <v>7077</v>
      </c>
      <c r="D2260" s="1" t="s">
        <v>78</v>
      </c>
      <c r="E2260" s="1" t="s">
        <v>28</v>
      </c>
      <c r="F2260" s="2">
        <v>500000.0</v>
      </c>
      <c r="G2260" s="4">
        <v>44900.0</v>
      </c>
      <c r="H2260" s="4">
        <f>IFERROR(__xludf.DUMMYFUNCTION("DATE(INDEX(SPLIT(G2260,""/""),,3),INDEX(SPLIT(G2260,""/""),,2),INDEX(SPLIT(G2260,""/""),,1))"),44693.0)</f>
        <v>44693</v>
      </c>
      <c r="I2260" s="1" t="s">
        <v>2236</v>
      </c>
      <c r="J2260" s="4">
        <f>IFERROR(__xludf.DUMMYFUNCTION("DATE(INDEX(SPLIT(I2260,""/""),,3),INDEX(SPLIT(I2260,""/""),,2),INDEX(SPLIT(I2260,""/""),,1))"),44924.0)</f>
        <v>44924</v>
      </c>
      <c r="L2260" s="1">
        <v>0.0</v>
      </c>
      <c r="M2260" s="1" t="s">
        <v>4328</v>
      </c>
      <c r="N2260" s="1"/>
      <c r="O2260" s="1" t="s">
        <v>30</v>
      </c>
      <c r="P2260" s="1" t="s">
        <v>31</v>
      </c>
      <c r="Q2260" s="1" t="s">
        <v>32</v>
      </c>
      <c r="R2260" s="1" t="s">
        <v>32</v>
      </c>
      <c r="S2260" s="1" t="s">
        <v>33</v>
      </c>
      <c r="T2260" s="1" t="s">
        <v>1195</v>
      </c>
      <c r="U2260" s="1">
        <v>1.00581763E8</v>
      </c>
      <c r="X2260" s="1" t="s">
        <v>490</v>
      </c>
      <c r="Y2260" s="1" t="s">
        <v>4328</v>
      </c>
      <c r="Z2260" s="1" t="s">
        <v>37</v>
      </c>
    </row>
    <row r="2261" hidden="1">
      <c r="A2261" s="1" t="s">
        <v>7078</v>
      </c>
      <c r="B2261" s="1" t="s">
        <v>7079</v>
      </c>
      <c r="C2261" s="1" t="s">
        <v>7080</v>
      </c>
      <c r="D2261" s="1" t="s">
        <v>27</v>
      </c>
      <c r="E2261" s="1" t="s">
        <v>28</v>
      </c>
      <c r="F2261" s="2">
        <v>500000.0</v>
      </c>
      <c r="G2261" s="4">
        <v>44296.0</v>
      </c>
      <c r="H2261" s="4">
        <f>IFERROR(__xludf.DUMMYFUNCTION("DATE(INDEX(SPLIT(G2261,""/""),,3),INDEX(SPLIT(G2261,""/""),,2),INDEX(SPLIT(G2261,""/""),,1))"),44473.0)</f>
        <v>44473</v>
      </c>
      <c r="I2261" s="1" t="s">
        <v>42</v>
      </c>
      <c r="J2261" s="4">
        <f>IFERROR(__xludf.DUMMYFUNCTION("DATE(INDEX(SPLIT(I2261,""/""),,3),INDEX(SPLIT(I2261,""/""),,2),INDEX(SPLIT(I2261,""/""),,1))"),44926.0)</f>
        <v>44926</v>
      </c>
      <c r="L2261" s="1">
        <v>0.0</v>
      </c>
      <c r="M2261" s="1" t="s">
        <v>1745</v>
      </c>
      <c r="N2261" s="1"/>
      <c r="O2261" s="1" t="s">
        <v>30</v>
      </c>
      <c r="P2261" s="1" t="s">
        <v>31</v>
      </c>
      <c r="Q2261" s="1" t="s">
        <v>71</v>
      </c>
      <c r="R2261" s="1" t="s">
        <v>71</v>
      </c>
      <c r="S2261" s="1" t="s">
        <v>72</v>
      </c>
      <c r="T2261" s="1" t="s">
        <v>136</v>
      </c>
      <c r="U2261" s="1">
        <v>1.00582847E8</v>
      </c>
      <c r="X2261" s="1" t="s">
        <v>74</v>
      </c>
      <c r="Y2261" s="1" t="s">
        <v>1745</v>
      </c>
      <c r="Z2261" s="1" t="s">
        <v>37</v>
      </c>
    </row>
    <row r="2262" hidden="1">
      <c r="A2262" s="1" t="s">
        <v>7081</v>
      </c>
      <c r="B2262" s="1" t="s">
        <v>3802</v>
      </c>
      <c r="C2262" s="1" t="s">
        <v>7082</v>
      </c>
      <c r="D2262" s="1" t="s">
        <v>78</v>
      </c>
      <c r="E2262" s="1" t="s">
        <v>28</v>
      </c>
      <c r="F2262" s="2">
        <v>500000.0</v>
      </c>
      <c r="G2262" s="4">
        <v>44809.0</v>
      </c>
      <c r="H2262" s="4">
        <f>IFERROR(__xludf.DUMMYFUNCTION("DATE(INDEX(SPLIT(G2262,""/""),,3),INDEX(SPLIT(G2262,""/""),,2),INDEX(SPLIT(G2262,""/""),,1))"),44690.0)</f>
        <v>44690</v>
      </c>
      <c r="I2262" s="4">
        <v>44781.0</v>
      </c>
      <c r="J2262" s="4">
        <f>IFERROR(__xludf.DUMMYFUNCTION("DATE(INDEX(SPLIT(I2262,""/""),,3),INDEX(SPLIT(I2262,""/""),,2),INDEX(SPLIT(I2262,""/""),,1))"),44781.0)</f>
        <v>44781</v>
      </c>
      <c r="L2262" s="1">
        <v>0.0</v>
      </c>
      <c r="M2262" s="1" t="s">
        <v>3580</v>
      </c>
      <c r="N2262" s="1"/>
      <c r="O2262" s="1" t="s">
        <v>30</v>
      </c>
      <c r="P2262" s="1" t="s">
        <v>31</v>
      </c>
      <c r="Q2262" s="1" t="s">
        <v>157</v>
      </c>
      <c r="R2262" s="1" t="s">
        <v>157</v>
      </c>
      <c r="S2262" s="1" t="s">
        <v>158</v>
      </c>
      <c r="U2262" s="1">
        <v>1.00956516E8</v>
      </c>
      <c r="X2262" s="1" t="s">
        <v>239</v>
      </c>
      <c r="Y2262" s="1" t="s">
        <v>2373</v>
      </c>
      <c r="Z2262" s="1" t="s">
        <v>37</v>
      </c>
    </row>
    <row r="2263" hidden="1">
      <c r="A2263" s="1" t="s">
        <v>7083</v>
      </c>
      <c r="B2263" s="1" t="s">
        <v>1371</v>
      </c>
      <c r="C2263" s="1" t="s">
        <v>7084</v>
      </c>
      <c r="D2263" s="1" t="s">
        <v>27</v>
      </c>
      <c r="E2263" s="1" t="s">
        <v>28</v>
      </c>
      <c r="F2263" s="2">
        <v>500000.0</v>
      </c>
      <c r="G2263" s="4">
        <v>44510.0</v>
      </c>
      <c r="H2263" s="4">
        <f>IFERROR(__xludf.DUMMYFUNCTION("DATE(INDEX(SPLIT(G2263,""/""),,3),INDEX(SPLIT(G2263,""/""),,2),INDEX(SPLIT(G2263,""/""),,1))"),44480.0)</f>
        <v>44480</v>
      </c>
      <c r="I2263" s="1" t="s">
        <v>130</v>
      </c>
      <c r="J2263" s="4">
        <f>IFERROR(__xludf.DUMMYFUNCTION("DATE(INDEX(SPLIT(I2263,""/""),,3),INDEX(SPLIT(I2263,""/""),,2),INDEX(SPLIT(I2263,""/""),,1))"),44804.0)</f>
        <v>44804</v>
      </c>
      <c r="L2263" s="1">
        <v>0.0</v>
      </c>
      <c r="M2263" s="1" t="s">
        <v>1484</v>
      </c>
      <c r="N2263" s="1"/>
      <c r="O2263" s="1" t="s">
        <v>30</v>
      </c>
      <c r="P2263" s="1" t="s">
        <v>31</v>
      </c>
      <c r="Q2263" s="1" t="s">
        <v>95</v>
      </c>
      <c r="R2263" s="1" t="s">
        <v>95</v>
      </c>
      <c r="S2263" s="1" t="s">
        <v>96</v>
      </c>
      <c r="T2263" s="1" t="s">
        <v>7085</v>
      </c>
      <c r="U2263" s="1">
        <v>1.00585718E8</v>
      </c>
      <c r="X2263" s="1" t="s">
        <v>63</v>
      </c>
      <c r="Y2263" s="1" t="s">
        <v>6813</v>
      </c>
      <c r="Z2263" s="1" t="s">
        <v>37</v>
      </c>
    </row>
    <row r="2264" hidden="1">
      <c r="A2264" s="1" t="s">
        <v>7086</v>
      </c>
      <c r="B2264" s="1" t="s">
        <v>301</v>
      </c>
      <c r="C2264" s="1" t="s">
        <v>7087</v>
      </c>
      <c r="D2264" s="1" t="s">
        <v>122</v>
      </c>
      <c r="E2264" s="1" t="s">
        <v>28</v>
      </c>
      <c r="F2264" s="2">
        <v>500000.0</v>
      </c>
      <c r="G2264" s="1" t="s">
        <v>534</v>
      </c>
      <c r="H2264" s="4">
        <f>IFERROR(__xludf.DUMMYFUNCTION("DATE(INDEX(SPLIT(G2264,""/""),,3),INDEX(SPLIT(G2264,""/""),,2),INDEX(SPLIT(G2264,""/""),,1))"),44704.0)</f>
        <v>44704</v>
      </c>
      <c r="I2264" s="1" t="s">
        <v>130</v>
      </c>
      <c r="J2264" s="4">
        <f>IFERROR(__xludf.DUMMYFUNCTION("DATE(INDEX(SPLIT(I2264,""/""),,3),INDEX(SPLIT(I2264,""/""),,2),INDEX(SPLIT(I2264,""/""),,1))"),44804.0)</f>
        <v>44804</v>
      </c>
      <c r="L2264" s="1">
        <v>0.0</v>
      </c>
      <c r="M2264" s="1" t="s">
        <v>7088</v>
      </c>
      <c r="N2264" s="1"/>
      <c r="O2264" s="1" t="s">
        <v>30</v>
      </c>
      <c r="P2264" s="1" t="s">
        <v>31</v>
      </c>
      <c r="Q2264" s="1" t="s">
        <v>228</v>
      </c>
      <c r="R2264" s="1" t="s">
        <v>228</v>
      </c>
      <c r="S2264" s="1" t="s">
        <v>229</v>
      </c>
      <c r="T2264" s="1" t="s">
        <v>513</v>
      </c>
      <c r="U2264" s="1">
        <v>1.00597339E8</v>
      </c>
      <c r="X2264" s="1" t="s">
        <v>98</v>
      </c>
      <c r="Y2264" s="1" t="s">
        <v>7089</v>
      </c>
      <c r="Z2264" s="1" t="s">
        <v>37</v>
      </c>
    </row>
    <row r="2265">
      <c r="A2265" s="1" t="s">
        <v>7090</v>
      </c>
      <c r="B2265" s="1" t="s">
        <v>7091</v>
      </c>
      <c r="C2265" s="1" t="s">
        <v>7092</v>
      </c>
      <c r="D2265" s="1" t="s">
        <v>122</v>
      </c>
      <c r="E2265" s="1" t="s">
        <v>28</v>
      </c>
      <c r="F2265" s="2">
        <v>500000.0</v>
      </c>
      <c r="G2265" s="1" t="s">
        <v>2988</v>
      </c>
      <c r="H2265" s="4">
        <f>IFERROR(__xludf.DUMMYFUNCTION("DATE(INDEX(SPLIT(G2265,""/""),,3),INDEX(SPLIT(G2265,""/""),,2),INDEX(SPLIT(G2265,""/""),,1))"),44523.0)</f>
        <v>44523</v>
      </c>
      <c r="I2265" s="1" t="s">
        <v>2300</v>
      </c>
      <c r="J2265" s="4">
        <f>IFERROR(__xludf.DUMMYFUNCTION("DATE(INDEX(SPLIT(I2265,""/""),,3),INDEX(SPLIT(I2265,""/""),,2),INDEX(SPLIT(I2265,""/""),,1))"),44712.0)</f>
        <v>44712</v>
      </c>
      <c r="L2265" s="1">
        <v>0.0</v>
      </c>
      <c r="M2265" s="1" t="s">
        <v>3944</v>
      </c>
      <c r="N2265" s="1"/>
      <c r="O2265" s="1" t="s">
        <v>30</v>
      </c>
      <c r="P2265" s="1" t="s">
        <v>31</v>
      </c>
      <c r="Q2265" s="1" t="s">
        <v>228</v>
      </c>
      <c r="R2265" s="1" t="s">
        <v>228</v>
      </c>
      <c r="S2265" s="1" t="s">
        <v>229</v>
      </c>
      <c r="T2265" s="1" t="s">
        <v>640</v>
      </c>
      <c r="U2265" s="1">
        <v>1.00655073E8</v>
      </c>
      <c r="X2265" s="1" t="s">
        <v>375</v>
      </c>
      <c r="Y2265" s="1" t="s">
        <v>7093</v>
      </c>
      <c r="Z2265" s="1" t="s">
        <v>37</v>
      </c>
    </row>
    <row r="2266" hidden="1">
      <c r="A2266" s="1" t="s">
        <v>7094</v>
      </c>
      <c r="B2266" s="1" t="s">
        <v>1445</v>
      </c>
      <c r="C2266" s="1" t="s">
        <v>7095</v>
      </c>
      <c r="D2266" s="1" t="s">
        <v>27</v>
      </c>
      <c r="E2266" s="1" t="s">
        <v>28</v>
      </c>
      <c r="F2266" s="2">
        <v>500000.0</v>
      </c>
      <c r="G2266" s="1" t="s">
        <v>534</v>
      </c>
      <c r="H2266" s="4">
        <f>IFERROR(__xludf.DUMMYFUNCTION("DATE(INDEX(SPLIT(G2266,""/""),,3),INDEX(SPLIT(G2266,""/""),,2),INDEX(SPLIT(G2266,""/""),,1))"),44704.0)</f>
        <v>44704</v>
      </c>
      <c r="I2266" s="1" t="s">
        <v>130</v>
      </c>
      <c r="J2266" s="4">
        <f>IFERROR(__xludf.DUMMYFUNCTION("DATE(INDEX(SPLIT(I2266,""/""),,3),INDEX(SPLIT(I2266,""/""),,2),INDEX(SPLIT(I2266,""/""),,1))"),44804.0)</f>
        <v>44804</v>
      </c>
      <c r="L2266" s="1">
        <v>0.0</v>
      </c>
      <c r="M2266" s="1" t="s">
        <v>542</v>
      </c>
      <c r="N2266" s="1"/>
      <c r="O2266" s="1" t="s">
        <v>30</v>
      </c>
      <c r="P2266" s="1" t="s">
        <v>31</v>
      </c>
      <c r="Q2266" s="1" t="s">
        <v>53</v>
      </c>
      <c r="R2266" s="1" t="s">
        <v>53</v>
      </c>
      <c r="S2266" s="1" t="s">
        <v>54</v>
      </c>
      <c r="T2266" s="1" t="s">
        <v>2893</v>
      </c>
      <c r="U2266" s="1">
        <v>1.01001596E8</v>
      </c>
      <c r="V2266" s="1" t="s">
        <v>7096</v>
      </c>
      <c r="W2266" s="1" t="s">
        <v>199</v>
      </c>
      <c r="X2266" s="1" t="s">
        <v>74</v>
      </c>
      <c r="Y2266" s="1" t="s">
        <v>542</v>
      </c>
      <c r="Z2266" s="1" t="s">
        <v>37</v>
      </c>
    </row>
    <row r="2267" hidden="1">
      <c r="A2267" s="1" t="s">
        <v>7097</v>
      </c>
      <c r="B2267" s="1" t="s">
        <v>1511</v>
      </c>
      <c r="C2267" s="1" t="s">
        <v>1635</v>
      </c>
      <c r="D2267" s="1" t="s">
        <v>27</v>
      </c>
      <c r="E2267" s="1" t="s">
        <v>28</v>
      </c>
      <c r="F2267" s="2">
        <v>500000.0</v>
      </c>
      <c r="G2267" s="4">
        <v>44568.0</v>
      </c>
      <c r="H2267" s="4">
        <f>IFERROR(__xludf.DUMMYFUNCTION("DATE(INDEX(SPLIT(G2267,""/""),,3),INDEX(SPLIT(G2267,""/""),,2),INDEX(SPLIT(G2267,""/""),,1))"),44743.0)</f>
        <v>44743</v>
      </c>
      <c r="I2267" s="1" t="s">
        <v>430</v>
      </c>
      <c r="J2267" s="4">
        <f>IFERROR(__xludf.DUMMYFUNCTION("DATE(INDEX(SPLIT(I2267,""/""),,3),INDEX(SPLIT(I2267,""/""),,2),INDEX(SPLIT(I2267,""/""),,1))"),44985.0)</f>
        <v>44985</v>
      </c>
      <c r="L2267" s="1">
        <v>0.0</v>
      </c>
      <c r="M2267" s="1" t="s">
        <v>2321</v>
      </c>
      <c r="N2267" s="1"/>
      <c r="O2267" s="1" t="s">
        <v>30</v>
      </c>
      <c r="P2267" s="1" t="s">
        <v>31</v>
      </c>
      <c r="Q2267" s="1" t="s">
        <v>32</v>
      </c>
      <c r="R2267" s="1" t="s">
        <v>32</v>
      </c>
      <c r="S2267" s="1" t="s">
        <v>33</v>
      </c>
      <c r="T2267" s="1" t="s">
        <v>1195</v>
      </c>
      <c r="U2267" s="1">
        <v>1.00589993E8</v>
      </c>
      <c r="X2267" s="1" t="s">
        <v>63</v>
      </c>
      <c r="Y2267" s="1" t="s">
        <v>1196</v>
      </c>
      <c r="Z2267" s="1" t="s">
        <v>37</v>
      </c>
    </row>
    <row r="2268">
      <c r="A2268" s="1" t="s">
        <v>7098</v>
      </c>
      <c r="B2268" s="1" t="s">
        <v>7099</v>
      </c>
      <c r="C2268" s="1" t="s">
        <v>7100</v>
      </c>
      <c r="D2268" s="1" t="s">
        <v>78</v>
      </c>
      <c r="E2268" s="1" t="s">
        <v>28</v>
      </c>
      <c r="F2268" s="2">
        <v>500000.0</v>
      </c>
      <c r="G2268" s="4">
        <v>44451.0</v>
      </c>
      <c r="H2268" s="4">
        <f>IFERROR(__xludf.DUMMYFUNCTION("DATE(INDEX(SPLIT(G2268,""/""),,3),INDEX(SPLIT(G2268,""/""),,2),INDEX(SPLIT(G2268,""/""),,1))"),44539.0)</f>
        <v>44539</v>
      </c>
      <c r="I2268" s="4">
        <v>44626.0</v>
      </c>
      <c r="J2268" s="4">
        <f>IFERROR(__xludf.DUMMYFUNCTION("DATE(INDEX(SPLIT(I2268,""/""),,3),INDEX(SPLIT(I2268,""/""),,2),INDEX(SPLIT(I2268,""/""),,1))"),44715.0)</f>
        <v>44715</v>
      </c>
      <c r="L2268" s="1">
        <v>0.0</v>
      </c>
      <c r="M2268" s="1" t="s">
        <v>7101</v>
      </c>
      <c r="N2268" s="1"/>
      <c r="O2268" s="1" t="s">
        <v>30</v>
      </c>
      <c r="P2268" s="1" t="s">
        <v>31</v>
      </c>
      <c r="Q2268" s="1" t="s">
        <v>32</v>
      </c>
      <c r="R2268" s="1" t="s">
        <v>32</v>
      </c>
      <c r="S2268" s="1" t="s">
        <v>33</v>
      </c>
      <c r="T2268" s="1" t="s">
        <v>1195</v>
      </c>
      <c r="U2268" s="1">
        <v>1.00599962E8</v>
      </c>
      <c r="X2268" s="1" t="s">
        <v>490</v>
      </c>
      <c r="Y2268" s="1" t="s">
        <v>7101</v>
      </c>
      <c r="Z2268" s="1" t="s">
        <v>206</v>
      </c>
    </row>
    <row r="2269" hidden="1">
      <c r="A2269" s="1" t="s">
        <v>7102</v>
      </c>
      <c r="B2269" s="1" t="s">
        <v>1665</v>
      </c>
      <c r="C2269" s="1" t="s">
        <v>7103</v>
      </c>
      <c r="D2269" s="1" t="s">
        <v>78</v>
      </c>
      <c r="E2269" s="1" t="s">
        <v>28</v>
      </c>
      <c r="F2269" s="2">
        <v>500000.0</v>
      </c>
      <c r="G2269" s="4">
        <v>44809.0</v>
      </c>
      <c r="H2269" s="4">
        <f>IFERROR(__xludf.DUMMYFUNCTION("DATE(INDEX(SPLIT(G2269,""/""),,3),INDEX(SPLIT(G2269,""/""),,2),INDEX(SPLIT(G2269,""/""),,1))"),44690.0)</f>
        <v>44690</v>
      </c>
      <c r="I2269" s="1" t="s">
        <v>872</v>
      </c>
      <c r="J2269" s="4">
        <f>IFERROR(__xludf.DUMMYFUNCTION("DATE(INDEX(SPLIT(I2269,""/""),,3),INDEX(SPLIT(I2269,""/""),,2),INDEX(SPLIT(I2269,""/""),,1))"),44820.0)</f>
        <v>44820</v>
      </c>
      <c r="L2269" s="1">
        <v>0.0</v>
      </c>
      <c r="M2269" s="1" t="s">
        <v>2724</v>
      </c>
      <c r="N2269" s="1"/>
      <c r="O2269" s="1" t="s">
        <v>30</v>
      </c>
      <c r="P2269" s="1" t="s">
        <v>31</v>
      </c>
      <c r="Q2269" s="1" t="s">
        <v>32</v>
      </c>
      <c r="R2269" s="1" t="s">
        <v>32</v>
      </c>
      <c r="S2269" s="1" t="s">
        <v>33</v>
      </c>
      <c r="T2269" s="1" t="s">
        <v>1195</v>
      </c>
      <c r="U2269" s="1">
        <v>1.00606975E8</v>
      </c>
      <c r="X2269" s="1" t="s">
        <v>490</v>
      </c>
      <c r="Y2269" s="1" t="s">
        <v>7104</v>
      </c>
      <c r="Z2269" s="1" t="s">
        <v>37</v>
      </c>
    </row>
    <row r="2270" hidden="1">
      <c r="A2270" s="1" t="s">
        <v>7105</v>
      </c>
      <c r="B2270" s="1" t="s">
        <v>5325</v>
      </c>
      <c r="C2270" s="1" t="s">
        <v>7106</v>
      </c>
      <c r="D2270" s="1" t="s">
        <v>27</v>
      </c>
      <c r="E2270" s="1" t="s">
        <v>28</v>
      </c>
      <c r="F2270" s="2">
        <v>500000.0</v>
      </c>
      <c r="G2270" s="1" t="s">
        <v>458</v>
      </c>
      <c r="H2270" s="4">
        <f>IFERROR(__xludf.DUMMYFUNCTION("DATE(INDEX(SPLIT(G2270,""/""),,3),INDEX(SPLIT(G2270,""/""),,2),INDEX(SPLIT(G2270,""/""),,1))"),44649.0)</f>
        <v>44649</v>
      </c>
      <c r="I2270" s="1" t="s">
        <v>130</v>
      </c>
      <c r="J2270" s="4">
        <f>IFERROR(__xludf.DUMMYFUNCTION("DATE(INDEX(SPLIT(I2270,""/""),,3),INDEX(SPLIT(I2270,""/""),,2),INDEX(SPLIT(I2270,""/""),,1))"),44804.0)</f>
        <v>44804</v>
      </c>
      <c r="L2270" s="1">
        <v>0.0</v>
      </c>
      <c r="M2270" s="1" t="s">
        <v>2600</v>
      </c>
      <c r="N2270" s="1"/>
      <c r="O2270" s="1" t="s">
        <v>30</v>
      </c>
      <c r="P2270" s="1" t="s">
        <v>31</v>
      </c>
      <c r="Q2270" s="1" t="s">
        <v>32</v>
      </c>
      <c r="R2270" s="1" t="s">
        <v>32</v>
      </c>
      <c r="S2270" s="1" t="s">
        <v>33</v>
      </c>
      <c r="U2270" s="1">
        <v>1.00642238E8</v>
      </c>
      <c r="X2270" s="1" t="s">
        <v>490</v>
      </c>
      <c r="Y2270" s="1" t="s">
        <v>7107</v>
      </c>
      <c r="Z2270" s="1" t="s">
        <v>37</v>
      </c>
    </row>
    <row r="2271" hidden="1">
      <c r="A2271" s="1" t="s">
        <v>7108</v>
      </c>
      <c r="B2271" s="1" t="s">
        <v>1144</v>
      </c>
      <c r="C2271" s="1" t="s">
        <v>7109</v>
      </c>
      <c r="D2271" s="1" t="s">
        <v>27</v>
      </c>
      <c r="E2271" s="1" t="s">
        <v>28</v>
      </c>
      <c r="F2271" s="2">
        <v>500000.0</v>
      </c>
      <c r="G2271" s="4">
        <v>44624.0</v>
      </c>
      <c r="H2271" s="4">
        <f>IFERROR(__xludf.DUMMYFUNCTION("DATE(INDEX(SPLIT(G2271,""/""),,3),INDEX(SPLIT(G2271,""/""),,2),INDEX(SPLIT(G2271,""/""),,1))"),44654.0)</f>
        <v>44654</v>
      </c>
      <c r="I2271" s="1" t="s">
        <v>109</v>
      </c>
      <c r="J2271" s="4">
        <f>IFERROR(__xludf.DUMMYFUNCTION("DATE(INDEX(SPLIT(I2271,""/""),,3),INDEX(SPLIT(I2271,""/""),,2),INDEX(SPLIT(I2271,""/""),,1))"),44834.0)</f>
        <v>44834</v>
      </c>
      <c r="L2271" s="1">
        <v>0.0</v>
      </c>
      <c r="M2271" s="1" t="s">
        <v>2614</v>
      </c>
      <c r="N2271" s="1"/>
      <c r="O2271" s="1" t="s">
        <v>30</v>
      </c>
      <c r="P2271" s="1" t="s">
        <v>31</v>
      </c>
      <c r="Q2271" s="1" t="s">
        <v>53</v>
      </c>
      <c r="R2271" s="1" t="s">
        <v>53</v>
      </c>
      <c r="S2271" s="1" t="s">
        <v>54</v>
      </c>
      <c r="U2271" s="1">
        <v>1.00592932E8</v>
      </c>
      <c r="X2271" s="1" t="s">
        <v>63</v>
      </c>
      <c r="Y2271" s="1" t="s">
        <v>2614</v>
      </c>
      <c r="Z2271" s="1" t="s">
        <v>37</v>
      </c>
    </row>
    <row r="2272" hidden="1">
      <c r="A2272" s="1" t="s">
        <v>7110</v>
      </c>
      <c r="B2272" s="1" t="s">
        <v>76</v>
      </c>
      <c r="C2272" s="1" t="s">
        <v>7111</v>
      </c>
      <c r="D2272" s="1" t="s">
        <v>27</v>
      </c>
      <c r="E2272" s="1" t="s">
        <v>28</v>
      </c>
      <c r="F2272" s="2">
        <v>500000.0</v>
      </c>
      <c r="G2272" s="1" t="s">
        <v>3934</v>
      </c>
      <c r="H2272" s="4">
        <f>IFERROR(__xludf.DUMMYFUNCTION("DATE(INDEX(SPLIT(G2272,""/""),,3),INDEX(SPLIT(G2272,""/""),,2),INDEX(SPLIT(G2272,""/""),,1))"),44428.0)</f>
        <v>44428</v>
      </c>
      <c r="I2272" s="1" t="s">
        <v>2102</v>
      </c>
      <c r="J2272" s="4">
        <f>IFERROR(__xludf.DUMMYFUNCTION("DATE(INDEX(SPLIT(I2272,""/""),,3),INDEX(SPLIT(I2272,""/""),,2),INDEX(SPLIT(I2272,""/""),,1))"),45045.0)</f>
        <v>45045</v>
      </c>
      <c r="L2272" s="1">
        <v>0.0</v>
      </c>
      <c r="M2272" s="1" t="s">
        <v>79</v>
      </c>
      <c r="N2272" s="1"/>
      <c r="O2272" s="1" t="s">
        <v>30</v>
      </c>
      <c r="P2272" s="1" t="s">
        <v>31</v>
      </c>
      <c r="Q2272" s="1" t="s">
        <v>32</v>
      </c>
      <c r="R2272" s="1" t="s">
        <v>32</v>
      </c>
      <c r="S2272" s="1" t="s">
        <v>33</v>
      </c>
      <c r="T2272" s="1" t="s">
        <v>34</v>
      </c>
      <c r="U2272" s="1">
        <v>1.00609569E8</v>
      </c>
      <c r="X2272" s="1" t="s">
        <v>81</v>
      </c>
      <c r="Y2272" s="1" t="s">
        <v>79</v>
      </c>
      <c r="Z2272" s="1" t="s">
        <v>37</v>
      </c>
    </row>
    <row r="2273" hidden="1">
      <c r="A2273" s="1" t="s">
        <v>7112</v>
      </c>
      <c r="B2273" s="1" t="s">
        <v>546</v>
      </c>
      <c r="C2273" s="1" t="s">
        <v>7113</v>
      </c>
      <c r="D2273" s="1" t="s">
        <v>27</v>
      </c>
      <c r="E2273" s="1" t="s">
        <v>28</v>
      </c>
      <c r="F2273" s="2">
        <v>500000.0</v>
      </c>
      <c r="G2273" s="1" t="s">
        <v>458</v>
      </c>
      <c r="H2273" s="4">
        <f>IFERROR(__xludf.DUMMYFUNCTION("DATE(INDEX(SPLIT(G2273,""/""),,3),INDEX(SPLIT(G2273,""/""),,2),INDEX(SPLIT(G2273,""/""),,1))"),44649.0)</f>
        <v>44649</v>
      </c>
      <c r="I2273" s="1" t="s">
        <v>130</v>
      </c>
      <c r="J2273" s="4">
        <f>IFERROR(__xludf.DUMMYFUNCTION("DATE(INDEX(SPLIT(I2273,""/""),,3),INDEX(SPLIT(I2273,""/""),,2),INDEX(SPLIT(I2273,""/""),,1))"),44804.0)</f>
        <v>44804</v>
      </c>
      <c r="L2273" s="1">
        <v>0.0</v>
      </c>
      <c r="M2273" s="1" t="s">
        <v>2600</v>
      </c>
      <c r="N2273" s="1"/>
      <c r="O2273" s="1" t="s">
        <v>30</v>
      </c>
      <c r="P2273" s="1" t="s">
        <v>31</v>
      </c>
      <c r="Q2273" s="1" t="s">
        <v>32</v>
      </c>
      <c r="R2273" s="1" t="s">
        <v>32</v>
      </c>
      <c r="S2273" s="1" t="s">
        <v>33</v>
      </c>
      <c r="U2273" s="1">
        <v>1.00642238E8</v>
      </c>
      <c r="X2273" s="1" t="s">
        <v>74</v>
      </c>
      <c r="Y2273" s="1" t="s">
        <v>7107</v>
      </c>
      <c r="Z2273" s="1" t="s">
        <v>37</v>
      </c>
    </row>
    <row r="2274">
      <c r="A2274" s="1" t="s">
        <v>7114</v>
      </c>
      <c r="B2274" s="1" t="s">
        <v>3044</v>
      </c>
      <c r="C2274" s="1" t="s">
        <v>7115</v>
      </c>
      <c r="D2274" s="1" t="s">
        <v>122</v>
      </c>
      <c r="E2274" s="1" t="s">
        <v>28</v>
      </c>
      <c r="F2274" s="2">
        <v>500000.0</v>
      </c>
      <c r="G2274" s="1" t="s">
        <v>280</v>
      </c>
      <c r="H2274" s="4">
        <f>IFERROR(__xludf.DUMMYFUNCTION("DATE(INDEX(SPLIT(G2274,""/""),,3),INDEX(SPLIT(G2274,""/""),,2),INDEX(SPLIT(G2274,""/""),,1))"),44613.0)</f>
        <v>44613</v>
      </c>
      <c r="I2274" s="1" t="s">
        <v>1438</v>
      </c>
      <c r="J2274" s="4">
        <f>IFERROR(__xludf.DUMMYFUNCTION("DATE(INDEX(SPLIT(I2274,""/""),,3),INDEX(SPLIT(I2274,""/""),,2),INDEX(SPLIT(I2274,""/""),,1))"),44708.0)</f>
        <v>44708</v>
      </c>
      <c r="L2274" s="1">
        <v>0.0</v>
      </c>
      <c r="M2274" s="1" t="s">
        <v>4316</v>
      </c>
      <c r="N2274" s="1"/>
      <c r="O2274" s="1" t="s">
        <v>30</v>
      </c>
      <c r="P2274" s="1" t="s">
        <v>31</v>
      </c>
      <c r="Q2274" s="1" t="s">
        <v>157</v>
      </c>
      <c r="R2274" s="1" t="s">
        <v>157</v>
      </c>
      <c r="S2274" s="1" t="s">
        <v>158</v>
      </c>
      <c r="U2274" s="1">
        <v>1.00694303E8</v>
      </c>
      <c r="X2274" s="1" t="s">
        <v>63</v>
      </c>
      <c r="Y2274" s="1" t="s">
        <v>7116</v>
      </c>
      <c r="Z2274" s="1" t="s">
        <v>37</v>
      </c>
    </row>
    <row r="2275">
      <c r="A2275" s="1" t="s">
        <v>7117</v>
      </c>
      <c r="B2275" s="1" t="s">
        <v>66</v>
      </c>
      <c r="C2275" s="1" t="s">
        <v>7118</v>
      </c>
      <c r="D2275" s="1" t="s">
        <v>27</v>
      </c>
      <c r="E2275" s="1" t="s">
        <v>28</v>
      </c>
      <c r="F2275" s="2">
        <v>500000.0</v>
      </c>
      <c r="G2275" s="1" t="s">
        <v>624</v>
      </c>
      <c r="H2275" s="4">
        <f>IFERROR(__xludf.DUMMYFUNCTION("DATE(INDEX(SPLIT(G2275,""/""),,3),INDEX(SPLIT(G2275,""/""),,2),INDEX(SPLIT(G2275,""/""),,1))"),44642.0)</f>
        <v>44642</v>
      </c>
      <c r="I2275" s="1" t="s">
        <v>1244</v>
      </c>
      <c r="J2275" s="4">
        <f>IFERROR(__xludf.DUMMYFUNCTION("DATE(INDEX(SPLIT(I2275,""/""),,3),INDEX(SPLIT(I2275,""/""),,2),INDEX(SPLIT(I2275,""/""),,1))"),44742.0)</f>
        <v>44742</v>
      </c>
      <c r="L2275" s="1">
        <v>0.0</v>
      </c>
      <c r="M2275" s="1" t="s">
        <v>70</v>
      </c>
      <c r="N2275" s="1"/>
      <c r="O2275" s="1" t="s">
        <v>30</v>
      </c>
      <c r="P2275" s="1" t="s">
        <v>31</v>
      </c>
      <c r="Q2275" s="1" t="s">
        <v>71</v>
      </c>
      <c r="R2275" s="1" t="s">
        <v>71</v>
      </c>
      <c r="S2275" s="1" t="s">
        <v>72</v>
      </c>
      <c r="T2275" s="1" t="s">
        <v>73</v>
      </c>
      <c r="U2275" s="1">
        <v>1.00640331E8</v>
      </c>
      <c r="X2275" s="1" t="s">
        <v>74</v>
      </c>
      <c r="Y2275" s="1" t="s">
        <v>5719</v>
      </c>
      <c r="Z2275" s="1" t="s">
        <v>37</v>
      </c>
    </row>
    <row r="2276">
      <c r="A2276" s="1" t="s">
        <v>7119</v>
      </c>
      <c r="B2276" s="1" t="s">
        <v>6274</v>
      </c>
      <c r="C2276" s="1" t="s">
        <v>7120</v>
      </c>
      <c r="D2276" s="1" t="s">
        <v>78</v>
      </c>
      <c r="E2276" s="1" t="s">
        <v>28</v>
      </c>
      <c r="F2276" s="2">
        <v>500000.0</v>
      </c>
      <c r="G2276" s="1" t="s">
        <v>2324</v>
      </c>
      <c r="H2276" s="4">
        <f>IFERROR(__xludf.DUMMYFUNCTION("DATE(INDEX(SPLIT(G2276,""/""),,3),INDEX(SPLIT(G2276,""/""),,2),INDEX(SPLIT(G2276,""/""),,1))"),44705.0)</f>
        <v>44705</v>
      </c>
      <c r="I2276" s="1" t="s">
        <v>226</v>
      </c>
      <c r="J2276" s="4">
        <f>IFERROR(__xludf.DUMMYFUNCTION("DATE(INDEX(SPLIT(I2276,""/""),,3),INDEX(SPLIT(I2276,""/""),,2),INDEX(SPLIT(I2276,""/""),,1))"),44771.0)</f>
        <v>44771</v>
      </c>
      <c r="L2276" s="1">
        <v>0.0</v>
      </c>
      <c r="M2276" s="1" t="s">
        <v>3138</v>
      </c>
      <c r="N2276" s="1"/>
      <c r="O2276" s="1" t="s">
        <v>30</v>
      </c>
      <c r="P2276" s="1" t="s">
        <v>31</v>
      </c>
      <c r="Q2276" s="1" t="s">
        <v>157</v>
      </c>
      <c r="R2276" s="1" t="s">
        <v>157</v>
      </c>
      <c r="S2276" s="1" t="s">
        <v>158</v>
      </c>
      <c r="U2276" s="1">
        <v>1.00616377E8</v>
      </c>
      <c r="X2276" s="1" t="s">
        <v>490</v>
      </c>
      <c r="Y2276" s="1" t="s">
        <v>7121</v>
      </c>
      <c r="Z2276" s="1" t="s">
        <v>37</v>
      </c>
    </row>
    <row r="2277" hidden="1">
      <c r="A2277" s="1" t="s">
        <v>7122</v>
      </c>
      <c r="B2277" s="1" t="s">
        <v>7123</v>
      </c>
      <c r="C2277" s="1" t="s">
        <v>7124</v>
      </c>
      <c r="D2277" s="1" t="s">
        <v>78</v>
      </c>
      <c r="E2277" s="1" t="s">
        <v>28</v>
      </c>
      <c r="F2277" s="2">
        <v>500000.0</v>
      </c>
      <c r="G2277" s="1" t="s">
        <v>3972</v>
      </c>
      <c r="H2277" s="4">
        <f>IFERROR(__xludf.DUMMYFUNCTION("DATE(INDEX(SPLIT(G2277,""/""),,3),INDEX(SPLIT(G2277,""/""),,2),INDEX(SPLIT(G2277,""/""),,1))"),44637.0)</f>
        <v>44637</v>
      </c>
      <c r="I2277" s="1" t="s">
        <v>85</v>
      </c>
      <c r="J2277" s="4">
        <f>IFERROR(__xludf.DUMMYFUNCTION("DATE(INDEX(SPLIT(I2277,""/""),,3),INDEX(SPLIT(I2277,""/""),,2),INDEX(SPLIT(I2277,""/""),,1))"),44799.0)</f>
        <v>44799</v>
      </c>
      <c r="L2277" s="1">
        <v>0.0</v>
      </c>
      <c r="M2277" s="1" t="s">
        <v>5500</v>
      </c>
      <c r="N2277" s="1"/>
      <c r="O2277" s="1" t="s">
        <v>30</v>
      </c>
      <c r="P2277" s="1" t="s">
        <v>31</v>
      </c>
      <c r="Q2277" s="1" t="s">
        <v>157</v>
      </c>
      <c r="R2277" s="1" t="s">
        <v>157</v>
      </c>
      <c r="S2277" s="1" t="s">
        <v>158</v>
      </c>
      <c r="U2277" s="1">
        <v>1.00641485E8</v>
      </c>
      <c r="X2277" s="1" t="s">
        <v>254</v>
      </c>
      <c r="Y2277" s="1" t="s">
        <v>5500</v>
      </c>
      <c r="Z2277" s="1" t="s">
        <v>527</v>
      </c>
    </row>
    <row r="2278" hidden="1">
      <c r="A2278" s="1" t="s">
        <v>7125</v>
      </c>
      <c r="B2278" s="1" t="s">
        <v>981</v>
      </c>
      <c r="C2278" s="1" t="s">
        <v>7126</v>
      </c>
      <c r="D2278" s="1" t="s">
        <v>27</v>
      </c>
      <c r="E2278" s="1" t="s">
        <v>28</v>
      </c>
      <c r="F2278" s="2">
        <v>500000.0</v>
      </c>
      <c r="G2278" s="4">
        <v>44717.0</v>
      </c>
      <c r="H2278" s="4">
        <f>IFERROR(__xludf.DUMMYFUNCTION("DATE(INDEX(SPLIT(G2278,""/""),,3),INDEX(SPLIT(G2278,""/""),,2),INDEX(SPLIT(G2278,""/""),,1))"),44687.0)</f>
        <v>44687</v>
      </c>
      <c r="I2278" s="1" t="s">
        <v>109</v>
      </c>
      <c r="J2278" s="4">
        <f>IFERROR(__xludf.DUMMYFUNCTION("DATE(INDEX(SPLIT(I2278,""/""),,3),INDEX(SPLIT(I2278,""/""),,2),INDEX(SPLIT(I2278,""/""),,1))"),44834.0)</f>
        <v>44834</v>
      </c>
      <c r="L2278" s="1">
        <v>0.0</v>
      </c>
      <c r="M2278" s="1" t="s">
        <v>4039</v>
      </c>
      <c r="N2278" s="1"/>
      <c r="O2278" s="1" t="s">
        <v>30</v>
      </c>
      <c r="P2278" s="1" t="s">
        <v>31</v>
      </c>
      <c r="Q2278" s="1" t="s">
        <v>228</v>
      </c>
      <c r="R2278" s="1" t="s">
        <v>228</v>
      </c>
      <c r="S2278" s="1" t="s">
        <v>229</v>
      </c>
      <c r="T2278" s="1" t="s">
        <v>1195</v>
      </c>
      <c r="U2278" s="1">
        <v>1.00662113E8</v>
      </c>
      <c r="X2278" s="1" t="s">
        <v>490</v>
      </c>
      <c r="Y2278" s="1" t="s">
        <v>985</v>
      </c>
      <c r="Z2278" s="1" t="s">
        <v>37</v>
      </c>
    </row>
    <row r="2279" hidden="1">
      <c r="A2279" s="1" t="s">
        <v>7127</v>
      </c>
      <c r="B2279" s="1" t="s">
        <v>2186</v>
      </c>
      <c r="C2279" s="1" t="s">
        <v>7128</v>
      </c>
      <c r="D2279" s="1" t="s">
        <v>122</v>
      </c>
      <c r="E2279" s="1" t="s">
        <v>28</v>
      </c>
      <c r="F2279" s="2">
        <v>500000.0</v>
      </c>
      <c r="G2279" s="1" t="s">
        <v>1806</v>
      </c>
      <c r="H2279" s="4">
        <f>IFERROR(__xludf.DUMMYFUNCTION("DATE(INDEX(SPLIT(G2279,""/""),,3),INDEX(SPLIT(G2279,""/""),,2),INDEX(SPLIT(G2279,""/""),,1))"),44694.0)</f>
        <v>44694</v>
      </c>
      <c r="I2279" s="1" t="s">
        <v>134</v>
      </c>
      <c r="J2279" s="4">
        <f>IFERROR(__xludf.DUMMYFUNCTION("DATE(INDEX(SPLIT(I2279,""/""),,3),INDEX(SPLIT(I2279,""/""),,2),INDEX(SPLIT(I2279,""/""),,1))"),44792.0)</f>
        <v>44792</v>
      </c>
      <c r="L2279" s="1">
        <v>0.0</v>
      </c>
      <c r="M2279" s="1" t="s">
        <v>4418</v>
      </c>
      <c r="N2279" s="1"/>
      <c r="O2279" s="1" t="s">
        <v>30</v>
      </c>
      <c r="P2279" s="1" t="s">
        <v>31</v>
      </c>
      <c r="Q2279" s="1" t="s">
        <v>188</v>
      </c>
      <c r="R2279" s="1" t="s">
        <v>188</v>
      </c>
      <c r="S2279" s="1" t="s">
        <v>189</v>
      </c>
      <c r="U2279" s="1">
        <v>1.0066064E8</v>
      </c>
      <c r="X2279" s="1" t="s">
        <v>190</v>
      </c>
      <c r="Y2279" s="1" t="s">
        <v>5040</v>
      </c>
      <c r="Z2279" s="1" t="s">
        <v>37</v>
      </c>
    </row>
    <row r="2280">
      <c r="A2280" s="1" t="s">
        <v>7129</v>
      </c>
      <c r="B2280" s="1" t="s">
        <v>3532</v>
      </c>
      <c r="C2280" s="1" t="s">
        <v>7130</v>
      </c>
      <c r="D2280" s="1" t="s">
        <v>78</v>
      </c>
      <c r="E2280" s="1" t="s">
        <v>28</v>
      </c>
      <c r="F2280" s="2">
        <v>500000.0</v>
      </c>
      <c r="G2280" s="1" t="s">
        <v>624</v>
      </c>
      <c r="H2280" s="4">
        <f>IFERROR(__xludf.DUMMYFUNCTION("DATE(INDEX(SPLIT(G2280,""/""),,3),INDEX(SPLIT(G2280,""/""),,2),INDEX(SPLIT(G2280,""/""),,1))"),44642.0)</f>
        <v>44642</v>
      </c>
      <c r="I2280" s="1" t="s">
        <v>226</v>
      </c>
      <c r="J2280" s="4">
        <f>IFERROR(__xludf.DUMMYFUNCTION("DATE(INDEX(SPLIT(I2280,""/""),,3),INDEX(SPLIT(I2280,""/""),,2),INDEX(SPLIT(I2280,""/""),,1))"),44771.0)</f>
        <v>44771</v>
      </c>
      <c r="L2280" s="1">
        <v>0.0</v>
      </c>
      <c r="M2280" s="1" t="s">
        <v>891</v>
      </c>
      <c r="N2280" s="1"/>
      <c r="O2280" s="1" t="s">
        <v>30</v>
      </c>
      <c r="P2280" s="1" t="s">
        <v>31</v>
      </c>
      <c r="Q2280" s="1" t="s">
        <v>32</v>
      </c>
      <c r="R2280" s="1" t="s">
        <v>32</v>
      </c>
      <c r="S2280" s="1" t="s">
        <v>33</v>
      </c>
      <c r="U2280" s="1">
        <v>1.00866856E8</v>
      </c>
      <c r="X2280" s="1" t="s">
        <v>63</v>
      </c>
      <c r="Y2280" s="1" t="s">
        <v>3534</v>
      </c>
      <c r="Z2280" s="1" t="s">
        <v>37</v>
      </c>
    </row>
    <row r="2281" hidden="1">
      <c r="A2281" s="1" t="s">
        <v>7131</v>
      </c>
      <c r="B2281" s="1" t="s">
        <v>981</v>
      </c>
      <c r="C2281" s="1" t="s">
        <v>7132</v>
      </c>
      <c r="D2281" s="1" t="s">
        <v>27</v>
      </c>
      <c r="E2281" s="1" t="s">
        <v>28</v>
      </c>
      <c r="F2281" s="2">
        <v>500000.0</v>
      </c>
      <c r="G2281" s="4">
        <v>44717.0</v>
      </c>
      <c r="H2281" s="4">
        <f>IFERROR(__xludf.DUMMYFUNCTION("DATE(INDEX(SPLIT(G2281,""/""),,3),INDEX(SPLIT(G2281,""/""),,2),INDEX(SPLIT(G2281,""/""),,1))"),44687.0)</f>
        <v>44687</v>
      </c>
      <c r="I2281" s="1" t="s">
        <v>171</v>
      </c>
      <c r="J2281" s="4">
        <f>IFERROR(__xludf.DUMMYFUNCTION("DATE(INDEX(SPLIT(I2281,""/""),,3),INDEX(SPLIT(I2281,""/""),,2),INDEX(SPLIT(I2281,""/""),,1))"),45077.0)</f>
        <v>45077</v>
      </c>
      <c r="L2281" s="1">
        <v>0.0</v>
      </c>
      <c r="M2281" s="1" t="s">
        <v>984</v>
      </c>
      <c r="N2281" s="1"/>
      <c r="O2281" s="1" t="s">
        <v>30</v>
      </c>
      <c r="P2281" s="1" t="s">
        <v>31</v>
      </c>
      <c r="Q2281" s="1" t="s">
        <v>157</v>
      </c>
      <c r="R2281" s="1" t="s">
        <v>157</v>
      </c>
      <c r="S2281" s="1" t="s">
        <v>158</v>
      </c>
      <c r="U2281" s="1">
        <v>1.00611358E8</v>
      </c>
      <c r="X2281" s="1" t="s">
        <v>490</v>
      </c>
      <c r="Y2281" s="1" t="s">
        <v>985</v>
      </c>
      <c r="Z2281" s="1" t="s">
        <v>37</v>
      </c>
    </row>
    <row r="2282" hidden="1">
      <c r="A2282" s="1" t="s">
        <v>7133</v>
      </c>
      <c r="B2282" s="1" t="s">
        <v>3902</v>
      </c>
      <c r="C2282" s="1" t="s">
        <v>7134</v>
      </c>
      <c r="D2282" s="1" t="s">
        <v>78</v>
      </c>
      <c r="E2282" s="1" t="s">
        <v>28</v>
      </c>
      <c r="F2282" s="2">
        <v>500000.0</v>
      </c>
      <c r="G2282" s="1" t="s">
        <v>7135</v>
      </c>
      <c r="H2282" s="4">
        <f>IFERROR(__xludf.DUMMYFUNCTION("DATE(INDEX(SPLIT(G2282,""/""),,3),INDEX(SPLIT(G2282,""/""),,2),INDEX(SPLIT(G2282,""/""),,1))"),44422.0)</f>
        <v>44422</v>
      </c>
      <c r="I2282" s="1" t="s">
        <v>3202</v>
      </c>
      <c r="J2282" s="4">
        <f>IFERROR(__xludf.DUMMYFUNCTION("DATE(INDEX(SPLIT(I2282,""/""),,3),INDEX(SPLIT(I2282,""/""),,2),INDEX(SPLIT(I2282,""/""),,1))"),44830.0)</f>
        <v>44830</v>
      </c>
      <c r="L2282" s="1">
        <v>0.0</v>
      </c>
      <c r="M2282" s="1" t="s">
        <v>2764</v>
      </c>
      <c r="N2282" s="1"/>
      <c r="O2282" s="1" t="s">
        <v>30</v>
      </c>
      <c r="P2282" s="1" t="s">
        <v>31</v>
      </c>
      <c r="Q2282" s="1" t="s">
        <v>157</v>
      </c>
      <c r="R2282" s="1" t="s">
        <v>157</v>
      </c>
      <c r="S2282" s="1" t="s">
        <v>158</v>
      </c>
      <c r="T2282" s="1" t="s">
        <v>442</v>
      </c>
      <c r="U2282" s="1">
        <v>1.00639477E8</v>
      </c>
      <c r="X2282" s="1" t="s">
        <v>98</v>
      </c>
      <c r="Y2282" s="1" t="s">
        <v>3904</v>
      </c>
      <c r="Z2282" s="1" t="s">
        <v>37</v>
      </c>
    </row>
    <row r="2283" hidden="1">
      <c r="A2283" s="1" t="s">
        <v>7136</v>
      </c>
      <c r="B2283" s="1" t="s">
        <v>1113</v>
      </c>
      <c r="C2283" s="1" t="s">
        <v>7137</v>
      </c>
      <c r="D2283" s="1" t="s">
        <v>27</v>
      </c>
      <c r="E2283" s="1" t="s">
        <v>28</v>
      </c>
      <c r="F2283" s="2">
        <v>500000.0</v>
      </c>
      <c r="G2283" s="1" t="s">
        <v>1806</v>
      </c>
      <c r="H2283" s="4">
        <f>IFERROR(__xludf.DUMMYFUNCTION("DATE(INDEX(SPLIT(G2283,""/""),,3),INDEX(SPLIT(G2283,""/""),,2),INDEX(SPLIT(G2283,""/""),,1))"),44694.0)</f>
        <v>44694</v>
      </c>
      <c r="I2283" s="1" t="s">
        <v>109</v>
      </c>
      <c r="J2283" s="4">
        <f>IFERROR(__xludf.DUMMYFUNCTION("DATE(INDEX(SPLIT(I2283,""/""),,3),INDEX(SPLIT(I2283,""/""),,2),INDEX(SPLIT(I2283,""/""),,1))"),44834.0)</f>
        <v>44834</v>
      </c>
      <c r="L2283" s="1">
        <v>0.0</v>
      </c>
      <c r="M2283" s="1" t="s">
        <v>1019</v>
      </c>
      <c r="N2283" s="1"/>
      <c r="O2283" s="1" t="s">
        <v>30</v>
      </c>
      <c r="P2283" s="1" t="s">
        <v>31</v>
      </c>
      <c r="Q2283" s="1" t="s">
        <v>95</v>
      </c>
      <c r="R2283" s="1" t="s">
        <v>95</v>
      </c>
      <c r="S2283" s="1" t="s">
        <v>96</v>
      </c>
      <c r="T2283" s="1" t="s">
        <v>489</v>
      </c>
      <c r="U2283" s="1">
        <v>1.00607644E8</v>
      </c>
      <c r="X2283" s="1" t="s">
        <v>490</v>
      </c>
      <c r="Y2283" s="1" t="s">
        <v>1019</v>
      </c>
      <c r="Z2283" s="1" t="s">
        <v>37</v>
      </c>
    </row>
    <row r="2284" hidden="1">
      <c r="A2284" s="1" t="s">
        <v>7138</v>
      </c>
      <c r="B2284" s="1" t="s">
        <v>784</v>
      </c>
      <c r="C2284" s="1" t="s">
        <v>7139</v>
      </c>
      <c r="D2284" s="1" t="s">
        <v>27</v>
      </c>
      <c r="E2284" s="1" t="s">
        <v>28</v>
      </c>
      <c r="F2284" s="2">
        <v>500000.0</v>
      </c>
      <c r="G2284" s="1" t="s">
        <v>50</v>
      </c>
      <c r="H2284" s="4">
        <f>IFERROR(__xludf.DUMMYFUNCTION("DATE(INDEX(SPLIT(G2284,""/""),,3),INDEX(SPLIT(G2284,""/""),,2),INDEX(SPLIT(G2284,""/""),,1))"),44547.0)</f>
        <v>44547</v>
      </c>
      <c r="I2284" s="1" t="s">
        <v>42</v>
      </c>
      <c r="J2284" s="4">
        <f>IFERROR(__xludf.DUMMYFUNCTION("DATE(INDEX(SPLIT(I2284,""/""),,3),INDEX(SPLIT(I2284,""/""),,2),INDEX(SPLIT(I2284,""/""),,1))"),44926.0)</f>
        <v>44926</v>
      </c>
      <c r="L2284" s="1">
        <v>0.0</v>
      </c>
      <c r="M2284" s="1" t="s">
        <v>1770</v>
      </c>
      <c r="N2284" s="1"/>
      <c r="O2284" s="1" t="s">
        <v>30</v>
      </c>
      <c r="P2284" s="1" t="s">
        <v>31</v>
      </c>
      <c r="Q2284" s="1" t="s">
        <v>95</v>
      </c>
      <c r="R2284" s="1" t="s">
        <v>95</v>
      </c>
      <c r="S2284" s="1" t="s">
        <v>96</v>
      </c>
      <c r="T2284" s="1" t="s">
        <v>111</v>
      </c>
      <c r="U2284" s="1">
        <v>1.00639641E8</v>
      </c>
      <c r="X2284" s="1" t="s">
        <v>63</v>
      </c>
      <c r="Y2284" s="1" t="s">
        <v>1770</v>
      </c>
      <c r="Z2284" s="1" t="s">
        <v>527</v>
      </c>
    </row>
    <row r="2285" hidden="1">
      <c r="A2285" s="1" t="s">
        <v>7140</v>
      </c>
      <c r="B2285" s="1" t="s">
        <v>5398</v>
      </c>
      <c r="C2285" s="1" t="s">
        <v>7141</v>
      </c>
      <c r="D2285" s="1" t="s">
        <v>122</v>
      </c>
      <c r="E2285" s="1" t="s">
        <v>28</v>
      </c>
      <c r="F2285" s="2">
        <v>500000.0</v>
      </c>
      <c r="G2285" s="1" t="s">
        <v>6942</v>
      </c>
      <c r="H2285" s="4">
        <f>IFERROR(__xludf.DUMMYFUNCTION("DATE(INDEX(SPLIT(G2285,""/""),,3),INDEX(SPLIT(G2285,""/""),,2),INDEX(SPLIT(G2285,""/""),,1))"),44492.0)</f>
        <v>44492</v>
      </c>
      <c r="I2285" s="1" t="s">
        <v>130</v>
      </c>
      <c r="J2285" s="4">
        <f>IFERROR(__xludf.DUMMYFUNCTION("DATE(INDEX(SPLIT(I2285,""/""),,3),INDEX(SPLIT(I2285,""/""),,2),INDEX(SPLIT(I2285,""/""),,1))"),44804.0)</f>
        <v>44804</v>
      </c>
      <c r="L2285" s="1">
        <v>0.0</v>
      </c>
      <c r="M2285" s="1" t="s">
        <v>2892</v>
      </c>
      <c r="N2285" s="1"/>
      <c r="O2285" s="1" t="s">
        <v>30</v>
      </c>
      <c r="P2285" s="1" t="s">
        <v>31</v>
      </c>
      <c r="Q2285" s="1" t="s">
        <v>188</v>
      </c>
      <c r="R2285" s="1" t="s">
        <v>188</v>
      </c>
      <c r="S2285" s="1" t="s">
        <v>189</v>
      </c>
      <c r="T2285" s="1" t="s">
        <v>2893</v>
      </c>
      <c r="U2285" s="1">
        <v>1.0059132E8</v>
      </c>
      <c r="X2285" s="1" t="s">
        <v>74</v>
      </c>
      <c r="Y2285" s="1" t="s">
        <v>2892</v>
      </c>
      <c r="Z2285" s="1" t="s">
        <v>37</v>
      </c>
    </row>
    <row r="2286" hidden="1">
      <c r="A2286" s="1" t="s">
        <v>7142</v>
      </c>
      <c r="B2286" s="1" t="s">
        <v>7143</v>
      </c>
      <c r="C2286" s="1" t="s">
        <v>7144</v>
      </c>
      <c r="D2286" s="1" t="s">
        <v>27</v>
      </c>
      <c r="E2286" s="1" t="s">
        <v>28</v>
      </c>
      <c r="F2286" s="2">
        <v>500000.0</v>
      </c>
      <c r="G2286" s="1" t="s">
        <v>7145</v>
      </c>
      <c r="H2286" s="4">
        <f>IFERROR(__xludf.DUMMYFUNCTION("DATE(INDEX(SPLIT(G2286,""/""),,3),INDEX(SPLIT(G2286,""/""),,2),INDEX(SPLIT(G2286,""/""),,1))"),43795.0)</f>
        <v>43795</v>
      </c>
      <c r="I2286" s="1" t="s">
        <v>42</v>
      </c>
      <c r="J2286" s="4">
        <f>IFERROR(__xludf.DUMMYFUNCTION("DATE(INDEX(SPLIT(I2286,""/""),,3),INDEX(SPLIT(I2286,""/""),,2),INDEX(SPLIT(I2286,""/""),,1))"),44926.0)</f>
        <v>44926</v>
      </c>
      <c r="L2286" s="1">
        <v>0.0</v>
      </c>
      <c r="M2286" s="1" t="s">
        <v>2696</v>
      </c>
      <c r="N2286" s="1"/>
      <c r="O2286" s="1" t="s">
        <v>30</v>
      </c>
      <c r="P2286" s="1" t="s">
        <v>31</v>
      </c>
      <c r="Q2286" s="1" t="s">
        <v>157</v>
      </c>
      <c r="R2286" s="1" t="s">
        <v>157</v>
      </c>
      <c r="S2286" s="1" t="s">
        <v>158</v>
      </c>
      <c r="T2286" s="1" t="s">
        <v>402</v>
      </c>
      <c r="U2286" s="1">
        <v>1.00611351E8</v>
      </c>
      <c r="X2286" s="1" t="s">
        <v>781</v>
      </c>
      <c r="Y2286" s="1" t="s">
        <v>3016</v>
      </c>
      <c r="Z2286" s="1" t="s">
        <v>37</v>
      </c>
    </row>
    <row r="2287" hidden="1">
      <c r="A2287" s="1" t="s">
        <v>7146</v>
      </c>
      <c r="B2287" s="1" t="s">
        <v>605</v>
      </c>
      <c r="C2287" s="1" t="s">
        <v>7147</v>
      </c>
      <c r="D2287" s="1" t="s">
        <v>78</v>
      </c>
      <c r="E2287" s="1" t="s">
        <v>28</v>
      </c>
      <c r="F2287" s="2">
        <v>500000.0</v>
      </c>
      <c r="G2287" s="1" t="s">
        <v>225</v>
      </c>
      <c r="H2287" s="4">
        <f>IFERROR(__xludf.DUMMYFUNCTION("DATE(INDEX(SPLIT(G2287,""/""),,3),INDEX(SPLIT(G2287,""/""),,2),INDEX(SPLIT(G2287,""/""),,1))"),44518.0)</f>
        <v>44518</v>
      </c>
      <c r="I2287" s="1" t="s">
        <v>109</v>
      </c>
      <c r="J2287" s="4">
        <f>IFERROR(__xludf.DUMMYFUNCTION("DATE(INDEX(SPLIT(I2287,""/""),,3),INDEX(SPLIT(I2287,""/""),,2),INDEX(SPLIT(I2287,""/""),,1))"),44834.0)</f>
        <v>44834</v>
      </c>
      <c r="L2287" s="1">
        <v>0.0</v>
      </c>
      <c r="M2287" s="1" t="s">
        <v>7148</v>
      </c>
      <c r="N2287" s="1"/>
      <c r="O2287" s="1" t="s">
        <v>30</v>
      </c>
      <c r="P2287" s="1" t="s">
        <v>31</v>
      </c>
      <c r="Q2287" s="1" t="s">
        <v>95</v>
      </c>
      <c r="R2287" s="1" t="s">
        <v>95</v>
      </c>
      <c r="S2287" s="1" t="s">
        <v>96</v>
      </c>
      <c r="U2287" s="1">
        <v>1.0061246E8</v>
      </c>
      <c r="X2287" s="1" t="s">
        <v>63</v>
      </c>
      <c r="Y2287" s="1" t="s">
        <v>7148</v>
      </c>
      <c r="Z2287" s="1" t="s">
        <v>527</v>
      </c>
    </row>
    <row r="2288">
      <c r="A2288" s="1" t="s">
        <v>7149</v>
      </c>
      <c r="B2288" s="1" t="s">
        <v>516</v>
      </c>
      <c r="C2288" s="1" t="s">
        <v>7150</v>
      </c>
      <c r="D2288" s="1" t="s">
        <v>78</v>
      </c>
      <c r="E2288" s="1" t="s">
        <v>28</v>
      </c>
      <c r="F2288" s="2">
        <v>500000.0</v>
      </c>
      <c r="G2288" s="4">
        <v>44717.0</v>
      </c>
      <c r="H2288" s="4">
        <f>IFERROR(__xludf.DUMMYFUNCTION("DATE(INDEX(SPLIT(G2288,""/""),,3),INDEX(SPLIT(G2288,""/""),,2),INDEX(SPLIT(G2288,""/""),,1))"),44687.0)</f>
        <v>44687</v>
      </c>
      <c r="I2288" s="1" t="s">
        <v>226</v>
      </c>
      <c r="J2288" s="4">
        <f>IFERROR(__xludf.DUMMYFUNCTION("DATE(INDEX(SPLIT(I2288,""/""),,3),INDEX(SPLIT(I2288,""/""),,2),INDEX(SPLIT(I2288,""/""),,1))"),44771.0)</f>
        <v>44771</v>
      </c>
      <c r="L2288" s="1">
        <v>0.0</v>
      </c>
      <c r="M2288" s="1" t="s">
        <v>1723</v>
      </c>
      <c r="N2288" s="1"/>
      <c r="O2288" s="1" t="s">
        <v>30</v>
      </c>
      <c r="P2288" s="1" t="s">
        <v>31</v>
      </c>
      <c r="Q2288" s="1" t="s">
        <v>157</v>
      </c>
      <c r="R2288" s="1" t="s">
        <v>157</v>
      </c>
      <c r="S2288" s="1" t="s">
        <v>158</v>
      </c>
      <c r="U2288" s="1">
        <v>1.00654085E8</v>
      </c>
      <c r="W2288" s="1" t="s">
        <v>389</v>
      </c>
      <c r="X2288" s="1" t="s">
        <v>74</v>
      </c>
      <c r="Y2288" s="1" t="s">
        <v>1723</v>
      </c>
      <c r="Z2288" s="1" t="s">
        <v>37</v>
      </c>
    </row>
    <row r="2289" hidden="1">
      <c r="A2289" s="1" t="s">
        <v>7151</v>
      </c>
      <c r="B2289" s="1" t="s">
        <v>4364</v>
      </c>
      <c r="C2289" s="1" t="s">
        <v>7152</v>
      </c>
      <c r="D2289" s="1" t="s">
        <v>27</v>
      </c>
      <c r="E2289" s="1" t="s">
        <v>28</v>
      </c>
      <c r="F2289" s="2">
        <v>500000.0</v>
      </c>
      <c r="G2289" s="1" t="s">
        <v>394</v>
      </c>
      <c r="H2289" s="4">
        <f>IFERROR(__xludf.DUMMYFUNCTION("DATE(INDEX(SPLIT(G2289,""/""),,3),INDEX(SPLIT(G2289,""/""),,2),INDEX(SPLIT(G2289,""/""),,1))"),44677.0)</f>
        <v>44677</v>
      </c>
      <c r="I2289" s="1" t="s">
        <v>42</v>
      </c>
      <c r="J2289" s="4">
        <f>IFERROR(__xludf.DUMMYFUNCTION("DATE(INDEX(SPLIT(I2289,""/""),,3),INDEX(SPLIT(I2289,""/""),,2),INDEX(SPLIT(I2289,""/""),,1))"),44926.0)</f>
        <v>44926</v>
      </c>
      <c r="L2289" s="1">
        <v>0.0</v>
      </c>
      <c r="M2289" s="1" t="s">
        <v>780</v>
      </c>
      <c r="N2289" s="1"/>
      <c r="O2289" s="1" t="s">
        <v>30</v>
      </c>
      <c r="P2289" s="1" t="s">
        <v>31</v>
      </c>
      <c r="Q2289" s="1" t="s">
        <v>157</v>
      </c>
      <c r="R2289" s="1" t="s">
        <v>157</v>
      </c>
      <c r="S2289" s="1" t="s">
        <v>158</v>
      </c>
      <c r="T2289" s="1" t="s">
        <v>442</v>
      </c>
      <c r="U2289" s="1">
        <v>1.00654914E8</v>
      </c>
      <c r="X2289" s="1" t="s">
        <v>125</v>
      </c>
      <c r="Y2289" s="1" t="s">
        <v>3520</v>
      </c>
      <c r="Z2289" s="1" t="s">
        <v>37</v>
      </c>
    </row>
    <row r="2290" hidden="1">
      <c r="A2290" s="1" t="s">
        <v>7153</v>
      </c>
      <c r="B2290" s="1" t="s">
        <v>416</v>
      </c>
      <c r="C2290" s="1" t="s">
        <v>7154</v>
      </c>
      <c r="D2290" s="1" t="s">
        <v>27</v>
      </c>
      <c r="E2290" s="1" t="s">
        <v>28</v>
      </c>
      <c r="F2290" s="2">
        <v>500000.0</v>
      </c>
      <c r="G2290" s="4">
        <v>44717.0</v>
      </c>
      <c r="H2290" s="4">
        <f>IFERROR(__xludf.DUMMYFUNCTION("DATE(INDEX(SPLIT(G2290,""/""),,3),INDEX(SPLIT(G2290,""/""),,2),INDEX(SPLIT(G2290,""/""),,1))"),44687.0)</f>
        <v>44687</v>
      </c>
      <c r="I2290" s="1" t="s">
        <v>165</v>
      </c>
      <c r="J2290" s="4">
        <f>IFERROR(__xludf.DUMMYFUNCTION("DATE(INDEX(SPLIT(I2290,""/""),,3),INDEX(SPLIT(I2290,""/""),,2),INDEX(SPLIT(I2290,""/""),,1))"),44803.0)</f>
        <v>44803</v>
      </c>
      <c r="L2290" s="1">
        <v>0.0</v>
      </c>
      <c r="M2290" s="1" t="s">
        <v>7155</v>
      </c>
      <c r="N2290" s="1"/>
      <c r="O2290" s="1" t="s">
        <v>30</v>
      </c>
      <c r="P2290" s="1" t="s">
        <v>31</v>
      </c>
      <c r="Q2290" s="1" t="s">
        <v>71</v>
      </c>
      <c r="R2290" s="1" t="s">
        <v>71</v>
      </c>
      <c r="S2290" s="1" t="s">
        <v>72</v>
      </c>
      <c r="T2290" s="1" t="s">
        <v>136</v>
      </c>
      <c r="U2290" s="1">
        <v>1.00609525E8</v>
      </c>
      <c r="X2290" s="1" t="s">
        <v>74</v>
      </c>
      <c r="Y2290" s="1" t="s">
        <v>3197</v>
      </c>
      <c r="Z2290" s="1" t="s">
        <v>37</v>
      </c>
    </row>
    <row r="2291" hidden="1">
      <c r="A2291" s="1" t="s">
        <v>7156</v>
      </c>
      <c r="B2291" s="1" t="s">
        <v>7157</v>
      </c>
      <c r="C2291" s="1" t="s">
        <v>7158</v>
      </c>
      <c r="D2291" s="1" t="s">
        <v>78</v>
      </c>
      <c r="E2291" s="1" t="s">
        <v>28</v>
      </c>
      <c r="F2291" s="2">
        <v>500000.0</v>
      </c>
      <c r="G2291" s="4">
        <v>44568.0</v>
      </c>
      <c r="H2291" s="4">
        <f>IFERROR(__xludf.DUMMYFUNCTION("DATE(INDEX(SPLIT(G2291,""/""),,3),INDEX(SPLIT(G2291,""/""),,2),INDEX(SPLIT(G2291,""/""),,1))"),44743.0)</f>
        <v>44743</v>
      </c>
      <c r="I2291" s="4">
        <v>44601.0</v>
      </c>
      <c r="J2291" s="4">
        <f>IFERROR(__xludf.DUMMYFUNCTION("DATE(INDEX(SPLIT(I2291,""/""),,3),INDEX(SPLIT(I2291,""/""),,2),INDEX(SPLIT(I2291,""/""),,1))"),44806.0)</f>
        <v>44806</v>
      </c>
      <c r="L2291" s="1">
        <v>0.0</v>
      </c>
      <c r="M2291" s="1" t="s">
        <v>4639</v>
      </c>
      <c r="N2291" s="1"/>
      <c r="O2291" s="1" t="s">
        <v>30</v>
      </c>
      <c r="P2291" s="1" t="s">
        <v>31</v>
      </c>
      <c r="Q2291" s="1" t="s">
        <v>53</v>
      </c>
      <c r="R2291" s="1" t="s">
        <v>53</v>
      </c>
      <c r="S2291" s="1" t="s">
        <v>54</v>
      </c>
      <c r="U2291" s="1">
        <v>1.00660049E8</v>
      </c>
      <c r="Y2291" s="1" t="s">
        <v>7159</v>
      </c>
      <c r="Z2291" s="1" t="s">
        <v>37</v>
      </c>
    </row>
    <row r="2292">
      <c r="A2292" s="1" t="s">
        <v>7160</v>
      </c>
      <c r="B2292" s="1" t="s">
        <v>7161</v>
      </c>
      <c r="C2292" s="1" t="s">
        <v>7162</v>
      </c>
      <c r="D2292" s="1" t="s">
        <v>27</v>
      </c>
      <c r="E2292" s="1" t="s">
        <v>28</v>
      </c>
      <c r="F2292" s="2">
        <v>500000.0</v>
      </c>
      <c r="G2292" s="4">
        <v>44896.0</v>
      </c>
      <c r="H2292" s="4">
        <f>IFERROR(__xludf.DUMMYFUNCTION("DATE(INDEX(SPLIT(G2292,""/""),,3),INDEX(SPLIT(G2292,""/""),,2),INDEX(SPLIT(G2292,""/""),,1))"),44573.0)</f>
        <v>44573</v>
      </c>
      <c r="I2292" s="1" t="s">
        <v>69</v>
      </c>
      <c r="J2292" s="4">
        <f>IFERROR(__xludf.DUMMYFUNCTION("DATE(INDEX(SPLIT(I2292,""/""),,3),INDEX(SPLIT(I2292,""/""),,2),INDEX(SPLIT(I2292,""/""),,1))"),44773.0)</f>
        <v>44773</v>
      </c>
      <c r="L2292" s="1">
        <v>0.0</v>
      </c>
      <c r="M2292" s="1" t="s">
        <v>2107</v>
      </c>
      <c r="N2292" s="1"/>
      <c r="O2292" s="1" t="s">
        <v>30</v>
      </c>
      <c r="P2292" s="1" t="s">
        <v>31</v>
      </c>
      <c r="Q2292" s="1" t="s">
        <v>71</v>
      </c>
      <c r="R2292" s="1" t="s">
        <v>71</v>
      </c>
      <c r="S2292" s="1" t="s">
        <v>72</v>
      </c>
      <c r="T2292" s="1" t="s">
        <v>73</v>
      </c>
      <c r="U2292" s="1">
        <v>1.0061233E8</v>
      </c>
      <c r="X2292" s="1" t="s">
        <v>74</v>
      </c>
      <c r="Y2292" s="1" t="s">
        <v>2107</v>
      </c>
      <c r="Z2292" s="1" t="s">
        <v>37</v>
      </c>
    </row>
    <row r="2293">
      <c r="A2293" s="1" t="s">
        <v>7163</v>
      </c>
      <c r="B2293" s="1" t="s">
        <v>2895</v>
      </c>
      <c r="C2293" s="1" t="s">
        <v>7164</v>
      </c>
      <c r="D2293" s="1" t="s">
        <v>27</v>
      </c>
      <c r="E2293" s="1" t="s">
        <v>28</v>
      </c>
      <c r="F2293" s="2">
        <v>500000.0</v>
      </c>
      <c r="G2293" s="4">
        <v>44480.0</v>
      </c>
      <c r="H2293" s="4">
        <f>IFERROR(__xludf.DUMMYFUNCTION("DATE(INDEX(SPLIT(G2293,""/""),,3),INDEX(SPLIT(G2293,""/""),,2),INDEX(SPLIT(G2293,""/""),,1))"),44510.0)</f>
        <v>44510</v>
      </c>
      <c r="I2293" s="1" t="s">
        <v>1244</v>
      </c>
      <c r="J2293" s="4">
        <f>IFERROR(__xludf.DUMMYFUNCTION("DATE(INDEX(SPLIT(I2293,""/""),,3),INDEX(SPLIT(I2293,""/""),,2),INDEX(SPLIT(I2293,""/""),,1))"),44742.0)</f>
        <v>44742</v>
      </c>
      <c r="L2293" s="1">
        <v>0.0</v>
      </c>
      <c r="M2293" s="1" t="s">
        <v>1040</v>
      </c>
      <c r="N2293" s="1"/>
      <c r="O2293" s="1" t="s">
        <v>30</v>
      </c>
      <c r="P2293" s="1" t="s">
        <v>31</v>
      </c>
      <c r="Q2293" s="1" t="s">
        <v>71</v>
      </c>
      <c r="R2293" s="1" t="s">
        <v>71</v>
      </c>
      <c r="S2293" s="1" t="s">
        <v>72</v>
      </c>
      <c r="T2293" s="1" t="s">
        <v>1427</v>
      </c>
      <c r="U2293" s="1">
        <v>1.00619899E8</v>
      </c>
      <c r="X2293" s="1" t="s">
        <v>74</v>
      </c>
      <c r="Y2293" s="1" t="s">
        <v>2897</v>
      </c>
      <c r="Z2293" s="1" t="s">
        <v>37</v>
      </c>
    </row>
    <row r="2294" hidden="1">
      <c r="A2294" s="1" t="s">
        <v>7165</v>
      </c>
      <c r="B2294" s="1" t="s">
        <v>3532</v>
      </c>
      <c r="C2294" s="1" t="s">
        <v>7166</v>
      </c>
      <c r="D2294" s="1" t="s">
        <v>78</v>
      </c>
      <c r="E2294" s="1" t="s">
        <v>28</v>
      </c>
      <c r="F2294" s="2">
        <v>500000.0</v>
      </c>
      <c r="G2294" s="1" t="s">
        <v>271</v>
      </c>
      <c r="H2294" s="4">
        <f>IFERROR(__xludf.DUMMYFUNCTION("DATE(INDEX(SPLIT(G2294,""/""),,3),INDEX(SPLIT(G2294,""/""),,2),INDEX(SPLIT(G2294,""/""),,1))"),44680.0)</f>
        <v>44680</v>
      </c>
      <c r="I2294" s="4">
        <v>44601.0</v>
      </c>
      <c r="J2294" s="4">
        <f>IFERROR(__xludf.DUMMYFUNCTION("DATE(INDEX(SPLIT(I2294,""/""),,3),INDEX(SPLIT(I2294,""/""),,2),INDEX(SPLIT(I2294,""/""),,1))"),44806.0)</f>
        <v>44806</v>
      </c>
      <c r="L2294" s="1">
        <v>0.0</v>
      </c>
      <c r="M2294" s="1" t="s">
        <v>4530</v>
      </c>
      <c r="N2294" s="1"/>
      <c r="O2294" s="1" t="s">
        <v>30</v>
      </c>
      <c r="P2294" s="1" t="s">
        <v>31</v>
      </c>
      <c r="Q2294" s="1" t="s">
        <v>157</v>
      </c>
      <c r="R2294" s="1" t="s">
        <v>157</v>
      </c>
      <c r="S2294" s="1" t="s">
        <v>158</v>
      </c>
      <c r="U2294" s="1">
        <v>1.00659846E8</v>
      </c>
      <c r="X2294" s="1" t="s">
        <v>63</v>
      </c>
      <c r="Y2294" s="1" t="s">
        <v>4530</v>
      </c>
      <c r="Z2294" s="1" t="s">
        <v>37</v>
      </c>
    </row>
    <row r="2295" hidden="1">
      <c r="A2295" s="1" t="s">
        <v>7167</v>
      </c>
      <c r="B2295" s="1" t="s">
        <v>450</v>
      </c>
      <c r="C2295" s="1" t="s">
        <v>7168</v>
      </c>
      <c r="D2295" s="1" t="s">
        <v>27</v>
      </c>
      <c r="E2295" s="1" t="s">
        <v>28</v>
      </c>
      <c r="F2295" s="2">
        <v>500000.0</v>
      </c>
      <c r="G2295" s="1" t="s">
        <v>7169</v>
      </c>
      <c r="H2295" s="4">
        <f>IFERROR(__xludf.DUMMYFUNCTION("DATE(INDEX(SPLIT(G2295,""/""),,3),INDEX(SPLIT(G2295,""/""),,2),INDEX(SPLIT(G2295,""/""),,1))"),43998.0)</f>
        <v>43998</v>
      </c>
      <c r="I2295" s="1" t="s">
        <v>1097</v>
      </c>
      <c r="J2295" s="4">
        <f>IFERROR(__xludf.DUMMYFUNCTION("DATE(INDEX(SPLIT(I2295,""/""),,3),INDEX(SPLIT(I2295,""/""),,2),INDEX(SPLIT(I2295,""/""),,1))"),45107.0)</f>
        <v>45107</v>
      </c>
      <c r="L2295" s="1">
        <v>0.0</v>
      </c>
      <c r="M2295" s="1" t="s">
        <v>2592</v>
      </c>
      <c r="N2295" s="1"/>
      <c r="O2295" s="1" t="s">
        <v>30</v>
      </c>
      <c r="P2295" s="1" t="s">
        <v>31</v>
      </c>
      <c r="Q2295" s="1" t="s">
        <v>71</v>
      </c>
      <c r="R2295" s="1" t="s">
        <v>71</v>
      </c>
      <c r="S2295" s="1" t="s">
        <v>72</v>
      </c>
      <c r="T2295" s="1" t="s">
        <v>136</v>
      </c>
      <c r="U2295" s="1">
        <v>1.00586452E8</v>
      </c>
      <c r="X2295" s="1" t="s">
        <v>74</v>
      </c>
      <c r="Y2295" s="1" t="s">
        <v>5737</v>
      </c>
      <c r="Z2295" s="1" t="s">
        <v>37</v>
      </c>
    </row>
    <row r="2296">
      <c r="A2296" s="1" t="s">
        <v>7170</v>
      </c>
      <c r="B2296" s="1" t="s">
        <v>39</v>
      </c>
      <c r="C2296" s="1" t="s">
        <v>7171</v>
      </c>
      <c r="D2296" s="1" t="s">
        <v>27</v>
      </c>
      <c r="E2296" s="1" t="s">
        <v>28</v>
      </c>
      <c r="F2296" s="2">
        <v>500000.0</v>
      </c>
      <c r="G2296" s="1" t="s">
        <v>2496</v>
      </c>
      <c r="H2296" s="4">
        <f>IFERROR(__xludf.DUMMYFUNCTION("DATE(INDEX(SPLIT(G2296,""/""),,3),INDEX(SPLIT(G2296,""/""),,2),INDEX(SPLIT(G2296,""/""),,1))"),44240.0)</f>
        <v>44240</v>
      </c>
      <c r="I2296" s="1" t="s">
        <v>1244</v>
      </c>
      <c r="J2296" s="4">
        <f>IFERROR(__xludf.DUMMYFUNCTION("DATE(INDEX(SPLIT(I2296,""/""),,3),INDEX(SPLIT(I2296,""/""),,2),INDEX(SPLIT(I2296,""/""),,1))"),44742.0)</f>
        <v>44742</v>
      </c>
      <c r="L2296" s="1">
        <v>0.0</v>
      </c>
      <c r="M2296" s="1" t="s">
        <v>43</v>
      </c>
      <c r="N2296" s="1"/>
      <c r="O2296" s="1" t="s">
        <v>30</v>
      </c>
      <c r="P2296" s="1" t="s">
        <v>31</v>
      </c>
      <c r="Q2296" s="1" t="s">
        <v>32</v>
      </c>
      <c r="R2296" s="1" t="s">
        <v>32</v>
      </c>
      <c r="S2296" s="1" t="s">
        <v>33</v>
      </c>
      <c r="T2296" s="1" t="s">
        <v>103</v>
      </c>
      <c r="U2296" s="1">
        <v>1.00587944E8</v>
      </c>
      <c r="X2296" s="1" t="s">
        <v>46</v>
      </c>
      <c r="Y2296" s="1" t="s">
        <v>104</v>
      </c>
      <c r="Z2296" s="1" t="s">
        <v>37</v>
      </c>
    </row>
    <row r="2297" hidden="1">
      <c r="A2297" s="1" t="s">
        <v>7172</v>
      </c>
      <c r="B2297" s="1" t="s">
        <v>3591</v>
      </c>
      <c r="C2297" s="1" t="s">
        <v>7173</v>
      </c>
      <c r="D2297" s="1" t="s">
        <v>78</v>
      </c>
      <c r="E2297" s="1" t="s">
        <v>28</v>
      </c>
      <c r="F2297" s="2">
        <v>500000.0</v>
      </c>
      <c r="G2297" s="4">
        <v>44899.0</v>
      </c>
      <c r="H2297" s="4">
        <f>IFERROR(__xludf.DUMMYFUNCTION("DATE(INDEX(SPLIT(G2297,""/""),,3),INDEX(SPLIT(G2297,""/""),,2),INDEX(SPLIT(G2297,""/""),,1))"),44663.0)</f>
        <v>44663</v>
      </c>
      <c r="I2297" s="1" t="s">
        <v>130</v>
      </c>
      <c r="J2297" s="4">
        <f>IFERROR(__xludf.DUMMYFUNCTION("DATE(INDEX(SPLIT(I2297,""/""),,3),INDEX(SPLIT(I2297,""/""),,2),INDEX(SPLIT(I2297,""/""),,1))"),44804.0)</f>
        <v>44804</v>
      </c>
      <c r="L2297" s="1">
        <v>0.0</v>
      </c>
      <c r="M2297" s="1" t="s">
        <v>936</v>
      </c>
      <c r="N2297" s="1"/>
      <c r="O2297" s="1" t="s">
        <v>30</v>
      </c>
      <c r="P2297" s="1" t="s">
        <v>31</v>
      </c>
      <c r="Q2297" s="1" t="s">
        <v>71</v>
      </c>
      <c r="R2297" s="1" t="s">
        <v>71</v>
      </c>
      <c r="S2297" s="1" t="s">
        <v>72</v>
      </c>
      <c r="T2297" s="1" t="s">
        <v>73</v>
      </c>
      <c r="U2297" s="1">
        <v>1.00941744E8</v>
      </c>
      <c r="X2297" s="1" t="s">
        <v>74</v>
      </c>
      <c r="Y2297" s="1" t="s">
        <v>936</v>
      </c>
      <c r="Z2297" s="1" t="s">
        <v>37</v>
      </c>
    </row>
    <row r="2298" hidden="1">
      <c r="A2298" s="1" t="s">
        <v>7174</v>
      </c>
      <c r="B2298" s="1" t="s">
        <v>720</v>
      </c>
      <c r="C2298" s="1" t="s">
        <v>7175</v>
      </c>
      <c r="D2298" s="1" t="s">
        <v>27</v>
      </c>
      <c r="E2298" s="1" t="s">
        <v>28</v>
      </c>
      <c r="F2298" s="2">
        <v>500000.0</v>
      </c>
      <c r="G2298" s="1" t="s">
        <v>1170</v>
      </c>
      <c r="H2298" s="4">
        <f>IFERROR(__xludf.DUMMYFUNCTION("DATE(INDEX(SPLIT(G2298,""/""),,3),INDEX(SPLIT(G2298,""/""),,2),INDEX(SPLIT(G2298,""/""),,1))"),44336.0)</f>
        <v>44336</v>
      </c>
      <c r="I2298" s="1" t="s">
        <v>281</v>
      </c>
      <c r="J2298" s="4">
        <f>IFERROR(__xludf.DUMMYFUNCTION("DATE(INDEX(SPLIT(I2298,""/""),,3),INDEX(SPLIT(I2298,""/""),,2),INDEX(SPLIT(I2298,""/""),,1))"),44865.0)</f>
        <v>44865</v>
      </c>
      <c r="L2298" s="1">
        <v>0.0</v>
      </c>
      <c r="M2298" s="1" t="s">
        <v>594</v>
      </c>
      <c r="N2298" s="1"/>
      <c r="O2298" s="1" t="s">
        <v>30</v>
      </c>
      <c r="P2298" s="1" t="s">
        <v>31</v>
      </c>
      <c r="Q2298" s="1" t="s">
        <v>95</v>
      </c>
      <c r="R2298" s="1" t="s">
        <v>95</v>
      </c>
      <c r="S2298" s="1" t="s">
        <v>96</v>
      </c>
      <c r="T2298" s="1" t="s">
        <v>217</v>
      </c>
      <c r="U2298" s="1">
        <v>1.005886E8</v>
      </c>
      <c r="X2298" s="1" t="s">
        <v>35</v>
      </c>
      <c r="Y2298" s="1" t="s">
        <v>594</v>
      </c>
      <c r="Z2298" s="1" t="s">
        <v>37</v>
      </c>
    </row>
    <row r="2299" hidden="1">
      <c r="A2299" s="1" t="s">
        <v>7176</v>
      </c>
      <c r="B2299" s="1" t="s">
        <v>450</v>
      </c>
      <c r="C2299" s="1" t="s">
        <v>7177</v>
      </c>
      <c r="D2299" s="1" t="s">
        <v>27</v>
      </c>
      <c r="E2299" s="1" t="s">
        <v>28</v>
      </c>
      <c r="F2299" s="2">
        <v>500000.0</v>
      </c>
      <c r="G2299" s="1" t="s">
        <v>275</v>
      </c>
      <c r="H2299" s="4">
        <f>IFERROR(__xludf.DUMMYFUNCTION("DATE(INDEX(SPLIT(G2299,""/""),,3),INDEX(SPLIT(G2299,""/""),,2),INDEX(SPLIT(G2299,""/""),,1))"),44462.0)</f>
        <v>44462</v>
      </c>
      <c r="I2299" s="1" t="s">
        <v>134</v>
      </c>
      <c r="J2299" s="4">
        <f>IFERROR(__xludf.DUMMYFUNCTION("DATE(INDEX(SPLIT(I2299,""/""),,3),INDEX(SPLIT(I2299,""/""),,2),INDEX(SPLIT(I2299,""/""),,1))"),44792.0)</f>
        <v>44792</v>
      </c>
      <c r="L2299" s="1">
        <v>0.0</v>
      </c>
      <c r="M2299" s="1" t="s">
        <v>1723</v>
      </c>
      <c r="N2299" s="1"/>
      <c r="O2299" s="1" t="s">
        <v>30</v>
      </c>
      <c r="P2299" s="1" t="s">
        <v>31</v>
      </c>
      <c r="Q2299" s="1" t="s">
        <v>157</v>
      </c>
      <c r="R2299" s="1" t="s">
        <v>157</v>
      </c>
      <c r="S2299" s="1" t="s">
        <v>158</v>
      </c>
      <c r="T2299" s="1" t="s">
        <v>7178</v>
      </c>
      <c r="U2299" s="1">
        <v>1.00654085E8</v>
      </c>
      <c r="X2299" s="1" t="s">
        <v>74</v>
      </c>
      <c r="Y2299" s="1" t="s">
        <v>1622</v>
      </c>
      <c r="Z2299" s="1" t="s">
        <v>37</v>
      </c>
    </row>
    <row r="2300">
      <c r="A2300" s="1" t="s">
        <v>7179</v>
      </c>
      <c r="B2300" s="1" t="s">
        <v>4196</v>
      </c>
      <c r="C2300" s="1" t="s">
        <v>7180</v>
      </c>
      <c r="D2300" s="1" t="s">
        <v>27</v>
      </c>
      <c r="E2300" s="1" t="s">
        <v>28</v>
      </c>
      <c r="F2300" s="2">
        <v>500000.0</v>
      </c>
      <c r="G2300" s="4">
        <v>44420.0</v>
      </c>
      <c r="H2300" s="4">
        <f>IFERROR(__xludf.DUMMYFUNCTION("DATE(INDEX(SPLIT(G2300,""/""),,3),INDEX(SPLIT(G2300,""/""),,2),INDEX(SPLIT(G2300,""/""),,1))"),44538.0)</f>
        <v>44538</v>
      </c>
      <c r="I2300" s="1" t="s">
        <v>69</v>
      </c>
      <c r="J2300" s="4">
        <f>IFERROR(__xludf.DUMMYFUNCTION("DATE(INDEX(SPLIT(I2300,""/""),,3),INDEX(SPLIT(I2300,""/""),,2),INDEX(SPLIT(I2300,""/""),,1))"),44773.0)</f>
        <v>44773</v>
      </c>
      <c r="L2300" s="1">
        <v>0.0</v>
      </c>
      <c r="M2300" s="1" t="s">
        <v>951</v>
      </c>
      <c r="N2300" s="1"/>
      <c r="O2300" s="1" t="s">
        <v>30</v>
      </c>
      <c r="P2300" s="1" t="s">
        <v>31</v>
      </c>
      <c r="Q2300" s="1" t="s">
        <v>157</v>
      </c>
      <c r="R2300" s="1" t="s">
        <v>157</v>
      </c>
      <c r="S2300" s="1" t="s">
        <v>158</v>
      </c>
      <c r="T2300" s="1" t="s">
        <v>1427</v>
      </c>
      <c r="U2300" s="1">
        <v>1.00653269E8</v>
      </c>
      <c r="X2300" s="1" t="s">
        <v>74</v>
      </c>
      <c r="Y2300" s="1" t="s">
        <v>7181</v>
      </c>
      <c r="Z2300" s="1" t="s">
        <v>37</v>
      </c>
    </row>
    <row r="2301" hidden="1">
      <c r="A2301" s="1" t="s">
        <v>7182</v>
      </c>
      <c r="B2301" s="1" t="s">
        <v>315</v>
      </c>
      <c r="C2301" s="1" t="s">
        <v>7183</v>
      </c>
      <c r="D2301" s="1" t="s">
        <v>27</v>
      </c>
      <c r="E2301" s="1" t="s">
        <v>28</v>
      </c>
      <c r="F2301" s="2">
        <v>500000.0</v>
      </c>
      <c r="G2301" s="1" t="s">
        <v>2387</v>
      </c>
      <c r="H2301" s="4">
        <f>IFERROR(__xludf.DUMMYFUNCTION("DATE(INDEX(SPLIT(G2301,""/""),,3),INDEX(SPLIT(G2301,""/""),,2),INDEX(SPLIT(G2301,""/""),,1))"),44274.0)</f>
        <v>44274</v>
      </c>
      <c r="I2301" s="1" t="s">
        <v>872</v>
      </c>
      <c r="J2301" s="4">
        <f>IFERROR(__xludf.DUMMYFUNCTION("DATE(INDEX(SPLIT(I2301,""/""),,3),INDEX(SPLIT(I2301,""/""),,2),INDEX(SPLIT(I2301,""/""),,1))"),44820.0)</f>
        <v>44820</v>
      </c>
      <c r="L2301" s="1">
        <v>0.0</v>
      </c>
      <c r="M2301" s="1" t="s">
        <v>2444</v>
      </c>
      <c r="N2301" s="1"/>
      <c r="O2301" s="1" t="s">
        <v>30</v>
      </c>
      <c r="P2301" s="1" t="s">
        <v>31</v>
      </c>
      <c r="Q2301" s="1" t="s">
        <v>71</v>
      </c>
      <c r="R2301" s="1" t="s">
        <v>71</v>
      </c>
      <c r="S2301" s="1" t="s">
        <v>72</v>
      </c>
      <c r="T2301" s="1" t="s">
        <v>73</v>
      </c>
      <c r="U2301" s="1">
        <v>1.00612395E8</v>
      </c>
      <c r="X2301" s="1" t="s">
        <v>74</v>
      </c>
      <c r="Y2301" s="1" t="s">
        <v>1137</v>
      </c>
      <c r="Z2301" s="1" t="s">
        <v>37</v>
      </c>
    </row>
    <row r="2302" hidden="1">
      <c r="A2302" s="1" t="s">
        <v>7184</v>
      </c>
      <c r="B2302" s="1" t="s">
        <v>7185</v>
      </c>
      <c r="C2302" s="1" t="s">
        <v>7186</v>
      </c>
      <c r="D2302" s="1" t="s">
        <v>27</v>
      </c>
      <c r="E2302" s="1" t="s">
        <v>28</v>
      </c>
      <c r="F2302" s="2">
        <v>500000.0</v>
      </c>
      <c r="G2302" s="1" t="s">
        <v>7187</v>
      </c>
      <c r="H2302" s="4">
        <f>IFERROR(__xludf.DUMMYFUNCTION("DATE(INDEX(SPLIT(G2302,""/""),,3),INDEX(SPLIT(G2302,""/""),,2),INDEX(SPLIT(G2302,""/""),,1))"),44253.0)</f>
        <v>44253</v>
      </c>
      <c r="I2302" s="1" t="s">
        <v>109</v>
      </c>
      <c r="J2302" s="4">
        <f>IFERROR(__xludf.DUMMYFUNCTION("DATE(INDEX(SPLIT(I2302,""/""),,3),INDEX(SPLIT(I2302,""/""),,2),INDEX(SPLIT(I2302,""/""),,1))"),44834.0)</f>
        <v>44834</v>
      </c>
      <c r="L2302" s="1">
        <v>0.0</v>
      </c>
      <c r="M2302" s="1" t="s">
        <v>1027</v>
      </c>
      <c r="N2302" s="1"/>
      <c r="O2302" s="1" t="s">
        <v>30</v>
      </c>
      <c r="P2302" s="1" t="s">
        <v>31</v>
      </c>
      <c r="Q2302" s="1" t="s">
        <v>53</v>
      </c>
      <c r="R2302" s="1" t="s">
        <v>53</v>
      </c>
      <c r="S2302" s="1" t="s">
        <v>54</v>
      </c>
      <c r="T2302" s="1" t="s">
        <v>181</v>
      </c>
      <c r="U2302" s="1">
        <v>1.00879751E8</v>
      </c>
      <c r="X2302" s="1" t="s">
        <v>98</v>
      </c>
      <c r="Y2302" s="1" t="s">
        <v>1027</v>
      </c>
      <c r="Z2302" s="1" t="s">
        <v>37</v>
      </c>
    </row>
    <row r="2303" hidden="1">
      <c r="A2303" s="1" t="s">
        <v>7188</v>
      </c>
      <c r="B2303" s="1" t="s">
        <v>223</v>
      </c>
      <c r="C2303" s="1" t="s">
        <v>7189</v>
      </c>
      <c r="D2303" s="1" t="s">
        <v>27</v>
      </c>
      <c r="E2303" s="1" t="s">
        <v>28</v>
      </c>
      <c r="F2303" s="2">
        <v>500000.0</v>
      </c>
      <c r="G2303" s="1" t="s">
        <v>534</v>
      </c>
      <c r="H2303" s="4">
        <f>IFERROR(__xludf.DUMMYFUNCTION("DATE(INDEX(SPLIT(G2303,""/""),,3),INDEX(SPLIT(G2303,""/""),,2),INDEX(SPLIT(G2303,""/""),,1))"),44704.0)</f>
        <v>44704</v>
      </c>
      <c r="I2303" s="1" t="s">
        <v>130</v>
      </c>
      <c r="J2303" s="4">
        <f>IFERROR(__xludf.DUMMYFUNCTION("DATE(INDEX(SPLIT(I2303,""/""),,3),INDEX(SPLIT(I2303,""/""),,2),INDEX(SPLIT(I2303,""/""),,1))"),44804.0)</f>
        <v>44804</v>
      </c>
      <c r="L2303" s="1">
        <v>0.0</v>
      </c>
      <c r="M2303" s="1" t="s">
        <v>141</v>
      </c>
      <c r="N2303" s="1"/>
      <c r="O2303" s="1" t="s">
        <v>30</v>
      </c>
      <c r="P2303" s="1" t="s">
        <v>31</v>
      </c>
      <c r="Q2303" s="1" t="s">
        <v>95</v>
      </c>
      <c r="R2303" s="1" t="s">
        <v>95</v>
      </c>
      <c r="S2303" s="1" t="s">
        <v>96</v>
      </c>
      <c r="T2303" s="1" t="s">
        <v>217</v>
      </c>
      <c r="U2303" s="1">
        <v>1.00658522E8</v>
      </c>
      <c r="X2303" s="1" t="s">
        <v>81</v>
      </c>
      <c r="Y2303" s="1" t="s">
        <v>2339</v>
      </c>
      <c r="Z2303" s="1" t="s">
        <v>37</v>
      </c>
    </row>
    <row r="2304" hidden="1">
      <c r="A2304" s="1" t="s">
        <v>7190</v>
      </c>
      <c r="B2304" s="1" t="s">
        <v>6041</v>
      </c>
      <c r="C2304" s="1" t="s">
        <v>7191</v>
      </c>
      <c r="D2304" s="1" t="s">
        <v>27</v>
      </c>
      <c r="E2304" s="1" t="s">
        <v>28</v>
      </c>
      <c r="F2304" s="2">
        <v>500000.0</v>
      </c>
      <c r="G2304" s="1" t="s">
        <v>1244</v>
      </c>
      <c r="H2304" s="4">
        <f>IFERROR(__xludf.DUMMYFUNCTION("DATE(INDEX(SPLIT(G2304,""/""),,3),INDEX(SPLIT(G2304,""/""),,2),INDEX(SPLIT(G2304,""/""),,1))"),44742.0)</f>
        <v>44742</v>
      </c>
      <c r="I2304" s="1" t="s">
        <v>130</v>
      </c>
      <c r="J2304" s="4">
        <f>IFERROR(__xludf.DUMMYFUNCTION("DATE(INDEX(SPLIT(I2304,""/""),,3),INDEX(SPLIT(I2304,""/""),,2),INDEX(SPLIT(I2304,""/""),,1))"),44804.0)</f>
        <v>44804</v>
      </c>
      <c r="L2304" s="1">
        <v>0.0</v>
      </c>
      <c r="M2304" s="1" t="s">
        <v>6290</v>
      </c>
      <c r="N2304" s="1"/>
      <c r="O2304" s="1" t="s">
        <v>30</v>
      </c>
      <c r="P2304" s="1" t="s">
        <v>31</v>
      </c>
      <c r="Q2304" s="1" t="s">
        <v>53</v>
      </c>
      <c r="R2304" s="1" t="s">
        <v>53</v>
      </c>
      <c r="S2304" s="1" t="s">
        <v>54</v>
      </c>
      <c r="U2304" s="1">
        <v>1.00636569E8</v>
      </c>
      <c r="X2304" s="1" t="s">
        <v>2028</v>
      </c>
      <c r="Y2304" s="1" t="s">
        <v>6290</v>
      </c>
      <c r="Z2304" s="1" t="s">
        <v>37</v>
      </c>
    </row>
    <row r="2305" hidden="1">
      <c r="A2305" s="1" t="s">
        <v>7192</v>
      </c>
      <c r="B2305" s="1" t="s">
        <v>7193</v>
      </c>
      <c r="C2305" s="1" t="s">
        <v>7194</v>
      </c>
      <c r="D2305" s="1" t="s">
        <v>78</v>
      </c>
      <c r="E2305" s="1" t="s">
        <v>28</v>
      </c>
      <c r="F2305" s="2">
        <v>500000.0</v>
      </c>
      <c r="G2305" s="4">
        <v>44594.0</v>
      </c>
      <c r="H2305" s="4">
        <f>IFERROR(__xludf.DUMMYFUNCTION("DATE(INDEX(SPLIT(G2305,""/""),,3),INDEX(SPLIT(G2305,""/""),,2),INDEX(SPLIT(G2305,""/""),,1))"),44594.0)</f>
        <v>44594</v>
      </c>
      <c r="I2305" s="4">
        <v>44601.0</v>
      </c>
      <c r="J2305" s="4">
        <f>IFERROR(__xludf.DUMMYFUNCTION("DATE(INDEX(SPLIT(I2305,""/""),,3),INDEX(SPLIT(I2305,""/""),,2),INDEX(SPLIT(I2305,""/""),,1))"),44806.0)</f>
        <v>44806</v>
      </c>
      <c r="L2305" s="1">
        <v>0.0</v>
      </c>
      <c r="M2305" s="1" t="s">
        <v>79</v>
      </c>
      <c r="N2305" s="1"/>
      <c r="O2305" s="1" t="s">
        <v>30</v>
      </c>
      <c r="P2305" s="1" t="s">
        <v>31</v>
      </c>
      <c r="Q2305" s="1" t="s">
        <v>32</v>
      </c>
      <c r="R2305" s="1" t="s">
        <v>32</v>
      </c>
      <c r="S2305" s="1" t="s">
        <v>33</v>
      </c>
      <c r="U2305" s="1">
        <v>1.00609569E8</v>
      </c>
      <c r="X2305" s="1" t="s">
        <v>35</v>
      </c>
      <c r="Y2305" s="1" t="s">
        <v>7195</v>
      </c>
      <c r="Z2305" s="1" t="s">
        <v>37</v>
      </c>
    </row>
    <row r="2306" hidden="1">
      <c r="A2306" s="1" t="s">
        <v>7196</v>
      </c>
      <c r="B2306" s="1" t="s">
        <v>516</v>
      </c>
      <c r="C2306" s="1" t="s">
        <v>7197</v>
      </c>
      <c r="D2306" s="1" t="s">
        <v>27</v>
      </c>
      <c r="E2306" s="1" t="s">
        <v>28</v>
      </c>
      <c r="F2306" s="2">
        <v>500000.0</v>
      </c>
      <c r="G2306" s="1" t="s">
        <v>534</v>
      </c>
      <c r="H2306" s="4">
        <f>IFERROR(__xludf.DUMMYFUNCTION("DATE(INDEX(SPLIT(G2306,""/""),,3),INDEX(SPLIT(G2306,""/""),,2),INDEX(SPLIT(G2306,""/""),,1))"),44704.0)</f>
        <v>44704</v>
      </c>
      <c r="I2306" s="1" t="s">
        <v>130</v>
      </c>
      <c r="J2306" s="4">
        <f>IFERROR(__xludf.DUMMYFUNCTION("DATE(INDEX(SPLIT(I2306,""/""),,3),INDEX(SPLIT(I2306,""/""),,2),INDEX(SPLIT(I2306,""/""),,1))"),44804.0)</f>
        <v>44804</v>
      </c>
      <c r="L2306" s="1">
        <v>0.0</v>
      </c>
      <c r="M2306" s="1" t="s">
        <v>542</v>
      </c>
      <c r="N2306" s="1"/>
      <c r="O2306" s="1" t="s">
        <v>30</v>
      </c>
      <c r="P2306" s="1" t="s">
        <v>31</v>
      </c>
      <c r="Q2306" s="1" t="s">
        <v>53</v>
      </c>
      <c r="R2306" s="1" t="s">
        <v>53</v>
      </c>
      <c r="S2306" s="1" t="s">
        <v>54</v>
      </c>
      <c r="T2306" s="1" t="s">
        <v>181</v>
      </c>
      <c r="U2306" s="1">
        <v>1.01001596E8</v>
      </c>
      <c r="V2306" s="1" t="s">
        <v>7150</v>
      </c>
      <c r="W2306" s="1" t="s">
        <v>45</v>
      </c>
      <c r="X2306" s="1" t="s">
        <v>74</v>
      </c>
      <c r="Y2306" s="1" t="s">
        <v>542</v>
      </c>
      <c r="Z2306" s="1" t="s">
        <v>37</v>
      </c>
    </row>
    <row r="2307" hidden="1">
      <c r="A2307" s="1" t="s">
        <v>7198</v>
      </c>
      <c r="B2307" s="1" t="s">
        <v>6351</v>
      </c>
      <c r="C2307" s="1" t="s">
        <v>7199</v>
      </c>
      <c r="D2307" s="1" t="s">
        <v>78</v>
      </c>
      <c r="E2307" s="1" t="s">
        <v>28</v>
      </c>
      <c r="F2307" s="2">
        <v>500000.0</v>
      </c>
      <c r="G2307" s="4">
        <v>44420.0</v>
      </c>
      <c r="H2307" s="4">
        <f>IFERROR(__xludf.DUMMYFUNCTION("DATE(INDEX(SPLIT(G2307,""/""),,3),INDEX(SPLIT(G2307,""/""),,2),INDEX(SPLIT(G2307,""/""),,1))"),44538.0)</f>
        <v>44538</v>
      </c>
      <c r="I2307" s="1" t="s">
        <v>109</v>
      </c>
      <c r="J2307" s="4">
        <f>IFERROR(__xludf.DUMMYFUNCTION("DATE(INDEX(SPLIT(I2307,""/""),,3),INDEX(SPLIT(I2307,""/""),,2),INDEX(SPLIT(I2307,""/""),,1))"),44834.0)</f>
        <v>44834</v>
      </c>
      <c r="L2307" s="1">
        <v>0.0</v>
      </c>
      <c r="M2307" s="1" t="s">
        <v>6353</v>
      </c>
      <c r="N2307" s="1"/>
      <c r="O2307" s="1" t="s">
        <v>30</v>
      </c>
      <c r="P2307" s="1" t="s">
        <v>31</v>
      </c>
      <c r="Q2307" s="1" t="s">
        <v>53</v>
      </c>
      <c r="R2307" s="1" t="s">
        <v>53</v>
      </c>
      <c r="S2307" s="1" t="s">
        <v>54</v>
      </c>
      <c r="T2307" s="1" t="s">
        <v>2372</v>
      </c>
      <c r="U2307" s="1">
        <v>1.00609257E8</v>
      </c>
      <c r="X2307" s="1" t="s">
        <v>239</v>
      </c>
      <c r="Y2307" s="1" t="s">
        <v>6354</v>
      </c>
      <c r="Z2307" s="1" t="s">
        <v>37</v>
      </c>
    </row>
    <row r="2308" hidden="1">
      <c r="A2308" s="1" t="s">
        <v>7200</v>
      </c>
      <c r="B2308" s="1" t="s">
        <v>5851</v>
      </c>
      <c r="C2308" s="1" t="s">
        <v>7201</v>
      </c>
      <c r="D2308" s="1" t="s">
        <v>27</v>
      </c>
      <c r="E2308" s="1" t="s">
        <v>28</v>
      </c>
      <c r="F2308" s="2">
        <v>500000.0</v>
      </c>
      <c r="G2308" s="1" t="s">
        <v>534</v>
      </c>
      <c r="H2308" s="4">
        <f>IFERROR(__xludf.DUMMYFUNCTION("DATE(INDEX(SPLIT(G2308,""/""),,3),INDEX(SPLIT(G2308,""/""),,2),INDEX(SPLIT(G2308,""/""),,1))"),44704.0)</f>
        <v>44704</v>
      </c>
      <c r="I2308" s="1" t="s">
        <v>130</v>
      </c>
      <c r="J2308" s="4">
        <f>IFERROR(__xludf.DUMMYFUNCTION("DATE(INDEX(SPLIT(I2308,""/""),,3),INDEX(SPLIT(I2308,""/""),,2),INDEX(SPLIT(I2308,""/""),,1))"),44804.0)</f>
        <v>44804</v>
      </c>
      <c r="L2308" s="1">
        <v>0.0</v>
      </c>
      <c r="M2308" s="1" t="s">
        <v>542</v>
      </c>
      <c r="N2308" s="1"/>
      <c r="O2308" s="1" t="s">
        <v>30</v>
      </c>
      <c r="P2308" s="1" t="s">
        <v>31</v>
      </c>
      <c r="Q2308" s="1" t="s">
        <v>53</v>
      </c>
      <c r="R2308" s="1" t="s">
        <v>53</v>
      </c>
      <c r="S2308" s="1" t="s">
        <v>54</v>
      </c>
      <c r="T2308" s="1" t="s">
        <v>181</v>
      </c>
      <c r="U2308" s="1">
        <v>1.01001596E8</v>
      </c>
      <c r="X2308" s="1" t="s">
        <v>74</v>
      </c>
      <c r="Y2308" s="1" t="s">
        <v>542</v>
      </c>
      <c r="Z2308" s="1" t="s">
        <v>37</v>
      </c>
    </row>
    <row r="2309">
      <c r="A2309" s="1" t="s">
        <v>7202</v>
      </c>
      <c r="B2309" s="1" t="s">
        <v>784</v>
      </c>
      <c r="C2309" s="1" t="s">
        <v>7203</v>
      </c>
      <c r="D2309" s="1" t="s">
        <v>27</v>
      </c>
      <c r="E2309" s="1" t="s">
        <v>28</v>
      </c>
      <c r="F2309" s="2">
        <v>500000.0</v>
      </c>
      <c r="G2309" s="1" t="s">
        <v>394</v>
      </c>
      <c r="H2309" s="4">
        <f>IFERROR(__xludf.DUMMYFUNCTION("DATE(INDEX(SPLIT(G2309,""/""),,3),INDEX(SPLIT(G2309,""/""),,2),INDEX(SPLIT(G2309,""/""),,1))"),44677.0)</f>
        <v>44677</v>
      </c>
      <c r="I2309" s="1" t="s">
        <v>1244</v>
      </c>
      <c r="J2309" s="4">
        <f>IFERROR(__xludf.DUMMYFUNCTION("DATE(INDEX(SPLIT(I2309,""/""),,3),INDEX(SPLIT(I2309,""/""),,2),INDEX(SPLIT(I2309,""/""),,1))"),44742.0)</f>
        <v>44742</v>
      </c>
      <c r="L2309" s="1">
        <v>0.0</v>
      </c>
      <c r="M2309" s="1" t="s">
        <v>570</v>
      </c>
      <c r="N2309" s="1"/>
      <c r="O2309" s="1" t="s">
        <v>30</v>
      </c>
      <c r="P2309" s="1" t="s">
        <v>31</v>
      </c>
      <c r="Q2309" s="1" t="s">
        <v>157</v>
      </c>
      <c r="R2309" s="1" t="s">
        <v>157</v>
      </c>
      <c r="S2309" s="1" t="s">
        <v>158</v>
      </c>
      <c r="U2309" s="1">
        <v>1.00586314E8</v>
      </c>
      <c r="X2309" s="1" t="s">
        <v>63</v>
      </c>
      <c r="Y2309" s="1" t="s">
        <v>7204</v>
      </c>
      <c r="Z2309" s="1" t="s">
        <v>37</v>
      </c>
    </row>
    <row r="2310">
      <c r="A2310" s="1" t="s">
        <v>7205</v>
      </c>
      <c r="B2310" s="1" t="s">
        <v>927</v>
      </c>
      <c r="C2310" s="1" t="s">
        <v>7206</v>
      </c>
      <c r="D2310" s="1" t="s">
        <v>78</v>
      </c>
      <c r="E2310" s="1" t="s">
        <v>28</v>
      </c>
      <c r="F2310" s="2">
        <v>500000.0</v>
      </c>
      <c r="G2310" s="4">
        <v>44717.0</v>
      </c>
      <c r="H2310" s="4">
        <f>IFERROR(__xludf.DUMMYFUNCTION("DATE(INDEX(SPLIT(G2310,""/""),,3),INDEX(SPLIT(G2310,""/""),,2),INDEX(SPLIT(G2310,""/""),,1))"),44687.0)</f>
        <v>44687</v>
      </c>
      <c r="I2310" s="1" t="s">
        <v>518</v>
      </c>
      <c r="J2310" s="4">
        <f>IFERROR(__xludf.DUMMYFUNCTION("DATE(INDEX(SPLIT(I2310,""/""),,3),INDEX(SPLIT(I2310,""/""),,2),INDEX(SPLIT(I2310,""/""),,1))"),44757.0)</f>
        <v>44757</v>
      </c>
      <c r="L2310" s="1">
        <v>0.0</v>
      </c>
      <c r="M2310" s="1" t="s">
        <v>4645</v>
      </c>
      <c r="N2310" s="1"/>
      <c r="O2310" s="1" t="s">
        <v>30</v>
      </c>
      <c r="P2310" s="1" t="s">
        <v>31</v>
      </c>
      <c r="Q2310" s="1" t="s">
        <v>95</v>
      </c>
      <c r="R2310" s="1" t="s">
        <v>95</v>
      </c>
      <c r="S2310" s="1" t="s">
        <v>96</v>
      </c>
      <c r="T2310" s="1" t="s">
        <v>97</v>
      </c>
      <c r="U2310" s="1">
        <v>1.0062141E8</v>
      </c>
      <c r="X2310" s="1" t="s">
        <v>117</v>
      </c>
      <c r="Y2310" s="1" t="s">
        <v>2939</v>
      </c>
      <c r="Z2310" s="1" t="s">
        <v>37</v>
      </c>
    </row>
    <row r="2311" hidden="1">
      <c r="A2311" s="1" t="s">
        <v>7207</v>
      </c>
      <c r="B2311" s="1" t="s">
        <v>2794</v>
      </c>
      <c r="C2311" s="1" t="s">
        <v>7208</v>
      </c>
      <c r="D2311" s="1" t="s">
        <v>122</v>
      </c>
      <c r="E2311" s="1" t="s">
        <v>28</v>
      </c>
      <c r="F2311" s="2">
        <v>500000.0</v>
      </c>
      <c r="G2311" s="4">
        <v>44541.0</v>
      </c>
      <c r="H2311" s="4">
        <f>IFERROR(__xludf.DUMMYFUNCTION("DATE(INDEX(SPLIT(G2311,""/""),,3),INDEX(SPLIT(G2311,""/""),,2),INDEX(SPLIT(G2311,""/""),,1))"),44512.0)</f>
        <v>44512</v>
      </c>
      <c r="I2311" s="1" t="s">
        <v>317</v>
      </c>
      <c r="J2311" s="4">
        <f>IFERROR(__xludf.DUMMYFUNCTION("DATE(INDEX(SPLIT(I2311,""/""),,3),INDEX(SPLIT(I2311,""/""),,2),INDEX(SPLIT(I2311,""/""),,1))"),44862.0)</f>
        <v>44862</v>
      </c>
      <c r="L2311" s="1">
        <v>0.0</v>
      </c>
      <c r="M2311" s="1" t="s">
        <v>956</v>
      </c>
      <c r="N2311" s="1"/>
      <c r="O2311" s="1" t="s">
        <v>30</v>
      </c>
      <c r="P2311" s="1" t="s">
        <v>31</v>
      </c>
      <c r="Q2311" s="1" t="s">
        <v>71</v>
      </c>
      <c r="R2311" s="1" t="s">
        <v>71</v>
      </c>
      <c r="S2311" s="1" t="s">
        <v>72</v>
      </c>
      <c r="T2311" s="1" t="s">
        <v>73</v>
      </c>
      <c r="U2311" s="1">
        <v>1.00653499E8</v>
      </c>
      <c r="X2311" s="1" t="s">
        <v>74</v>
      </c>
      <c r="Y2311" s="1" t="s">
        <v>2032</v>
      </c>
      <c r="Z2311" s="1" t="s">
        <v>37</v>
      </c>
    </row>
    <row r="2312">
      <c r="A2312" s="1" t="s">
        <v>7209</v>
      </c>
      <c r="B2312" s="1" t="s">
        <v>546</v>
      </c>
      <c r="C2312" s="1" t="s">
        <v>7210</v>
      </c>
      <c r="D2312" s="1" t="s">
        <v>27</v>
      </c>
      <c r="E2312" s="1" t="s">
        <v>28</v>
      </c>
      <c r="F2312" s="2">
        <v>500000.0</v>
      </c>
      <c r="G2312" s="4">
        <v>44837.0</v>
      </c>
      <c r="H2312" s="4">
        <f>IFERROR(__xludf.DUMMYFUNCTION("DATE(INDEX(SPLIT(G2312,""/""),,3),INDEX(SPLIT(G2312,""/""),,2),INDEX(SPLIT(G2312,""/""),,1))"),44630.0)</f>
        <v>44630</v>
      </c>
      <c r="I2312" s="1" t="s">
        <v>69</v>
      </c>
      <c r="J2312" s="4">
        <f>IFERROR(__xludf.DUMMYFUNCTION("DATE(INDEX(SPLIT(I2312,""/""),,3),INDEX(SPLIT(I2312,""/""),,2),INDEX(SPLIT(I2312,""/""),,1))"),44773.0)</f>
        <v>44773</v>
      </c>
      <c r="L2312" s="1">
        <v>0.0</v>
      </c>
      <c r="M2312" s="1" t="s">
        <v>4134</v>
      </c>
      <c r="N2312" s="1"/>
      <c r="O2312" s="1" t="s">
        <v>30</v>
      </c>
      <c r="P2312" s="1" t="s">
        <v>31</v>
      </c>
      <c r="Q2312" s="1" t="s">
        <v>53</v>
      </c>
      <c r="R2312" s="1" t="s">
        <v>53</v>
      </c>
      <c r="S2312" s="1" t="s">
        <v>54</v>
      </c>
      <c r="U2312" s="1">
        <v>1.00652666E8</v>
      </c>
      <c r="X2312" s="1" t="s">
        <v>74</v>
      </c>
      <c r="Y2312" s="1" t="s">
        <v>2107</v>
      </c>
      <c r="Z2312" s="1" t="s">
        <v>37</v>
      </c>
    </row>
    <row r="2313">
      <c r="A2313" s="1" t="s">
        <v>7211</v>
      </c>
      <c r="B2313" s="1" t="s">
        <v>7212</v>
      </c>
      <c r="C2313" s="1" t="s">
        <v>7213</v>
      </c>
      <c r="D2313" s="1" t="s">
        <v>27</v>
      </c>
      <c r="E2313" s="1" t="s">
        <v>28</v>
      </c>
      <c r="F2313" s="2">
        <v>500000.0</v>
      </c>
      <c r="G2313" s="4">
        <v>44866.0</v>
      </c>
      <c r="H2313" s="4">
        <f>IFERROR(__xludf.DUMMYFUNCTION("DATE(INDEX(SPLIT(G2313,""/""),,3),INDEX(SPLIT(G2313,""/""),,2),INDEX(SPLIT(G2313,""/""),,1))"),44572.0)</f>
        <v>44572</v>
      </c>
      <c r="I2313" s="1" t="s">
        <v>226</v>
      </c>
      <c r="J2313" s="4">
        <f>IFERROR(__xludf.DUMMYFUNCTION("DATE(INDEX(SPLIT(I2313,""/""),,3),INDEX(SPLIT(I2313,""/""),,2),INDEX(SPLIT(I2313,""/""),,1))"),44771.0)</f>
        <v>44771</v>
      </c>
      <c r="L2313" s="1">
        <v>0.0</v>
      </c>
      <c r="M2313" s="1" t="s">
        <v>1840</v>
      </c>
      <c r="N2313" s="1"/>
      <c r="O2313" s="1" t="s">
        <v>30</v>
      </c>
      <c r="P2313" s="1" t="s">
        <v>31</v>
      </c>
      <c r="Q2313" s="1" t="s">
        <v>71</v>
      </c>
      <c r="R2313" s="1" t="s">
        <v>71</v>
      </c>
      <c r="S2313" s="1" t="s">
        <v>72</v>
      </c>
      <c r="T2313" s="1" t="s">
        <v>615</v>
      </c>
      <c r="U2313" s="1">
        <v>1.00617113E8</v>
      </c>
      <c r="X2313" s="1" t="s">
        <v>490</v>
      </c>
      <c r="Y2313" s="1" t="s">
        <v>1840</v>
      </c>
      <c r="Z2313" s="1" t="s">
        <v>37</v>
      </c>
    </row>
    <row r="2314">
      <c r="A2314" s="1" t="s">
        <v>7214</v>
      </c>
      <c r="B2314" s="1" t="s">
        <v>7212</v>
      </c>
      <c r="C2314" s="1" t="s">
        <v>7215</v>
      </c>
      <c r="D2314" s="1" t="s">
        <v>27</v>
      </c>
      <c r="E2314" s="1" t="s">
        <v>28</v>
      </c>
      <c r="F2314" s="2">
        <v>500000.0</v>
      </c>
      <c r="G2314" s="4">
        <v>44866.0</v>
      </c>
      <c r="H2314" s="4">
        <f>IFERROR(__xludf.DUMMYFUNCTION("DATE(INDEX(SPLIT(G2314,""/""),,3),INDEX(SPLIT(G2314,""/""),,2),INDEX(SPLIT(G2314,""/""),,1))"),44572.0)</f>
        <v>44572</v>
      </c>
      <c r="I2314" s="1" t="s">
        <v>226</v>
      </c>
      <c r="J2314" s="4">
        <f>IFERROR(__xludf.DUMMYFUNCTION("DATE(INDEX(SPLIT(I2314,""/""),,3),INDEX(SPLIT(I2314,""/""),,2),INDEX(SPLIT(I2314,""/""),,1))"),44771.0)</f>
        <v>44771</v>
      </c>
      <c r="L2314" s="1">
        <v>0.0</v>
      </c>
      <c r="M2314" s="1" t="s">
        <v>1840</v>
      </c>
      <c r="N2314" s="1"/>
      <c r="O2314" s="1" t="s">
        <v>30</v>
      </c>
      <c r="P2314" s="1" t="s">
        <v>31</v>
      </c>
      <c r="Q2314" s="1" t="s">
        <v>71</v>
      </c>
      <c r="R2314" s="1" t="s">
        <v>71</v>
      </c>
      <c r="S2314" s="1" t="s">
        <v>72</v>
      </c>
      <c r="T2314" s="1" t="s">
        <v>615</v>
      </c>
      <c r="U2314" s="1">
        <v>1.00617113E8</v>
      </c>
      <c r="X2314" s="1" t="s">
        <v>490</v>
      </c>
      <c r="Y2314" s="1" t="s">
        <v>1840</v>
      </c>
      <c r="Z2314" s="1" t="s">
        <v>37</v>
      </c>
    </row>
    <row r="2315">
      <c r="A2315" s="1" t="s">
        <v>7216</v>
      </c>
      <c r="B2315" s="1" t="s">
        <v>7217</v>
      </c>
      <c r="C2315" s="1" t="s">
        <v>7218</v>
      </c>
      <c r="D2315" s="1" t="s">
        <v>27</v>
      </c>
      <c r="E2315" s="1" t="s">
        <v>28</v>
      </c>
      <c r="F2315" s="2">
        <v>500000.0</v>
      </c>
      <c r="G2315" s="1" t="s">
        <v>4133</v>
      </c>
      <c r="H2315" s="4">
        <f>IFERROR(__xludf.DUMMYFUNCTION("DATE(INDEX(SPLIT(G2315,""/""),,3),INDEX(SPLIT(G2315,""/""),,2),INDEX(SPLIT(G2315,""/""),,1))"),44495.0)</f>
        <v>44495</v>
      </c>
      <c r="I2315" s="4">
        <v>44568.0</v>
      </c>
      <c r="J2315" s="4">
        <f>IFERROR(__xludf.DUMMYFUNCTION("DATE(INDEX(SPLIT(I2315,""/""),,3),INDEX(SPLIT(I2315,""/""),,2),INDEX(SPLIT(I2315,""/""),,1))"),44743.0)</f>
        <v>44743</v>
      </c>
      <c r="L2315" s="1">
        <v>0.0</v>
      </c>
      <c r="M2315" s="1" t="s">
        <v>7219</v>
      </c>
      <c r="N2315" s="1"/>
      <c r="O2315" s="1" t="s">
        <v>30</v>
      </c>
      <c r="P2315" s="1" t="s">
        <v>31</v>
      </c>
      <c r="Q2315" s="1" t="s">
        <v>235</v>
      </c>
      <c r="R2315" s="1" t="s">
        <v>235</v>
      </c>
      <c r="S2315" s="1" t="s">
        <v>236</v>
      </c>
      <c r="U2315" s="1">
        <v>1.00616623E8</v>
      </c>
      <c r="X2315" s="1" t="s">
        <v>88</v>
      </c>
      <c r="Y2315" s="1" t="s">
        <v>6721</v>
      </c>
      <c r="Z2315" s="1" t="s">
        <v>37</v>
      </c>
    </row>
    <row r="2316" hidden="1">
      <c r="A2316" s="1" t="s">
        <v>7220</v>
      </c>
      <c r="B2316" s="1" t="s">
        <v>591</v>
      </c>
      <c r="C2316" s="1" t="s">
        <v>7221</v>
      </c>
      <c r="D2316" s="1" t="s">
        <v>78</v>
      </c>
      <c r="E2316" s="1" t="s">
        <v>28</v>
      </c>
      <c r="F2316" s="2">
        <v>500000.0</v>
      </c>
      <c r="G2316" s="4">
        <v>44654.0</v>
      </c>
      <c r="H2316" s="4">
        <f>IFERROR(__xludf.DUMMYFUNCTION("DATE(INDEX(SPLIT(G2316,""/""),,3),INDEX(SPLIT(G2316,""/""),,2),INDEX(SPLIT(G2316,""/""),,1))"),44624.0)</f>
        <v>44624</v>
      </c>
      <c r="I2316" s="4">
        <v>44569.0</v>
      </c>
      <c r="J2316" s="4">
        <f>IFERROR(__xludf.DUMMYFUNCTION("DATE(INDEX(SPLIT(I2316,""/""),,3),INDEX(SPLIT(I2316,""/""),,2),INDEX(SPLIT(I2316,""/""),,1))"),44774.0)</f>
        <v>44774</v>
      </c>
      <c r="L2316" s="1">
        <v>0.0</v>
      </c>
      <c r="M2316" s="1" t="s">
        <v>6495</v>
      </c>
      <c r="N2316" s="1"/>
      <c r="O2316" s="1" t="s">
        <v>30</v>
      </c>
      <c r="P2316" s="1" t="s">
        <v>31</v>
      </c>
      <c r="Q2316" s="1" t="s">
        <v>32</v>
      </c>
      <c r="R2316" s="1" t="s">
        <v>32</v>
      </c>
      <c r="S2316" s="1" t="s">
        <v>33</v>
      </c>
      <c r="U2316" s="1">
        <v>1.01131118E8</v>
      </c>
      <c r="X2316" s="1" t="s">
        <v>35</v>
      </c>
      <c r="Y2316" s="1" t="s">
        <v>5009</v>
      </c>
      <c r="Z2316" s="1" t="s">
        <v>37</v>
      </c>
    </row>
    <row r="2317">
      <c r="A2317" s="1" t="s">
        <v>7222</v>
      </c>
      <c r="B2317" s="1" t="s">
        <v>1002</v>
      </c>
      <c r="C2317" s="1" t="s">
        <v>7223</v>
      </c>
      <c r="D2317" s="1" t="s">
        <v>122</v>
      </c>
      <c r="E2317" s="1" t="s">
        <v>28</v>
      </c>
      <c r="F2317" s="2">
        <v>500000.0</v>
      </c>
      <c r="G2317" s="1" t="s">
        <v>4047</v>
      </c>
      <c r="H2317" s="4">
        <f>IFERROR(__xludf.DUMMYFUNCTION("DATE(INDEX(SPLIT(G2317,""/""),,3),INDEX(SPLIT(G2317,""/""),,2),INDEX(SPLIT(G2317,""/""),,1))"),44580.0)</f>
        <v>44580</v>
      </c>
      <c r="I2317" s="1" t="s">
        <v>226</v>
      </c>
      <c r="J2317" s="4">
        <f>IFERROR(__xludf.DUMMYFUNCTION("DATE(INDEX(SPLIT(I2317,""/""),,3),INDEX(SPLIT(I2317,""/""),,2),INDEX(SPLIT(I2317,""/""),,1))"),44771.0)</f>
        <v>44771</v>
      </c>
      <c r="L2317" s="1">
        <v>0.0</v>
      </c>
      <c r="M2317" s="1" t="s">
        <v>3617</v>
      </c>
      <c r="N2317" s="1"/>
      <c r="O2317" s="1" t="s">
        <v>30</v>
      </c>
      <c r="P2317" s="1" t="s">
        <v>31</v>
      </c>
      <c r="Q2317" s="1" t="s">
        <v>53</v>
      </c>
      <c r="R2317" s="1" t="s">
        <v>53</v>
      </c>
      <c r="S2317" s="1" t="s">
        <v>54</v>
      </c>
      <c r="T2317" s="1" t="s">
        <v>634</v>
      </c>
      <c r="U2317" s="1">
        <v>1.00568413E8</v>
      </c>
      <c r="X2317" s="1" t="s">
        <v>74</v>
      </c>
      <c r="Y2317" s="1" t="s">
        <v>3617</v>
      </c>
      <c r="Z2317" s="1" t="s">
        <v>37</v>
      </c>
    </row>
    <row r="2318">
      <c r="A2318" s="1" t="s">
        <v>7224</v>
      </c>
      <c r="B2318" s="1" t="s">
        <v>2415</v>
      </c>
      <c r="C2318" s="1" t="s">
        <v>7225</v>
      </c>
      <c r="D2318" s="1" t="s">
        <v>78</v>
      </c>
      <c r="E2318" s="1" t="s">
        <v>28</v>
      </c>
      <c r="F2318" s="2">
        <v>500000.0</v>
      </c>
      <c r="G2318" s="1" t="s">
        <v>503</v>
      </c>
      <c r="H2318" s="4">
        <f>IFERROR(__xludf.DUMMYFUNCTION("DATE(INDEX(SPLIT(G2318,""/""),,3),INDEX(SPLIT(G2318,""/""),,2),INDEX(SPLIT(G2318,""/""),,1))"),44736.0)</f>
        <v>44736</v>
      </c>
      <c r="I2318" s="1" t="s">
        <v>414</v>
      </c>
      <c r="J2318" s="4">
        <f>IFERROR(__xludf.DUMMYFUNCTION("DATE(INDEX(SPLIT(I2318,""/""),,3),INDEX(SPLIT(I2318,""/""),,2),INDEX(SPLIT(I2318,""/""),,1))"),44772.0)</f>
        <v>44772</v>
      </c>
      <c r="L2318" s="1">
        <v>0.0</v>
      </c>
      <c r="M2318" s="1" t="s">
        <v>3580</v>
      </c>
      <c r="N2318" s="1"/>
      <c r="O2318" s="1" t="s">
        <v>30</v>
      </c>
      <c r="P2318" s="1" t="s">
        <v>31</v>
      </c>
      <c r="Q2318" s="1" t="s">
        <v>157</v>
      </c>
      <c r="R2318" s="1" t="s">
        <v>157</v>
      </c>
      <c r="S2318" s="1" t="s">
        <v>158</v>
      </c>
      <c r="T2318" s="1" t="s">
        <v>571</v>
      </c>
      <c r="U2318" s="1">
        <v>1.00956516E8</v>
      </c>
      <c r="X2318" s="1" t="s">
        <v>239</v>
      </c>
      <c r="Y2318" s="1" t="s">
        <v>7226</v>
      </c>
      <c r="Z2318" s="1" t="s">
        <v>37</v>
      </c>
    </row>
    <row r="2319" hidden="1">
      <c r="A2319" s="1" t="s">
        <v>7227</v>
      </c>
      <c r="B2319" s="1" t="s">
        <v>2131</v>
      </c>
      <c r="C2319" s="1" t="s">
        <v>7228</v>
      </c>
      <c r="D2319" s="1" t="s">
        <v>27</v>
      </c>
      <c r="E2319" s="1" t="s">
        <v>28</v>
      </c>
      <c r="F2319" s="2">
        <v>500000.0</v>
      </c>
      <c r="G2319" s="4">
        <v>44779.0</v>
      </c>
      <c r="H2319" s="4">
        <f>IFERROR(__xludf.DUMMYFUNCTION("DATE(INDEX(SPLIT(G2319,""/""),,3),INDEX(SPLIT(G2319,""/""),,2),INDEX(SPLIT(G2319,""/""),,1))"),44720.0)</f>
        <v>44720</v>
      </c>
      <c r="I2319" s="1" t="s">
        <v>360</v>
      </c>
      <c r="J2319" s="4">
        <f>IFERROR(__xludf.DUMMYFUNCTION("DATE(INDEX(SPLIT(I2319,""/""),,3),INDEX(SPLIT(I2319,""/""),,2),INDEX(SPLIT(I2319,""/""),,1))"),44895.0)</f>
        <v>44895</v>
      </c>
      <c r="L2319" s="1">
        <v>0.0</v>
      </c>
      <c r="M2319" s="1" t="s">
        <v>1814</v>
      </c>
      <c r="N2319" s="1"/>
      <c r="O2319" s="1" t="s">
        <v>30</v>
      </c>
      <c r="P2319" s="1" t="s">
        <v>31</v>
      </c>
      <c r="Q2319" s="1" t="s">
        <v>95</v>
      </c>
      <c r="R2319" s="1" t="s">
        <v>95</v>
      </c>
      <c r="S2319" s="1" t="s">
        <v>96</v>
      </c>
      <c r="T2319" s="1" t="s">
        <v>260</v>
      </c>
      <c r="U2319" s="1">
        <v>1.00597983E8</v>
      </c>
      <c r="X2319" s="1" t="s">
        <v>239</v>
      </c>
      <c r="Y2319" s="1" t="s">
        <v>3167</v>
      </c>
      <c r="Z2319" s="1" t="s">
        <v>206</v>
      </c>
    </row>
    <row r="2320" hidden="1">
      <c r="A2320" s="1" t="s">
        <v>7229</v>
      </c>
      <c r="B2320" s="1" t="s">
        <v>1131</v>
      </c>
      <c r="C2320" s="1" t="s">
        <v>7230</v>
      </c>
      <c r="D2320" s="1" t="s">
        <v>27</v>
      </c>
      <c r="E2320" s="1" t="s">
        <v>28</v>
      </c>
      <c r="F2320" s="2">
        <v>500000.0</v>
      </c>
      <c r="G2320" s="4">
        <v>44449.0</v>
      </c>
      <c r="H2320" s="4">
        <f>IFERROR(__xludf.DUMMYFUNCTION("DATE(INDEX(SPLIT(G2320,""/""),,3),INDEX(SPLIT(G2320,""/""),,2),INDEX(SPLIT(G2320,""/""),,1))"),44478.0)</f>
        <v>44478</v>
      </c>
      <c r="I2320" s="1" t="s">
        <v>130</v>
      </c>
      <c r="J2320" s="4">
        <f>IFERROR(__xludf.DUMMYFUNCTION("DATE(INDEX(SPLIT(I2320,""/""),,3),INDEX(SPLIT(I2320,""/""),,2),INDEX(SPLIT(I2320,""/""),,1))"),44804.0)</f>
        <v>44804</v>
      </c>
      <c r="L2320" s="1">
        <v>0.0</v>
      </c>
      <c r="M2320" s="1" t="s">
        <v>951</v>
      </c>
      <c r="N2320" s="1"/>
      <c r="O2320" s="1" t="s">
        <v>30</v>
      </c>
      <c r="P2320" s="1" t="s">
        <v>31</v>
      </c>
      <c r="Q2320" s="1" t="s">
        <v>157</v>
      </c>
      <c r="R2320" s="1" t="s">
        <v>157</v>
      </c>
      <c r="S2320" s="1" t="s">
        <v>158</v>
      </c>
      <c r="T2320" s="1" t="s">
        <v>159</v>
      </c>
      <c r="U2320" s="1">
        <v>1.00653269E8</v>
      </c>
      <c r="X2320" s="1" t="s">
        <v>74</v>
      </c>
      <c r="Y2320" s="1" t="s">
        <v>1938</v>
      </c>
      <c r="Z2320" s="1" t="s">
        <v>37</v>
      </c>
    </row>
    <row r="2321" hidden="1">
      <c r="A2321" s="1" t="s">
        <v>7231</v>
      </c>
      <c r="B2321" s="1" t="s">
        <v>700</v>
      </c>
      <c r="C2321" s="1" t="s">
        <v>7232</v>
      </c>
      <c r="D2321" s="1" t="s">
        <v>27</v>
      </c>
      <c r="E2321" s="1" t="s">
        <v>28</v>
      </c>
      <c r="F2321" s="2">
        <v>500000.0</v>
      </c>
      <c r="G2321" s="1" t="s">
        <v>3142</v>
      </c>
      <c r="H2321" s="4">
        <f>IFERROR(__xludf.DUMMYFUNCTION("DATE(INDEX(SPLIT(G2321,""/""),,3),INDEX(SPLIT(G2321,""/""),,2),INDEX(SPLIT(G2321,""/""),,1))"),44611.0)</f>
        <v>44611</v>
      </c>
      <c r="I2321" s="1" t="s">
        <v>569</v>
      </c>
      <c r="J2321" s="4">
        <f>IFERROR(__xludf.DUMMYFUNCTION("DATE(INDEX(SPLIT(I2321,""/""),,3),INDEX(SPLIT(I2321,""/""),,2),INDEX(SPLIT(I2321,""/""),,1))"),45016.0)</f>
        <v>45016</v>
      </c>
      <c r="L2321" s="1">
        <v>0.0</v>
      </c>
      <c r="M2321" s="1" t="s">
        <v>702</v>
      </c>
      <c r="N2321" s="1"/>
      <c r="O2321" s="1" t="s">
        <v>30</v>
      </c>
      <c r="P2321" s="1" t="s">
        <v>31</v>
      </c>
      <c r="Q2321" s="1" t="s">
        <v>95</v>
      </c>
      <c r="R2321" s="1" t="s">
        <v>95</v>
      </c>
      <c r="S2321" s="1" t="s">
        <v>96</v>
      </c>
      <c r="T2321" s="1" t="s">
        <v>311</v>
      </c>
      <c r="U2321" s="1">
        <v>1.00616804E8</v>
      </c>
      <c r="X2321" s="1" t="s">
        <v>98</v>
      </c>
      <c r="Y2321" s="1" t="s">
        <v>702</v>
      </c>
      <c r="Z2321" s="1" t="s">
        <v>37</v>
      </c>
    </row>
    <row r="2322" hidden="1">
      <c r="A2322" s="1" t="s">
        <v>7233</v>
      </c>
      <c r="B2322" s="1" t="s">
        <v>612</v>
      </c>
      <c r="C2322" s="1" t="s">
        <v>7234</v>
      </c>
      <c r="D2322" s="1" t="s">
        <v>27</v>
      </c>
      <c r="E2322" s="1" t="s">
        <v>28</v>
      </c>
      <c r="F2322" s="2">
        <v>500000.0</v>
      </c>
      <c r="G2322" s="1" t="s">
        <v>343</v>
      </c>
      <c r="H2322" s="4">
        <f>IFERROR(__xludf.DUMMYFUNCTION("DATE(INDEX(SPLIT(G2322,""/""),,3),INDEX(SPLIT(G2322,""/""),,2),INDEX(SPLIT(G2322,""/""),,1))"),44761.0)</f>
        <v>44761</v>
      </c>
      <c r="I2322" s="4">
        <v>44572.0</v>
      </c>
      <c r="J2322" s="4">
        <f>IFERROR(__xludf.DUMMYFUNCTION("DATE(INDEX(SPLIT(I2322,""/""),,3),INDEX(SPLIT(I2322,""/""),,2),INDEX(SPLIT(I2322,""/""),,1))"),44866.0)</f>
        <v>44866</v>
      </c>
      <c r="L2322" s="1">
        <v>0.0</v>
      </c>
      <c r="M2322" s="1" t="s">
        <v>1115</v>
      </c>
      <c r="N2322" s="1"/>
      <c r="O2322" s="1" t="s">
        <v>30</v>
      </c>
      <c r="P2322" s="1" t="s">
        <v>31</v>
      </c>
      <c r="Q2322" s="1" t="s">
        <v>157</v>
      </c>
      <c r="R2322" s="1" t="s">
        <v>157</v>
      </c>
      <c r="S2322" s="1" t="s">
        <v>158</v>
      </c>
      <c r="T2322" s="1" t="s">
        <v>442</v>
      </c>
      <c r="U2322" s="1">
        <v>1.00609827E8</v>
      </c>
      <c r="X2322" s="1" t="s">
        <v>490</v>
      </c>
      <c r="Y2322" s="1" t="s">
        <v>3904</v>
      </c>
      <c r="Z2322" s="1" t="s">
        <v>37</v>
      </c>
    </row>
    <row r="2323" hidden="1">
      <c r="A2323" s="1" t="s">
        <v>7235</v>
      </c>
      <c r="B2323" s="1" t="s">
        <v>6936</v>
      </c>
      <c r="C2323" s="1" t="s">
        <v>7236</v>
      </c>
      <c r="D2323" s="1" t="s">
        <v>78</v>
      </c>
      <c r="E2323" s="1" t="s">
        <v>28</v>
      </c>
      <c r="F2323" s="2">
        <v>500000.0</v>
      </c>
      <c r="G2323" s="1" t="s">
        <v>7237</v>
      </c>
      <c r="H2323" s="4">
        <f>IFERROR(__xludf.DUMMYFUNCTION("DATE(INDEX(SPLIT(G2323,""/""),,3),INDEX(SPLIT(G2323,""/""),,2),INDEX(SPLIT(G2323,""/""),,1))"),44127.0)</f>
        <v>44127</v>
      </c>
      <c r="I2323" s="1" t="s">
        <v>130</v>
      </c>
      <c r="J2323" s="4">
        <f>IFERROR(__xludf.DUMMYFUNCTION("DATE(INDEX(SPLIT(I2323,""/""),,3),INDEX(SPLIT(I2323,""/""),,2),INDEX(SPLIT(I2323,""/""),,1))"),44804.0)</f>
        <v>44804</v>
      </c>
      <c r="L2323" s="1">
        <v>0.0</v>
      </c>
      <c r="M2323" s="1" t="s">
        <v>234</v>
      </c>
      <c r="N2323" s="1"/>
      <c r="O2323" s="1" t="s">
        <v>30</v>
      </c>
      <c r="P2323" s="1" t="s">
        <v>31</v>
      </c>
      <c r="Q2323" s="1" t="s">
        <v>235</v>
      </c>
      <c r="R2323" s="1" t="s">
        <v>235</v>
      </c>
      <c r="S2323" s="1" t="s">
        <v>236</v>
      </c>
      <c r="T2323" s="1" t="s">
        <v>237</v>
      </c>
      <c r="U2323" s="1">
        <v>1.00658132E8</v>
      </c>
      <c r="X2323" s="1" t="s">
        <v>239</v>
      </c>
      <c r="Y2323" s="1" t="s">
        <v>234</v>
      </c>
      <c r="Z2323" s="1" t="s">
        <v>37</v>
      </c>
    </row>
    <row r="2324" hidden="1">
      <c r="A2324" s="1" t="s">
        <v>7238</v>
      </c>
      <c r="B2324" s="1" t="s">
        <v>612</v>
      </c>
      <c r="C2324" s="1" t="s">
        <v>7239</v>
      </c>
      <c r="D2324" s="1" t="s">
        <v>27</v>
      </c>
      <c r="E2324" s="1" t="s">
        <v>28</v>
      </c>
      <c r="F2324" s="2">
        <v>500000.0</v>
      </c>
      <c r="G2324" s="1" t="s">
        <v>343</v>
      </c>
      <c r="H2324" s="4">
        <f>IFERROR(__xludf.DUMMYFUNCTION("DATE(INDEX(SPLIT(G2324,""/""),,3),INDEX(SPLIT(G2324,""/""),,2),INDEX(SPLIT(G2324,""/""),,1))"),44761.0)</f>
        <v>44761</v>
      </c>
      <c r="I2324" s="4">
        <v>44572.0</v>
      </c>
      <c r="J2324" s="4">
        <f>IFERROR(__xludf.DUMMYFUNCTION("DATE(INDEX(SPLIT(I2324,""/""),,3),INDEX(SPLIT(I2324,""/""),,2),INDEX(SPLIT(I2324,""/""),,1))"),44866.0)</f>
        <v>44866</v>
      </c>
      <c r="L2324" s="1">
        <v>0.0</v>
      </c>
      <c r="M2324" s="1" t="s">
        <v>1115</v>
      </c>
      <c r="N2324" s="1"/>
      <c r="O2324" s="1" t="s">
        <v>30</v>
      </c>
      <c r="P2324" s="1" t="s">
        <v>31</v>
      </c>
      <c r="Q2324" s="1" t="s">
        <v>157</v>
      </c>
      <c r="R2324" s="1" t="s">
        <v>157</v>
      </c>
      <c r="S2324" s="1" t="s">
        <v>158</v>
      </c>
      <c r="T2324" s="1" t="s">
        <v>442</v>
      </c>
      <c r="U2324" s="1">
        <v>1.00609827E8</v>
      </c>
      <c r="X2324" s="1" t="s">
        <v>490</v>
      </c>
      <c r="Y2324" s="1" t="s">
        <v>3904</v>
      </c>
      <c r="Z2324" s="1" t="s">
        <v>37</v>
      </c>
    </row>
    <row r="2325" hidden="1">
      <c r="A2325" s="1" t="s">
        <v>7240</v>
      </c>
      <c r="B2325" s="1" t="s">
        <v>6432</v>
      </c>
      <c r="C2325" s="1" t="s">
        <v>7241</v>
      </c>
      <c r="D2325" s="1" t="s">
        <v>27</v>
      </c>
      <c r="E2325" s="1" t="s">
        <v>28</v>
      </c>
      <c r="F2325" s="2">
        <v>500000.0</v>
      </c>
      <c r="G2325" s="1" t="s">
        <v>935</v>
      </c>
      <c r="H2325" s="4">
        <f>IFERROR(__xludf.DUMMYFUNCTION("DATE(INDEX(SPLIT(G2325,""/""),,3),INDEX(SPLIT(G2325,""/""),,2),INDEX(SPLIT(G2325,""/""),,1))"),44764.0)</f>
        <v>44764</v>
      </c>
      <c r="I2325" s="1" t="s">
        <v>281</v>
      </c>
      <c r="J2325" s="4">
        <f>IFERROR(__xludf.DUMMYFUNCTION("DATE(INDEX(SPLIT(I2325,""/""),,3),INDEX(SPLIT(I2325,""/""),,2),INDEX(SPLIT(I2325,""/""),,1))"),44865.0)</f>
        <v>44865</v>
      </c>
      <c r="L2325" s="1">
        <v>0.0</v>
      </c>
      <c r="M2325" s="1" t="s">
        <v>1072</v>
      </c>
      <c r="N2325" s="1"/>
      <c r="O2325" s="1" t="s">
        <v>30</v>
      </c>
      <c r="P2325" s="1" t="s">
        <v>31</v>
      </c>
      <c r="Q2325" s="1" t="s">
        <v>157</v>
      </c>
      <c r="R2325" s="1" t="s">
        <v>157</v>
      </c>
      <c r="S2325" s="1" t="s">
        <v>158</v>
      </c>
      <c r="T2325" s="1" t="s">
        <v>571</v>
      </c>
      <c r="U2325" s="1">
        <v>1.00594872E8</v>
      </c>
      <c r="X2325" s="1" t="s">
        <v>289</v>
      </c>
      <c r="Y2325" s="1" t="s">
        <v>1072</v>
      </c>
      <c r="Z2325" s="1" t="s">
        <v>37</v>
      </c>
    </row>
    <row r="2326" hidden="1">
      <c r="A2326" s="1" t="s">
        <v>7242</v>
      </c>
      <c r="B2326" s="1" t="s">
        <v>1070</v>
      </c>
      <c r="C2326" s="1" t="s">
        <v>7243</v>
      </c>
      <c r="D2326" s="1" t="s">
        <v>27</v>
      </c>
      <c r="E2326" s="1" t="s">
        <v>28</v>
      </c>
      <c r="F2326" s="2">
        <v>500000.0</v>
      </c>
      <c r="G2326" s="1" t="s">
        <v>935</v>
      </c>
      <c r="H2326" s="4">
        <f>IFERROR(__xludf.DUMMYFUNCTION("DATE(INDEX(SPLIT(G2326,""/""),,3),INDEX(SPLIT(G2326,""/""),,2),INDEX(SPLIT(G2326,""/""),,1))"),44764.0)</f>
        <v>44764</v>
      </c>
      <c r="I2326" s="4">
        <v>44601.0</v>
      </c>
      <c r="J2326" s="4">
        <f>IFERROR(__xludf.DUMMYFUNCTION("DATE(INDEX(SPLIT(I2326,""/""),,3),INDEX(SPLIT(I2326,""/""),,2),INDEX(SPLIT(I2326,""/""),,1))"),44806.0)</f>
        <v>44806</v>
      </c>
      <c r="L2326" s="1">
        <v>0.0</v>
      </c>
      <c r="M2326" s="1" t="s">
        <v>1072</v>
      </c>
      <c r="N2326" s="1"/>
      <c r="O2326" s="1" t="s">
        <v>30</v>
      </c>
      <c r="P2326" s="1" t="s">
        <v>31</v>
      </c>
      <c r="Q2326" s="1" t="s">
        <v>157</v>
      </c>
      <c r="R2326" s="1" t="s">
        <v>157</v>
      </c>
      <c r="S2326" s="1" t="s">
        <v>158</v>
      </c>
      <c r="U2326" s="1">
        <v>1.00594872E8</v>
      </c>
      <c r="X2326" s="1" t="s">
        <v>305</v>
      </c>
      <c r="Y2326" s="1" t="s">
        <v>1072</v>
      </c>
      <c r="Z2326" s="1" t="s">
        <v>37</v>
      </c>
    </row>
    <row r="2327" hidden="1">
      <c r="A2327" s="1" t="s">
        <v>7244</v>
      </c>
      <c r="B2327" s="1" t="s">
        <v>948</v>
      </c>
      <c r="C2327" s="1" t="s">
        <v>7245</v>
      </c>
      <c r="D2327" s="1" t="s">
        <v>78</v>
      </c>
      <c r="E2327" s="1" t="s">
        <v>28</v>
      </c>
      <c r="F2327" s="2">
        <v>500000.0</v>
      </c>
      <c r="G2327" s="1" t="s">
        <v>7246</v>
      </c>
      <c r="H2327" s="4">
        <f>IFERROR(__xludf.DUMMYFUNCTION("DATE(INDEX(SPLIT(G2327,""/""),,3),INDEX(SPLIT(G2327,""/""),,2),INDEX(SPLIT(G2327,""/""),,1))"),44060.0)</f>
        <v>44060</v>
      </c>
      <c r="I2327" s="1" t="s">
        <v>130</v>
      </c>
      <c r="J2327" s="4">
        <f>IFERROR(__xludf.DUMMYFUNCTION("DATE(INDEX(SPLIT(I2327,""/""),,3),INDEX(SPLIT(I2327,""/""),,2),INDEX(SPLIT(I2327,""/""),,1))"),44804.0)</f>
        <v>44804</v>
      </c>
      <c r="L2327" s="1">
        <v>0.0</v>
      </c>
      <c r="M2327" s="1" t="s">
        <v>5020</v>
      </c>
      <c r="N2327" s="1"/>
      <c r="O2327" s="1" t="s">
        <v>30</v>
      </c>
      <c r="P2327" s="1" t="s">
        <v>31</v>
      </c>
      <c r="Q2327" s="1" t="s">
        <v>157</v>
      </c>
      <c r="R2327" s="1" t="s">
        <v>157</v>
      </c>
      <c r="S2327" s="1" t="s">
        <v>158</v>
      </c>
      <c r="T2327" s="1" t="s">
        <v>1427</v>
      </c>
      <c r="U2327" s="1">
        <v>1.0064746E8</v>
      </c>
      <c r="X2327" s="1" t="s">
        <v>74</v>
      </c>
      <c r="Y2327" s="1" t="s">
        <v>5020</v>
      </c>
      <c r="Z2327" s="1" t="s">
        <v>37</v>
      </c>
    </row>
    <row r="2328" hidden="1">
      <c r="A2328" s="1" t="s">
        <v>7247</v>
      </c>
      <c r="B2328" s="1" t="s">
        <v>1634</v>
      </c>
      <c r="C2328" s="1" t="s">
        <v>7248</v>
      </c>
      <c r="D2328" s="1" t="s">
        <v>122</v>
      </c>
      <c r="E2328" s="1" t="s">
        <v>28</v>
      </c>
      <c r="F2328" s="2">
        <v>500000.0</v>
      </c>
      <c r="G2328" s="1" t="s">
        <v>7249</v>
      </c>
      <c r="H2328" s="4">
        <f>IFERROR(__xludf.DUMMYFUNCTION("DATE(INDEX(SPLIT(G2328,""/""),,3),INDEX(SPLIT(G2328,""/""),,2),INDEX(SPLIT(G2328,""/""),,1))"),44281.0)</f>
        <v>44281</v>
      </c>
      <c r="I2328" s="1" t="s">
        <v>130</v>
      </c>
      <c r="J2328" s="4">
        <f>IFERROR(__xludf.DUMMYFUNCTION("DATE(INDEX(SPLIT(I2328,""/""),,3),INDEX(SPLIT(I2328,""/""),,2),INDEX(SPLIT(I2328,""/""),,1))"),44804.0)</f>
        <v>44804</v>
      </c>
      <c r="L2328" s="1">
        <v>0.0</v>
      </c>
      <c r="M2328" s="1" t="s">
        <v>898</v>
      </c>
      <c r="N2328" s="1"/>
      <c r="O2328" s="1" t="s">
        <v>30</v>
      </c>
      <c r="P2328" s="1" t="s">
        <v>31</v>
      </c>
      <c r="Q2328" s="1" t="s">
        <v>71</v>
      </c>
      <c r="R2328" s="1" t="s">
        <v>71</v>
      </c>
      <c r="S2328" s="1" t="s">
        <v>72</v>
      </c>
      <c r="T2328" s="1" t="s">
        <v>615</v>
      </c>
      <c r="U2328" s="1">
        <v>1.00589481E8</v>
      </c>
      <c r="X2328" s="1" t="s">
        <v>490</v>
      </c>
      <c r="Y2328" s="1" t="s">
        <v>898</v>
      </c>
      <c r="Z2328" s="1" t="s">
        <v>37</v>
      </c>
    </row>
    <row r="2329" hidden="1">
      <c r="A2329" s="1" t="s">
        <v>7250</v>
      </c>
      <c r="B2329" s="1" t="s">
        <v>784</v>
      </c>
      <c r="C2329" s="1" t="s">
        <v>7251</v>
      </c>
      <c r="D2329" s="1" t="s">
        <v>27</v>
      </c>
      <c r="E2329" s="1" t="s">
        <v>28</v>
      </c>
      <c r="F2329" s="2">
        <v>500000.0</v>
      </c>
      <c r="G2329" s="1" t="s">
        <v>394</v>
      </c>
      <c r="H2329" s="4">
        <f>IFERROR(__xludf.DUMMYFUNCTION("DATE(INDEX(SPLIT(G2329,""/""),,3),INDEX(SPLIT(G2329,""/""),,2),INDEX(SPLIT(G2329,""/""),,1))"),44677.0)</f>
        <v>44677</v>
      </c>
      <c r="I2329" s="1" t="s">
        <v>1799</v>
      </c>
      <c r="J2329" s="4">
        <f>IFERROR(__xludf.DUMMYFUNCTION("DATE(INDEX(SPLIT(I2329,""/""),,3),INDEX(SPLIT(I2329,""/""),,2),INDEX(SPLIT(I2329,""/""),,1))"),44788.0)</f>
        <v>44788</v>
      </c>
      <c r="L2329" s="1">
        <v>0.0</v>
      </c>
      <c r="M2329" s="1" t="s">
        <v>7252</v>
      </c>
      <c r="N2329" s="1"/>
      <c r="O2329" s="1" t="s">
        <v>30</v>
      </c>
      <c r="P2329" s="1" t="s">
        <v>31</v>
      </c>
      <c r="Q2329" s="1" t="s">
        <v>157</v>
      </c>
      <c r="R2329" s="1" t="s">
        <v>157</v>
      </c>
      <c r="S2329" s="1" t="s">
        <v>158</v>
      </c>
      <c r="U2329" s="1">
        <v>1.00599152E8</v>
      </c>
      <c r="X2329" s="1" t="s">
        <v>63</v>
      </c>
      <c r="Y2329" s="1" t="s">
        <v>7204</v>
      </c>
      <c r="Z2329" s="1" t="s">
        <v>37</v>
      </c>
    </row>
    <row r="2330">
      <c r="A2330" s="1" t="s">
        <v>7253</v>
      </c>
      <c r="B2330" s="1" t="s">
        <v>501</v>
      </c>
      <c r="C2330" s="1" t="s">
        <v>7254</v>
      </c>
      <c r="D2330" s="1" t="s">
        <v>78</v>
      </c>
      <c r="E2330" s="1" t="s">
        <v>28</v>
      </c>
      <c r="F2330" s="2">
        <v>500000.0</v>
      </c>
      <c r="G2330" s="4">
        <v>44719.0</v>
      </c>
      <c r="H2330" s="4">
        <f>IFERROR(__xludf.DUMMYFUNCTION("DATE(INDEX(SPLIT(G2330,""/""),,3),INDEX(SPLIT(G2330,""/""),,2),INDEX(SPLIT(G2330,""/""),,1))"),44748.0)</f>
        <v>44748</v>
      </c>
      <c r="I2330" s="1" t="s">
        <v>69</v>
      </c>
      <c r="J2330" s="4">
        <f>IFERROR(__xludf.DUMMYFUNCTION("DATE(INDEX(SPLIT(I2330,""/""),,3),INDEX(SPLIT(I2330,""/""),,2),INDEX(SPLIT(I2330,""/""),,1))"),44773.0)</f>
        <v>44773</v>
      </c>
      <c r="L2330" s="1">
        <v>0.0</v>
      </c>
      <c r="M2330" s="1" t="s">
        <v>3717</v>
      </c>
      <c r="N2330" s="1"/>
      <c r="O2330" s="1" t="s">
        <v>30</v>
      </c>
      <c r="P2330" s="1" t="s">
        <v>31</v>
      </c>
      <c r="Q2330" s="1" t="s">
        <v>32</v>
      </c>
      <c r="R2330" s="1" t="s">
        <v>32</v>
      </c>
      <c r="S2330" s="1" t="s">
        <v>33</v>
      </c>
      <c r="U2330" s="1">
        <v>1.00651946E8</v>
      </c>
      <c r="X2330" s="1" t="s">
        <v>410</v>
      </c>
      <c r="Y2330" s="1" t="s">
        <v>5225</v>
      </c>
      <c r="Z2330" s="1" t="s">
        <v>37</v>
      </c>
    </row>
    <row r="2331" hidden="1">
      <c r="A2331" s="1" t="s">
        <v>7255</v>
      </c>
      <c r="B2331" s="1" t="s">
        <v>7256</v>
      </c>
      <c r="C2331" s="1" t="s">
        <v>7257</v>
      </c>
      <c r="D2331" s="1" t="s">
        <v>27</v>
      </c>
      <c r="E2331" s="1" t="s">
        <v>28</v>
      </c>
      <c r="F2331" s="2">
        <v>500000.0</v>
      </c>
      <c r="G2331" s="1" t="s">
        <v>5736</v>
      </c>
      <c r="H2331" s="4">
        <f>IFERROR(__xludf.DUMMYFUNCTION("DATE(INDEX(SPLIT(G2331,""/""),,3),INDEX(SPLIT(G2331,""/""),,2),INDEX(SPLIT(G2331,""/""),,1))"),43997.0)</f>
        <v>43997</v>
      </c>
      <c r="I2331" s="1" t="s">
        <v>1097</v>
      </c>
      <c r="J2331" s="4">
        <f>IFERROR(__xludf.DUMMYFUNCTION("DATE(INDEX(SPLIT(I2331,""/""),,3),INDEX(SPLIT(I2331,""/""),,2),INDEX(SPLIT(I2331,""/""),,1))"),45107.0)</f>
        <v>45107</v>
      </c>
      <c r="L2331" s="1">
        <v>0.0</v>
      </c>
      <c r="M2331" s="1" t="s">
        <v>2592</v>
      </c>
      <c r="N2331" s="1"/>
      <c r="O2331" s="1" t="s">
        <v>30</v>
      </c>
      <c r="P2331" s="1" t="s">
        <v>31</v>
      </c>
      <c r="Q2331" s="1" t="s">
        <v>71</v>
      </c>
      <c r="R2331" s="1" t="s">
        <v>71</v>
      </c>
      <c r="S2331" s="1" t="s">
        <v>72</v>
      </c>
      <c r="T2331" s="1" t="s">
        <v>136</v>
      </c>
      <c r="U2331" s="1">
        <v>1.00586452E8</v>
      </c>
      <c r="X2331" s="1" t="s">
        <v>74</v>
      </c>
      <c r="Y2331" s="1" t="s">
        <v>5737</v>
      </c>
      <c r="Z2331" s="1" t="s">
        <v>37</v>
      </c>
    </row>
    <row r="2332">
      <c r="A2332" s="1" t="s">
        <v>7258</v>
      </c>
      <c r="B2332" s="1" t="s">
        <v>954</v>
      </c>
      <c r="C2332" s="1" t="s">
        <v>7259</v>
      </c>
      <c r="D2332" s="1" t="s">
        <v>78</v>
      </c>
      <c r="E2332" s="1" t="s">
        <v>28</v>
      </c>
      <c r="F2332" s="2">
        <v>500000.0</v>
      </c>
      <c r="G2332" s="4">
        <v>44837.0</v>
      </c>
      <c r="H2332" s="4">
        <f>IFERROR(__xludf.DUMMYFUNCTION("DATE(INDEX(SPLIT(G2332,""/""),,3),INDEX(SPLIT(G2332,""/""),,2),INDEX(SPLIT(G2332,""/""),,1))"),44630.0)</f>
        <v>44630</v>
      </c>
      <c r="I2332" s="1" t="s">
        <v>69</v>
      </c>
      <c r="J2332" s="4">
        <f>IFERROR(__xludf.DUMMYFUNCTION("DATE(INDEX(SPLIT(I2332,""/""),,3),INDEX(SPLIT(I2332,""/""),,2),INDEX(SPLIT(I2332,""/""),,1))"),44773.0)</f>
        <v>44773</v>
      </c>
      <c r="L2332" s="1">
        <v>0.0</v>
      </c>
      <c r="M2332" s="1" t="s">
        <v>70</v>
      </c>
      <c r="N2332" s="1"/>
      <c r="O2332" s="1" t="s">
        <v>30</v>
      </c>
      <c r="P2332" s="1" t="s">
        <v>31</v>
      </c>
      <c r="Q2332" s="1" t="s">
        <v>71</v>
      </c>
      <c r="R2332" s="1" t="s">
        <v>71</v>
      </c>
      <c r="S2332" s="1" t="s">
        <v>72</v>
      </c>
      <c r="T2332" s="1" t="s">
        <v>73</v>
      </c>
      <c r="U2332" s="1">
        <v>1.00640331E8</v>
      </c>
      <c r="X2332" s="1" t="s">
        <v>74</v>
      </c>
      <c r="Y2332" s="1" t="s">
        <v>70</v>
      </c>
      <c r="Z2332" s="1" t="s">
        <v>37</v>
      </c>
    </row>
    <row r="2333">
      <c r="A2333" s="1" t="s">
        <v>7260</v>
      </c>
      <c r="B2333" s="1" t="s">
        <v>954</v>
      </c>
      <c r="C2333" s="1" t="s">
        <v>7261</v>
      </c>
      <c r="D2333" s="1" t="s">
        <v>27</v>
      </c>
      <c r="E2333" s="1" t="s">
        <v>28</v>
      </c>
      <c r="F2333" s="2">
        <v>500000.0</v>
      </c>
      <c r="G2333" s="4">
        <v>44837.0</v>
      </c>
      <c r="H2333" s="4">
        <f>IFERROR(__xludf.DUMMYFUNCTION("DATE(INDEX(SPLIT(G2333,""/""),,3),INDEX(SPLIT(G2333,""/""),,2),INDEX(SPLIT(G2333,""/""),,1))"),44630.0)</f>
        <v>44630</v>
      </c>
      <c r="I2333" s="1" t="s">
        <v>1244</v>
      </c>
      <c r="J2333" s="4">
        <f>IFERROR(__xludf.DUMMYFUNCTION("DATE(INDEX(SPLIT(I2333,""/""),,3),INDEX(SPLIT(I2333,""/""),,2),INDEX(SPLIT(I2333,""/""),,1))"),44742.0)</f>
        <v>44742</v>
      </c>
      <c r="L2333" s="1">
        <v>0.0</v>
      </c>
      <c r="M2333" s="1" t="s">
        <v>70</v>
      </c>
      <c r="N2333" s="1"/>
      <c r="O2333" s="1" t="s">
        <v>30</v>
      </c>
      <c r="P2333" s="1" t="s">
        <v>31</v>
      </c>
      <c r="Q2333" s="1" t="s">
        <v>71</v>
      </c>
      <c r="R2333" s="1" t="s">
        <v>71</v>
      </c>
      <c r="S2333" s="1" t="s">
        <v>72</v>
      </c>
      <c r="T2333" s="1" t="s">
        <v>73</v>
      </c>
      <c r="U2333" s="1">
        <v>1.00640331E8</v>
      </c>
      <c r="X2333" s="1" t="s">
        <v>74</v>
      </c>
      <c r="Y2333" s="1" t="s">
        <v>70</v>
      </c>
      <c r="Z2333" s="1" t="s">
        <v>37</v>
      </c>
    </row>
    <row r="2334" hidden="1">
      <c r="A2334" s="1" t="s">
        <v>7262</v>
      </c>
      <c r="B2334" s="1" t="s">
        <v>546</v>
      </c>
      <c r="C2334" s="1" t="s">
        <v>7263</v>
      </c>
      <c r="D2334" s="1" t="s">
        <v>27</v>
      </c>
      <c r="E2334" s="1" t="s">
        <v>28</v>
      </c>
      <c r="F2334" s="2">
        <v>500000.0</v>
      </c>
      <c r="G2334" s="1" t="s">
        <v>275</v>
      </c>
      <c r="H2334" s="4">
        <f>IFERROR(__xludf.DUMMYFUNCTION("DATE(INDEX(SPLIT(G2334,""/""),,3),INDEX(SPLIT(G2334,""/""),,2),INDEX(SPLIT(G2334,""/""),,1))"),44462.0)</f>
        <v>44462</v>
      </c>
      <c r="I2334" s="1" t="s">
        <v>109</v>
      </c>
      <c r="J2334" s="4">
        <f>IFERROR(__xludf.DUMMYFUNCTION("DATE(INDEX(SPLIT(I2334,""/""),,3),INDEX(SPLIT(I2334,""/""),,2),INDEX(SPLIT(I2334,""/""),,1))"),44834.0)</f>
        <v>44834</v>
      </c>
      <c r="L2334" s="1">
        <v>0.0</v>
      </c>
      <c r="M2334" s="1" t="s">
        <v>1723</v>
      </c>
      <c r="N2334" s="1"/>
      <c r="O2334" s="1" t="s">
        <v>30</v>
      </c>
      <c r="P2334" s="1" t="s">
        <v>31</v>
      </c>
      <c r="Q2334" s="1" t="s">
        <v>157</v>
      </c>
      <c r="R2334" s="1" t="s">
        <v>157</v>
      </c>
      <c r="S2334" s="1" t="s">
        <v>158</v>
      </c>
      <c r="T2334" s="1" t="s">
        <v>7178</v>
      </c>
      <c r="U2334" s="1">
        <v>1.00654085E8</v>
      </c>
      <c r="X2334" s="1" t="s">
        <v>74</v>
      </c>
      <c r="Y2334" s="1" t="s">
        <v>1622</v>
      </c>
      <c r="Z2334" s="1" t="s">
        <v>37</v>
      </c>
    </row>
    <row r="2335" hidden="1">
      <c r="A2335" s="1" t="s">
        <v>7264</v>
      </c>
      <c r="B2335" s="1" t="s">
        <v>4066</v>
      </c>
      <c r="C2335" s="1" t="s">
        <v>7265</v>
      </c>
      <c r="D2335" s="1" t="s">
        <v>27</v>
      </c>
      <c r="E2335" s="1" t="s">
        <v>28</v>
      </c>
      <c r="F2335" s="2">
        <v>500000.0</v>
      </c>
      <c r="G2335" s="1" t="s">
        <v>6460</v>
      </c>
      <c r="H2335" s="4">
        <f>IFERROR(__xludf.DUMMYFUNCTION("DATE(INDEX(SPLIT(G2335,""/""),,3),INDEX(SPLIT(G2335,""/""),,2),INDEX(SPLIT(G2335,""/""),,1))"),44433.0)</f>
        <v>44433</v>
      </c>
      <c r="I2335" s="4">
        <v>44933.0</v>
      </c>
      <c r="J2335" s="4">
        <f>IFERROR(__xludf.DUMMYFUNCTION("DATE(INDEX(SPLIT(I2335,""/""),,3),INDEX(SPLIT(I2335,""/""),,2),INDEX(SPLIT(I2335,""/""),,1))"),45108.0)</f>
        <v>45108</v>
      </c>
      <c r="L2335" s="1">
        <v>0.0</v>
      </c>
      <c r="M2335" s="1" t="s">
        <v>1009</v>
      </c>
      <c r="N2335" s="1"/>
      <c r="O2335" s="1" t="s">
        <v>30</v>
      </c>
      <c r="P2335" s="1" t="s">
        <v>31</v>
      </c>
      <c r="Q2335" s="1" t="s">
        <v>95</v>
      </c>
      <c r="R2335" s="1" t="s">
        <v>95</v>
      </c>
      <c r="S2335" s="1" t="s">
        <v>96</v>
      </c>
      <c r="T2335" s="1" t="s">
        <v>159</v>
      </c>
      <c r="U2335" s="1">
        <v>1.00592304E8</v>
      </c>
      <c r="X2335" s="1" t="s">
        <v>74</v>
      </c>
      <c r="Y2335" s="1" t="s">
        <v>4068</v>
      </c>
      <c r="Z2335" s="1" t="s">
        <v>37</v>
      </c>
    </row>
    <row r="2336" hidden="1">
      <c r="A2336" s="1" t="s">
        <v>7266</v>
      </c>
      <c r="B2336" s="1" t="s">
        <v>1748</v>
      </c>
      <c r="C2336" s="1" t="s">
        <v>7267</v>
      </c>
      <c r="D2336" s="1" t="s">
        <v>27</v>
      </c>
      <c r="E2336" s="1" t="s">
        <v>28</v>
      </c>
      <c r="F2336" s="2">
        <v>500000.0</v>
      </c>
      <c r="G2336" s="4">
        <v>44623.0</v>
      </c>
      <c r="H2336" s="4">
        <f>IFERROR(__xludf.DUMMYFUNCTION("DATE(INDEX(SPLIT(G2336,""/""),,3),INDEX(SPLIT(G2336,""/""),,2),INDEX(SPLIT(G2336,""/""),,1))"),44623.0)</f>
        <v>44623</v>
      </c>
      <c r="I2336" s="1" t="s">
        <v>7268</v>
      </c>
      <c r="J2336" s="4">
        <f>IFERROR(__xludf.DUMMYFUNCTION("DATE(INDEX(SPLIT(I2336,""/""),,3),INDEX(SPLIT(I2336,""/""),,2),INDEX(SPLIT(I2336,""/""),,1))"),44888.0)</f>
        <v>44888</v>
      </c>
      <c r="L2336" s="1">
        <v>0.0</v>
      </c>
      <c r="M2336" s="1" t="s">
        <v>437</v>
      </c>
      <c r="N2336" s="1"/>
      <c r="O2336" s="1" t="s">
        <v>30</v>
      </c>
      <c r="P2336" s="1" t="s">
        <v>31</v>
      </c>
      <c r="Q2336" s="1" t="s">
        <v>235</v>
      </c>
      <c r="R2336" s="1" t="s">
        <v>235</v>
      </c>
      <c r="S2336" s="1" t="s">
        <v>236</v>
      </c>
      <c r="T2336" s="1" t="s">
        <v>1349</v>
      </c>
      <c r="U2336" s="1">
        <v>1.00650375E8</v>
      </c>
      <c r="X2336" s="1" t="s">
        <v>88</v>
      </c>
      <c r="Y2336" s="1" t="s">
        <v>437</v>
      </c>
      <c r="Z2336" s="1" t="s">
        <v>37</v>
      </c>
    </row>
    <row r="2337" hidden="1">
      <c r="A2337" s="1" t="s">
        <v>7269</v>
      </c>
      <c r="B2337" s="1" t="s">
        <v>1506</v>
      </c>
      <c r="C2337" s="1" t="s">
        <v>7270</v>
      </c>
      <c r="D2337" s="1" t="s">
        <v>78</v>
      </c>
      <c r="E2337" s="1" t="s">
        <v>28</v>
      </c>
      <c r="F2337" s="2">
        <v>500000.0</v>
      </c>
      <c r="G2337" s="1" t="s">
        <v>275</v>
      </c>
      <c r="H2337" s="4">
        <f>IFERROR(__xludf.DUMMYFUNCTION("DATE(INDEX(SPLIT(G2337,""/""),,3),INDEX(SPLIT(G2337,""/""),,2),INDEX(SPLIT(G2337,""/""),,1))"),44462.0)</f>
        <v>44462</v>
      </c>
      <c r="I2337" s="1" t="s">
        <v>165</v>
      </c>
      <c r="J2337" s="4">
        <f>IFERROR(__xludf.DUMMYFUNCTION("DATE(INDEX(SPLIT(I2337,""/""),,3),INDEX(SPLIT(I2337,""/""),,2),INDEX(SPLIT(I2337,""/""),,1))"),44803.0)</f>
        <v>44803</v>
      </c>
      <c r="L2337" s="1">
        <v>0.0</v>
      </c>
      <c r="M2337" s="1" t="s">
        <v>1741</v>
      </c>
      <c r="N2337" s="1"/>
      <c r="O2337" s="1" t="s">
        <v>30</v>
      </c>
      <c r="P2337" s="1" t="s">
        <v>31</v>
      </c>
      <c r="Q2337" s="1" t="s">
        <v>32</v>
      </c>
      <c r="R2337" s="1" t="s">
        <v>32</v>
      </c>
      <c r="S2337" s="1" t="s">
        <v>33</v>
      </c>
      <c r="T2337" s="1" t="s">
        <v>103</v>
      </c>
      <c r="U2337" s="1">
        <v>1.00645852E8</v>
      </c>
      <c r="X2337" s="1" t="s">
        <v>35</v>
      </c>
      <c r="Y2337" s="1" t="s">
        <v>7271</v>
      </c>
      <c r="Z2337" s="1" t="s">
        <v>37</v>
      </c>
    </row>
    <row r="2338" hidden="1">
      <c r="A2338" s="1" t="s">
        <v>7272</v>
      </c>
      <c r="B2338" s="1" t="s">
        <v>1535</v>
      </c>
      <c r="C2338" s="1" t="s">
        <v>7273</v>
      </c>
      <c r="D2338" s="1" t="s">
        <v>27</v>
      </c>
      <c r="E2338" s="1" t="s">
        <v>28</v>
      </c>
      <c r="F2338" s="2">
        <v>500000.0</v>
      </c>
      <c r="G2338" s="1" t="s">
        <v>7274</v>
      </c>
      <c r="H2338" s="4">
        <f>IFERROR(__xludf.DUMMYFUNCTION("DATE(INDEX(SPLIT(G2338,""/""),,3),INDEX(SPLIT(G2338,""/""),,2),INDEX(SPLIT(G2338,""/""),,1))"),44403.0)</f>
        <v>44403</v>
      </c>
      <c r="I2338" s="1" t="s">
        <v>85</v>
      </c>
      <c r="J2338" s="4">
        <f>IFERROR(__xludf.DUMMYFUNCTION("DATE(INDEX(SPLIT(I2338,""/""),,3),INDEX(SPLIT(I2338,""/""),,2),INDEX(SPLIT(I2338,""/""),,1))"),44799.0)</f>
        <v>44799</v>
      </c>
      <c r="L2338" s="1">
        <v>0.0</v>
      </c>
      <c r="M2338" s="1" t="s">
        <v>1514</v>
      </c>
      <c r="N2338" s="1"/>
      <c r="O2338" s="1" t="s">
        <v>30</v>
      </c>
      <c r="P2338" s="1" t="s">
        <v>31</v>
      </c>
      <c r="Q2338" s="1" t="s">
        <v>71</v>
      </c>
      <c r="R2338" s="1" t="s">
        <v>71</v>
      </c>
      <c r="S2338" s="1" t="s">
        <v>72</v>
      </c>
      <c r="T2338" s="1" t="s">
        <v>615</v>
      </c>
      <c r="U2338" s="1">
        <v>1.006324E8</v>
      </c>
      <c r="X2338" s="1" t="s">
        <v>490</v>
      </c>
      <c r="Y2338" s="1" t="s">
        <v>1514</v>
      </c>
      <c r="Z2338" s="1" t="s">
        <v>37</v>
      </c>
    </row>
    <row r="2339" hidden="1">
      <c r="A2339" s="1" t="s">
        <v>7275</v>
      </c>
      <c r="B2339" s="1" t="s">
        <v>1535</v>
      </c>
      <c r="C2339" s="1" t="s">
        <v>7276</v>
      </c>
      <c r="D2339" s="1" t="s">
        <v>78</v>
      </c>
      <c r="E2339" s="1" t="s">
        <v>28</v>
      </c>
      <c r="F2339" s="2">
        <v>500000.0</v>
      </c>
      <c r="G2339" s="1" t="s">
        <v>7274</v>
      </c>
      <c r="H2339" s="4">
        <f>IFERROR(__xludf.DUMMYFUNCTION("DATE(INDEX(SPLIT(G2339,""/""),,3),INDEX(SPLIT(G2339,""/""),,2),INDEX(SPLIT(G2339,""/""),,1))"),44403.0)</f>
        <v>44403</v>
      </c>
      <c r="I2339" s="1" t="s">
        <v>85</v>
      </c>
      <c r="J2339" s="4">
        <f>IFERROR(__xludf.DUMMYFUNCTION("DATE(INDEX(SPLIT(I2339,""/""),,3),INDEX(SPLIT(I2339,""/""),,2),INDEX(SPLIT(I2339,""/""),,1))"),44799.0)</f>
        <v>44799</v>
      </c>
      <c r="L2339" s="1">
        <v>0.0</v>
      </c>
      <c r="M2339" s="1" t="s">
        <v>1514</v>
      </c>
      <c r="N2339" s="1"/>
      <c r="O2339" s="1" t="s">
        <v>30</v>
      </c>
      <c r="P2339" s="1" t="s">
        <v>31</v>
      </c>
      <c r="Q2339" s="1" t="s">
        <v>71</v>
      </c>
      <c r="R2339" s="1" t="s">
        <v>71</v>
      </c>
      <c r="S2339" s="1" t="s">
        <v>72</v>
      </c>
      <c r="T2339" s="1" t="s">
        <v>615</v>
      </c>
      <c r="U2339" s="1">
        <v>1.006324E8</v>
      </c>
      <c r="X2339" s="1" t="s">
        <v>490</v>
      </c>
      <c r="Y2339" s="1" t="s">
        <v>1514</v>
      </c>
      <c r="Z2339" s="1" t="s">
        <v>37</v>
      </c>
    </row>
    <row r="2340" hidden="1">
      <c r="A2340" s="1" t="s">
        <v>7277</v>
      </c>
      <c r="B2340" s="1" t="s">
        <v>784</v>
      </c>
      <c r="C2340" s="1" t="s">
        <v>7278</v>
      </c>
      <c r="D2340" s="1" t="s">
        <v>27</v>
      </c>
      <c r="E2340" s="1" t="s">
        <v>28</v>
      </c>
      <c r="F2340" s="2">
        <v>500000.0</v>
      </c>
      <c r="G2340" s="4">
        <v>44900.0</v>
      </c>
      <c r="H2340" s="4">
        <f>IFERROR(__xludf.DUMMYFUNCTION("DATE(INDEX(SPLIT(G2340,""/""),,3),INDEX(SPLIT(G2340,""/""),,2),INDEX(SPLIT(G2340,""/""),,1))"),44693.0)</f>
        <v>44693</v>
      </c>
      <c r="I2340" s="4">
        <v>45261.0</v>
      </c>
      <c r="J2340" s="4">
        <f>IFERROR(__xludf.DUMMYFUNCTION("DATE(INDEX(SPLIT(I2340,""/""),,3),INDEX(SPLIT(I2340,""/""),,2),INDEX(SPLIT(I2340,""/""),,1))"),44938.0)</f>
        <v>44938</v>
      </c>
      <c r="L2340" s="1">
        <v>0.0</v>
      </c>
      <c r="M2340" s="1" t="s">
        <v>7279</v>
      </c>
      <c r="N2340" s="1"/>
      <c r="O2340" s="1" t="s">
        <v>30</v>
      </c>
      <c r="P2340" s="1" t="s">
        <v>31</v>
      </c>
      <c r="Q2340" s="1" t="s">
        <v>157</v>
      </c>
      <c r="R2340" s="1" t="s">
        <v>157</v>
      </c>
      <c r="S2340" s="1" t="s">
        <v>158</v>
      </c>
      <c r="U2340" s="1">
        <v>1.00686054E8</v>
      </c>
      <c r="X2340" s="1" t="s">
        <v>63</v>
      </c>
      <c r="Y2340" s="1" t="s">
        <v>7279</v>
      </c>
      <c r="Z2340" s="1" t="s">
        <v>527</v>
      </c>
    </row>
    <row r="2341" hidden="1">
      <c r="A2341" s="1" t="s">
        <v>7280</v>
      </c>
      <c r="B2341" s="1" t="s">
        <v>1634</v>
      </c>
      <c r="C2341" s="1" t="s">
        <v>7281</v>
      </c>
      <c r="D2341" s="1" t="s">
        <v>27</v>
      </c>
      <c r="E2341" s="1" t="s">
        <v>28</v>
      </c>
      <c r="F2341" s="2">
        <v>500000.0</v>
      </c>
      <c r="G2341" s="4">
        <v>44623.0</v>
      </c>
      <c r="H2341" s="4">
        <f>IFERROR(__xludf.DUMMYFUNCTION("DATE(INDEX(SPLIT(G2341,""/""),,3),INDEX(SPLIT(G2341,""/""),,2),INDEX(SPLIT(G2341,""/""),,1))"),44623.0)</f>
        <v>44623</v>
      </c>
      <c r="I2341" s="1" t="s">
        <v>7282</v>
      </c>
      <c r="J2341" s="4">
        <f>IFERROR(__xludf.DUMMYFUNCTION("DATE(INDEX(SPLIT(I2341,""/""),,3),INDEX(SPLIT(I2341,""/""),,2),INDEX(SPLIT(I2341,""/""),,1))"),44798.0)</f>
        <v>44798</v>
      </c>
      <c r="L2341" s="1">
        <v>0.0</v>
      </c>
      <c r="M2341" s="1" t="s">
        <v>3419</v>
      </c>
      <c r="N2341" s="1"/>
      <c r="O2341" s="1" t="s">
        <v>30</v>
      </c>
      <c r="P2341" s="1" t="s">
        <v>31</v>
      </c>
      <c r="Q2341" s="1" t="s">
        <v>32</v>
      </c>
      <c r="R2341" s="1" t="s">
        <v>32</v>
      </c>
      <c r="S2341" s="1" t="s">
        <v>33</v>
      </c>
      <c r="T2341" s="1" t="s">
        <v>1195</v>
      </c>
      <c r="U2341" s="1">
        <v>1.00651998E8</v>
      </c>
      <c r="X2341" s="1" t="s">
        <v>490</v>
      </c>
      <c r="Y2341" s="1" t="s">
        <v>3419</v>
      </c>
      <c r="Z2341" s="1" t="s">
        <v>37</v>
      </c>
    </row>
    <row r="2342" hidden="1">
      <c r="A2342" s="1" t="s">
        <v>7283</v>
      </c>
      <c r="B2342" s="1" t="s">
        <v>1748</v>
      </c>
      <c r="C2342" s="1" t="s">
        <v>7284</v>
      </c>
      <c r="D2342" s="1" t="s">
        <v>122</v>
      </c>
      <c r="E2342" s="1" t="s">
        <v>28</v>
      </c>
      <c r="F2342" s="2">
        <v>500000.0</v>
      </c>
      <c r="G2342" s="4">
        <v>44840.0</v>
      </c>
      <c r="H2342" s="4">
        <f>IFERROR(__xludf.DUMMYFUNCTION("DATE(INDEX(SPLIT(G2342,""/""),,3),INDEX(SPLIT(G2342,""/""),,2),INDEX(SPLIT(G2342,""/""),,1))"),44722.0)</f>
        <v>44722</v>
      </c>
      <c r="I2342" s="4">
        <v>44601.0</v>
      </c>
      <c r="J2342" s="4">
        <f>IFERROR(__xludf.DUMMYFUNCTION("DATE(INDEX(SPLIT(I2342,""/""),,3),INDEX(SPLIT(I2342,""/""),,2),INDEX(SPLIT(I2342,""/""),,1))"),44806.0)</f>
        <v>44806</v>
      </c>
      <c r="L2342" s="1">
        <v>0.0</v>
      </c>
      <c r="M2342" s="1" t="s">
        <v>5684</v>
      </c>
      <c r="N2342" s="1"/>
      <c r="O2342" s="1" t="s">
        <v>30</v>
      </c>
      <c r="P2342" s="1" t="s">
        <v>31</v>
      </c>
      <c r="Q2342" s="1" t="s">
        <v>53</v>
      </c>
      <c r="R2342" s="1" t="s">
        <v>53</v>
      </c>
      <c r="S2342" s="1" t="s">
        <v>54</v>
      </c>
      <c r="U2342" s="1">
        <v>1.00649463E8</v>
      </c>
      <c r="X2342" s="1" t="s">
        <v>88</v>
      </c>
      <c r="Y2342" s="1" t="s">
        <v>4640</v>
      </c>
      <c r="Z2342" s="1" t="s">
        <v>37</v>
      </c>
    </row>
    <row r="2343" hidden="1">
      <c r="A2343" s="1" t="s">
        <v>7285</v>
      </c>
      <c r="B2343" s="1" t="s">
        <v>7286</v>
      </c>
      <c r="C2343" s="1" t="s">
        <v>7287</v>
      </c>
      <c r="D2343" s="1" t="s">
        <v>27</v>
      </c>
      <c r="E2343" s="1" t="s">
        <v>28</v>
      </c>
      <c r="F2343" s="2">
        <v>500000.0</v>
      </c>
      <c r="G2343" s="1" t="s">
        <v>185</v>
      </c>
      <c r="H2343" s="4">
        <f>IFERROR(__xludf.DUMMYFUNCTION("DATE(INDEX(SPLIT(G2343,""/""),,3),INDEX(SPLIT(G2343,""/""),,2),INDEX(SPLIT(G2343,""/""),,1))"),44741.0)</f>
        <v>44741</v>
      </c>
      <c r="I2343" s="1" t="s">
        <v>165</v>
      </c>
      <c r="J2343" s="4">
        <f>IFERROR(__xludf.DUMMYFUNCTION("DATE(INDEX(SPLIT(I2343,""/""),,3),INDEX(SPLIT(I2343,""/""),,2),INDEX(SPLIT(I2343,""/""),,1))"),44803.0)</f>
        <v>44803</v>
      </c>
      <c r="L2343" s="1">
        <v>0.0</v>
      </c>
      <c r="M2343" s="1" t="s">
        <v>881</v>
      </c>
      <c r="N2343" s="1"/>
      <c r="O2343" s="1" t="s">
        <v>30</v>
      </c>
      <c r="P2343" s="1" t="s">
        <v>31</v>
      </c>
      <c r="Q2343" s="1" t="s">
        <v>53</v>
      </c>
      <c r="R2343" s="1" t="s">
        <v>53</v>
      </c>
      <c r="S2343" s="1" t="s">
        <v>54</v>
      </c>
      <c r="U2343" s="1">
        <v>1.01156917E8</v>
      </c>
      <c r="X2343" s="1" t="s">
        <v>125</v>
      </c>
      <c r="Y2343" s="1" t="s">
        <v>881</v>
      </c>
      <c r="Z2343" s="1" t="s">
        <v>206</v>
      </c>
    </row>
    <row r="2344">
      <c r="A2344" s="1" t="s">
        <v>7288</v>
      </c>
      <c r="B2344" s="1" t="s">
        <v>5392</v>
      </c>
      <c r="C2344" s="1" t="s">
        <v>7289</v>
      </c>
      <c r="D2344" s="1" t="s">
        <v>27</v>
      </c>
      <c r="E2344" s="1" t="s">
        <v>28</v>
      </c>
      <c r="F2344" s="2">
        <v>500000.0</v>
      </c>
      <c r="G2344" s="4">
        <v>44838.0</v>
      </c>
      <c r="H2344" s="4">
        <f>IFERROR(__xludf.DUMMYFUNCTION("DATE(INDEX(SPLIT(G2344,""/""),,3),INDEX(SPLIT(G2344,""/""),,2),INDEX(SPLIT(G2344,""/""),,1))"),44661.0)</f>
        <v>44661</v>
      </c>
      <c r="I2344" s="4">
        <v>44780.0</v>
      </c>
      <c r="J2344" s="4">
        <f>IFERROR(__xludf.DUMMYFUNCTION("DATE(INDEX(SPLIT(I2344,""/""),,3),INDEX(SPLIT(I2344,""/""),,2),INDEX(SPLIT(I2344,""/""),,1))"),44750.0)</f>
        <v>44750</v>
      </c>
      <c r="L2344" s="1">
        <v>0.0</v>
      </c>
      <c r="M2344" s="1" t="s">
        <v>1098</v>
      </c>
      <c r="N2344" s="1"/>
      <c r="O2344" s="1" t="s">
        <v>30</v>
      </c>
      <c r="P2344" s="1" t="s">
        <v>31</v>
      </c>
      <c r="Q2344" s="1" t="s">
        <v>95</v>
      </c>
      <c r="R2344" s="1" t="s">
        <v>95</v>
      </c>
      <c r="S2344" s="1" t="s">
        <v>96</v>
      </c>
      <c r="T2344" s="1" t="s">
        <v>311</v>
      </c>
      <c r="U2344" s="1">
        <v>1.00634994E8</v>
      </c>
      <c r="Y2344" s="1" t="s">
        <v>1098</v>
      </c>
      <c r="Z2344" s="1" t="s">
        <v>37</v>
      </c>
    </row>
    <row r="2345" hidden="1">
      <c r="A2345" s="1" t="s">
        <v>7290</v>
      </c>
      <c r="B2345" s="1" t="s">
        <v>177</v>
      </c>
      <c r="C2345" s="1" t="s">
        <v>7291</v>
      </c>
      <c r="D2345" s="1" t="s">
        <v>27</v>
      </c>
      <c r="E2345" s="1" t="s">
        <v>28</v>
      </c>
      <c r="F2345" s="2">
        <v>500000.0</v>
      </c>
      <c r="G2345" s="4">
        <v>44717.0</v>
      </c>
      <c r="H2345" s="4">
        <f>IFERROR(__xludf.DUMMYFUNCTION("DATE(INDEX(SPLIT(G2345,""/""),,3),INDEX(SPLIT(G2345,""/""),,2),INDEX(SPLIT(G2345,""/""),,1))"),44687.0)</f>
        <v>44687</v>
      </c>
      <c r="I2345" s="1" t="s">
        <v>548</v>
      </c>
      <c r="J2345" s="4">
        <f>IFERROR(__xludf.DUMMYFUNCTION("DATE(INDEX(SPLIT(I2345,""/""),,3),INDEX(SPLIT(I2345,""/""),,2),INDEX(SPLIT(I2345,""/""),,1))"),44946.0)</f>
        <v>44946</v>
      </c>
      <c r="L2345" s="1">
        <v>0.0</v>
      </c>
      <c r="M2345" s="1" t="s">
        <v>1207</v>
      </c>
      <c r="N2345" s="1"/>
      <c r="O2345" s="1" t="s">
        <v>30</v>
      </c>
      <c r="P2345" s="1" t="s">
        <v>31</v>
      </c>
      <c r="Q2345" s="1" t="s">
        <v>157</v>
      </c>
      <c r="R2345" s="1" t="s">
        <v>157</v>
      </c>
      <c r="S2345" s="1" t="s">
        <v>158</v>
      </c>
      <c r="U2345" s="1">
        <v>1.00639495E8</v>
      </c>
      <c r="X2345" s="1" t="s">
        <v>74</v>
      </c>
      <c r="Y2345" s="1" t="s">
        <v>4720</v>
      </c>
      <c r="Z2345" s="1" t="s">
        <v>37</v>
      </c>
    </row>
    <row r="2346" hidden="1">
      <c r="A2346" s="1" t="s">
        <v>7292</v>
      </c>
      <c r="B2346" s="1" t="s">
        <v>6356</v>
      </c>
      <c r="C2346" s="1" t="s">
        <v>7293</v>
      </c>
      <c r="D2346" s="1" t="s">
        <v>27</v>
      </c>
      <c r="E2346" s="1" t="s">
        <v>28</v>
      </c>
      <c r="F2346" s="2">
        <v>500000.0</v>
      </c>
      <c r="G2346" s="1" t="s">
        <v>600</v>
      </c>
      <c r="H2346" s="4">
        <f>IFERROR(__xludf.DUMMYFUNCTION("DATE(INDEX(SPLIT(G2346,""/""),,3),INDEX(SPLIT(G2346,""/""),,2),INDEX(SPLIT(G2346,""/""),,1))"),44665.0)</f>
        <v>44665</v>
      </c>
      <c r="I2346" s="1" t="s">
        <v>360</v>
      </c>
      <c r="J2346" s="4">
        <f>IFERROR(__xludf.DUMMYFUNCTION("DATE(INDEX(SPLIT(I2346,""/""),,3),INDEX(SPLIT(I2346,""/""),,2),INDEX(SPLIT(I2346,""/""),,1))"),44895.0)</f>
        <v>44895</v>
      </c>
      <c r="L2346" s="1">
        <v>0.0</v>
      </c>
      <c r="M2346" s="1" t="s">
        <v>52</v>
      </c>
      <c r="N2346" s="1"/>
      <c r="O2346" s="1" t="s">
        <v>30</v>
      </c>
      <c r="P2346" s="1" t="s">
        <v>31</v>
      </c>
      <c r="Q2346" s="1" t="s">
        <v>53</v>
      </c>
      <c r="R2346" s="1" t="s">
        <v>53</v>
      </c>
      <c r="S2346" s="1" t="s">
        <v>54</v>
      </c>
      <c r="T2346" s="1" t="s">
        <v>287</v>
      </c>
      <c r="U2346" s="1">
        <v>1.01059432E8</v>
      </c>
      <c r="X2346" s="1" t="s">
        <v>312</v>
      </c>
      <c r="Y2346" s="1" t="s">
        <v>2367</v>
      </c>
      <c r="Z2346" s="1" t="s">
        <v>37</v>
      </c>
    </row>
    <row r="2347" hidden="1">
      <c r="A2347" s="1" t="s">
        <v>7294</v>
      </c>
      <c r="B2347" s="1" t="s">
        <v>177</v>
      </c>
      <c r="C2347" s="1" t="s">
        <v>7295</v>
      </c>
      <c r="D2347" s="1" t="s">
        <v>27</v>
      </c>
      <c r="E2347" s="1" t="s">
        <v>28</v>
      </c>
      <c r="F2347" s="2">
        <v>500000.0</v>
      </c>
      <c r="G2347" s="4">
        <v>44717.0</v>
      </c>
      <c r="H2347" s="4">
        <f>IFERROR(__xludf.DUMMYFUNCTION("DATE(INDEX(SPLIT(G2347,""/""),,3),INDEX(SPLIT(G2347,""/""),,2),INDEX(SPLIT(G2347,""/""),,1))"),44687.0)</f>
        <v>44687</v>
      </c>
      <c r="I2347" s="1" t="s">
        <v>548</v>
      </c>
      <c r="J2347" s="4">
        <f>IFERROR(__xludf.DUMMYFUNCTION("DATE(INDEX(SPLIT(I2347,""/""),,3),INDEX(SPLIT(I2347,""/""),,2),INDEX(SPLIT(I2347,""/""),,1))"),44946.0)</f>
        <v>44946</v>
      </c>
      <c r="L2347" s="1">
        <v>0.0</v>
      </c>
      <c r="M2347" s="1" t="s">
        <v>7296</v>
      </c>
      <c r="N2347" s="1"/>
      <c r="O2347" s="1" t="s">
        <v>30</v>
      </c>
      <c r="P2347" s="1" t="s">
        <v>31</v>
      </c>
      <c r="Q2347" s="1" t="s">
        <v>71</v>
      </c>
      <c r="R2347" s="1" t="s">
        <v>71</v>
      </c>
      <c r="S2347" s="1" t="s">
        <v>72</v>
      </c>
      <c r="T2347" s="1" t="s">
        <v>73</v>
      </c>
      <c r="U2347" s="1">
        <v>1.00594243E8</v>
      </c>
      <c r="X2347" s="1" t="s">
        <v>74</v>
      </c>
      <c r="Y2347" s="1" t="s">
        <v>4720</v>
      </c>
      <c r="Z2347" s="1" t="s">
        <v>206</v>
      </c>
    </row>
    <row r="2348">
      <c r="A2348" s="1" t="s">
        <v>7297</v>
      </c>
      <c r="B2348" s="1" t="s">
        <v>7298</v>
      </c>
      <c r="C2348" s="1" t="s">
        <v>7299</v>
      </c>
      <c r="D2348" s="1" t="s">
        <v>122</v>
      </c>
      <c r="E2348" s="1" t="s">
        <v>28</v>
      </c>
      <c r="F2348" s="2">
        <v>500000.0</v>
      </c>
      <c r="G2348" s="4">
        <v>44239.0</v>
      </c>
      <c r="H2348" s="4">
        <f>IFERROR(__xludf.DUMMYFUNCTION("DATE(INDEX(SPLIT(G2348,""/""),,3),INDEX(SPLIT(G2348,""/""),,2),INDEX(SPLIT(G2348,""/""),,1))"),44532.0)</f>
        <v>44532</v>
      </c>
      <c r="I2348" s="4">
        <v>44568.0</v>
      </c>
      <c r="J2348" s="4">
        <f>IFERROR(__xludf.DUMMYFUNCTION("DATE(INDEX(SPLIT(I2348,""/""),,3),INDEX(SPLIT(I2348,""/""),,2),INDEX(SPLIT(I2348,""/""),,1))"),44743.0)</f>
        <v>44743</v>
      </c>
      <c r="L2348" s="1">
        <v>0.0</v>
      </c>
      <c r="M2348" s="1" t="s">
        <v>780</v>
      </c>
      <c r="N2348" s="1"/>
      <c r="O2348" s="1" t="s">
        <v>30</v>
      </c>
      <c r="P2348" s="1" t="s">
        <v>31</v>
      </c>
      <c r="Q2348" s="1" t="s">
        <v>157</v>
      </c>
      <c r="R2348" s="1" t="s">
        <v>157</v>
      </c>
      <c r="S2348" s="1" t="s">
        <v>158</v>
      </c>
      <c r="T2348" s="1" t="s">
        <v>442</v>
      </c>
      <c r="U2348" s="1">
        <v>1.00654914E8</v>
      </c>
      <c r="X2348" s="1" t="s">
        <v>490</v>
      </c>
      <c r="Y2348" s="1" t="s">
        <v>3520</v>
      </c>
      <c r="Z2348" s="1" t="s">
        <v>37</v>
      </c>
    </row>
    <row r="2349" hidden="1">
      <c r="A2349" s="1" t="s">
        <v>7300</v>
      </c>
      <c r="B2349" s="1" t="s">
        <v>7301</v>
      </c>
      <c r="C2349" s="1" t="s">
        <v>7302</v>
      </c>
      <c r="D2349" s="1" t="s">
        <v>27</v>
      </c>
      <c r="E2349" s="1" t="s">
        <v>28</v>
      </c>
      <c r="F2349" s="2">
        <v>500000.0</v>
      </c>
      <c r="G2349" s="1" t="s">
        <v>343</v>
      </c>
      <c r="H2349" s="4">
        <f>IFERROR(__xludf.DUMMYFUNCTION("DATE(INDEX(SPLIT(G2349,""/""),,3),INDEX(SPLIT(G2349,""/""),,2),INDEX(SPLIT(G2349,""/""),,1))"),44761.0)</f>
        <v>44761</v>
      </c>
      <c r="I2349" s="4">
        <v>44604.0</v>
      </c>
      <c r="J2349" s="4">
        <f>IFERROR(__xludf.DUMMYFUNCTION("DATE(INDEX(SPLIT(I2349,""/""),,3),INDEX(SPLIT(I2349,""/""),,2),INDEX(SPLIT(I2349,""/""),,1))"),44897.0)</f>
        <v>44897</v>
      </c>
      <c r="L2349" s="1">
        <v>0.0</v>
      </c>
      <c r="M2349" s="1" t="s">
        <v>79</v>
      </c>
      <c r="N2349" s="1"/>
      <c r="O2349" s="1" t="s">
        <v>30</v>
      </c>
      <c r="P2349" s="1" t="s">
        <v>31</v>
      </c>
      <c r="Q2349" s="1" t="s">
        <v>32</v>
      </c>
      <c r="R2349" s="1" t="s">
        <v>32</v>
      </c>
      <c r="S2349" s="1" t="s">
        <v>33</v>
      </c>
      <c r="U2349" s="1">
        <v>1.00609569E8</v>
      </c>
      <c r="Y2349" s="1" t="s">
        <v>79</v>
      </c>
      <c r="Z2349" s="1" t="s">
        <v>37</v>
      </c>
    </row>
    <row r="2350" hidden="1">
      <c r="A2350" s="1" t="s">
        <v>7303</v>
      </c>
      <c r="B2350" s="1" t="s">
        <v>3424</v>
      </c>
      <c r="C2350" s="1" t="s">
        <v>7304</v>
      </c>
      <c r="D2350" s="1" t="s">
        <v>27</v>
      </c>
      <c r="E2350" s="1" t="s">
        <v>28</v>
      </c>
      <c r="F2350" s="2">
        <v>500000.0</v>
      </c>
      <c r="G2350" s="4">
        <v>44840.0</v>
      </c>
      <c r="H2350" s="4">
        <f>IFERROR(__xludf.DUMMYFUNCTION("DATE(INDEX(SPLIT(G2350,""/""),,3),INDEX(SPLIT(G2350,""/""),,2),INDEX(SPLIT(G2350,""/""),,1))"),44722.0)</f>
        <v>44722</v>
      </c>
      <c r="I2350" s="1" t="s">
        <v>130</v>
      </c>
      <c r="J2350" s="4">
        <f>IFERROR(__xludf.DUMMYFUNCTION("DATE(INDEX(SPLIT(I2350,""/""),,3),INDEX(SPLIT(I2350,""/""),,2),INDEX(SPLIT(I2350,""/""),,1))"),44804.0)</f>
        <v>44804</v>
      </c>
      <c r="L2350" s="1">
        <v>0.0</v>
      </c>
      <c r="M2350" s="1" t="s">
        <v>1704</v>
      </c>
      <c r="N2350" s="1"/>
      <c r="O2350" s="1" t="s">
        <v>30</v>
      </c>
      <c r="P2350" s="1" t="s">
        <v>31</v>
      </c>
      <c r="Q2350" s="1" t="s">
        <v>157</v>
      </c>
      <c r="R2350" s="1" t="s">
        <v>157</v>
      </c>
      <c r="S2350" s="1" t="s">
        <v>158</v>
      </c>
      <c r="T2350" s="1" t="s">
        <v>442</v>
      </c>
      <c r="U2350" s="1">
        <v>1.00654991E8</v>
      </c>
      <c r="X2350" s="1" t="s">
        <v>63</v>
      </c>
      <c r="Y2350" s="1" t="s">
        <v>1969</v>
      </c>
      <c r="Z2350" s="1" t="s">
        <v>37</v>
      </c>
    </row>
    <row r="2351">
      <c r="A2351" s="1" t="s">
        <v>7305</v>
      </c>
      <c r="B2351" s="1" t="s">
        <v>5839</v>
      </c>
      <c r="C2351" s="1" t="s">
        <v>7306</v>
      </c>
      <c r="D2351" s="1" t="s">
        <v>122</v>
      </c>
      <c r="E2351" s="1" t="s">
        <v>28</v>
      </c>
      <c r="F2351" s="2">
        <v>500000.0</v>
      </c>
      <c r="G2351" s="4">
        <v>44840.0</v>
      </c>
      <c r="H2351" s="4">
        <f>IFERROR(__xludf.DUMMYFUNCTION("DATE(INDEX(SPLIT(G2351,""/""),,3),INDEX(SPLIT(G2351,""/""),,2),INDEX(SPLIT(G2351,""/""),,1))"),44722.0)</f>
        <v>44722</v>
      </c>
      <c r="I2351" s="1" t="s">
        <v>1244</v>
      </c>
      <c r="J2351" s="4">
        <f>IFERROR(__xludf.DUMMYFUNCTION("DATE(INDEX(SPLIT(I2351,""/""),,3),INDEX(SPLIT(I2351,""/""),,2),INDEX(SPLIT(I2351,""/""),,1))"),44742.0)</f>
        <v>44742</v>
      </c>
      <c r="L2351" s="1">
        <v>0.0</v>
      </c>
      <c r="M2351" s="1" t="s">
        <v>3212</v>
      </c>
      <c r="N2351" s="1"/>
      <c r="O2351" s="1" t="s">
        <v>30</v>
      </c>
      <c r="P2351" s="1" t="s">
        <v>31</v>
      </c>
      <c r="Q2351" s="1" t="s">
        <v>53</v>
      </c>
      <c r="R2351" s="1" t="s">
        <v>53</v>
      </c>
      <c r="S2351" s="1" t="s">
        <v>54</v>
      </c>
      <c r="T2351" s="1" t="s">
        <v>2372</v>
      </c>
      <c r="U2351" s="1">
        <v>1.00898415E8</v>
      </c>
      <c r="X2351" s="1" t="s">
        <v>239</v>
      </c>
      <c r="Y2351" s="1" t="s">
        <v>4936</v>
      </c>
      <c r="Z2351" s="1" t="s">
        <v>37</v>
      </c>
    </row>
    <row r="2352" hidden="1">
      <c r="A2352" s="1" t="s">
        <v>7307</v>
      </c>
      <c r="B2352" s="1" t="s">
        <v>3184</v>
      </c>
      <c r="C2352" s="1" t="s">
        <v>7308</v>
      </c>
      <c r="D2352" s="1" t="s">
        <v>122</v>
      </c>
      <c r="E2352" s="1" t="s">
        <v>28</v>
      </c>
      <c r="F2352" s="2">
        <v>500000.0</v>
      </c>
      <c r="G2352" s="1" t="s">
        <v>1244</v>
      </c>
      <c r="H2352" s="4">
        <f>IFERROR(__xludf.DUMMYFUNCTION("DATE(INDEX(SPLIT(G2352,""/""),,3),INDEX(SPLIT(G2352,""/""),,2),INDEX(SPLIT(G2352,""/""),,1))"),44742.0)</f>
        <v>44742</v>
      </c>
      <c r="I2352" s="4">
        <v>44903.0</v>
      </c>
      <c r="J2352" s="4">
        <f>IFERROR(__xludf.DUMMYFUNCTION("DATE(INDEX(SPLIT(I2352,""/""),,3),INDEX(SPLIT(I2352,""/""),,2),INDEX(SPLIT(I2352,""/""),,1))"),44785.0)</f>
        <v>44785</v>
      </c>
      <c r="L2352" s="1">
        <v>0.0</v>
      </c>
      <c r="M2352" s="1" t="s">
        <v>1689</v>
      </c>
      <c r="N2352" s="1"/>
      <c r="O2352" s="1" t="s">
        <v>30</v>
      </c>
      <c r="P2352" s="1" t="s">
        <v>31</v>
      </c>
      <c r="Q2352" s="1" t="s">
        <v>53</v>
      </c>
      <c r="R2352" s="1" t="s">
        <v>53</v>
      </c>
      <c r="S2352" s="1" t="s">
        <v>54</v>
      </c>
      <c r="U2352" s="1">
        <v>1.00650657E8</v>
      </c>
      <c r="X2352" s="1" t="s">
        <v>312</v>
      </c>
      <c r="Y2352" s="1" t="s">
        <v>5163</v>
      </c>
      <c r="Z2352" s="1" t="s">
        <v>37</v>
      </c>
    </row>
    <row r="2353" hidden="1">
      <c r="A2353" s="1" t="s">
        <v>7309</v>
      </c>
      <c r="B2353" s="1" t="s">
        <v>532</v>
      </c>
      <c r="C2353" s="1" t="s">
        <v>7310</v>
      </c>
      <c r="D2353" s="1" t="s">
        <v>78</v>
      </c>
      <c r="E2353" s="1" t="s">
        <v>28</v>
      </c>
      <c r="F2353" s="2">
        <v>500000.0</v>
      </c>
      <c r="G2353" s="4">
        <v>44685.0</v>
      </c>
      <c r="H2353" s="4">
        <f>IFERROR(__xludf.DUMMYFUNCTION("DATE(INDEX(SPLIT(G2353,""/""),,3),INDEX(SPLIT(G2353,""/""),,2),INDEX(SPLIT(G2353,""/""),,1))"),44656.0)</f>
        <v>44656</v>
      </c>
      <c r="I2353" s="1" t="s">
        <v>130</v>
      </c>
      <c r="J2353" s="4">
        <f>IFERROR(__xludf.DUMMYFUNCTION("DATE(INDEX(SPLIT(I2353,""/""),,3),INDEX(SPLIT(I2353,""/""),,2),INDEX(SPLIT(I2353,""/""),,1))"),44804.0)</f>
        <v>44804</v>
      </c>
      <c r="L2353" s="1">
        <v>0.0</v>
      </c>
      <c r="M2353" s="1" t="s">
        <v>2856</v>
      </c>
      <c r="N2353" s="1"/>
      <c r="O2353" s="1" t="s">
        <v>30</v>
      </c>
      <c r="P2353" s="1" t="s">
        <v>31</v>
      </c>
      <c r="Q2353" s="1" t="s">
        <v>71</v>
      </c>
      <c r="R2353" s="1" t="s">
        <v>71</v>
      </c>
      <c r="S2353" s="1" t="s">
        <v>72</v>
      </c>
      <c r="T2353" s="1" t="s">
        <v>615</v>
      </c>
      <c r="U2353" s="1">
        <v>1.00637221E8</v>
      </c>
      <c r="X2353" s="1" t="s">
        <v>490</v>
      </c>
      <c r="Y2353" s="1" t="s">
        <v>2856</v>
      </c>
      <c r="Z2353" s="1" t="s">
        <v>37</v>
      </c>
    </row>
    <row r="2354">
      <c r="A2354" s="1" t="s">
        <v>7311</v>
      </c>
      <c r="B2354" s="1" t="s">
        <v>3288</v>
      </c>
      <c r="C2354" s="1" t="s">
        <v>7312</v>
      </c>
      <c r="D2354" s="1" t="s">
        <v>78</v>
      </c>
      <c r="E2354" s="1" t="s">
        <v>28</v>
      </c>
      <c r="F2354" s="2">
        <v>500000.0</v>
      </c>
      <c r="G2354" s="1" t="s">
        <v>2324</v>
      </c>
      <c r="H2354" s="4">
        <f>IFERROR(__xludf.DUMMYFUNCTION("DATE(INDEX(SPLIT(G2354,""/""),,3),INDEX(SPLIT(G2354,""/""),,2),INDEX(SPLIT(G2354,""/""),,1))"),44705.0)</f>
        <v>44705</v>
      </c>
      <c r="I2354" s="1" t="s">
        <v>503</v>
      </c>
      <c r="J2354" s="4">
        <f>IFERROR(__xludf.DUMMYFUNCTION("DATE(INDEX(SPLIT(I2354,""/""),,3),INDEX(SPLIT(I2354,""/""),,2),INDEX(SPLIT(I2354,""/""),,1))"),44736.0)</f>
        <v>44736</v>
      </c>
      <c r="L2354" s="1">
        <v>0.0</v>
      </c>
      <c r="M2354" s="1" t="s">
        <v>1828</v>
      </c>
      <c r="N2354" s="1"/>
      <c r="O2354" s="1" t="s">
        <v>30</v>
      </c>
      <c r="P2354" s="1" t="s">
        <v>31</v>
      </c>
      <c r="Q2354" s="1" t="s">
        <v>235</v>
      </c>
      <c r="R2354" s="1" t="s">
        <v>235</v>
      </c>
      <c r="S2354" s="1" t="s">
        <v>236</v>
      </c>
      <c r="U2354" s="1">
        <v>1.00593918E8</v>
      </c>
      <c r="X2354" s="1" t="s">
        <v>35</v>
      </c>
      <c r="Y2354" s="1" t="s">
        <v>7313</v>
      </c>
      <c r="Z2354" s="1" t="s">
        <v>37</v>
      </c>
    </row>
    <row r="2355" hidden="1">
      <c r="A2355" s="1" t="s">
        <v>7314</v>
      </c>
      <c r="B2355" s="1" t="s">
        <v>4941</v>
      </c>
      <c r="C2355" s="1" t="s">
        <v>7315</v>
      </c>
      <c r="D2355" s="1" t="s">
        <v>27</v>
      </c>
      <c r="E2355" s="1" t="s">
        <v>28</v>
      </c>
      <c r="F2355" s="2">
        <v>500000.0</v>
      </c>
      <c r="G2355" s="1" t="s">
        <v>1694</v>
      </c>
      <c r="H2355" s="4">
        <f>IFERROR(__xludf.DUMMYFUNCTION("DATE(INDEX(SPLIT(G2355,""/""),,3),INDEX(SPLIT(G2355,""/""),,2),INDEX(SPLIT(G2355,""/""),,1))"),44516.0)</f>
        <v>44516</v>
      </c>
      <c r="I2355" s="1" t="s">
        <v>109</v>
      </c>
      <c r="J2355" s="4">
        <f>IFERROR(__xludf.DUMMYFUNCTION("DATE(INDEX(SPLIT(I2355,""/""),,3),INDEX(SPLIT(I2355,""/""),,2),INDEX(SPLIT(I2355,""/""),,1))"),44834.0)</f>
        <v>44834</v>
      </c>
      <c r="L2355" s="1">
        <v>0.0</v>
      </c>
      <c r="M2355" s="1" t="s">
        <v>2787</v>
      </c>
      <c r="N2355" s="1"/>
      <c r="O2355" s="1" t="s">
        <v>30</v>
      </c>
      <c r="P2355" s="1" t="s">
        <v>31</v>
      </c>
      <c r="Q2355" s="1" t="s">
        <v>157</v>
      </c>
      <c r="R2355" s="1" t="s">
        <v>157</v>
      </c>
      <c r="S2355" s="1" t="s">
        <v>158</v>
      </c>
      <c r="T2355" s="1" t="s">
        <v>442</v>
      </c>
      <c r="U2355" s="1">
        <v>1.00708984E8</v>
      </c>
      <c r="X2355" s="1" t="s">
        <v>117</v>
      </c>
      <c r="Y2355" s="1" t="s">
        <v>4690</v>
      </c>
      <c r="Z2355" s="1" t="s">
        <v>37</v>
      </c>
    </row>
    <row r="2356">
      <c r="A2356" s="1" t="s">
        <v>7316</v>
      </c>
      <c r="B2356" s="1" t="s">
        <v>516</v>
      </c>
      <c r="C2356" s="1" t="s">
        <v>7317</v>
      </c>
      <c r="D2356" s="1" t="s">
        <v>78</v>
      </c>
      <c r="E2356" s="1" t="s">
        <v>28</v>
      </c>
      <c r="F2356" s="2">
        <v>500000.0</v>
      </c>
      <c r="G2356" s="1" t="s">
        <v>185</v>
      </c>
      <c r="H2356" s="4">
        <f>IFERROR(__xludf.DUMMYFUNCTION("DATE(INDEX(SPLIT(G2356,""/""),,3),INDEX(SPLIT(G2356,""/""),,2),INDEX(SPLIT(G2356,""/""),,1))"),44741.0)</f>
        <v>44741</v>
      </c>
      <c r="I2356" s="1" t="s">
        <v>226</v>
      </c>
      <c r="J2356" s="4">
        <f>IFERROR(__xludf.DUMMYFUNCTION("DATE(INDEX(SPLIT(I2356,""/""),,3),INDEX(SPLIT(I2356,""/""),,2),INDEX(SPLIT(I2356,""/""),,1))"),44771.0)</f>
        <v>44771</v>
      </c>
      <c r="L2356" s="1">
        <v>0.0</v>
      </c>
      <c r="M2356" s="1" t="s">
        <v>1088</v>
      </c>
      <c r="N2356" s="1"/>
      <c r="O2356" s="1" t="s">
        <v>30</v>
      </c>
      <c r="P2356" s="1" t="s">
        <v>31</v>
      </c>
      <c r="Q2356" s="1" t="s">
        <v>71</v>
      </c>
      <c r="R2356" s="1" t="s">
        <v>71</v>
      </c>
      <c r="S2356" s="1" t="s">
        <v>72</v>
      </c>
      <c r="T2356" s="1" t="s">
        <v>136</v>
      </c>
      <c r="U2356" s="1">
        <v>1.0090037E8</v>
      </c>
      <c r="X2356" s="1" t="s">
        <v>74</v>
      </c>
      <c r="Y2356" s="1" t="s">
        <v>1088</v>
      </c>
      <c r="Z2356" s="1" t="s">
        <v>37</v>
      </c>
    </row>
    <row r="2357" hidden="1">
      <c r="A2357" s="1" t="s">
        <v>7318</v>
      </c>
      <c r="B2357" s="1" t="s">
        <v>4747</v>
      </c>
      <c r="C2357" s="1" t="s">
        <v>7319</v>
      </c>
      <c r="D2357" s="1" t="s">
        <v>27</v>
      </c>
      <c r="E2357" s="1" t="s">
        <v>28</v>
      </c>
      <c r="F2357" s="2">
        <v>500000.0</v>
      </c>
      <c r="G2357" s="4">
        <v>44714.0</v>
      </c>
      <c r="H2357" s="4">
        <f>IFERROR(__xludf.DUMMYFUNCTION("DATE(INDEX(SPLIT(G2357,""/""),,3),INDEX(SPLIT(G2357,""/""),,2),INDEX(SPLIT(G2357,""/""),,1))"),44598.0)</f>
        <v>44598</v>
      </c>
      <c r="I2357" s="1" t="s">
        <v>109</v>
      </c>
      <c r="J2357" s="4">
        <f>IFERROR(__xludf.DUMMYFUNCTION("DATE(INDEX(SPLIT(I2357,""/""),,3),INDEX(SPLIT(I2357,""/""),,2),INDEX(SPLIT(I2357,""/""),,1))"),44834.0)</f>
        <v>44834</v>
      </c>
      <c r="L2357" s="1">
        <v>0.0</v>
      </c>
      <c r="M2357" s="1" t="s">
        <v>4323</v>
      </c>
      <c r="N2357" s="1"/>
      <c r="O2357" s="1" t="s">
        <v>30</v>
      </c>
      <c r="P2357" s="1" t="s">
        <v>31</v>
      </c>
      <c r="Q2357" s="1" t="s">
        <v>157</v>
      </c>
      <c r="R2357" s="1" t="s">
        <v>157</v>
      </c>
      <c r="S2357" s="1" t="s">
        <v>158</v>
      </c>
      <c r="U2357" s="1">
        <v>1.00607244E8</v>
      </c>
      <c r="X2357" s="1" t="s">
        <v>305</v>
      </c>
      <c r="Y2357" s="1" t="s">
        <v>4323</v>
      </c>
      <c r="Z2357" s="1" t="s">
        <v>37</v>
      </c>
    </row>
    <row r="2358" hidden="1">
      <c r="A2358" s="1" t="s">
        <v>7320</v>
      </c>
      <c r="B2358" s="1" t="s">
        <v>7321</v>
      </c>
      <c r="C2358" s="1" t="s">
        <v>7322</v>
      </c>
      <c r="D2358" s="1" t="s">
        <v>27</v>
      </c>
      <c r="E2358" s="1" t="s">
        <v>28</v>
      </c>
      <c r="F2358" s="2">
        <v>500000.0</v>
      </c>
      <c r="G2358" s="1" t="s">
        <v>935</v>
      </c>
      <c r="H2358" s="4">
        <f>IFERROR(__xludf.DUMMYFUNCTION("DATE(INDEX(SPLIT(G2358,""/""),,3),INDEX(SPLIT(G2358,""/""),,2),INDEX(SPLIT(G2358,""/""),,1))"),44764.0)</f>
        <v>44764</v>
      </c>
      <c r="I2358" s="1" t="s">
        <v>4015</v>
      </c>
      <c r="J2358" s="4">
        <f>IFERROR(__xludf.DUMMYFUNCTION("DATE(INDEX(SPLIT(I2358,""/""),,3),INDEX(SPLIT(I2358,""/""),,2),INDEX(SPLIT(I2358,""/""),,1))"),44851.0)</f>
        <v>44851</v>
      </c>
      <c r="L2358" s="1">
        <v>0.0</v>
      </c>
      <c r="M2358" s="1" t="s">
        <v>1548</v>
      </c>
      <c r="N2358" s="1"/>
      <c r="O2358" s="1" t="s">
        <v>30</v>
      </c>
      <c r="P2358" s="1" t="s">
        <v>31</v>
      </c>
      <c r="Q2358" s="1" t="s">
        <v>32</v>
      </c>
      <c r="R2358" s="1" t="s">
        <v>32</v>
      </c>
      <c r="S2358" s="1" t="s">
        <v>33</v>
      </c>
      <c r="U2358" s="1">
        <v>1.01215106E8</v>
      </c>
      <c r="X2358" s="1" t="s">
        <v>88</v>
      </c>
      <c r="Y2358" s="1" t="s">
        <v>1548</v>
      </c>
      <c r="Z2358" s="1" t="s">
        <v>37</v>
      </c>
    </row>
    <row r="2359" hidden="1">
      <c r="A2359" s="1" t="s">
        <v>7323</v>
      </c>
      <c r="B2359" s="1" t="s">
        <v>2131</v>
      </c>
      <c r="C2359" s="1" t="s">
        <v>7324</v>
      </c>
      <c r="D2359" s="1" t="s">
        <v>27</v>
      </c>
      <c r="E2359" s="1" t="s">
        <v>28</v>
      </c>
      <c r="F2359" s="2">
        <v>500000.0</v>
      </c>
      <c r="G2359" s="1" t="s">
        <v>233</v>
      </c>
      <c r="H2359" s="4">
        <f>IFERROR(__xludf.DUMMYFUNCTION("DATE(INDEX(SPLIT(G2359,""/""),,3),INDEX(SPLIT(G2359,""/""),,2),INDEX(SPLIT(G2359,""/""),,1))"),44729.0)</f>
        <v>44729</v>
      </c>
      <c r="I2359" s="1" t="s">
        <v>130</v>
      </c>
      <c r="J2359" s="4">
        <f>IFERROR(__xludf.DUMMYFUNCTION("DATE(INDEX(SPLIT(I2359,""/""),,3),INDEX(SPLIT(I2359,""/""),,2),INDEX(SPLIT(I2359,""/""),,1))"),44804.0)</f>
        <v>44804</v>
      </c>
      <c r="L2359" s="1">
        <v>0.0</v>
      </c>
      <c r="M2359" s="1" t="s">
        <v>234</v>
      </c>
      <c r="N2359" s="1"/>
      <c r="O2359" s="1" t="s">
        <v>30</v>
      </c>
      <c r="P2359" s="1" t="s">
        <v>31</v>
      </c>
      <c r="Q2359" s="1" t="s">
        <v>235</v>
      </c>
      <c r="R2359" s="1" t="s">
        <v>235</v>
      </c>
      <c r="S2359" s="1" t="s">
        <v>236</v>
      </c>
      <c r="U2359" s="1">
        <v>1.00658132E8</v>
      </c>
      <c r="X2359" s="1" t="s">
        <v>239</v>
      </c>
      <c r="Y2359" s="1" t="s">
        <v>3994</v>
      </c>
      <c r="Z2359" s="1" t="s">
        <v>37</v>
      </c>
    </row>
    <row r="2360" hidden="1">
      <c r="A2360" s="1" t="s">
        <v>7325</v>
      </c>
      <c r="B2360" s="1" t="s">
        <v>501</v>
      </c>
      <c r="C2360" s="1" t="s">
        <v>7326</v>
      </c>
      <c r="D2360" s="1" t="s">
        <v>78</v>
      </c>
      <c r="E2360" s="1" t="s">
        <v>28</v>
      </c>
      <c r="F2360" s="2">
        <v>500000.0</v>
      </c>
      <c r="G2360" s="4">
        <v>44623.0</v>
      </c>
      <c r="H2360" s="4">
        <f>IFERROR(__xludf.DUMMYFUNCTION("DATE(INDEX(SPLIT(G2360,""/""),,3),INDEX(SPLIT(G2360,""/""),,2),INDEX(SPLIT(G2360,""/""),,1))"),44623.0)</f>
        <v>44623</v>
      </c>
      <c r="I2360" s="4">
        <v>44721.0</v>
      </c>
      <c r="J2360" s="4">
        <f>IFERROR(__xludf.DUMMYFUNCTION("DATE(INDEX(SPLIT(I2360,""/""),,3),INDEX(SPLIT(I2360,""/""),,2),INDEX(SPLIT(I2360,""/""),,1))"),44810.0)</f>
        <v>44810</v>
      </c>
      <c r="L2360" s="1">
        <v>0.0</v>
      </c>
      <c r="M2360" s="1" t="s">
        <v>4117</v>
      </c>
      <c r="N2360" s="1"/>
      <c r="O2360" s="1" t="s">
        <v>30</v>
      </c>
      <c r="P2360" s="1" t="s">
        <v>31</v>
      </c>
      <c r="Q2360" s="1" t="s">
        <v>95</v>
      </c>
      <c r="R2360" s="1" t="s">
        <v>95</v>
      </c>
      <c r="S2360" s="1" t="s">
        <v>96</v>
      </c>
      <c r="T2360" s="1" t="s">
        <v>311</v>
      </c>
      <c r="U2360" s="1">
        <v>1.00658777E8</v>
      </c>
      <c r="X2360" s="1" t="s">
        <v>410</v>
      </c>
      <c r="Y2360" s="1" t="s">
        <v>7327</v>
      </c>
      <c r="Z2360" s="1" t="s">
        <v>206</v>
      </c>
    </row>
    <row r="2361">
      <c r="A2361" s="1" t="s">
        <v>7328</v>
      </c>
      <c r="B2361" s="1" t="s">
        <v>4988</v>
      </c>
      <c r="C2361" s="1" t="s">
        <v>7329</v>
      </c>
      <c r="D2361" s="1" t="s">
        <v>27</v>
      </c>
      <c r="E2361" s="1" t="s">
        <v>28</v>
      </c>
      <c r="F2361" s="2">
        <v>500000.0</v>
      </c>
      <c r="G2361" s="4">
        <v>44229.0</v>
      </c>
      <c r="H2361" s="4">
        <f>IFERROR(__xludf.DUMMYFUNCTION("DATE(INDEX(SPLIT(G2361,""/""),,3),INDEX(SPLIT(G2361,""/""),,2),INDEX(SPLIT(G2361,""/""),,1))"),44229.0)</f>
        <v>44229</v>
      </c>
      <c r="I2361" s="1" t="s">
        <v>226</v>
      </c>
      <c r="J2361" s="4">
        <f>IFERROR(__xludf.DUMMYFUNCTION("DATE(INDEX(SPLIT(I2361,""/""),,3),INDEX(SPLIT(I2361,""/""),,2),INDEX(SPLIT(I2361,""/""),,1))"),44771.0)</f>
        <v>44771</v>
      </c>
      <c r="L2361" s="1">
        <v>0.0</v>
      </c>
      <c r="M2361" s="1" t="s">
        <v>1904</v>
      </c>
      <c r="N2361" s="1"/>
      <c r="O2361" s="1" t="s">
        <v>30</v>
      </c>
      <c r="P2361" s="1" t="s">
        <v>31</v>
      </c>
      <c r="Q2361" s="1" t="s">
        <v>95</v>
      </c>
      <c r="R2361" s="1" t="s">
        <v>95</v>
      </c>
      <c r="S2361" s="1" t="s">
        <v>96</v>
      </c>
      <c r="T2361" s="1" t="s">
        <v>311</v>
      </c>
      <c r="U2361" s="1">
        <v>1.0059365E8</v>
      </c>
      <c r="X2361" s="1" t="s">
        <v>410</v>
      </c>
      <c r="Y2361" s="1" t="s">
        <v>1904</v>
      </c>
      <c r="Z2361" s="1" t="s">
        <v>37</v>
      </c>
    </row>
    <row r="2362" hidden="1">
      <c r="A2362" s="1" t="s">
        <v>7330</v>
      </c>
      <c r="B2362" s="1" t="s">
        <v>2755</v>
      </c>
      <c r="C2362" s="1" t="s">
        <v>7331</v>
      </c>
      <c r="D2362" s="1" t="s">
        <v>27</v>
      </c>
      <c r="E2362" s="1" t="s">
        <v>28</v>
      </c>
      <c r="F2362" s="2">
        <v>500000.0</v>
      </c>
      <c r="G2362" s="4">
        <v>44745.0</v>
      </c>
      <c r="H2362" s="4">
        <f>IFERROR(__xludf.DUMMYFUNCTION("DATE(INDEX(SPLIT(G2362,""/""),,3),INDEX(SPLIT(G2362,""/""),,2),INDEX(SPLIT(G2362,""/""),,1))"),44627.0)</f>
        <v>44627</v>
      </c>
      <c r="I2362" s="1" t="s">
        <v>109</v>
      </c>
      <c r="J2362" s="4">
        <f>IFERROR(__xludf.DUMMYFUNCTION("DATE(INDEX(SPLIT(I2362,""/""),,3),INDEX(SPLIT(I2362,""/""),,2),INDEX(SPLIT(I2362,""/""),,1))"),44834.0)</f>
        <v>44834</v>
      </c>
      <c r="L2362" s="1">
        <v>0.0</v>
      </c>
      <c r="M2362" s="1" t="s">
        <v>852</v>
      </c>
      <c r="N2362" s="1"/>
      <c r="O2362" s="1" t="s">
        <v>30</v>
      </c>
      <c r="P2362" s="1" t="s">
        <v>31</v>
      </c>
      <c r="Q2362" s="1" t="s">
        <v>157</v>
      </c>
      <c r="R2362" s="1" t="s">
        <v>157</v>
      </c>
      <c r="S2362" s="1" t="s">
        <v>158</v>
      </c>
      <c r="T2362" s="1" t="s">
        <v>442</v>
      </c>
      <c r="U2362" s="1">
        <v>1.00648457E8</v>
      </c>
      <c r="X2362" s="1" t="s">
        <v>117</v>
      </c>
      <c r="Y2362" s="1" t="s">
        <v>852</v>
      </c>
      <c r="Z2362" s="1" t="s">
        <v>37</v>
      </c>
    </row>
    <row r="2363" hidden="1">
      <c r="A2363" s="1" t="s">
        <v>7332</v>
      </c>
      <c r="B2363" s="1" t="s">
        <v>3184</v>
      </c>
      <c r="C2363" s="1" t="s">
        <v>7333</v>
      </c>
      <c r="D2363" s="1" t="s">
        <v>27</v>
      </c>
      <c r="E2363" s="1" t="s">
        <v>28</v>
      </c>
      <c r="F2363" s="2">
        <v>500000.0</v>
      </c>
      <c r="G2363" s="1" t="s">
        <v>1244</v>
      </c>
      <c r="H2363" s="4">
        <f>IFERROR(__xludf.DUMMYFUNCTION("DATE(INDEX(SPLIT(G2363,""/""),,3),INDEX(SPLIT(G2363,""/""),,2),INDEX(SPLIT(G2363,""/""),,1))"),44742.0)</f>
        <v>44742</v>
      </c>
      <c r="I2363" s="1" t="s">
        <v>7282</v>
      </c>
      <c r="J2363" s="4">
        <f>IFERROR(__xludf.DUMMYFUNCTION("DATE(INDEX(SPLIT(I2363,""/""),,3),INDEX(SPLIT(I2363,""/""),,2),INDEX(SPLIT(I2363,""/""),,1))"),44798.0)</f>
        <v>44798</v>
      </c>
      <c r="L2363" s="1">
        <v>0.0</v>
      </c>
      <c r="M2363" s="1" t="s">
        <v>1689</v>
      </c>
      <c r="N2363" s="1"/>
      <c r="O2363" s="1" t="s">
        <v>30</v>
      </c>
      <c r="P2363" s="1" t="s">
        <v>31</v>
      </c>
      <c r="Q2363" s="1" t="s">
        <v>53</v>
      </c>
      <c r="R2363" s="1" t="s">
        <v>53</v>
      </c>
      <c r="S2363" s="1" t="s">
        <v>54</v>
      </c>
      <c r="U2363" s="1">
        <v>1.00650657E8</v>
      </c>
      <c r="X2363" s="1" t="s">
        <v>312</v>
      </c>
      <c r="Y2363" s="1" t="s">
        <v>5163</v>
      </c>
      <c r="Z2363" s="1" t="s">
        <v>37</v>
      </c>
    </row>
    <row r="2364" hidden="1">
      <c r="A2364" s="1" t="s">
        <v>7334</v>
      </c>
      <c r="B2364" s="1" t="s">
        <v>2889</v>
      </c>
      <c r="C2364" s="1" t="s">
        <v>7335</v>
      </c>
      <c r="D2364" s="1" t="s">
        <v>27</v>
      </c>
      <c r="E2364" s="1" t="s">
        <v>28</v>
      </c>
      <c r="F2364" s="2">
        <v>500000.0</v>
      </c>
      <c r="G2364" s="4">
        <v>44414.0</v>
      </c>
      <c r="H2364" s="4">
        <f>IFERROR(__xludf.DUMMYFUNCTION("DATE(INDEX(SPLIT(G2364,""/""),,3),INDEX(SPLIT(G2364,""/""),,2),INDEX(SPLIT(G2364,""/""),,1))"),44355.0)</f>
        <v>44355</v>
      </c>
      <c r="I2364" s="1" t="s">
        <v>85</v>
      </c>
      <c r="J2364" s="4">
        <f>IFERROR(__xludf.DUMMYFUNCTION("DATE(INDEX(SPLIT(I2364,""/""),,3),INDEX(SPLIT(I2364,""/""),,2),INDEX(SPLIT(I2364,""/""),,1))"),44799.0)</f>
        <v>44799</v>
      </c>
      <c r="L2364" s="1">
        <v>0.0</v>
      </c>
      <c r="M2364" s="1" t="s">
        <v>1723</v>
      </c>
      <c r="N2364" s="1"/>
      <c r="O2364" s="1" t="s">
        <v>30</v>
      </c>
      <c r="P2364" s="1" t="s">
        <v>31</v>
      </c>
      <c r="Q2364" s="1" t="s">
        <v>157</v>
      </c>
      <c r="R2364" s="1" t="s">
        <v>157</v>
      </c>
      <c r="S2364" s="1" t="s">
        <v>158</v>
      </c>
      <c r="U2364" s="1">
        <v>1.00654085E8</v>
      </c>
      <c r="X2364" s="1" t="s">
        <v>74</v>
      </c>
      <c r="Y2364" s="1" t="s">
        <v>1622</v>
      </c>
      <c r="Z2364" s="1" t="s">
        <v>37</v>
      </c>
    </row>
    <row r="2365" hidden="1">
      <c r="A2365" s="1" t="s">
        <v>7336</v>
      </c>
      <c r="B2365" s="1" t="s">
        <v>826</v>
      </c>
      <c r="C2365" s="1" t="s">
        <v>7337</v>
      </c>
      <c r="D2365" s="1" t="s">
        <v>78</v>
      </c>
      <c r="E2365" s="1" t="s">
        <v>28</v>
      </c>
      <c r="F2365" s="2">
        <v>500000.0</v>
      </c>
      <c r="G2365" s="1" t="s">
        <v>50</v>
      </c>
      <c r="H2365" s="4">
        <f>IFERROR(__xludf.DUMMYFUNCTION("DATE(INDEX(SPLIT(G2365,""/""),,3),INDEX(SPLIT(G2365,""/""),,2),INDEX(SPLIT(G2365,""/""),,1))"),44547.0)</f>
        <v>44547</v>
      </c>
      <c r="I2365" s="1" t="s">
        <v>109</v>
      </c>
      <c r="J2365" s="4">
        <f>IFERROR(__xludf.DUMMYFUNCTION("DATE(INDEX(SPLIT(I2365,""/""),,3),INDEX(SPLIT(I2365,""/""),,2),INDEX(SPLIT(I2365,""/""),,1))"),44834.0)</f>
        <v>44834</v>
      </c>
      <c r="L2365" s="1">
        <v>0.0</v>
      </c>
      <c r="M2365" s="1" t="s">
        <v>441</v>
      </c>
      <c r="N2365" s="1"/>
      <c r="O2365" s="1" t="s">
        <v>30</v>
      </c>
      <c r="P2365" s="1" t="s">
        <v>31</v>
      </c>
      <c r="Q2365" s="1" t="s">
        <v>157</v>
      </c>
      <c r="R2365" s="1" t="s">
        <v>157</v>
      </c>
      <c r="S2365" s="1" t="s">
        <v>158</v>
      </c>
      <c r="U2365" s="1">
        <v>1.00581784E8</v>
      </c>
      <c r="X2365" s="1" t="s">
        <v>125</v>
      </c>
      <c r="Y2365" s="1" t="s">
        <v>441</v>
      </c>
      <c r="Z2365" s="1" t="s">
        <v>37</v>
      </c>
    </row>
    <row r="2366" hidden="1">
      <c r="A2366" s="1" t="s">
        <v>7338</v>
      </c>
      <c r="B2366" s="1" t="s">
        <v>7339</v>
      </c>
      <c r="C2366" s="1" t="s">
        <v>7340</v>
      </c>
      <c r="D2366" s="1" t="s">
        <v>27</v>
      </c>
      <c r="E2366" s="1" t="s">
        <v>28</v>
      </c>
      <c r="F2366" s="2">
        <v>500000.0</v>
      </c>
      <c r="G2366" s="4">
        <v>44686.0</v>
      </c>
      <c r="H2366" s="4">
        <f>IFERROR(__xludf.DUMMYFUNCTION("DATE(INDEX(SPLIT(G2366,""/""),,3),INDEX(SPLIT(G2366,""/""),,2),INDEX(SPLIT(G2366,""/""),,1))"),44686.0)</f>
        <v>44686</v>
      </c>
      <c r="I2366" s="1" t="s">
        <v>130</v>
      </c>
      <c r="J2366" s="4">
        <f>IFERROR(__xludf.DUMMYFUNCTION("DATE(INDEX(SPLIT(I2366,""/""),,3),INDEX(SPLIT(I2366,""/""),,2),INDEX(SPLIT(I2366,""/""),,1))"),44804.0)</f>
        <v>44804</v>
      </c>
      <c r="L2366" s="1">
        <v>0.0</v>
      </c>
      <c r="M2366" s="1" t="s">
        <v>1527</v>
      </c>
      <c r="N2366" s="1"/>
      <c r="O2366" s="1" t="s">
        <v>30</v>
      </c>
      <c r="P2366" s="1" t="s">
        <v>31</v>
      </c>
      <c r="Q2366" s="1" t="s">
        <v>95</v>
      </c>
      <c r="R2366" s="1" t="s">
        <v>95</v>
      </c>
      <c r="S2366" s="1" t="s">
        <v>96</v>
      </c>
      <c r="T2366" s="1" t="s">
        <v>489</v>
      </c>
      <c r="U2366" s="1">
        <v>1.00651554E8</v>
      </c>
      <c r="X2366" s="1" t="s">
        <v>490</v>
      </c>
      <c r="Y2366" s="1" t="s">
        <v>985</v>
      </c>
      <c r="Z2366" s="1" t="s">
        <v>37</v>
      </c>
    </row>
    <row r="2367" hidden="1">
      <c r="A2367" s="1" t="s">
        <v>7341</v>
      </c>
      <c r="B2367" s="1" t="s">
        <v>25</v>
      </c>
      <c r="C2367" s="1" t="s">
        <v>7342</v>
      </c>
      <c r="D2367" s="1" t="s">
        <v>27</v>
      </c>
      <c r="E2367" s="1" t="s">
        <v>28</v>
      </c>
      <c r="F2367" s="2">
        <v>500000.0</v>
      </c>
      <c r="G2367" s="1" t="s">
        <v>1244</v>
      </c>
      <c r="H2367" s="4">
        <f>IFERROR(__xludf.DUMMYFUNCTION("DATE(INDEX(SPLIT(G2367,""/""),,3),INDEX(SPLIT(G2367,""/""),,2),INDEX(SPLIT(G2367,""/""),,1))"),44742.0)</f>
        <v>44742</v>
      </c>
      <c r="I2367" s="1" t="s">
        <v>130</v>
      </c>
      <c r="J2367" s="4">
        <f>IFERROR(__xludf.DUMMYFUNCTION("DATE(INDEX(SPLIT(I2367,""/""),,3),INDEX(SPLIT(I2367,""/""),,2),INDEX(SPLIT(I2367,""/""),,1))"),44804.0)</f>
        <v>44804</v>
      </c>
      <c r="L2367" s="1">
        <v>0.0</v>
      </c>
      <c r="M2367" s="1" t="s">
        <v>4048</v>
      </c>
      <c r="N2367" s="1"/>
      <c r="O2367" s="1" t="s">
        <v>30</v>
      </c>
      <c r="P2367" s="1" t="s">
        <v>31</v>
      </c>
      <c r="Q2367" s="1" t="s">
        <v>32</v>
      </c>
      <c r="R2367" s="1" t="s">
        <v>32</v>
      </c>
      <c r="S2367" s="1" t="s">
        <v>33</v>
      </c>
      <c r="U2367" s="1">
        <v>1.00610426E8</v>
      </c>
      <c r="X2367" s="1" t="s">
        <v>35</v>
      </c>
      <c r="Y2367" s="1" t="s">
        <v>36</v>
      </c>
      <c r="Z2367" s="1" t="s">
        <v>37</v>
      </c>
    </row>
    <row r="2368" hidden="1">
      <c r="A2368" s="1" t="s">
        <v>7343</v>
      </c>
      <c r="B2368" s="1" t="s">
        <v>4884</v>
      </c>
      <c r="C2368" s="1" t="s">
        <v>7344</v>
      </c>
      <c r="D2368" s="1" t="s">
        <v>27</v>
      </c>
      <c r="E2368" s="1" t="s">
        <v>28</v>
      </c>
      <c r="F2368" s="2">
        <v>500000.0</v>
      </c>
      <c r="G2368" s="4">
        <v>44653.0</v>
      </c>
      <c r="H2368" s="4">
        <f>IFERROR(__xludf.DUMMYFUNCTION("DATE(INDEX(SPLIT(G2368,""/""),,3),INDEX(SPLIT(G2368,""/""),,2),INDEX(SPLIT(G2368,""/""),,1))"),44596.0)</f>
        <v>44596</v>
      </c>
      <c r="I2368" s="4">
        <v>45237.0</v>
      </c>
      <c r="J2368" s="4">
        <f>IFERROR(__xludf.DUMMYFUNCTION("DATE(INDEX(SPLIT(I2368,""/""),,3),INDEX(SPLIT(I2368,""/""),,2),INDEX(SPLIT(I2368,""/""),,1))"),45118.0)</f>
        <v>45118</v>
      </c>
      <c r="L2368" s="1">
        <v>0.0</v>
      </c>
      <c r="M2368" s="1" t="s">
        <v>1208</v>
      </c>
      <c r="N2368" s="1"/>
      <c r="O2368" s="1" t="s">
        <v>30</v>
      </c>
      <c r="P2368" s="1" t="s">
        <v>31</v>
      </c>
      <c r="Q2368" s="1" t="s">
        <v>71</v>
      </c>
      <c r="R2368" s="1" t="s">
        <v>71</v>
      </c>
      <c r="S2368" s="1" t="s">
        <v>72</v>
      </c>
      <c r="T2368" s="1" t="s">
        <v>73</v>
      </c>
      <c r="U2368" s="1">
        <v>1.00611771E8</v>
      </c>
      <c r="X2368" s="1" t="s">
        <v>74</v>
      </c>
      <c r="Y2368" s="1" t="s">
        <v>2623</v>
      </c>
      <c r="Z2368" s="1" t="s">
        <v>527</v>
      </c>
    </row>
    <row r="2369" hidden="1">
      <c r="A2369" s="1" t="s">
        <v>7345</v>
      </c>
      <c r="B2369" s="1" t="s">
        <v>5483</v>
      </c>
      <c r="C2369" s="1" t="s">
        <v>7346</v>
      </c>
      <c r="D2369" s="1" t="s">
        <v>27</v>
      </c>
      <c r="E2369" s="1" t="s">
        <v>28</v>
      </c>
      <c r="F2369" s="2">
        <v>500000.0</v>
      </c>
      <c r="G2369" s="4">
        <v>44748.0</v>
      </c>
      <c r="H2369" s="4">
        <f>IFERROR(__xludf.DUMMYFUNCTION("DATE(INDEX(SPLIT(G2369,""/""),,3),INDEX(SPLIT(G2369,""/""),,2),INDEX(SPLIT(G2369,""/""),,1))"),44719.0)</f>
        <v>44719</v>
      </c>
      <c r="I2369" s="1" t="s">
        <v>109</v>
      </c>
      <c r="J2369" s="4">
        <f>IFERROR(__xludf.DUMMYFUNCTION("DATE(INDEX(SPLIT(I2369,""/""),,3),INDEX(SPLIT(I2369,""/""),,2),INDEX(SPLIT(I2369,""/""),,1))"),44834.0)</f>
        <v>44834</v>
      </c>
      <c r="L2369" s="1">
        <v>0.0</v>
      </c>
      <c r="M2369" s="1" t="s">
        <v>7347</v>
      </c>
      <c r="N2369" s="1"/>
      <c r="O2369" s="1" t="s">
        <v>30</v>
      </c>
      <c r="P2369" s="1" t="s">
        <v>31</v>
      </c>
      <c r="Q2369" s="1" t="s">
        <v>228</v>
      </c>
      <c r="R2369" s="1" t="s">
        <v>228</v>
      </c>
      <c r="S2369" s="1" t="s">
        <v>229</v>
      </c>
      <c r="U2369" s="1">
        <v>1.00613669E8</v>
      </c>
      <c r="X2369" s="1" t="s">
        <v>190</v>
      </c>
      <c r="Y2369" s="1" t="s">
        <v>5485</v>
      </c>
      <c r="Z2369" s="1" t="s">
        <v>527</v>
      </c>
    </row>
    <row r="2370" hidden="1">
      <c r="A2370" s="1" t="s">
        <v>7348</v>
      </c>
      <c r="B2370" s="1" t="s">
        <v>7349</v>
      </c>
      <c r="C2370" s="1" t="s">
        <v>7350</v>
      </c>
      <c r="D2370" s="1" t="s">
        <v>78</v>
      </c>
      <c r="E2370" s="1" t="s">
        <v>28</v>
      </c>
      <c r="F2370" s="2">
        <v>500000.0</v>
      </c>
      <c r="G2370" s="1" t="s">
        <v>359</v>
      </c>
      <c r="H2370" s="4">
        <f>IFERROR(__xludf.DUMMYFUNCTION("DATE(INDEX(SPLIT(G2370,""/""),,3),INDEX(SPLIT(G2370,""/""),,2),INDEX(SPLIT(G2370,""/""),,1))"),44740.0)</f>
        <v>44740</v>
      </c>
      <c r="I2370" s="4">
        <v>44689.0</v>
      </c>
      <c r="J2370" s="4">
        <f>IFERROR(__xludf.DUMMYFUNCTION("DATE(INDEX(SPLIT(I2370,""/""),,3),INDEX(SPLIT(I2370,""/""),,2),INDEX(SPLIT(I2370,""/""),,1))"),44778.0)</f>
        <v>44778</v>
      </c>
      <c r="L2370" s="1">
        <v>0.0</v>
      </c>
      <c r="M2370" s="1" t="s">
        <v>3419</v>
      </c>
      <c r="N2370" s="1"/>
      <c r="O2370" s="1" t="s">
        <v>30</v>
      </c>
      <c r="P2370" s="1" t="s">
        <v>31</v>
      </c>
      <c r="Q2370" s="1" t="s">
        <v>32</v>
      </c>
      <c r="R2370" s="1" t="s">
        <v>32</v>
      </c>
      <c r="S2370" s="1" t="s">
        <v>33</v>
      </c>
      <c r="U2370" s="1">
        <v>1.00651998E8</v>
      </c>
      <c r="X2370" s="1" t="s">
        <v>490</v>
      </c>
      <c r="Y2370" s="1" t="s">
        <v>3419</v>
      </c>
      <c r="Z2370" s="1" t="s">
        <v>37</v>
      </c>
    </row>
    <row r="2371" hidden="1">
      <c r="A2371" s="1" t="s">
        <v>7351</v>
      </c>
      <c r="B2371" s="1" t="s">
        <v>605</v>
      </c>
      <c r="C2371" s="1" t="s">
        <v>7352</v>
      </c>
      <c r="D2371" s="1" t="s">
        <v>27</v>
      </c>
      <c r="E2371" s="1" t="s">
        <v>28</v>
      </c>
      <c r="F2371" s="2">
        <v>500000.0</v>
      </c>
      <c r="G2371" s="1" t="s">
        <v>1244</v>
      </c>
      <c r="H2371" s="4">
        <f>IFERROR(__xludf.DUMMYFUNCTION("DATE(INDEX(SPLIT(G2371,""/""),,3),INDEX(SPLIT(G2371,""/""),,2),INDEX(SPLIT(G2371,""/""),,1))"),44742.0)</f>
        <v>44742</v>
      </c>
      <c r="I2371" s="1" t="s">
        <v>130</v>
      </c>
      <c r="J2371" s="4">
        <f>IFERROR(__xludf.DUMMYFUNCTION("DATE(INDEX(SPLIT(I2371,""/""),,3),INDEX(SPLIT(I2371,""/""),,2),INDEX(SPLIT(I2371,""/""),,1))"),44804.0)</f>
        <v>44804</v>
      </c>
      <c r="L2371" s="1">
        <v>0.0</v>
      </c>
      <c r="M2371" s="1" t="s">
        <v>3507</v>
      </c>
      <c r="N2371" s="1"/>
      <c r="O2371" s="1" t="s">
        <v>30</v>
      </c>
      <c r="P2371" s="1" t="s">
        <v>31</v>
      </c>
      <c r="Q2371" s="1" t="s">
        <v>235</v>
      </c>
      <c r="R2371" s="1" t="s">
        <v>235</v>
      </c>
      <c r="S2371" s="1" t="s">
        <v>236</v>
      </c>
      <c r="U2371" s="1">
        <v>1.00585834E8</v>
      </c>
      <c r="X2371" s="1" t="s">
        <v>375</v>
      </c>
      <c r="Y2371" s="1" t="s">
        <v>3507</v>
      </c>
      <c r="Z2371" s="1" t="s">
        <v>37</v>
      </c>
    </row>
    <row r="2372" hidden="1">
      <c r="A2372" s="1" t="s">
        <v>7353</v>
      </c>
      <c r="B2372" s="1" t="s">
        <v>3820</v>
      </c>
      <c r="C2372" s="1" t="s">
        <v>7354</v>
      </c>
      <c r="D2372" s="1" t="s">
        <v>78</v>
      </c>
      <c r="E2372" s="1" t="s">
        <v>28</v>
      </c>
      <c r="F2372" s="2">
        <v>500000.0</v>
      </c>
      <c r="G2372" s="1" t="s">
        <v>1863</v>
      </c>
      <c r="H2372" s="4">
        <f>IFERROR(__xludf.DUMMYFUNCTION("DATE(INDEX(SPLIT(G2372,""/""),,3),INDEX(SPLIT(G2372,""/""),,2),INDEX(SPLIT(G2372,""/""),,1))"),44069.0)</f>
        <v>44069</v>
      </c>
      <c r="I2372" s="1" t="s">
        <v>1799</v>
      </c>
      <c r="J2372" s="4">
        <f>IFERROR(__xludf.DUMMYFUNCTION("DATE(INDEX(SPLIT(I2372,""/""),,3),INDEX(SPLIT(I2372,""/""),,2),INDEX(SPLIT(I2372,""/""),,1))"),44788.0)</f>
        <v>44788</v>
      </c>
      <c r="L2372" s="1">
        <v>0.0</v>
      </c>
      <c r="M2372" s="1" t="s">
        <v>1303</v>
      </c>
      <c r="N2372" s="1"/>
      <c r="O2372" s="1" t="s">
        <v>30</v>
      </c>
      <c r="P2372" s="1" t="s">
        <v>31</v>
      </c>
      <c r="Q2372" s="1" t="s">
        <v>235</v>
      </c>
      <c r="R2372" s="1" t="s">
        <v>235</v>
      </c>
      <c r="S2372" s="1" t="s">
        <v>236</v>
      </c>
      <c r="T2372" s="1" t="s">
        <v>438</v>
      </c>
      <c r="U2372" s="1">
        <v>1.00609073E8</v>
      </c>
      <c r="X2372" s="1" t="s">
        <v>88</v>
      </c>
      <c r="Y2372" s="1" t="s">
        <v>7355</v>
      </c>
      <c r="Z2372" s="1" t="s">
        <v>37</v>
      </c>
    </row>
    <row r="2373" hidden="1">
      <c r="A2373" s="1" t="s">
        <v>7356</v>
      </c>
      <c r="B2373" s="1" t="s">
        <v>3820</v>
      </c>
      <c r="C2373" s="1" t="s">
        <v>7357</v>
      </c>
      <c r="D2373" s="1" t="s">
        <v>78</v>
      </c>
      <c r="E2373" s="1" t="s">
        <v>28</v>
      </c>
      <c r="F2373" s="2">
        <v>500000.0</v>
      </c>
      <c r="G2373" s="1" t="s">
        <v>1863</v>
      </c>
      <c r="H2373" s="4">
        <f>IFERROR(__xludf.DUMMYFUNCTION("DATE(INDEX(SPLIT(G2373,""/""),,3),INDEX(SPLIT(G2373,""/""),,2),INDEX(SPLIT(G2373,""/""),,1))"),44069.0)</f>
        <v>44069</v>
      </c>
      <c r="I2373" s="1" t="s">
        <v>109</v>
      </c>
      <c r="J2373" s="4">
        <f>IFERROR(__xludf.DUMMYFUNCTION("DATE(INDEX(SPLIT(I2373,""/""),,3),INDEX(SPLIT(I2373,""/""),,2),INDEX(SPLIT(I2373,""/""),,1))"),44834.0)</f>
        <v>44834</v>
      </c>
      <c r="L2373" s="1">
        <v>0.0</v>
      </c>
      <c r="M2373" s="1" t="s">
        <v>1303</v>
      </c>
      <c r="N2373" s="1"/>
      <c r="O2373" s="1" t="s">
        <v>30</v>
      </c>
      <c r="P2373" s="1" t="s">
        <v>31</v>
      </c>
      <c r="Q2373" s="1" t="s">
        <v>235</v>
      </c>
      <c r="R2373" s="1" t="s">
        <v>235</v>
      </c>
      <c r="S2373" s="1" t="s">
        <v>236</v>
      </c>
      <c r="T2373" s="1" t="s">
        <v>438</v>
      </c>
      <c r="U2373" s="1">
        <v>1.00609073E8</v>
      </c>
      <c r="X2373" s="1" t="s">
        <v>88</v>
      </c>
      <c r="Y2373" s="1" t="s">
        <v>7355</v>
      </c>
      <c r="Z2373" s="1" t="s">
        <v>37</v>
      </c>
    </row>
    <row r="2374" hidden="1">
      <c r="A2374" s="1" t="s">
        <v>7358</v>
      </c>
      <c r="B2374" s="1" t="s">
        <v>39</v>
      </c>
      <c r="C2374" s="1" t="s">
        <v>7359</v>
      </c>
      <c r="D2374" s="1" t="s">
        <v>27</v>
      </c>
      <c r="E2374" s="1" t="s">
        <v>28</v>
      </c>
      <c r="F2374" s="2">
        <v>500000.0</v>
      </c>
      <c r="G2374" s="4">
        <v>44686.0</v>
      </c>
      <c r="H2374" s="4">
        <f>IFERROR(__xludf.DUMMYFUNCTION("DATE(INDEX(SPLIT(G2374,""/""),,3),INDEX(SPLIT(G2374,""/""),,2),INDEX(SPLIT(G2374,""/""),,1))"),44686.0)</f>
        <v>44686</v>
      </c>
      <c r="I2374" s="1" t="s">
        <v>1361</v>
      </c>
      <c r="J2374" s="4">
        <f>IFERROR(__xludf.DUMMYFUNCTION("DATE(INDEX(SPLIT(I2374,""/""),,3),INDEX(SPLIT(I2374,""/""),,2),INDEX(SPLIT(I2374,""/""),,1))"),44827.0)</f>
        <v>44827</v>
      </c>
      <c r="L2374" s="1">
        <v>0.0</v>
      </c>
      <c r="M2374" s="1" t="s">
        <v>1324</v>
      </c>
      <c r="N2374" s="1"/>
      <c r="O2374" s="1" t="s">
        <v>30</v>
      </c>
      <c r="P2374" s="1" t="s">
        <v>31</v>
      </c>
      <c r="Q2374" s="1" t="s">
        <v>188</v>
      </c>
      <c r="R2374" s="1" t="s">
        <v>188</v>
      </c>
      <c r="S2374" s="1" t="s">
        <v>189</v>
      </c>
      <c r="U2374" s="1">
        <v>1.01186492E8</v>
      </c>
      <c r="V2374" s="1" t="s">
        <v>1325</v>
      </c>
      <c r="W2374" s="1" t="s">
        <v>45</v>
      </c>
      <c r="X2374" s="1" t="s">
        <v>46</v>
      </c>
      <c r="Y2374" s="1" t="s">
        <v>1326</v>
      </c>
      <c r="Z2374" s="1" t="s">
        <v>37</v>
      </c>
    </row>
    <row r="2375" hidden="1">
      <c r="A2375" s="1" t="s">
        <v>7360</v>
      </c>
      <c r="B2375" s="1" t="s">
        <v>7361</v>
      </c>
      <c r="C2375" s="1" t="s">
        <v>7362</v>
      </c>
      <c r="D2375" s="1" t="s">
        <v>27</v>
      </c>
      <c r="E2375" s="1" t="s">
        <v>28</v>
      </c>
      <c r="F2375" s="2">
        <v>500000.0</v>
      </c>
      <c r="G2375" s="1" t="s">
        <v>1259</v>
      </c>
      <c r="H2375" s="4">
        <f>IFERROR(__xludf.DUMMYFUNCTION("DATE(INDEX(SPLIT(G2375,""/""),,3),INDEX(SPLIT(G2375,""/""),,2),INDEX(SPLIT(G2375,""/""),,1))"),44763.0)</f>
        <v>44763</v>
      </c>
      <c r="I2375" s="1" t="s">
        <v>872</v>
      </c>
      <c r="J2375" s="4">
        <f>IFERROR(__xludf.DUMMYFUNCTION("DATE(INDEX(SPLIT(I2375,""/""),,3),INDEX(SPLIT(I2375,""/""),,2),INDEX(SPLIT(I2375,""/""),,1))"),44820.0)</f>
        <v>44820</v>
      </c>
      <c r="L2375" s="1">
        <v>0.0</v>
      </c>
      <c r="M2375" s="1" t="s">
        <v>3187</v>
      </c>
      <c r="N2375" s="1"/>
      <c r="O2375" s="1" t="s">
        <v>30</v>
      </c>
      <c r="P2375" s="1" t="s">
        <v>31</v>
      </c>
      <c r="Q2375" s="1" t="s">
        <v>228</v>
      </c>
      <c r="R2375" s="1" t="s">
        <v>228</v>
      </c>
      <c r="S2375" s="1" t="s">
        <v>229</v>
      </c>
      <c r="U2375" s="1">
        <v>1.00638978E8</v>
      </c>
      <c r="X2375" s="1" t="s">
        <v>254</v>
      </c>
      <c r="Y2375" s="1" t="s">
        <v>4174</v>
      </c>
      <c r="Z2375" s="1" t="s">
        <v>37</v>
      </c>
    </row>
    <row r="2376">
      <c r="A2376" s="1" t="s">
        <v>7363</v>
      </c>
      <c r="B2376" s="1" t="s">
        <v>315</v>
      </c>
      <c r="C2376" s="1" t="s">
        <v>7364</v>
      </c>
      <c r="D2376" s="1" t="s">
        <v>78</v>
      </c>
      <c r="E2376" s="1" t="s">
        <v>28</v>
      </c>
      <c r="F2376" s="2">
        <v>500000.0</v>
      </c>
      <c r="G2376" s="4">
        <v>44686.0</v>
      </c>
      <c r="H2376" s="4">
        <f>IFERROR(__xludf.DUMMYFUNCTION("DATE(INDEX(SPLIT(G2376,""/""),,3),INDEX(SPLIT(G2376,""/""),,2),INDEX(SPLIT(G2376,""/""),,1))"),44686.0)</f>
        <v>44686</v>
      </c>
      <c r="I2376" s="1" t="s">
        <v>226</v>
      </c>
      <c r="J2376" s="4">
        <f>IFERROR(__xludf.DUMMYFUNCTION("DATE(INDEX(SPLIT(I2376,""/""),,3),INDEX(SPLIT(I2376,""/""),,2),INDEX(SPLIT(I2376,""/""),,1))"),44771.0)</f>
        <v>44771</v>
      </c>
      <c r="L2376" s="1">
        <v>0.0</v>
      </c>
      <c r="M2376" s="1" t="s">
        <v>1137</v>
      </c>
      <c r="N2376" s="1"/>
      <c r="O2376" s="1" t="s">
        <v>30</v>
      </c>
      <c r="P2376" s="1" t="s">
        <v>31</v>
      </c>
      <c r="Q2376" s="1" t="s">
        <v>71</v>
      </c>
      <c r="R2376" s="1" t="s">
        <v>71</v>
      </c>
      <c r="S2376" s="1" t="s">
        <v>72</v>
      </c>
      <c r="T2376" s="1" t="s">
        <v>73</v>
      </c>
      <c r="U2376" s="1">
        <v>1.00589728E8</v>
      </c>
      <c r="X2376" s="1" t="s">
        <v>74</v>
      </c>
      <c r="Y2376" s="1" t="s">
        <v>5020</v>
      </c>
      <c r="Z2376" s="1" t="s">
        <v>37</v>
      </c>
    </row>
    <row r="2377">
      <c r="A2377" s="1" t="s">
        <v>7365</v>
      </c>
      <c r="B2377" s="1" t="s">
        <v>3957</v>
      </c>
      <c r="C2377" s="1" t="s">
        <v>7366</v>
      </c>
      <c r="D2377" s="1" t="s">
        <v>78</v>
      </c>
      <c r="E2377" s="1" t="s">
        <v>28</v>
      </c>
      <c r="F2377" s="2">
        <v>500000.0</v>
      </c>
      <c r="G2377" s="4">
        <v>44686.0</v>
      </c>
      <c r="H2377" s="4">
        <f>IFERROR(__xludf.DUMMYFUNCTION("DATE(INDEX(SPLIT(G2377,""/""),,3),INDEX(SPLIT(G2377,""/""),,2),INDEX(SPLIT(G2377,""/""),,1))"),44686.0)</f>
        <v>44686</v>
      </c>
      <c r="I2377" s="1" t="s">
        <v>69</v>
      </c>
      <c r="J2377" s="4">
        <f>IFERROR(__xludf.DUMMYFUNCTION("DATE(INDEX(SPLIT(I2377,""/""),,3),INDEX(SPLIT(I2377,""/""),,2),INDEX(SPLIT(I2377,""/""),,1))"),44773.0)</f>
        <v>44773</v>
      </c>
      <c r="L2377" s="1">
        <v>0.0</v>
      </c>
      <c r="M2377" s="1" t="s">
        <v>780</v>
      </c>
      <c r="N2377" s="1"/>
      <c r="O2377" s="1" t="s">
        <v>30</v>
      </c>
      <c r="P2377" s="1" t="s">
        <v>31</v>
      </c>
      <c r="Q2377" s="1" t="s">
        <v>157</v>
      </c>
      <c r="R2377" s="1" t="s">
        <v>157</v>
      </c>
      <c r="S2377" s="1" t="s">
        <v>158</v>
      </c>
      <c r="T2377" s="1" t="s">
        <v>442</v>
      </c>
      <c r="U2377" s="1">
        <v>1.00654914E8</v>
      </c>
      <c r="X2377" s="1" t="s">
        <v>117</v>
      </c>
      <c r="Y2377" s="1" t="s">
        <v>3520</v>
      </c>
      <c r="Z2377" s="1" t="s">
        <v>37</v>
      </c>
    </row>
    <row r="2378" hidden="1">
      <c r="A2378" s="1" t="s">
        <v>7367</v>
      </c>
      <c r="B2378" s="1" t="s">
        <v>39</v>
      </c>
      <c r="C2378" s="1" t="s">
        <v>7368</v>
      </c>
      <c r="D2378" s="1" t="s">
        <v>122</v>
      </c>
      <c r="E2378" s="1" t="s">
        <v>28</v>
      </c>
      <c r="F2378" s="2">
        <v>500000.0</v>
      </c>
      <c r="G2378" s="4">
        <v>44686.0</v>
      </c>
      <c r="H2378" s="4">
        <f>IFERROR(__xludf.DUMMYFUNCTION("DATE(INDEX(SPLIT(G2378,""/""),,3),INDEX(SPLIT(G2378,""/""),,2),INDEX(SPLIT(G2378,""/""),,1))"),44686.0)</f>
        <v>44686</v>
      </c>
      <c r="I2378" s="1" t="s">
        <v>872</v>
      </c>
      <c r="J2378" s="4">
        <f>IFERROR(__xludf.DUMMYFUNCTION("DATE(INDEX(SPLIT(I2378,""/""),,3),INDEX(SPLIT(I2378,""/""),,2),INDEX(SPLIT(I2378,""/""),,1))"),44820.0)</f>
        <v>44820</v>
      </c>
      <c r="L2378" s="1">
        <v>0.0</v>
      </c>
      <c r="M2378" s="1" t="s">
        <v>1324</v>
      </c>
      <c r="N2378" s="1"/>
      <c r="O2378" s="1" t="s">
        <v>30</v>
      </c>
      <c r="P2378" s="1" t="s">
        <v>31</v>
      </c>
      <c r="Q2378" s="1" t="s">
        <v>188</v>
      </c>
      <c r="R2378" s="1" t="s">
        <v>188</v>
      </c>
      <c r="S2378" s="1" t="s">
        <v>189</v>
      </c>
      <c r="U2378" s="1">
        <v>1.01186492E8</v>
      </c>
      <c r="V2378" s="1" t="s">
        <v>1325</v>
      </c>
      <c r="W2378" s="1" t="s">
        <v>45</v>
      </c>
      <c r="X2378" s="1" t="s">
        <v>46</v>
      </c>
      <c r="Y2378" s="1" t="s">
        <v>1326</v>
      </c>
      <c r="Z2378" s="1" t="s">
        <v>37</v>
      </c>
    </row>
    <row r="2379" hidden="1">
      <c r="A2379" s="1" t="s">
        <v>7369</v>
      </c>
      <c r="B2379" s="1" t="s">
        <v>91</v>
      </c>
      <c r="C2379" s="1" t="s">
        <v>7370</v>
      </c>
      <c r="D2379" s="1" t="s">
        <v>27</v>
      </c>
      <c r="E2379" s="1" t="s">
        <v>28</v>
      </c>
      <c r="F2379" s="2">
        <v>500000.0</v>
      </c>
      <c r="G2379" s="1" t="s">
        <v>1259</v>
      </c>
      <c r="H2379" s="4">
        <f>IFERROR(__xludf.DUMMYFUNCTION("DATE(INDEX(SPLIT(G2379,""/""),,3),INDEX(SPLIT(G2379,""/""),,2),INDEX(SPLIT(G2379,""/""),,1))"),44763.0)</f>
        <v>44763</v>
      </c>
      <c r="I2379" s="4">
        <v>44604.0</v>
      </c>
      <c r="J2379" s="4">
        <f>IFERROR(__xludf.DUMMYFUNCTION("DATE(INDEX(SPLIT(I2379,""/""),,3),INDEX(SPLIT(I2379,""/""),,2),INDEX(SPLIT(I2379,""/""),,1))"),44897.0)</f>
        <v>44897</v>
      </c>
      <c r="L2379" s="1">
        <v>0.0</v>
      </c>
      <c r="M2379" s="1" t="s">
        <v>1704</v>
      </c>
      <c r="N2379" s="1"/>
      <c r="O2379" s="1" t="s">
        <v>30</v>
      </c>
      <c r="P2379" s="1" t="s">
        <v>31</v>
      </c>
      <c r="Q2379" s="1" t="s">
        <v>157</v>
      </c>
      <c r="R2379" s="1" t="s">
        <v>157</v>
      </c>
      <c r="S2379" s="1" t="s">
        <v>158</v>
      </c>
      <c r="T2379" s="1" t="s">
        <v>442</v>
      </c>
      <c r="U2379" s="1">
        <v>1.00654991E8</v>
      </c>
      <c r="X2379" s="1" t="s">
        <v>98</v>
      </c>
      <c r="Y2379" s="1" t="s">
        <v>1969</v>
      </c>
      <c r="Z2379" s="1" t="s">
        <v>37</v>
      </c>
    </row>
    <row r="2380" hidden="1">
      <c r="A2380" s="1" t="s">
        <v>7371</v>
      </c>
      <c r="B2380" s="1" t="s">
        <v>1454</v>
      </c>
      <c r="C2380" s="1" t="s">
        <v>7372</v>
      </c>
      <c r="D2380" s="1" t="s">
        <v>27</v>
      </c>
      <c r="E2380" s="1" t="s">
        <v>28</v>
      </c>
      <c r="F2380" s="2">
        <v>500000.0</v>
      </c>
      <c r="G2380" s="1" t="s">
        <v>185</v>
      </c>
      <c r="H2380" s="4">
        <f>IFERROR(__xludf.DUMMYFUNCTION("DATE(INDEX(SPLIT(G2380,""/""),,3),INDEX(SPLIT(G2380,""/""),,2),INDEX(SPLIT(G2380,""/""),,1))"),44741.0)</f>
        <v>44741</v>
      </c>
      <c r="I2380" s="4">
        <v>44601.0</v>
      </c>
      <c r="J2380" s="4">
        <f>IFERROR(__xludf.DUMMYFUNCTION("DATE(INDEX(SPLIT(I2380,""/""),,3),INDEX(SPLIT(I2380,""/""),,2),INDEX(SPLIT(I2380,""/""),,1))"),44806.0)</f>
        <v>44806</v>
      </c>
      <c r="L2380" s="1">
        <v>0.0</v>
      </c>
      <c r="M2380" s="1" t="s">
        <v>1439</v>
      </c>
      <c r="N2380" s="1"/>
      <c r="O2380" s="1" t="s">
        <v>30</v>
      </c>
      <c r="P2380" s="1" t="s">
        <v>31</v>
      </c>
      <c r="Q2380" s="1" t="s">
        <v>32</v>
      </c>
      <c r="R2380" s="1" t="s">
        <v>32</v>
      </c>
      <c r="S2380" s="1" t="s">
        <v>33</v>
      </c>
      <c r="T2380" s="1" t="s">
        <v>103</v>
      </c>
      <c r="U2380" s="1">
        <v>1.00585872E8</v>
      </c>
      <c r="X2380" s="1" t="s">
        <v>254</v>
      </c>
      <c r="Y2380" s="1" t="s">
        <v>1457</v>
      </c>
      <c r="Z2380" s="1" t="s">
        <v>37</v>
      </c>
    </row>
    <row r="2381">
      <c r="A2381" s="1" t="s">
        <v>7373</v>
      </c>
      <c r="B2381" s="1" t="s">
        <v>566</v>
      </c>
      <c r="C2381" s="1" t="s">
        <v>7374</v>
      </c>
      <c r="D2381" s="1" t="s">
        <v>27</v>
      </c>
      <c r="E2381" s="1" t="s">
        <v>28</v>
      </c>
      <c r="F2381" s="2">
        <v>500000.0</v>
      </c>
      <c r="G2381" s="1" t="s">
        <v>2900</v>
      </c>
      <c r="H2381" s="4">
        <f>IFERROR(__xludf.DUMMYFUNCTION("DATE(INDEX(SPLIT(G2381,""/""),,3),INDEX(SPLIT(G2381,""/""),,2),INDEX(SPLIT(G2381,""/""),,1))"),44678.0)</f>
        <v>44678</v>
      </c>
      <c r="I2381" s="4">
        <v>44568.0</v>
      </c>
      <c r="J2381" s="4">
        <f>IFERROR(__xludf.DUMMYFUNCTION("DATE(INDEX(SPLIT(I2381,""/""),,3),INDEX(SPLIT(I2381,""/""),,2),INDEX(SPLIT(I2381,""/""),,1))"),44743.0)</f>
        <v>44743</v>
      </c>
      <c r="L2381" s="1">
        <v>0.0</v>
      </c>
      <c r="M2381" s="1" t="s">
        <v>2067</v>
      </c>
      <c r="N2381" s="1"/>
      <c r="O2381" s="1" t="s">
        <v>30</v>
      </c>
      <c r="P2381" s="1" t="s">
        <v>31</v>
      </c>
      <c r="Q2381" s="1" t="s">
        <v>95</v>
      </c>
      <c r="R2381" s="1" t="s">
        <v>95</v>
      </c>
      <c r="S2381" s="1" t="s">
        <v>96</v>
      </c>
      <c r="T2381" s="1" t="s">
        <v>111</v>
      </c>
      <c r="U2381" s="1">
        <v>1.00631322E8</v>
      </c>
      <c r="X2381" s="1" t="s">
        <v>63</v>
      </c>
      <c r="Y2381" s="1" t="s">
        <v>767</v>
      </c>
      <c r="Z2381" s="1" t="s">
        <v>37</v>
      </c>
    </row>
    <row r="2382" hidden="1">
      <c r="A2382" s="1" t="s">
        <v>7375</v>
      </c>
      <c r="B2382" s="1" t="s">
        <v>650</v>
      </c>
      <c r="C2382" s="1" t="s">
        <v>7376</v>
      </c>
      <c r="D2382" s="1" t="s">
        <v>78</v>
      </c>
      <c r="E2382" s="1" t="s">
        <v>28</v>
      </c>
      <c r="F2382" s="2">
        <v>500000.0</v>
      </c>
      <c r="G2382" s="4">
        <v>44840.0</v>
      </c>
      <c r="H2382" s="4">
        <f>IFERROR(__xludf.DUMMYFUNCTION("DATE(INDEX(SPLIT(G2382,""/""),,3),INDEX(SPLIT(G2382,""/""),,2),INDEX(SPLIT(G2382,""/""),,1))"),44722.0)</f>
        <v>44722</v>
      </c>
      <c r="I2382" s="1" t="s">
        <v>109</v>
      </c>
      <c r="J2382" s="4">
        <f>IFERROR(__xludf.DUMMYFUNCTION("DATE(INDEX(SPLIT(I2382,""/""),,3),INDEX(SPLIT(I2382,""/""),,2),INDEX(SPLIT(I2382,""/""),,1))"),44834.0)</f>
        <v>44834</v>
      </c>
      <c r="L2382" s="1">
        <v>0.0</v>
      </c>
      <c r="M2382" s="1" t="s">
        <v>2123</v>
      </c>
      <c r="N2382" s="1"/>
      <c r="O2382" s="1" t="s">
        <v>30</v>
      </c>
      <c r="P2382" s="1" t="s">
        <v>31</v>
      </c>
      <c r="Q2382" s="1" t="s">
        <v>157</v>
      </c>
      <c r="R2382" s="1" t="s">
        <v>157</v>
      </c>
      <c r="S2382" s="1" t="s">
        <v>158</v>
      </c>
      <c r="U2382" s="1">
        <v>1.00589248E8</v>
      </c>
      <c r="X2382" s="1" t="s">
        <v>63</v>
      </c>
      <c r="Y2382" s="1" t="s">
        <v>7377</v>
      </c>
      <c r="Z2382" s="1" t="s">
        <v>37</v>
      </c>
    </row>
    <row r="2383">
      <c r="A2383" s="1" t="s">
        <v>7378</v>
      </c>
      <c r="B2383" s="1" t="s">
        <v>308</v>
      </c>
      <c r="C2383" s="1" t="s">
        <v>7379</v>
      </c>
      <c r="D2383" s="1" t="s">
        <v>78</v>
      </c>
      <c r="E2383" s="1" t="s">
        <v>28</v>
      </c>
      <c r="F2383" s="2">
        <v>500000.0</v>
      </c>
      <c r="G2383" s="4">
        <v>44351.0</v>
      </c>
      <c r="H2383" s="4">
        <f>IFERROR(__xludf.DUMMYFUNCTION("DATE(INDEX(SPLIT(G2383,""/""),,3),INDEX(SPLIT(G2383,""/""),,2),INDEX(SPLIT(G2383,""/""),,1))"),44292.0)</f>
        <v>44292</v>
      </c>
      <c r="I2383" s="1" t="s">
        <v>607</v>
      </c>
      <c r="J2383" s="4">
        <f>IFERROR(__xludf.DUMMYFUNCTION("DATE(INDEX(SPLIT(I2383,""/""),,3),INDEX(SPLIT(I2383,""/""),,2),INDEX(SPLIT(I2383,""/""),,1))"),44770.0)</f>
        <v>44770</v>
      </c>
      <c r="L2383" s="1">
        <v>0.0</v>
      </c>
      <c r="M2383" s="1" t="s">
        <v>1230</v>
      </c>
      <c r="N2383" s="1"/>
      <c r="O2383" s="1" t="s">
        <v>30</v>
      </c>
      <c r="P2383" s="1" t="s">
        <v>31</v>
      </c>
      <c r="Q2383" s="1" t="s">
        <v>53</v>
      </c>
      <c r="R2383" s="1" t="s">
        <v>53</v>
      </c>
      <c r="S2383" s="1" t="s">
        <v>54</v>
      </c>
      <c r="U2383" s="1">
        <v>1.01127868E8</v>
      </c>
      <c r="X2383" s="1" t="s">
        <v>312</v>
      </c>
      <c r="Y2383" s="1" t="s">
        <v>313</v>
      </c>
      <c r="Z2383" s="1" t="s">
        <v>37</v>
      </c>
    </row>
    <row r="2384" hidden="1">
      <c r="A2384" s="1" t="s">
        <v>7380</v>
      </c>
      <c r="B2384" s="1" t="s">
        <v>1131</v>
      </c>
      <c r="C2384" s="1" t="s">
        <v>7381</v>
      </c>
      <c r="D2384" s="1" t="s">
        <v>27</v>
      </c>
      <c r="E2384" s="1" t="s">
        <v>28</v>
      </c>
      <c r="F2384" s="2">
        <v>500000.0</v>
      </c>
      <c r="G2384" s="4">
        <v>44837.0</v>
      </c>
      <c r="H2384" s="4">
        <f>IFERROR(__xludf.DUMMYFUNCTION("DATE(INDEX(SPLIT(G2384,""/""),,3),INDEX(SPLIT(G2384,""/""),,2),INDEX(SPLIT(G2384,""/""),,1))"),44630.0)</f>
        <v>44630</v>
      </c>
      <c r="I2384" s="1" t="s">
        <v>360</v>
      </c>
      <c r="J2384" s="4">
        <f>IFERROR(__xludf.DUMMYFUNCTION("DATE(INDEX(SPLIT(I2384,""/""),,3),INDEX(SPLIT(I2384,""/""),,2),INDEX(SPLIT(I2384,""/""),,1))"),44895.0)</f>
        <v>44895</v>
      </c>
      <c r="L2384" s="1">
        <v>0.0</v>
      </c>
      <c r="M2384" s="1" t="s">
        <v>1093</v>
      </c>
      <c r="N2384" s="1"/>
      <c r="O2384" s="1" t="s">
        <v>30</v>
      </c>
      <c r="P2384" s="1" t="s">
        <v>31</v>
      </c>
      <c r="Q2384" s="1" t="s">
        <v>71</v>
      </c>
      <c r="R2384" s="1" t="s">
        <v>71</v>
      </c>
      <c r="S2384" s="1" t="s">
        <v>72</v>
      </c>
      <c r="T2384" s="1" t="s">
        <v>73</v>
      </c>
      <c r="U2384" s="1">
        <v>1.01131115E8</v>
      </c>
      <c r="X2384" s="1" t="s">
        <v>74</v>
      </c>
      <c r="Y2384" s="1" t="s">
        <v>1093</v>
      </c>
      <c r="Z2384" s="1" t="s">
        <v>37</v>
      </c>
    </row>
    <row r="2385" hidden="1">
      <c r="A2385" s="1" t="s">
        <v>7382</v>
      </c>
      <c r="B2385" s="1" t="s">
        <v>2415</v>
      </c>
      <c r="C2385" s="1" t="s">
        <v>7383</v>
      </c>
      <c r="D2385" s="1" t="s">
        <v>27</v>
      </c>
      <c r="E2385" s="1" t="s">
        <v>28</v>
      </c>
      <c r="F2385" s="2">
        <v>500000.0</v>
      </c>
      <c r="G2385" s="4">
        <v>44809.0</v>
      </c>
      <c r="H2385" s="4">
        <f>IFERROR(__xludf.DUMMYFUNCTION("DATE(INDEX(SPLIT(G2385,""/""),,3),INDEX(SPLIT(G2385,""/""),,2),INDEX(SPLIT(G2385,""/""),,1))"),44690.0)</f>
        <v>44690</v>
      </c>
      <c r="I2385" s="4">
        <v>44601.0</v>
      </c>
      <c r="J2385" s="4">
        <f>IFERROR(__xludf.DUMMYFUNCTION("DATE(INDEX(SPLIT(I2385,""/""),,3),INDEX(SPLIT(I2385,""/""),,2),INDEX(SPLIT(I2385,""/""),,1))"),44806.0)</f>
        <v>44806</v>
      </c>
      <c r="L2385" s="1">
        <v>0.0</v>
      </c>
      <c r="M2385" s="1" t="s">
        <v>259</v>
      </c>
      <c r="N2385" s="1"/>
      <c r="O2385" s="1" t="s">
        <v>30</v>
      </c>
      <c r="P2385" s="1" t="s">
        <v>31</v>
      </c>
      <c r="Q2385" s="1" t="s">
        <v>95</v>
      </c>
      <c r="R2385" s="1" t="s">
        <v>95</v>
      </c>
      <c r="S2385" s="1" t="s">
        <v>96</v>
      </c>
      <c r="T2385" s="1" t="s">
        <v>260</v>
      </c>
      <c r="U2385" s="1">
        <v>1.00659114E8</v>
      </c>
      <c r="X2385" s="1" t="s">
        <v>239</v>
      </c>
      <c r="Y2385" s="1" t="s">
        <v>2081</v>
      </c>
      <c r="Z2385" s="1" t="s">
        <v>37</v>
      </c>
    </row>
    <row r="2386" hidden="1">
      <c r="A2386" s="1" t="s">
        <v>7384</v>
      </c>
      <c r="B2386" s="1" t="s">
        <v>7385</v>
      </c>
      <c r="C2386" s="1" t="s">
        <v>6745</v>
      </c>
      <c r="D2386" s="1" t="s">
        <v>78</v>
      </c>
      <c r="E2386" s="1" t="s">
        <v>28</v>
      </c>
      <c r="F2386" s="2">
        <v>500000.0</v>
      </c>
      <c r="G2386" s="1" t="s">
        <v>7386</v>
      </c>
      <c r="H2386" s="4">
        <f>IFERROR(__xludf.DUMMYFUNCTION("DATE(INDEX(SPLIT(G2386,""/""),,3),INDEX(SPLIT(G2386,""/""),,2),INDEX(SPLIT(G2386,""/""),,1))"),43875.0)</f>
        <v>43875</v>
      </c>
      <c r="I2386" s="1" t="s">
        <v>42</v>
      </c>
      <c r="J2386" s="4">
        <f>IFERROR(__xludf.DUMMYFUNCTION("DATE(INDEX(SPLIT(I2386,""/""),,3),INDEX(SPLIT(I2386,""/""),,2),INDEX(SPLIT(I2386,""/""),,1))"),44926.0)</f>
        <v>44926</v>
      </c>
      <c r="L2386" s="1">
        <v>0.0</v>
      </c>
      <c r="M2386" s="1" t="s">
        <v>4477</v>
      </c>
      <c r="N2386" s="1"/>
      <c r="O2386" s="1" t="s">
        <v>30</v>
      </c>
      <c r="P2386" s="1" t="s">
        <v>31</v>
      </c>
      <c r="Q2386" s="1" t="s">
        <v>228</v>
      </c>
      <c r="R2386" s="1" t="s">
        <v>228</v>
      </c>
      <c r="S2386" s="1" t="s">
        <v>229</v>
      </c>
      <c r="T2386" s="1" t="s">
        <v>513</v>
      </c>
      <c r="U2386" s="1">
        <v>1.00592715E8</v>
      </c>
      <c r="X2386" s="1" t="s">
        <v>98</v>
      </c>
      <c r="Y2386" s="1" t="s">
        <v>6250</v>
      </c>
      <c r="Z2386" s="1" t="s">
        <v>37</v>
      </c>
    </row>
    <row r="2387">
      <c r="A2387" s="1" t="s">
        <v>7387</v>
      </c>
      <c r="B2387" s="1" t="s">
        <v>1198</v>
      </c>
      <c r="C2387" s="1" t="s">
        <v>7388</v>
      </c>
      <c r="D2387" s="1" t="s">
        <v>27</v>
      </c>
      <c r="E2387" s="1" t="s">
        <v>28</v>
      </c>
      <c r="F2387" s="2">
        <v>500000.0</v>
      </c>
      <c r="G2387" s="4">
        <v>44869.0</v>
      </c>
      <c r="H2387" s="4">
        <f>IFERROR(__xludf.DUMMYFUNCTION("DATE(INDEX(SPLIT(G2387,""/""),,3),INDEX(SPLIT(G2387,""/""),,2),INDEX(SPLIT(G2387,""/""),,1))"),44662.0)</f>
        <v>44662</v>
      </c>
      <c r="I2387" s="1" t="s">
        <v>1244</v>
      </c>
      <c r="J2387" s="4">
        <f>IFERROR(__xludf.DUMMYFUNCTION("DATE(INDEX(SPLIT(I2387,""/""),,3),INDEX(SPLIT(I2387,""/""),,2),INDEX(SPLIT(I2387,""/""),,1))"),44742.0)</f>
        <v>44742</v>
      </c>
      <c r="L2387" s="1">
        <v>0.0</v>
      </c>
      <c r="M2387" s="1" t="s">
        <v>7389</v>
      </c>
      <c r="N2387" s="1"/>
      <c r="O2387" s="1" t="s">
        <v>30</v>
      </c>
      <c r="P2387" s="1" t="s">
        <v>31</v>
      </c>
      <c r="Q2387" s="1" t="s">
        <v>235</v>
      </c>
      <c r="R2387" s="1" t="s">
        <v>235</v>
      </c>
      <c r="S2387" s="1" t="s">
        <v>236</v>
      </c>
      <c r="U2387" s="1">
        <v>1.00595346E8</v>
      </c>
      <c r="X2387" s="1" t="s">
        <v>88</v>
      </c>
      <c r="Y2387" s="1" t="s">
        <v>7389</v>
      </c>
      <c r="Z2387" s="1" t="s">
        <v>206</v>
      </c>
    </row>
    <row r="2388" hidden="1">
      <c r="A2388" s="1" t="s">
        <v>7390</v>
      </c>
      <c r="B2388" s="1" t="s">
        <v>2000</v>
      </c>
      <c r="C2388" s="1" t="s">
        <v>7391</v>
      </c>
      <c r="D2388" s="1" t="s">
        <v>27</v>
      </c>
      <c r="E2388" s="1" t="s">
        <v>28</v>
      </c>
      <c r="F2388" s="2">
        <v>500000.0</v>
      </c>
      <c r="G2388" s="4">
        <v>44239.0</v>
      </c>
      <c r="H2388" s="4">
        <f>IFERROR(__xludf.DUMMYFUNCTION("DATE(INDEX(SPLIT(G2388,""/""),,3),INDEX(SPLIT(G2388,""/""),,2),INDEX(SPLIT(G2388,""/""),,1))"),44532.0)</f>
        <v>44532</v>
      </c>
      <c r="I2388" s="1" t="s">
        <v>109</v>
      </c>
      <c r="J2388" s="4">
        <f>IFERROR(__xludf.DUMMYFUNCTION("DATE(INDEX(SPLIT(I2388,""/""),,3),INDEX(SPLIT(I2388,""/""),,2),INDEX(SPLIT(I2388,""/""),,1))"),44834.0)</f>
        <v>44834</v>
      </c>
      <c r="L2388" s="1">
        <v>0.0</v>
      </c>
      <c r="M2388" s="1" t="s">
        <v>2600</v>
      </c>
      <c r="N2388" s="1"/>
      <c r="O2388" s="1" t="s">
        <v>30</v>
      </c>
      <c r="P2388" s="1" t="s">
        <v>31</v>
      </c>
      <c r="Q2388" s="1" t="s">
        <v>32</v>
      </c>
      <c r="R2388" s="1" t="s">
        <v>32</v>
      </c>
      <c r="S2388" s="1" t="s">
        <v>33</v>
      </c>
      <c r="U2388" s="1">
        <v>1.00642238E8</v>
      </c>
      <c r="X2388" s="1" t="s">
        <v>609</v>
      </c>
      <c r="Y2388" s="1" t="s">
        <v>4982</v>
      </c>
      <c r="Z2388" s="1" t="s">
        <v>37</v>
      </c>
    </row>
    <row r="2389" hidden="1">
      <c r="A2389" s="1" t="s">
        <v>7392</v>
      </c>
      <c r="B2389" s="1" t="s">
        <v>7393</v>
      </c>
      <c r="C2389" s="1" t="s">
        <v>7394</v>
      </c>
      <c r="D2389" s="1" t="s">
        <v>78</v>
      </c>
      <c r="E2389" s="1" t="s">
        <v>28</v>
      </c>
      <c r="F2389" s="2">
        <v>500000.0</v>
      </c>
      <c r="G2389" s="4">
        <v>43842.0</v>
      </c>
      <c r="H2389" s="4">
        <f>IFERROR(__xludf.DUMMYFUNCTION("DATE(INDEX(SPLIT(G2389,""/""),,3),INDEX(SPLIT(G2389,""/""),,2),INDEX(SPLIT(G2389,""/""),,1))"),44166.0)</f>
        <v>44166</v>
      </c>
      <c r="I2389" s="1" t="s">
        <v>1097</v>
      </c>
      <c r="J2389" s="4">
        <f>IFERROR(__xludf.DUMMYFUNCTION("DATE(INDEX(SPLIT(I2389,""/""),,3),INDEX(SPLIT(I2389,""/""),,2),INDEX(SPLIT(I2389,""/""),,1))"),45107.0)</f>
        <v>45107</v>
      </c>
      <c r="L2389" s="1">
        <v>0.0</v>
      </c>
      <c r="M2389" s="1" t="s">
        <v>318</v>
      </c>
      <c r="N2389" s="1"/>
      <c r="O2389" s="1" t="s">
        <v>30</v>
      </c>
      <c r="P2389" s="1" t="s">
        <v>31</v>
      </c>
      <c r="Q2389" s="1" t="s">
        <v>71</v>
      </c>
      <c r="R2389" s="1" t="s">
        <v>71</v>
      </c>
      <c r="S2389" s="1" t="s">
        <v>72</v>
      </c>
      <c r="T2389" s="1" t="s">
        <v>73</v>
      </c>
      <c r="U2389" s="1">
        <v>1.00654705E8</v>
      </c>
      <c r="X2389" s="1" t="s">
        <v>74</v>
      </c>
      <c r="Y2389" s="1" t="s">
        <v>2623</v>
      </c>
      <c r="Z2389" s="1" t="s">
        <v>37</v>
      </c>
    </row>
    <row r="2390" hidden="1">
      <c r="A2390" s="1" t="s">
        <v>7395</v>
      </c>
      <c r="B2390" s="1" t="s">
        <v>2121</v>
      </c>
      <c r="C2390" s="1" t="s">
        <v>7396</v>
      </c>
      <c r="D2390" s="1" t="s">
        <v>122</v>
      </c>
      <c r="E2390" s="1" t="s">
        <v>28</v>
      </c>
      <c r="F2390" s="2">
        <v>500000.0</v>
      </c>
      <c r="G2390" s="1" t="s">
        <v>2629</v>
      </c>
      <c r="H2390" s="4">
        <f>IFERROR(__xludf.DUMMYFUNCTION("DATE(INDEX(SPLIT(G2390,""/""),,3),INDEX(SPLIT(G2390,""/""),,2),INDEX(SPLIT(G2390,""/""),,1))"),44651.0)</f>
        <v>44651</v>
      </c>
      <c r="I2390" s="1" t="s">
        <v>3202</v>
      </c>
      <c r="J2390" s="4">
        <f>IFERROR(__xludf.DUMMYFUNCTION("DATE(INDEX(SPLIT(I2390,""/""),,3),INDEX(SPLIT(I2390,""/""),,2),INDEX(SPLIT(I2390,""/""),,1))"),44830.0)</f>
        <v>44830</v>
      </c>
      <c r="L2390" s="1">
        <v>0.0</v>
      </c>
      <c r="M2390" s="1" t="s">
        <v>2123</v>
      </c>
      <c r="N2390" s="1"/>
      <c r="O2390" s="1" t="s">
        <v>30</v>
      </c>
      <c r="P2390" s="1" t="s">
        <v>31</v>
      </c>
      <c r="Q2390" s="1" t="s">
        <v>157</v>
      </c>
      <c r="R2390" s="1" t="s">
        <v>157</v>
      </c>
      <c r="S2390" s="1" t="s">
        <v>158</v>
      </c>
      <c r="U2390" s="1">
        <v>1.00589248E8</v>
      </c>
      <c r="X2390" s="1" t="s">
        <v>88</v>
      </c>
      <c r="Y2390" s="1" t="s">
        <v>2124</v>
      </c>
      <c r="Z2390" s="1" t="s">
        <v>37</v>
      </c>
    </row>
    <row r="2391" hidden="1">
      <c r="A2391" s="1" t="s">
        <v>7397</v>
      </c>
      <c r="B2391" s="1" t="s">
        <v>291</v>
      </c>
      <c r="C2391" s="1" t="s">
        <v>7398</v>
      </c>
      <c r="D2391" s="1" t="s">
        <v>27</v>
      </c>
      <c r="E2391" s="1" t="s">
        <v>28</v>
      </c>
      <c r="F2391" s="2">
        <v>500000.0</v>
      </c>
      <c r="G2391" s="1" t="s">
        <v>1244</v>
      </c>
      <c r="H2391" s="4">
        <f>IFERROR(__xludf.DUMMYFUNCTION("DATE(INDEX(SPLIT(G2391,""/""),,3),INDEX(SPLIT(G2391,""/""),,2),INDEX(SPLIT(G2391,""/""),,1))"),44742.0)</f>
        <v>44742</v>
      </c>
      <c r="I2391" s="1" t="s">
        <v>6544</v>
      </c>
      <c r="J2391" s="4">
        <f>IFERROR(__xludf.DUMMYFUNCTION("DATE(INDEX(SPLIT(I2391,""/""),,3),INDEX(SPLIT(I2391,""/""),,2),INDEX(SPLIT(I2391,""/""),,1))"),44939.0)</f>
        <v>44939</v>
      </c>
      <c r="L2391" s="1">
        <v>0.0</v>
      </c>
      <c r="M2391" s="1" t="s">
        <v>2086</v>
      </c>
      <c r="N2391" s="1"/>
      <c r="O2391" s="1" t="s">
        <v>30</v>
      </c>
      <c r="P2391" s="1" t="s">
        <v>31</v>
      </c>
      <c r="Q2391" s="1" t="s">
        <v>235</v>
      </c>
      <c r="R2391" s="1" t="s">
        <v>235</v>
      </c>
      <c r="S2391" s="1" t="s">
        <v>236</v>
      </c>
      <c r="U2391" s="1">
        <v>1.00647488E8</v>
      </c>
      <c r="X2391" s="1" t="s">
        <v>239</v>
      </c>
      <c r="Y2391" s="1" t="s">
        <v>2086</v>
      </c>
      <c r="Z2391" s="1" t="s">
        <v>37</v>
      </c>
    </row>
    <row r="2392" hidden="1">
      <c r="A2392" s="1" t="s">
        <v>7399</v>
      </c>
      <c r="B2392" s="1" t="s">
        <v>4196</v>
      </c>
      <c r="C2392" s="1" t="s">
        <v>7400</v>
      </c>
      <c r="D2392" s="1" t="s">
        <v>27</v>
      </c>
      <c r="E2392" s="1" t="s">
        <v>28</v>
      </c>
      <c r="F2392" s="2">
        <v>500000.0</v>
      </c>
      <c r="G2392" s="1" t="s">
        <v>779</v>
      </c>
      <c r="H2392" s="4">
        <f>IFERROR(__xludf.DUMMYFUNCTION("DATE(INDEX(SPLIT(G2392,""/""),,3),INDEX(SPLIT(G2392,""/""),,2),INDEX(SPLIT(G2392,""/""),,1))"),44734.0)</f>
        <v>44734</v>
      </c>
      <c r="I2392" s="1" t="s">
        <v>1678</v>
      </c>
      <c r="J2392" s="4">
        <f>IFERROR(__xludf.DUMMYFUNCTION("DATE(INDEX(SPLIT(I2392,""/""),,3),INDEX(SPLIT(I2392,""/""),,2),INDEX(SPLIT(I2392,""/""),,1))"),44819.0)</f>
        <v>44819</v>
      </c>
      <c r="L2392" s="1">
        <v>0.0</v>
      </c>
      <c r="M2392" s="1" t="s">
        <v>4134</v>
      </c>
      <c r="N2392" s="1"/>
      <c r="O2392" s="1" t="s">
        <v>30</v>
      </c>
      <c r="P2392" s="1" t="s">
        <v>31</v>
      </c>
      <c r="Q2392" s="1" t="s">
        <v>53</v>
      </c>
      <c r="R2392" s="1" t="s">
        <v>53</v>
      </c>
      <c r="S2392" s="1" t="s">
        <v>54</v>
      </c>
      <c r="U2392" s="1">
        <v>1.00652666E8</v>
      </c>
      <c r="X2392" s="1" t="s">
        <v>74</v>
      </c>
      <c r="Y2392" s="1" t="s">
        <v>7401</v>
      </c>
      <c r="Z2392" s="1" t="s">
        <v>37</v>
      </c>
    </row>
    <row r="2393" hidden="1">
      <c r="A2393" s="1" t="s">
        <v>7402</v>
      </c>
      <c r="B2393" s="1" t="s">
        <v>4826</v>
      </c>
      <c r="C2393" s="1" t="s">
        <v>7403</v>
      </c>
      <c r="D2393" s="1" t="s">
        <v>122</v>
      </c>
      <c r="E2393" s="1" t="s">
        <v>28</v>
      </c>
      <c r="F2393" s="2">
        <v>500000.0</v>
      </c>
      <c r="G2393" s="1" t="s">
        <v>154</v>
      </c>
      <c r="H2393" s="4">
        <f>IFERROR(__xludf.DUMMYFUNCTION("DATE(INDEX(SPLIT(G2393,""/""),,3),INDEX(SPLIT(G2393,""/""),,2),INDEX(SPLIT(G2393,""/""),,1))"),44670.0)</f>
        <v>44670</v>
      </c>
      <c r="I2393" s="1" t="s">
        <v>109</v>
      </c>
      <c r="J2393" s="4">
        <f>IFERROR(__xludf.DUMMYFUNCTION("DATE(INDEX(SPLIT(I2393,""/""),,3),INDEX(SPLIT(I2393,""/""),,2),INDEX(SPLIT(I2393,""/""),,1))"),44834.0)</f>
        <v>44834</v>
      </c>
      <c r="L2393" s="1">
        <v>0.0</v>
      </c>
      <c r="M2393" s="1" t="s">
        <v>3768</v>
      </c>
      <c r="N2393" s="1"/>
      <c r="O2393" s="1" t="s">
        <v>30</v>
      </c>
      <c r="P2393" s="1" t="s">
        <v>31</v>
      </c>
      <c r="Q2393" s="1" t="s">
        <v>157</v>
      </c>
      <c r="R2393" s="1" t="s">
        <v>157</v>
      </c>
      <c r="S2393" s="1" t="s">
        <v>158</v>
      </c>
      <c r="U2393" s="1">
        <v>1.00633763E8</v>
      </c>
      <c r="X2393" s="1" t="s">
        <v>98</v>
      </c>
      <c r="Y2393" s="1" t="s">
        <v>3117</v>
      </c>
      <c r="Z2393" s="1" t="s">
        <v>37</v>
      </c>
    </row>
    <row r="2394" hidden="1">
      <c r="A2394" s="1" t="s">
        <v>7404</v>
      </c>
      <c r="B2394" s="1" t="s">
        <v>1619</v>
      </c>
      <c r="C2394" s="1" t="s">
        <v>7405</v>
      </c>
      <c r="D2394" s="1" t="s">
        <v>78</v>
      </c>
      <c r="E2394" s="1" t="s">
        <v>28</v>
      </c>
      <c r="F2394" s="2">
        <v>500000.0</v>
      </c>
      <c r="G2394" s="1" t="s">
        <v>233</v>
      </c>
      <c r="H2394" s="4">
        <f>IFERROR(__xludf.DUMMYFUNCTION("DATE(INDEX(SPLIT(G2394,""/""),,3),INDEX(SPLIT(G2394,""/""),,2),INDEX(SPLIT(G2394,""/""),,1))"),44729.0)</f>
        <v>44729</v>
      </c>
      <c r="I2394" s="1" t="s">
        <v>85</v>
      </c>
      <c r="J2394" s="4">
        <f>IFERROR(__xludf.DUMMYFUNCTION("DATE(INDEX(SPLIT(I2394,""/""),,3),INDEX(SPLIT(I2394,""/""),,2),INDEX(SPLIT(I2394,""/""),,1))"),44799.0)</f>
        <v>44799</v>
      </c>
      <c r="L2394" s="1">
        <v>0.0</v>
      </c>
      <c r="M2394" s="1" t="s">
        <v>3794</v>
      </c>
      <c r="N2394" s="1"/>
      <c r="O2394" s="1" t="s">
        <v>30</v>
      </c>
      <c r="P2394" s="1" t="s">
        <v>31</v>
      </c>
      <c r="Q2394" s="1" t="s">
        <v>32</v>
      </c>
      <c r="R2394" s="1" t="s">
        <v>32</v>
      </c>
      <c r="S2394" s="1" t="s">
        <v>33</v>
      </c>
      <c r="U2394" s="1">
        <v>1.00658994E8</v>
      </c>
      <c r="X2394" s="1" t="s">
        <v>117</v>
      </c>
      <c r="Y2394" s="1" t="s">
        <v>3794</v>
      </c>
      <c r="Z2394" s="1" t="s">
        <v>206</v>
      </c>
    </row>
    <row r="2395" hidden="1">
      <c r="A2395" s="1" t="s">
        <v>7406</v>
      </c>
      <c r="B2395" s="1" t="s">
        <v>3429</v>
      </c>
      <c r="C2395" s="1" t="s">
        <v>7407</v>
      </c>
      <c r="D2395" s="1" t="s">
        <v>27</v>
      </c>
      <c r="E2395" s="1" t="s">
        <v>28</v>
      </c>
      <c r="F2395" s="2">
        <v>500000.0</v>
      </c>
      <c r="G2395" s="4">
        <v>44327.0</v>
      </c>
      <c r="H2395" s="4">
        <f>IFERROR(__xludf.DUMMYFUNCTION("DATE(INDEX(SPLIT(G2395,""/""),,3),INDEX(SPLIT(G2395,""/""),,2),INDEX(SPLIT(G2395,""/""),,1))"),44505.0)</f>
        <v>44505</v>
      </c>
      <c r="I2395" s="1" t="s">
        <v>1678</v>
      </c>
      <c r="J2395" s="4">
        <f>IFERROR(__xludf.DUMMYFUNCTION("DATE(INDEX(SPLIT(I2395,""/""),,3),INDEX(SPLIT(I2395,""/""),,2),INDEX(SPLIT(I2395,""/""),,1))"),44819.0)</f>
        <v>44819</v>
      </c>
      <c r="L2395" s="1">
        <v>0.0</v>
      </c>
      <c r="M2395" s="1" t="s">
        <v>61</v>
      </c>
      <c r="N2395" s="1"/>
      <c r="O2395" s="1" t="s">
        <v>30</v>
      </c>
      <c r="P2395" s="1" t="s">
        <v>31</v>
      </c>
      <c r="Q2395" s="1" t="s">
        <v>32</v>
      </c>
      <c r="R2395" s="1" t="s">
        <v>32</v>
      </c>
      <c r="S2395" s="1" t="s">
        <v>33</v>
      </c>
      <c r="T2395" s="1" t="s">
        <v>103</v>
      </c>
      <c r="U2395" s="1">
        <v>1.0060843E8</v>
      </c>
      <c r="X2395" s="1" t="s">
        <v>63</v>
      </c>
      <c r="Y2395" s="1" t="s">
        <v>61</v>
      </c>
      <c r="Z2395" s="1" t="s">
        <v>37</v>
      </c>
    </row>
    <row r="2396" hidden="1">
      <c r="A2396" s="1" t="s">
        <v>7408</v>
      </c>
      <c r="B2396" s="1" t="s">
        <v>3429</v>
      </c>
      <c r="C2396" s="1" t="s">
        <v>7409</v>
      </c>
      <c r="D2396" s="1" t="s">
        <v>27</v>
      </c>
      <c r="E2396" s="1" t="s">
        <v>28</v>
      </c>
      <c r="F2396" s="2">
        <v>500000.0</v>
      </c>
      <c r="G2396" s="4">
        <v>44327.0</v>
      </c>
      <c r="H2396" s="4">
        <f>IFERROR(__xludf.DUMMYFUNCTION("DATE(INDEX(SPLIT(G2396,""/""),,3),INDEX(SPLIT(G2396,""/""),,2),INDEX(SPLIT(G2396,""/""),,1))"),44505.0)</f>
        <v>44505</v>
      </c>
      <c r="I2396" s="1" t="s">
        <v>1678</v>
      </c>
      <c r="J2396" s="4">
        <f>IFERROR(__xludf.DUMMYFUNCTION("DATE(INDEX(SPLIT(I2396,""/""),,3),INDEX(SPLIT(I2396,""/""),,2),INDEX(SPLIT(I2396,""/""),,1))"),44819.0)</f>
        <v>44819</v>
      </c>
      <c r="L2396" s="1">
        <v>0.0</v>
      </c>
      <c r="M2396" s="1" t="s">
        <v>61</v>
      </c>
      <c r="N2396" s="1"/>
      <c r="O2396" s="1" t="s">
        <v>30</v>
      </c>
      <c r="P2396" s="1" t="s">
        <v>31</v>
      </c>
      <c r="Q2396" s="1" t="s">
        <v>32</v>
      </c>
      <c r="R2396" s="1" t="s">
        <v>32</v>
      </c>
      <c r="S2396" s="1" t="s">
        <v>33</v>
      </c>
      <c r="T2396" s="1" t="s">
        <v>103</v>
      </c>
      <c r="U2396" s="1">
        <v>1.0060843E8</v>
      </c>
      <c r="X2396" s="1" t="s">
        <v>63</v>
      </c>
      <c r="Y2396" s="1" t="s">
        <v>61</v>
      </c>
      <c r="Z2396" s="1" t="s">
        <v>37</v>
      </c>
    </row>
    <row r="2397">
      <c r="A2397" s="1" t="s">
        <v>7410</v>
      </c>
      <c r="B2397" s="1" t="s">
        <v>1070</v>
      </c>
      <c r="C2397" s="1" t="s">
        <v>7411</v>
      </c>
      <c r="D2397" s="1" t="s">
        <v>78</v>
      </c>
      <c r="E2397" s="1" t="s">
        <v>28</v>
      </c>
      <c r="F2397" s="2">
        <v>500000.0</v>
      </c>
      <c r="G2397" s="1" t="s">
        <v>233</v>
      </c>
      <c r="H2397" s="4">
        <f>IFERROR(__xludf.DUMMYFUNCTION("DATE(INDEX(SPLIT(G2397,""/""),,3),INDEX(SPLIT(G2397,""/""),,2),INDEX(SPLIT(G2397,""/""),,1))"),44729.0)</f>
        <v>44729</v>
      </c>
      <c r="I2397" s="1" t="s">
        <v>226</v>
      </c>
      <c r="J2397" s="4">
        <f>IFERROR(__xludf.DUMMYFUNCTION("DATE(INDEX(SPLIT(I2397,""/""),,3),INDEX(SPLIT(I2397,""/""),,2),INDEX(SPLIT(I2397,""/""),,1))"),44771.0)</f>
        <v>44771</v>
      </c>
      <c r="L2397" s="1">
        <v>0.0</v>
      </c>
      <c r="M2397" s="1" t="s">
        <v>2787</v>
      </c>
      <c r="N2397" s="1"/>
      <c r="O2397" s="1" t="s">
        <v>30</v>
      </c>
      <c r="P2397" s="1" t="s">
        <v>31</v>
      </c>
      <c r="Q2397" s="1" t="s">
        <v>157</v>
      </c>
      <c r="R2397" s="1" t="s">
        <v>157</v>
      </c>
      <c r="S2397" s="1" t="s">
        <v>158</v>
      </c>
      <c r="T2397" s="1" t="s">
        <v>442</v>
      </c>
      <c r="U2397" s="1">
        <v>1.00708984E8</v>
      </c>
      <c r="X2397" s="1" t="s">
        <v>305</v>
      </c>
      <c r="Y2397" s="1" t="s">
        <v>7412</v>
      </c>
      <c r="Z2397" s="1" t="s">
        <v>37</v>
      </c>
    </row>
    <row r="2398" hidden="1">
      <c r="A2398" s="1" t="s">
        <v>7413</v>
      </c>
      <c r="B2398" s="1" t="s">
        <v>120</v>
      </c>
      <c r="C2398" s="1" t="s">
        <v>7414</v>
      </c>
      <c r="D2398" s="1" t="s">
        <v>122</v>
      </c>
      <c r="E2398" s="1" t="s">
        <v>28</v>
      </c>
      <c r="F2398" s="2">
        <v>500000.0</v>
      </c>
      <c r="G2398" s="1" t="s">
        <v>472</v>
      </c>
      <c r="H2398" s="4">
        <f>IFERROR(__xludf.DUMMYFUNCTION("DATE(INDEX(SPLIT(G2398,""/""),,3),INDEX(SPLIT(G2398,""/""),,2),INDEX(SPLIT(G2398,""/""),,1))"),44760.0)</f>
        <v>44760</v>
      </c>
      <c r="I2398" s="4">
        <v>44689.0</v>
      </c>
      <c r="J2398" s="4">
        <f>IFERROR(__xludf.DUMMYFUNCTION("DATE(INDEX(SPLIT(I2398,""/""),,3),INDEX(SPLIT(I2398,""/""),,2),INDEX(SPLIT(I2398,""/""),,1))"),44778.0)</f>
        <v>44778</v>
      </c>
      <c r="L2398" s="1">
        <v>0.0</v>
      </c>
      <c r="M2398" s="1" t="s">
        <v>7019</v>
      </c>
      <c r="N2398" s="1"/>
      <c r="O2398" s="1" t="s">
        <v>30</v>
      </c>
      <c r="P2398" s="1" t="s">
        <v>31</v>
      </c>
      <c r="Q2398" s="1" t="s">
        <v>32</v>
      </c>
      <c r="R2398" s="1" t="s">
        <v>32</v>
      </c>
      <c r="S2398" s="1" t="s">
        <v>33</v>
      </c>
      <c r="U2398" s="1">
        <v>1.00481462E8</v>
      </c>
      <c r="X2398" s="1" t="s">
        <v>125</v>
      </c>
      <c r="Y2398" s="1" t="s">
        <v>7415</v>
      </c>
      <c r="Z2398" s="1" t="s">
        <v>37</v>
      </c>
    </row>
    <row r="2399" hidden="1">
      <c r="A2399" s="1" t="s">
        <v>7416</v>
      </c>
      <c r="B2399" s="1" t="s">
        <v>1820</v>
      </c>
      <c r="C2399" s="1" t="s">
        <v>7417</v>
      </c>
      <c r="D2399" s="1" t="s">
        <v>27</v>
      </c>
      <c r="E2399" s="1" t="s">
        <v>28</v>
      </c>
      <c r="F2399" s="2">
        <v>500000.0</v>
      </c>
      <c r="G2399" s="1" t="s">
        <v>154</v>
      </c>
      <c r="H2399" s="4">
        <f>IFERROR(__xludf.DUMMYFUNCTION("DATE(INDEX(SPLIT(G2399,""/""),,3),INDEX(SPLIT(G2399,""/""),,2),INDEX(SPLIT(G2399,""/""),,1))"),44670.0)</f>
        <v>44670</v>
      </c>
      <c r="I2399" s="4">
        <v>44693.0</v>
      </c>
      <c r="J2399" s="4">
        <f>IFERROR(__xludf.DUMMYFUNCTION("DATE(INDEX(SPLIT(I2399,""/""),,3),INDEX(SPLIT(I2399,""/""),,2),INDEX(SPLIT(I2399,""/""),,1))"),44900.0)</f>
        <v>44900</v>
      </c>
      <c r="L2399" s="1">
        <v>0.0</v>
      </c>
      <c r="M2399" s="1" t="s">
        <v>437</v>
      </c>
      <c r="N2399" s="1"/>
      <c r="O2399" s="1" t="s">
        <v>30</v>
      </c>
      <c r="P2399" s="1" t="s">
        <v>31</v>
      </c>
      <c r="Q2399" s="1" t="s">
        <v>235</v>
      </c>
      <c r="R2399" s="1" t="s">
        <v>235</v>
      </c>
      <c r="S2399" s="1" t="s">
        <v>236</v>
      </c>
      <c r="U2399" s="1">
        <v>1.00650375E8</v>
      </c>
      <c r="X2399" s="1" t="s">
        <v>74</v>
      </c>
      <c r="Y2399" s="1" t="s">
        <v>437</v>
      </c>
      <c r="Z2399" s="1" t="s">
        <v>37</v>
      </c>
    </row>
    <row r="2400" hidden="1">
      <c r="A2400" s="1" t="s">
        <v>7418</v>
      </c>
      <c r="B2400" s="1" t="s">
        <v>932</v>
      </c>
      <c r="C2400" s="1" t="s">
        <v>7419</v>
      </c>
      <c r="D2400" s="1" t="s">
        <v>122</v>
      </c>
      <c r="E2400" s="1" t="s">
        <v>28</v>
      </c>
      <c r="F2400" s="2">
        <v>498000.0</v>
      </c>
      <c r="G2400" s="1" t="s">
        <v>3303</v>
      </c>
      <c r="H2400" s="4">
        <f>IFERROR(__xludf.DUMMYFUNCTION("DATE(INDEX(SPLIT(G2400,""/""),,3),INDEX(SPLIT(G2400,""/""),,2),INDEX(SPLIT(G2400,""/""),,1))"),44552.0)</f>
        <v>44552</v>
      </c>
      <c r="I2400" s="4">
        <v>44569.0</v>
      </c>
      <c r="J2400" s="4">
        <f>IFERROR(__xludf.DUMMYFUNCTION("DATE(INDEX(SPLIT(I2400,""/""),,3),INDEX(SPLIT(I2400,""/""),,2),INDEX(SPLIT(I2400,""/""),,1))"),44774.0)</f>
        <v>44774</v>
      </c>
      <c r="L2400" s="1">
        <v>0.0</v>
      </c>
      <c r="M2400" s="1" t="s">
        <v>1137</v>
      </c>
      <c r="N2400" s="1"/>
      <c r="O2400" s="1" t="s">
        <v>30</v>
      </c>
      <c r="P2400" s="1" t="s">
        <v>31</v>
      </c>
      <c r="Q2400" s="1" t="s">
        <v>71</v>
      </c>
      <c r="R2400" s="1" t="s">
        <v>71</v>
      </c>
      <c r="S2400" s="1" t="s">
        <v>72</v>
      </c>
      <c r="T2400" s="1" t="s">
        <v>73</v>
      </c>
      <c r="U2400" s="1">
        <v>1.00589728E8</v>
      </c>
      <c r="X2400" s="1" t="s">
        <v>74</v>
      </c>
      <c r="Y2400" s="1" t="s">
        <v>1137</v>
      </c>
      <c r="Z2400" s="1" t="s">
        <v>37</v>
      </c>
    </row>
    <row r="2401" hidden="1">
      <c r="A2401" s="1" t="s">
        <v>7420</v>
      </c>
      <c r="B2401" s="1" t="s">
        <v>1748</v>
      </c>
      <c r="C2401" s="1" t="s">
        <v>7421</v>
      </c>
      <c r="D2401" s="1" t="s">
        <v>68</v>
      </c>
      <c r="E2401" s="1" t="s">
        <v>28</v>
      </c>
      <c r="F2401" s="2">
        <v>498000.0</v>
      </c>
      <c r="G2401" s="1" t="s">
        <v>2077</v>
      </c>
      <c r="H2401" s="4">
        <f>IFERROR(__xludf.DUMMYFUNCTION("DATE(INDEX(SPLIT(G2401,""/""),,3),INDEX(SPLIT(G2401,""/""),,2),INDEX(SPLIT(G2401,""/""),,1))"),44700.0)</f>
        <v>44700</v>
      </c>
      <c r="I2401" s="1" t="s">
        <v>1678</v>
      </c>
      <c r="J2401" s="4">
        <f>IFERROR(__xludf.DUMMYFUNCTION("DATE(INDEX(SPLIT(I2401,""/""),,3),INDEX(SPLIT(I2401,""/""),,2),INDEX(SPLIT(I2401,""/""),,1))"),44819.0)</f>
        <v>44819</v>
      </c>
      <c r="L2401" s="1">
        <v>0.0</v>
      </c>
      <c r="M2401" s="1" t="s">
        <v>3353</v>
      </c>
      <c r="N2401" s="1"/>
      <c r="O2401" s="1" t="s">
        <v>30</v>
      </c>
      <c r="P2401" s="1" t="s">
        <v>31</v>
      </c>
      <c r="Q2401" s="1" t="s">
        <v>235</v>
      </c>
      <c r="R2401" s="1" t="s">
        <v>235</v>
      </c>
      <c r="S2401" s="1" t="s">
        <v>236</v>
      </c>
      <c r="U2401" s="1">
        <v>1.00648252E8</v>
      </c>
      <c r="X2401" s="1" t="s">
        <v>88</v>
      </c>
      <c r="Y2401" s="1" t="s">
        <v>7422</v>
      </c>
      <c r="Z2401" s="1" t="s">
        <v>527</v>
      </c>
    </row>
    <row r="2402">
      <c r="A2402" s="1" t="s">
        <v>7423</v>
      </c>
      <c r="B2402" s="1" t="s">
        <v>896</v>
      </c>
      <c r="C2402" s="1" t="s">
        <v>7424</v>
      </c>
      <c r="D2402" s="1" t="s">
        <v>122</v>
      </c>
      <c r="E2402" s="1" t="s">
        <v>28</v>
      </c>
      <c r="F2402" s="2">
        <v>497210.0</v>
      </c>
      <c r="G2402" s="1" t="s">
        <v>108</v>
      </c>
      <c r="H2402" s="4">
        <f>IFERROR(__xludf.DUMMYFUNCTION("DATE(INDEX(SPLIT(G2402,""/""),,3),INDEX(SPLIT(G2402,""/""),,2),INDEX(SPLIT(G2402,""/""),,1))"),44725.0)</f>
        <v>44725</v>
      </c>
      <c r="I2402" s="1" t="s">
        <v>1442</v>
      </c>
      <c r="J2402" s="4">
        <f>IFERROR(__xludf.DUMMYFUNCTION("DATE(INDEX(SPLIT(I2402,""/""),,3),INDEX(SPLIT(I2402,""/""),,2),INDEX(SPLIT(I2402,""/""),,1))"),44727.0)</f>
        <v>44727</v>
      </c>
      <c r="L2402" s="1">
        <v>0.0</v>
      </c>
      <c r="M2402" s="1" t="s">
        <v>5366</v>
      </c>
      <c r="N2402" s="1"/>
      <c r="O2402" s="1" t="s">
        <v>30</v>
      </c>
      <c r="P2402" s="1" t="s">
        <v>31</v>
      </c>
      <c r="Q2402" s="1" t="s">
        <v>157</v>
      </c>
      <c r="R2402" s="1" t="s">
        <v>157</v>
      </c>
      <c r="S2402" s="1" t="s">
        <v>158</v>
      </c>
      <c r="T2402" s="1" t="s">
        <v>159</v>
      </c>
      <c r="U2402" s="1">
        <v>1.00609544E8</v>
      </c>
      <c r="X2402" s="1" t="s">
        <v>490</v>
      </c>
      <c r="Y2402" s="1" t="s">
        <v>7425</v>
      </c>
      <c r="Z2402" s="1" t="s">
        <v>37</v>
      </c>
    </row>
    <row r="2403">
      <c r="A2403" s="1" t="s">
        <v>7426</v>
      </c>
      <c r="B2403" s="1" t="s">
        <v>5331</v>
      </c>
      <c r="C2403" s="1" t="s">
        <v>7427</v>
      </c>
      <c r="D2403" s="1" t="s">
        <v>122</v>
      </c>
      <c r="E2403" s="1" t="s">
        <v>28</v>
      </c>
      <c r="F2403" s="2">
        <v>496000.0</v>
      </c>
      <c r="G2403" s="1" t="s">
        <v>503</v>
      </c>
      <c r="H2403" s="4">
        <f>IFERROR(__xludf.DUMMYFUNCTION("DATE(INDEX(SPLIT(G2403,""/""),,3),INDEX(SPLIT(G2403,""/""),,2),INDEX(SPLIT(G2403,""/""),,1))"),44736.0)</f>
        <v>44736</v>
      </c>
      <c r="I2403" s="4">
        <v>44780.0</v>
      </c>
      <c r="J2403" s="4">
        <f>IFERROR(__xludf.DUMMYFUNCTION("DATE(INDEX(SPLIT(I2403,""/""),,3),INDEX(SPLIT(I2403,""/""),,2),INDEX(SPLIT(I2403,""/""),,1))"),44750.0)</f>
        <v>44750</v>
      </c>
      <c r="L2403" s="1">
        <v>0.0</v>
      </c>
      <c r="M2403" s="1" t="s">
        <v>1194</v>
      </c>
      <c r="N2403" s="1"/>
      <c r="O2403" s="1" t="s">
        <v>30</v>
      </c>
      <c r="P2403" s="1" t="s">
        <v>31</v>
      </c>
      <c r="Q2403" s="1" t="s">
        <v>32</v>
      </c>
      <c r="R2403" s="1" t="s">
        <v>32</v>
      </c>
      <c r="S2403" s="1" t="s">
        <v>33</v>
      </c>
      <c r="T2403" s="1" t="s">
        <v>1195</v>
      </c>
      <c r="U2403" s="1">
        <v>1.00586863E8</v>
      </c>
      <c r="X2403" s="1" t="s">
        <v>490</v>
      </c>
      <c r="Y2403" s="1" t="s">
        <v>7428</v>
      </c>
      <c r="Z2403" s="1" t="s">
        <v>37</v>
      </c>
    </row>
    <row r="2404" hidden="1">
      <c r="A2404" s="1" t="s">
        <v>7429</v>
      </c>
      <c r="B2404" s="1" t="s">
        <v>532</v>
      </c>
      <c r="C2404" s="1" t="s">
        <v>7430</v>
      </c>
      <c r="D2404" s="1" t="s">
        <v>122</v>
      </c>
      <c r="E2404" s="1" t="s">
        <v>28</v>
      </c>
      <c r="F2404" s="2">
        <v>495212.0</v>
      </c>
      <c r="G2404" s="1" t="s">
        <v>7431</v>
      </c>
      <c r="H2404" s="4">
        <f>IFERROR(__xludf.DUMMYFUNCTION("DATE(INDEX(SPLIT(G2404,""/""),,3),INDEX(SPLIT(G2404,""/""),,2),INDEX(SPLIT(G2404,""/""),,1))"),44243.0)</f>
        <v>44243</v>
      </c>
      <c r="I2404" s="1" t="s">
        <v>85</v>
      </c>
      <c r="J2404" s="4">
        <f>IFERROR(__xludf.DUMMYFUNCTION("DATE(INDEX(SPLIT(I2404,""/""),,3),INDEX(SPLIT(I2404,""/""),,2),INDEX(SPLIT(I2404,""/""),,1))"),44799.0)</f>
        <v>44799</v>
      </c>
      <c r="L2404" s="1">
        <v>0.0</v>
      </c>
      <c r="M2404" s="1" t="s">
        <v>5880</v>
      </c>
      <c r="N2404" s="1"/>
      <c r="O2404" s="1" t="s">
        <v>30</v>
      </c>
      <c r="P2404" s="1" t="s">
        <v>31</v>
      </c>
      <c r="Q2404" s="1" t="s">
        <v>228</v>
      </c>
      <c r="R2404" s="1" t="s">
        <v>228</v>
      </c>
      <c r="S2404" s="1" t="s">
        <v>229</v>
      </c>
      <c r="T2404" s="1" t="s">
        <v>640</v>
      </c>
      <c r="U2404" s="1">
        <v>1.00933537E8</v>
      </c>
      <c r="X2404" s="1" t="s">
        <v>490</v>
      </c>
      <c r="Y2404" s="1" t="s">
        <v>5880</v>
      </c>
      <c r="Z2404" s="1" t="s">
        <v>37</v>
      </c>
    </row>
    <row r="2405">
      <c r="A2405" s="1" t="s">
        <v>7432</v>
      </c>
      <c r="B2405" s="1" t="s">
        <v>7433</v>
      </c>
      <c r="C2405" s="1" t="s">
        <v>7434</v>
      </c>
      <c r="D2405" s="1" t="s">
        <v>122</v>
      </c>
      <c r="E2405" s="1" t="s">
        <v>28</v>
      </c>
      <c r="F2405" s="2">
        <v>495000.0</v>
      </c>
      <c r="G2405" s="4">
        <v>44594.0</v>
      </c>
      <c r="H2405" s="4">
        <f>IFERROR(__xludf.DUMMYFUNCTION("DATE(INDEX(SPLIT(G2405,""/""),,3),INDEX(SPLIT(G2405,""/""),,2),INDEX(SPLIT(G2405,""/""),,1))"),44594.0)</f>
        <v>44594</v>
      </c>
      <c r="I2405" s="1" t="s">
        <v>69</v>
      </c>
      <c r="J2405" s="4">
        <f>IFERROR(__xludf.DUMMYFUNCTION("DATE(INDEX(SPLIT(I2405,""/""),,3),INDEX(SPLIT(I2405,""/""),,2),INDEX(SPLIT(I2405,""/""),,1))"),44773.0)</f>
        <v>44773</v>
      </c>
      <c r="L2405" s="1">
        <v>0.0</v>
      </c>
      <c r="M2405" s="1" t="s">
        <v>3717</v>
      </c>
      <c r="N2405" s="1"/>
      <c r="O2405" s="1" t="s">
        <v>30</v>
      </c>
      <c r="P2405" s="1" t="s">
        <v>31</v>
      </c>
      <c r="Q2405" s="1" t="s">
        <v>32</v>
      </c>
      <c r="R2405" s="1" t="s">
        <v>32</v>
      </c>
      <c r="S2405" s="1" t="s">
        <v>33</v>
      </c>
      <c r="T2405" s="1" t="s">
        <v>103</v>
      </c>
      <c r="U2405" s="1">
        <v>1.00651946E8</v>
      </c>
      <c r="X2405" s="1" t="s">
        <v>125</v>
      </c>
      <c r="Y2405" s="1" t="s">
        <v>3717</v>
      </c>
      <c r="Z2405" s="1" t="s">
        <v>37</v>
      </c>
    </row>
    <row r="2406">
      <c r="A2406" s="1" t="s">
        <v>7435</v>
      </c>
      <c r="B2406" s="1" t="s">
        <v>7436</v>
      </c>
      <c r="C2406" s="1" t="s">
        <v>7437</v>
      </c>
      <c r="D2406" s="1" t="s">
        <v>68</v>
      </c>
      <c r="E2406" s="1" t="s">
        <v>28</v>
      </c>
      <c r="F2406" s="2">
        <v>495000.0</v>
      </c>
      <c r="G2406" s="4">
        <v>44568.0</v>
      </c>
      <c r="H2406" s="4">
        <f>IFERROR(__xludf.DUMMYFUNCTION("DATE(INDEX(SPLIT(G2406,""/""),,3),INDEX(SPLIT(G2406,""/""),,2),INDEX(SPLIT(G2406,""/""),,1))"),44743.0)</f>
        <v>44743</v>
      </c>
      <c r="I2406" s="1" t="s">
        <v>226</v>
      </c>
      <c r="J2406" s="4">
        <f>IFERROR(__xludf.DUMMYFUNCTION("DATE(INDEX(SPLIT(I2406,""/""),,3),INDEX(SPLIT(I2406,""/""),,2),INDEX(SPLIT(I2406,""/""),,1))"),44771.0)</f>
        <v>44771</v>
      </c>
      <c r="L2406" s="1">
        <v>0.0</v>
      </c>
      <c r="M2406" s="1" t="s">
        <v>2938</v>
      </c>
      <c r="N2406" s="1"/>
      <c r="O2406" s="1" t="s">
        <v>30</v>
      </c>
      <c r="P2406" s="1" t="s">
        <v>31</v>
      </c>
      <c r="Q2406" s="1" t="s">
        <v>95</v>
      </c>
      <c r="R2406" s="1" t="s">
        <v>95</v>
      </c>
      <c r="S2406" s="1" t="s">
        <v>96</v>
      </c>
      <c r="T2406" s="1" t="s">
        <v>97</v>
      </c>
      <c r="U2406" s="1">
        <v>1.00627224E8</v>
      </c>
      <c r="X2406" s="1" t="s">
        <v>781</v>
      </c>
      <c r="Y2406" s="1" t="s">
        <v>7438</v>
      </c>
      <c r="Z2406" s="1" t="s">
        <v>37</v>
      </c>
    </row>
    <row r="2407" hidden="1">
      <c r="A2407" s="1" t="s">
        <v>7439</v>
      </c>
      <c r="B2407" s="1" t="s">
        <v>6955</v>
      </c>
      <c r="C2407" s="1" t="s">
        <v>7440</v>
      </c>
      <c r="D2407" s="1" t="s">
        <v>27</v>
      </c>
      <c r="E2407" s="1" t="s">
        <v>28</v>
      </c>
      <c r="F2407" s="2">
        <v>495000.0</v>
      </c>
      <c r="G2407" s="1" t="s">
        <v>164</v>
      </c>
      <c r="H2407" s="4">
        <f>IFERROR(__xludf.DUMMYFUNCTION("DATE(INDEX(SPLIT(G2407,""/""),,3),INDEX(SPLIT(G2407,""/""),,2),INDEX(SPLIT(G2407,""/""),,1))"),44706.0)</f>
        <v>44706</v>
      </c>
      <c r="I2407" s="1" t="s">
        <v>109</v>
      </c>
      <c r="J2407" s="4">
        <f>IFERROR(__xludf.DUMMYFUNCTION("DATE(INDEX(SPLIT(I2407,""/""),,3),INDEX(SPLIT(I2407,""/""),,2),INDEX(SPLIT(I2407,""/""),,1))"),44834.0)</f>
        <v>44834</v>
      </c>
      <c r="L2407" s="1">
        <v>0.0</v>
      </c>
      <c r="M2407" s="1" t="s">
        <v>3580</v>
      </c>
      <c r="N2407" s="1"/>
      <c r="O2407" s="1" t="s">
        <v>30</v>
      </c>
      <c r="P2407" s="1" t="s">
        <v>31</v>
      </c>
      <c r="Q2407" s="1" t="s">
        <v>157</v>
      </c>
      <c r="R2407" s="1" t="s">
        <v>157</v>
      </c>
      <c r="S2407" s="1" t="s">
        <v>158</v>
      </c>
      <c r="U2407" s="1">
        <v>1.00956516E8</v>
      </c>
      <c r="X2407" s="1" t="s">
        <v>239</v>
      </c>
      <c r="Y2407" s="1" t="s">
        <v>2780</v>
      </c>
      <c r="Z2407" s="1" t="s">
        <v>37</v>
      </c>
    </row>
    <row r="2408" hidden="1">
      <c r="A2408" s="1" t="s">
        <v>7441</v>
      </c>
      <c r="B2408" s="1" t="s">
        <v>2257</v>
      </c>
      <c r="C2408" s="1" t="s">
        <v>7442</v>
      </c>
      <c r="D2408" s="1" t="s">
        <v>122</v>
      </c>
      <c r="E2408" s="1" t="s">
        <v>28</v>
      </c>
      <c r="F2408" s="2">
        <v>495000.0</v>
      </c>
      <c r="G2408" s="1" t="s">
        <v>7443</v>
      </c>
      <c r="H2408" s="4">
        <f>IFERROR(__xludf.DUMMYFUNCTION("DATE(INDEX(SPLIT(G2408,""/""),,3),INDEX(SPLIT(G2408,""/""),,2),INDEX(SPLIT(G2408,""/""),,1))"),43698.0)</f>
        <v>43698</v>
      </c>
      <c r="I2408" s="1" t="s">
        <v>109</v>
      </c>
      <c r="J2408" s="4">
        <f>IFERROR(__xludf.DUMMYFUNCTION("DATE(INDEX(SPLIT(I2408,""/""),,3),INDEX(SPLIT(I2408,""/""),,2),INDEX(SPLIT(I2408,""/""),,1))"),44834.0)</f>
        <v>44834</v>
      </c>
      <c r="L2408" s="1">
        <v>0.0</v>
      </c>
      <c r="M2408" s="1" t="s">
        <v>1814</v>
      </c>
      <c r="N2408" s="1"/>
      <c r="O2408" s="1" t="s">
        <v>30</v>
      </c>
      <c r="P2408" s="1" t="s">
        <v>31</v>
      </c>
      <c r="Q2408" s="1" t="s">
        <v>95</v>
      </c>
      <c r="R2408" s="1" t="s">
        <v>95</v>
      </c>
      <c r="S2408" s="1" t="s">
        <v>96</v>
      </c>
      <c r="T2408" s="1" t="s">
        <v>640</v>
      </c>
      <c r="U2408" s="1">
        <v>1.00597983E8</v>
      </c>
      <c r="X2408" s="1" t="s">
        <v>88</v>
      </c>
      <c r="Y2408" s="1" t="s">
        <v>3679</v>
      </c>
      <c r="Z2408" s="1" t="s">
        <v>206</v>
      </c>
    </row>
    <row r="2409" hidden="1">
      <c r="A2409" s="1" t="s">
        <v>7444</v>
      </c>
      <c r="B2409" s="1" t="s">
        <v>2261</v>
      </c>
      <c r="C2409" s="1" t="s">
        <v>7445</v>
      </c>
      <c r="D2409" s="1" t="s">
        <v>78</v>
      </c>
      <c r="E2409" s="1" t="s">
        <v>28</v>
      </c>
      <c r="F2409" s="2">
        <v>495000.0</v>
      </c>
      <c r="G2409" s="1" t="s">
        <v>7169</v>
      </c>
      <c r="H2409" s="4">
        <f>IFERROR(__xludf.DUMMYFUNCTION("DATE(INDEX(SPLIT(G2409,""/""),,3),INDEX(SPLIT(G2409,""/""),,2),INDEX(SPLIT(G2409,""/""),,1))"),43998.0)</f>
        <v>43998</v>
      </c>
      <c r="I2409" s="1" t="s">
        <v>1097</v>
      </c>
      <c r="J2409" s="4">
        <f>IFERROR(__xludf.DUMMYFUNCTION("DATE(INDEX(SPLIT(I2409,""/""),,3),INDEX(SPLIT(I2409,""/""),,2),INDEX(SPLIT(I2409,""/""),,1))"),45107.0)</f>
        <v>45107</v>
      </c>
      <c r="L2409" s="1">
        <v>0.0</v>
      </c>
      <c r="M2409" s="1" t="s">
        <v>2592</v>
      </c>
      <c r="N2409" s="1"/>
      <c r="O2409" s="1" t="s">
        <v>30</v>
      </c>
      <c r="P2409" s="1" t="s">
        <v>31</v>
      </c>
      <c r="Q2409" s="1" t="s">
        <v>71</v>
      </c>
      <c r="R2409" s="1" t="s">
        <v>71</v>
      </c>
      <c r="S2409" s="1" t="s">
        <v>72</v>
      </c>
      <c r="T2409" s="1" t="s">
        <v>136</v>
      </c>
      <c r="U2409" s="1">
        <v>1.00586452E8</v>
      </c>
      <c r="X2409" s="1" t="s">
        <v>74</v>
      </c>
      <c r="Y2409" s="1" t="s">
        <v>5737</v>
      </c>
      <c r="Z2409" s="1" t="s">
        <v>37</v>
      </c>
    </row>
    <row r="2410" hidden="1">
      <c r="A2410" s="1" t="s">
        <v>7446</v>
      </c>
      <c r="B2410" s="1" t="s">
        <v>2501</v>
      </c>
      <c r="C2410" s="1" t="s">
        <v>7447</v>
      </c>
      <c r="D2410" s="1" t="s">
        <v>122</v>
      </c>
      <c r="E2410" s="1" t="s">
        <v>28</v>
      </c>
      <c r="F2410" s="2">
        <v>495000.0</v>
      </c>
      <c r="G2410" s="4">
        <v>44481.0</v>
      </c>
      <c r="H2410" s="4">
        <f>IFERROR(__xludf.DUMMYFUNCTION("DATE(INDEX(SPLIT(G2410,""/""),,3),INDEX(SPLIT(G2410,""/""),,2),INDEX(SPLIT(G2410,""/""),,1))"),44540.0)</f>
        <v>44540</v>
      </c>
      <c r="I2410" s="1" t="s">
        <v>281</v>
      </c>
      <c r="J2410" s="4">
        <f>IFERROR(__xludf.DUMMYFUNCTION("DATE(INDEX(SPLIT(I2410,""/""),,3),INDEX(SPLIT(I2410,""/""),,2),INDEX(SPLIT(I2410,""/""),,1))"),44865.0)</f>
        <v>44865</v>
      </c>
      <c r="L2410" s="1">
        <v>0.0</v>
      </c>
      <c r="M2410" s="1" t="s">
        <v>2517</v>
      </c>
      <c r="N2410" s="1"/>
      <c r="O2410" s="1" t="s">
        <v>30</v>
      </c>
      <c r="P2410" s="1" t="s">
        <v>31</v>
      </c>
      <c r="Q2410" s="1" t="s">
        <v>32</v>
      </c>
      <c r="R2410" s="1" t="s">
        <v>32</v>
      </c>
      <c r="S2410" s="1" t="s">
        <v>33</v>
      </c>
      <c r="T2410" s="1" t="s">
        <v>1195</v>
      </c>
      <c r="U2410" s="1">
        <v>1.01090216E8</v>
      </c>
      <c r="X2410" s="1" t="s">
        <v>490</v>
      </c>
      <c r="Y2410" s="1" t="s">
        <v>7448</v>
      </c>
      <c r="Z2410" s="1" t="s">
        <v>37</v>
      </c>
    </row>
    <row r="2411">
      <c r="A2411" s="1" t="s">
        <v>7449</v>
      </c>
      <c r="B2411" s="1" t="s">
        <v>1070</v>
      </c>
      <c r="C2411" s="1" t="s">
        <v>7450</v>
      </c>
      <c r="D2411" s="1" t="s">
        <v>122</v>
      </c>
      <c r="E2411" s="1" t="s">
        <v>28</v>
      </c>
      <c r="F2411" s="2">
        <v>495000.0</v>
      </c>
      <c r="G2411" s="4">
        <v>44655.0</v>
      </c>
      <c r="H2411" s="4">
        <f>IFERROR(__xludf.DUMMYFUNCTION("DATE(INDEX(SPLIT(G2411,""/""),,3),INDEX(SPLIT(G2411,""/""),,2),INDEX(SPLIT(G2411,""/""),,1))"),44655.0)</f>
        <v>44655</v>
      </c>
      <c r="I2411" s="1" t="s">
        <v>1244</v>
      </c>
      <c r="J2411" s="4">
        <f>IFERROR(__xludf.DUMMYFUNCTION("DATE(INDEX(SPLIT(I2411,""/""),,3),INDEX(SPLIT(I2411,""/""),,2),INDEX(SPLIT(I2411,""/""),,1))"),44742.0)</f>
        <v>44742</v>
      </c>
      <c r="L2411" s="1">
        <v>0.0</v>
      </c>
      <c r="M2411" s="1" t="s">
        <v>1484</v>
      </c>
      <c r="N2411" s="1"/>
      <c r="O2411" s="1" t="s">
        <v>30</v>
      </c>
      <c r="P2411" s="1" t="s">
        <v>31</v>
      </c>
      <c r="Q2411" s="1" t="s">
        <v>95</v>
      </c>
      <c r="R2411" s="1" t="s">
        <v>95</v>
      </c>
      <c r="S2411" s="1" t="s">
        <v>96</v>
      </c>
      <c r="T2411" s="1" t="s">
        <v>111</v>
      </c>
      <c r="U2411" s="1">
        <v>1.00585718E8</v>
      </c>
      <c r="X2411" s="1" t="s">
        <v>305</v>
      </c>
      <c r="Y2411" s="1" t="s">
        <v>1484</v>
      </c>
      <c r="Z2411" s="1" t="s">
        <v>37</v>
      </c>
    </row>
    <row r="2412" hidden="1">
      <c r="A2412" s="1" t="s">
        <v>7451</v>
      </c>
      <c r="B2412" s="1" t="s">
        <v>291</v>
      </c>
      <c r="C2412" s="1" t="s">
        <v>7452</v>
      </c>
      <c r="D2412" s="1" t="s">
        <v>122</v>
      </c>
      <c r="E2412" s="1" t="s">
        <v>28</v>
      </c>
      <c r="F2412" s="2">
        <v>495000.0</v>
      </c>
      <c r="G2412" s="4">
        <v>44836.0</v>
      </c>
      <c r="H2412" s="4">
        <f>IFERROR(__xludf.DUMMYFUNCTION("DATE(INDEX(SPLIT(G2412,""/""),,3),INDEX(SPLIT(G2412,""/""),,2),INDEX(SPLIT(G2412,""/""),,1))"),44602.0)</f>
        <v>44602</v>
      </c>
      <c r="I2412" s="1" t="s">
        <v>109</v>
      </c>
      <c r="J2412" s="4">
        <f>IFERROR(__xludf.DUMMYFUNCTION("DATE(INDEX(SPLIT(I2412,""/""),,3),INDEX(SPLIT(I2412,""/""),,2),INDEX(SPLIT(I2412,""/""),,1))"),44834.0)</f>
        <v>44834</v>
      </c>
      <c r="L2412" s="1">
        <v>0.0</v>
      </c>
      <c r="M2412" s="1" t="s">
        <v>2147</v>
      </c>
      <c r="N2412" s="1"/>
      <c r="O2412" s="1" t="s">
        <v>30</v>
      </c>
      <c r="P2412" s="1" t="s">
        <v>31</v>
      </c>
      <c r="Q2412" s="1" t="s">
        <v>235</v>
      </c>
      <c r="R2412" s="1" t="s">
        <v>235</v>
      </c>
      <c r="S2412" s="1" t="s">
        <v>236</v>
      </c>
      <c r="T2412" s="1" t="s">
        <v>237</v>
      </c>
      <c r="U2412" s="1">
        <v>1.00647935E8</v>
      </c>
      <c r="X2412" s="1" t="s">
        <v>239</v>
      </c>
      <c r="Y2412" s="1" t="s">
        <v>2147</v>
      </c>
      <c r="Z2412" s="1" t="s">
        <v>37</v>
      </c>
    </row>
    <row r="2413" hidden="1">
      <c r="A2413" s="1" t="s">
        <v>7453</v>
      </c>
      <c r="B2413" s="1" t="s">
        <v>954</v>
      </c>
      <c r="C2413" s="1" t="s">
        <v>7454</v>
      </c>
      <c r="D2413" s="1" t="s">
        <v>27</v>
      </c>
      <c r="E2413" s="1" t="s">
        <v>28</v>
      </c>
      <c r="F2413" s="2">
        <v>495000.0</v>
      </c>
      <c r="G2413" s="1" t="s">
        <v>1136</v>
      </c>
      <c r="H2413" s="4">
        <f>IFERROR(__xludf.DUMMYFUNCTION("DATE(INDEX(SPLIT(G2413,""/""),,3),INDEX(SPLIT(G2413,""/""),,2),INDEX(SPLIT(G2413,""/""),,1))"),44608.0)</f>
        <v>44608</v>
      </c>
      <c r="I2413" s="4">
        <v>44630.0</v>
      </c>
      <c r="J2413" s="4">
        <f>IFERROR(__xludf.DUMMYFUNCTION("DATE(INDEX(SPLIT(I2413,""/""),,3),INDEX(SPLIT(I2413,""/""),,2),INDEX(SPLIT(I2413,""/""),,1))"),44837.0)</f>
        <v>44837</v>
      </c>
      <c r="L2413" s="1">
        <v>0.0</v>
      </c>
      <c r="M2413" s="1" t="s">
        <v>5632</v>
      </c>
      <c r="N2413" s="1"/>
      <c r="O2413" s="1" t="s">
        <v>30</v>
      </c>
      <c r="P2413" s="1" t="s">
        <v>31</v>
      </c>
      <c r="Q2413" s="1" t="s">
        <v>157</v>
      </c>
      <c r="R2413" s="1" t="s">
        <v>157</v>
      </c>
      <c r="S2413" s="1" t="s">
        <v>158</v>
      </c>
      <c r="T2413" s="1" t="s">
        <v>159</v>
      </c>
      <c r="U2413" s="1">
        <v>1.00625563E8</v>
      </c>
      <c r="X2413" s="1" t="s">
        <v>74</v>
      </c>
      <c r="Y2413" s="1" t="s">
        <v>7455</v>
      </c>
      <c r="Z2413" s="1" t="s">
        <v>37</v>
      </c>
    </row>
    <row r="2414" hidden="1">
      <c r="A2414" s="1" t="s">
        <v>7456</v>
      </c>
      <c r="B2414" s="1" t="s">
        <v>4041</v>
      </c>
      <c r="C2414" s="1" t="s">
        <v>7457</v>
      </c>
      <c r="D2414" s="1" t="s">
        <v>27</v>
      </c>
      <c r="E2414" s="1" t="s">
        <v>28</v>
      </c>
      <c r="F2414" s="2">
        <v>495000.0</v>
      </c>
      <c r="G2414" s="4">
        <v>44171.0</v>
      </c>
      <c r="H2414" s="4">
        <f>IFERROR(__xludf.DUMMYFUNCTION("DATE(INDEX(SPLIT(G2414,""/""),,3),INDEX(SPLIT(G2414,""/""),,2),INDEX(SPLIT(G2414,""/""),,1))"),43994.0)</f>
        <v>43994</v>
      </c>
      <c r="I2414" s="1" t="s">
        <v>1799</v>
      </c>
      <c r="J2414" s="4">
        <f>IFERROR(__xludf.DUMMYFUNCTION("DATE(INDEX(SPLIT(I2414,""/""),,3),INDEX(SPLIT(I2414,""/""),,2),INDEX(SPLIT(I2414,""/""),,1))"),44788.0)</f>
        <v>44788</v>
      </c>
      <c r="L2414" s="1">
        <v>0.0</v>
      </c>
      <c r="M2414" s="1" t="s">
        <v>4451</v>
      </c>
      <c r="N2414" s="1"/>
      <c r="O2414" s="1" t="s">
        <v>30</v>
      </c>
      <c r="P2414" s="1" t="s">
        <v>31</v>
      </c>
      <c r="Q2414" s="1" t="s">
        <v>235</v>
      </c>
      <c r="R2414" s="1" t="s">
        <v>235</v>
      </c>
      <c r="S2414" s="1" t="s">
        <v>236</v>
      </c>
      <c r="T2414" s="1" t="s">
        <v>1349</v>
      </c>
      <c r="U2414" s="1">
        <v>1.00945646E8</v>
      </c>
      <c r="X2414" s="1" t="s">
        <v>375</v>
      </c>
      <c r="Y2414" s="1" t="s">
        <v>7458</v>
      </c>
      <c r="Z2414" s="1" t="s">
        <v>37</v>
      </c>
    </row>
    <row r="2415">
      <c r="A2415" s="1" t="s">
        <v>7459</v>
      </c>
      <c r="B2415" s="1" t="s">
        <v>1854</v>
      </c>
      <c r="C2415" s="1" t="s">
        <v>7460</v>
      </c>
      <c r="D2415" s="1" t="s">
        <v>122</v>
      </c>
      <c r="E2415" s="1" t="s">
        <v>28</v>
      </c>
      <c r="F2415" s="2">
        <v>493000.0</v>
      </c>
      <c r="G2415" s="4">
        <v>44777.0</v>
      </c>
      <c r="H2415" s="4">
        <f>IFERROR(__xludf.DUMMYFUNCTION("DATE(INDEX(SPLIT(G2415,""/""),,3),INDEX(SPLIT(G2415,""/""),,2),INDEX(SPLIT(G2415,""/""),,1))"),44659.0)</f>
        <v>44659</v>
      </c>
      <c r="I2415" s="4">
        <v>44780.0</v>
      </c>
      <c r="J2415" s="4">
        <f>IFERROR(__xludf.DUMMYFUNCTION("DATE(INDEX(SPLIT(I2415,""/""),,3),INDEX(SPLIT(I2415,""/""),,2),INDEX(SPLIT(I2415,""/""),,1))"),44750.0)</f>
        <v>44750</v>
      </c>
      <c r="L2415" s="1">
        <v>0.0</v>
      </c>
      <c r="M2415" s="1" t="s">
        <v>2448</v>
      </c>
      <c r="N2415" s="1"/>
      <c r="O2415" s="1" t="s">
        <v>30</v>
      </c>
      <c r="P2415" s="1" t="s">
        <v>31</v>
      </c>
      <c r="Q2415" s="1" t="s">
        <v>53</v>
      </c>
      <c r="R2415" s="1" t="s">
        <v>53</v>
      </c>
      <c r="S2415" s="1" t="s">
        <v>54</v>
      </c>
      <c r="T2415" s="1" t="s">
        <v>197</v>
      </c>
      <c r="U2415" s="1">
        <v>1.00584032E8</v>
      </c>
      <c r="V2415" s="1" t="s">
        <v>7461</v>
      </c>
      <c r="W2415" s="1" t="s">
        <v>717</v>
      </c>
      <c r="X2415" s="1" t="s">
        <v>63</v>
      </c>
      <c r="Y2415" s="1" t="s">
        <v>1857</v>
      </c>
      <c r="Z2415" s="1" t="s">
        <v>37</v>
      </c>
    </row>
    <row r="2416">
      <c r="A2416" s="1" t="s">
        <v>7462</v>
      </c>
      <c r="B2416" s="1" t="s">
        <v>756</v>
      </c>
      <c r="C2416" s="1" t="s">
        <v>7463</v>
      </c>
      <c r="D2416" s="1" t="s">
        <v>122</v>
      </c>
      <c r="E2416" s="1" t="s">
        <v>28</v>
      </c>
      <c r="F2416" s="2">
        <v>490000.0</v>
      </c>
      <c r="G2416" s="4">
        <v>44626.0</v>
      </c>
      <c r="H2416" s="4">
        <f>IFERROR(__xludf.DUMMYFUNCTION("DATE(INDEX(SPLIT(G2416,""/""),,3),INDEX(SPLIT(G2416,""/""),,2),INDEX(SPLIT(G2416,""/""),,1))"),44715.0)</f>
        <v>44715</v>
      </c>
      <c r="I2416" s="4">
        <v>44568.0</v>
      </c>
      <c r="J2416" s="4">
        <f>IFERROR(__xludf.DUMMYFUNCTION("DATE(INDEX(SPLIT(I2416,""/""),,3),INDEX(SPLIT(I2416,""/""),,2),INDEX(SPLIT(I2416,""/""),,1))"),44743.0)</f>
        <v>44743</v>
      </c>
      <c r="L2416" s="1">
        <v>0.0</v>
      </c>
      <c r="M2416" s="1" t="s">
        <v>459</v>
      </c>
      <c r="N2416" s="1"/>
      <c r="O2416" s="1" t="s">
        <v>30</v>
      </c>
      <c r="P2416" s="1" t="s">
        <v>31</v>
      </c>
      <c r="Q2416" s="1" t="s">
        <v>53</v>
      </c>
      <c r="R2416" s="1" t="s">
        <v>53</v>
      </c>
      <c r="S2416" s="1" t="s">
        <v>54</v>
      </c>
      <c r="T2416" s="1" t="s">
        <v>87</v>
      </c>
      <c r="U2416" s="1">
        <v>1.00653756E8</v>
      </c>
      <c r="X2416" s="1" t="s">
        <v>88</v>
      </c>
      <c r="Y2416" s="1" t="s">
        <v>5548</v>
      </c>
      <c r="Z2416" s="1" t="s">
        <v>37</v>
      </c>
    </row>
    <row r="2417" hidden="1">
      <c r="A2417" s="1" t="s">
        <v>7464</v>
      </c>
      <c r="B2417" s="1" t="s">
        <v>1511</v>
      </c>
      <c r="C2417" s="1" t="s">
        <v>7465</v>
      </c>
      <c r="D2417" s="1" t="s">
        <v>78</v>
      </c>
      <c r="E2417" s="1" t="s">
        <v>28</v>
      </c>
      <c r="F2417" s="2">
        <v>490000.0</v>
      </c>
      <c r="G2417" s="1" t="s">
        <v>3245</v>
      </c>
      <c r="H2417" s="4">
        <f>IFERROR(__xludf.DUMMYFUNCTION("DATE(INDEX(SPLIT(G2417,""/""),,3),INDEX(SPLIT(G2417,""/""),,2),INDEX(SPLIT(G2417,""/""),,1))"),44452.0)</f>
        <v>44452</v>
      </c>
      <c r="I2417" s="1" t="s">
        <v>281</v>
      </c>
      <c r="J2417" s="4">
        <f>IFERROR(__xludf.DUMMYFUNCTION("DATE(INDEX(SPLIT(I2417,""/""),,3),INDEX(SPLIT(I2417,""/""),,2),INDEX(SPLIT(I2417,""/""),,1))"),44865.0)</f>
        <v>44865</v>
      </c>
      <c r="L2417" s="1">
        <v>0.0</v>
      </c>
      <c r="M2417" s="1" t="s">
        <v>2980</v>
      </c>
      <c r="N2417" s="1"/>
      <c r="O2417" s="1" t="s">
        <v>30</v>
      </c>
      <c r="P2417" s="1" t="s">
        <v>31</v>
      </c>
      <c r="Q2417" s="1" t="s">
        <v>157</v>
      </c>
      <c r="R2417" s="1" t="s">
        <v>157</v>
      </c>
      <c r="S2417" s="1" t="s">
        <v>158</v>
      </c>
      <c r="T2417" s="1" t="s">
        <v>159</v>
      </c>
      <c r="U2417" s="1">
        <v>1.00608521E8</v>
      </c>
      <c r="X2417" s="1" t="s">
        <v>490</v>
      </c>
      <c r="Y2417" s="1" t="s">
        <v>2981</v>
      </c>
      <c r="Z2417" s="1" t="s">
        <v>37</v>
      </c>
    </row>
    <row r="2418">
      <c r="A2418" s="1" t="s">
        <v>7466</v>
      </c>
      <c r="B2418" s="1" t="s">
        <v>7467</v>
      </c>
      <c r="C2418" s="1" t="s">
        <v>7468</v>
      </c>
      <c r="D2418" s="1" t="s">
        <v>122</v>
      </c>
      <c r="E2418" s="1" t="s">
        <v>28</v>
      </c>
      <c r="F2418" s="2">
        <v>490000.0</v>
      </c>
      <c r="G2418" s="1" t="s">
        <v>1259</v>
      </c>
      <c r="H2418" s="4">
        <f>IFERROR(__xludf.DUMMYFUNCTION("DATE(INDEX(SPLIT(G2418,""/""),,3),INDEX(SPLIT(G2418,""/""),,2),INDEX(SPLIT(G2418,""/""),,1))"),44763.0)</f>
        <v>44763</v>
      </c>
      <c r="I2418" s="1" t="s">
        <v>226</v>
      </c>
      <c r="J2418" s="4">
        <f>IFERROR(__xludf.DUMMYFUNCTION("DATE(INDEX(SPLIT(I2418,""/""),,3),INDEX(SPLIT(I2418,""/""),,2),INDEX(SPLIT(I2418,""/""),,1))"),44771.0)</f>
        <v>44771</v>
      </c>
      <c r="L2418" s="1">
        <v>0.0</v>
      </c>
      <c r="M2418" s="1" t="s">
        <v>277</v>
      </c>
      <c r="N2418" s="1"/>
      <c r="O2418" s="1" t="s">
        <v>30</v>
      </c>
      <c r="P2418" s="1" t="s">
        <v>31</v>
      </c>
      <c r="Q2418" s="1" t="s">
        <v>32</v>
      </c>
      <c r="R2418" s="1" t="s">
        <v>32</v>
      </c>
      <c r="S2418" s="1" t="s">
        <v>33</v>
      </c>
      <c r="U2418" s="1">
        <v>1.00608828E8</v>
      </c>
      <c r="X2418" s="1" t="s">
        <v>410</v>
      </c>
      <c r="Y2418" s="1" t="s">
        <v>7469</v>
      </c>
      <c r="Z2418" s="1" t="s">
        <v>37</v>
      </c>
    </row>
    <row r="2419" hidden="1">
      <c r="A2419" s="1" t="s">
        <v>7470</v>
      </c>
      <c r="B2419" s="1" t="s">
        <v>6308</v>
      </c>
      <c r="C2419" s="1" t="s">
        <v>7471</v>
      </c>
      <c r="D2419" s="1" t="s">
        <v>78</v>
      </c>
      <c r="E2419" s="1" t="s">
        <v>28</v>
      </c>
      <c r="F2419" s="2">
        <v>485000.0</v>
      </c>
      <c r="G2419" s="1" t="s">
        <v>7472</v>
      </c>
      <c r="H2419" s="4">
        <f>IFERROR(__xludf.DUMMYFUNCTION("DATE(INDEX(SPLIT(G2419,""/""),,3),INDEX(SPLIT(G2419,""/""),,2),INDEX(SPLIT(G2419,""/""),,1))"),44299.0)</f>
        <v>44299</v>
      </c>
      <c r="I2419" s="1" t="s">
        <v>179</v>
      </c>
      <c r="J2419" s="4">
        <f>IFERROR(__xludf.DUMMYFUNCTION("DATE(INDEX(SPLIT(I2419,""/""),,3),INDEX(SPLIT(I2419,""/""),,2),INDEX(SPLIT(I2419,""/""),,1))"),44890.0)</f>
        <v>44890</v>
      </c>
      <c r="L2419" s="1">
        <v>0.0</v>
      </c>
      <c r="M2419" s="1" t="s">
        <v>6310</v>
      </c>
      <c r="N2419" s="1"/>
      <c r="O2419" s="1" t="s">
        <v>30</v>
      </c>
      <c r="P2419" s="1" t="s">
        <v>31</v>
      </c>
      <c r="Q2419" s="1" t="s">
        <v>157</v>
      </c>
      <c r="R2419" s="1" t="s">
        <v>157</v>
      </c>
      <c r="S2419" s="1" t="s">
        <v>158</v>
      </c>
      <c r="T2419" s="1" t="s">
        <v>7473</v>
      </c>
      <c r="U2419" s="1">
        <v>1.00620162E8</v>
      </c>
      <c r="X2419" s="1" t="s">
        <v>63</v>
      </c>
      <c r="Y2419" s="1" t="s">
        <v>7474</v>
      </c>
      <c r="Z2419" s="1" t="s">
        <v>37</v>
      </c>
    </row>
    <row r="2420">
      <c r="A2420" s="1" t="s">
        <v>7475</v>
      </c>
      <c r="B2420" s="1" t="s">
        <v>7476</v>
      </c>
      <c r="C2420" s="1" t="s">
        <v>7477</v>
      </c>
      <c r="D2420" s="1" t="s">
        <v>122</v>
      </c>
      <c r="E2420" s="1" t="s">
        <v>28</v>
      </c>
      <c r="F2420" s="2">
        <v>485000.0</v>
      </c>
      <c r="G2420" s="4">
        <v>44686.0</v>
      </c>
      <c r="H2420" s="4">
        <f>IFERROR(__xludf.DUMMYFUNCTION("DATE(INDEX(SPLIT(G2420,""/""),,3),INDEX(SPLIT(G2420,""/""),,2),INDEX(SPLIT(G2420,""/""),,1))"),44686.0)</f>
        <v>44686</v>
      </c>
      <c r="I2420" s="1" t="s">
        <v>935</v>
      </c>
      <c r="J2420" s="4">
        <f>IFERROR(__xludf.DUMMYFUNCTION("DATE(INDEX(SPLIT(I2420,""/""),,3),INDEX(SPLIT(I2420,""/""),,2),INDEX(SPLIT(I2420,""/""),,1))"),44764.0)</f>
        <v>44764</v>
      </c>
      <c r="L2420" s="1">
        <v>0.0</v>
      </c>
      <c r="M2420" s="1" t="s">
        <v>2905</v>
      </c>
      <c r="N2420" s="1"/>
      <c r="O2420" s="1" t="s">
        <v>30</v>
      </c>
      <c r="P2420" s="1" t="s">
        <v>31</v>
      </c>
      <c r="Q2420" s="1" t="s">
        <v>53</v>
      </c>
      <c r="R2420" s="1" t="s">
        <v>53</v>
      </c>
      <c r="S2420" s="1" t="s">
        <v>54</v>
      </c>
      <c r="U2420" s="1">
        <v>1.01074419E8</v>
      </c>
      <c r="X2420" s="1" t="s">
        <v>254</v>
      </c>
      <c r="Y2420" s="1" t="s">
        <v>2905</v>
      </c>
      <c r="Z2420" s="1" t="s">
        <v>527</v>
      </c>
    </row>
    <row r="2421">
      <c r="A2421" s="1" t="s">
        <v>7478</v>
      </c>
      <c r="B2421" s="1" t="s">
        <v>2735</v>
      </c>
      <c r="C2421" s="1" t="s">
        <v>7479</v>
      </c>
      <c r="D2421" s="1" t="s">
        <v>122</v>
      </c>
      <c r="E2421" s="1" t="s">
        <v>28</v>
      </c>
      <c r="F2421" s="2">
        <v>485000.0</v>
      </c>
      <c r="G2421" s="1" t="s">
        <v>586</v>
      </c>
      <c r="H2421" s="4">
        <f>IFERROR(__xludf.DUMMYFUNCTION("DATE(INDEX(SPLIT(G2421,""/""),,3),INDEX(SPLIT(G2421,""/""),,2),INDEX(SPLIT(G2421,""/""),,1))"),44726.0)</f>
        <v>44726</v>
      </c>
      <c r="I2421" s="1" t="s">
        <v>414</v>
      </c>
      <c r="J2421" s="4">
        <f>IFERROR(__xludf.DUMMYFUNCTION("DATE(INDEX(SPLIT(I2421,""/""),,3),INDEX(SPLIT(I2421,""/""),,2),INDEX(SPLIT(I2421,""/""),,1))"),44772.0)</f>
        <v>44772</v>
      </c>
      <c r="L2421" s="1">
        <v>0.0</v>
      </c>
      <c r="M2421" s="1" t="s">
        <v>4849</v>
      </c>
      <c r="N2421" s="1"/>
      <c r="O2421" s="1" t="s">
        <v>30</v>
      </c>
      <c r="P2421" s="1" t="s">
        <v>31</v>
      </c>
      <c r="Q2421" s="1" t="s">
        <v>157</v>
      </c>
      <c r="R2421" s="1" t="s">
        <v>157</v>
      </c>
      <c r="S2421" s="1" t="s">
        <v>158</v>
      </c>
      <c r="T2421" s="1" t="s">
        <v>442</v>
      </c>
      <c r="U2421" s="1">
        <v>1.00620934E8</v>
      </c>
      <c r="X2421" s="1" t="s">
        <v>490</v>
      </c>
      <c r="Y2421" s="1" t="s">
        <v>7480</v>
      </c>
      <c r="Z2421" s="1" t="s">
        <v>37</v>
      </c>
    </row>
    <row r="2422" hidden="1">
      <c r="A2422" s="1" t="s">
        <v>7481</v>
      </c>
      <c r="B2422" s="1" t="s">
        <v>257</v>
      </c>
      <c r="C2422" s="1" t="s">
        <v>7482</v>
      </c>
      <c r="D2422" s="1" t="s">
        <v>78</v>
      </c>
      <c r="E2422" s="1" t="s">
        <v>28</v>
      </c>
      <c r="F2422" s="2">
        <v>485000.0</v>
      </c>
      <c r="G2422" s="1" t="s">
        <v>7483</v>
      </c>
      <c r="H2422" s="4">
        <f>IFERROR(__xludf.DUMMYFUNCTION("DATE(INDEX(SPLIT(G2422,""/""),,3),INDEX(SPLIT(G2422,""/""),,2),INDEX(SPLIT(G2422,""/""),,1))"),44641.0)</f>
        <v>44641</v>
      </c>
      <c r="I2422" s="1" t="s">
        <v>109</v>
      </c>
      <c r="J2422" s="4">
        <f>IFERROR(__xludf.DUMMYFUNCTION("DATE(INDEX(SPLIT(I2422,""/""),,3),INDEX(SPLIT(I2422,""/""),,2),INDEX(SPLIT(I2422,""/""),,1))"),44834.0)</f>
        <v>44834</v>
      </c>
      <c r="L2422" s="1">
        <v>0.0</v>
      </c>
      <c r="M2422" s="1" t="s">
        <v>7484</v>
      </c>
      <c r="N2422" s="1"/>
      <c r="O2422" s="1" t="s">
        <v>30</v>
      </c>
      <c r="P2422" s="1" t="s">
        <v>31</v>
      </c>
      <c r="Q2422" s="1" t="s">
        <v>235</v>
      </c>
      <c r="R2422" s="1" t="s">
        <v>235</v>
      </c>
      <c r="S2422" s="1" t="s">
        <v>236</v>
      </c>
      <c r="U2422" s="1">
        <v>1.00647314E8</v>
      </c>
      <c r="X2422" s="1" t="s">
        <v>239</v>
      </c>
      <c r="Y2422" s="1" t="s">
        <v>368</v>
      </c>
      <c r="Z2422" s="1" t="s">
        <v>37</v>
      </c>
    </row>
    <row r="2423">
      <c r="A2423" s="1" t="s">
        <v>7485</v>
      </c>
      <c r="B2423" s="1" t="s">
        <v>709</v>
      </c>
      <c r="C2423" s="1" t="s">
        <v>7486</v>
      </c>
      <c r="D2423" s="1" t="s">
        <v>122</v>
      </c>
      <c r="E2423" s="1" t="s">
        <v>28</v>
      </c>
      <c r="F2423" s="2">
        <v>485000.0</v>
      </c>
      <c r="G2423" s="1" t="s">
        <v>359</v>
      </c>
      <c r="H2423" s="4">
        <f>IFERROR(__xludf.DUMMYFUNCTION("DATE(INDEX(SPLIT(G2423,""/""),,3),INDEX(SPLIT(G2423,""/""),,2),INDEX(SPLIT(G2423,""/""),,1))"),44740.0)</f>
        <v>44740</v>
      </c>
      <c r="I2423" s="1" t="s">
        <v>518</v>
      </c>
      <c r="J2423" s="4">
        <f>IFERROR(__xludf.DUMMYFUNCTION("DATE(INDEX(SPLIT(I2423,""/""),,3),INDEX(SPLIT(I2423,""/""),,2),INDEX(SPLIT(I2423,""/""),,1))"),44757.0)</f>
        <v>44757</v>
      </c>
      <c r="L2423" s="1">
        <v>0.0</v>
      </c>
      <c r="M2423" s="1" t="s">
        <v>437</v>
      </c>
      <c r="N2423" s="1"/>
      <c r="O2423" s="1" t="s">
        <v>30</v>
      </c>
      <c r="P2423" s="1" t="s">
        <v>31</v>
      </c>
      <c r="Q2423" s="1" t="s">
        <v>235</v>
      </c>
      <c r="R2423" s="1" t="s">
        <v>235</v>
      </c>
      <c r="S2423" s="1" t="s">
        <v>236</v>
      </c>
      <c r="U2423" s="1">
        <v>1.00650375E8</v>
      </c>
      <c r="X2423" s="1" t="s">
        <v>35</v>
      </c>
      <c r="Y2423" s="1" t="s">
        <v>7487</v>
      </c>
      <c r="Z2423" s="1" t="s">
        <v>37</v>
      </c>
    </row>
    <row r="2424">
      <c r="A2424" s="1" t="s">
        <v>7488</v>
      </c>
      <c r="B2424" s="1" t="s">
        <v>7489</v>
      </c>
      <c r="C2424" s="1" t="s">
        <v>7490</v>
      </c>
      <c r="D2424" s="1" t="s">
        <v>122</v>
      </c>
      <c r="E2424" s="1" t="s">
        <v>28</v>
      </c>
      <c r="F2424" s="2">
        <v>480900.0</v>
      </c>
      <c r="G2424" s="4">
        <v>44326.0</v>
      </c>
      <c r="H2424" s="4">
        <f>IFERROR(__xludf.DUMMYFUNCTION("DATE(INDEX(SPLIT(G2424,""/""),,3),INDEX(SPLIT(G2424,""/""),,2),INDEX(SPLIT(G2424,""/""),,1))"),44474.0)</f>
        <v>44474</v>
      </c>
      <c r="I2424" s="1" t="s">
        <v>1244</v>
      </c>
      <c r="J2424" s="4">
        <f>IFERROR(__xludf.DUMMYFUNCTION("DATE(INDEX(SPLIT(I2424,""/""),,3),INDEX(SPLIT(I2424,""/""),,2),INDEX(SPLIT(I2424,""/""),,1))"),44742.0)</f>
        <v>44742</v>
      </c>
      <c r="L2424" s="1">
        <v>0.0</v>
      </c>
      <c r="M2424" s="1" t="s">
        <v>2067</v>
      </c>
      <c r="N2424" s="1"/>
      <c r="O2424" s="1" t="s">
        <v>30</v>
      </c>
      <c r="P2424" s="1" t="s">
        <v>31</v>
      </c>
      <c r="Q2424" s="1" t="s">
        <v>95</v>
      </c>
      <c r="R2424" s="1" t="s">
        <v>95</v>
      </c>
      <c r="S2424" s="1" t="s">
        <v>96</v>
      </c>
      <c r="T2424" s="1" t="s">
        <v>111</v>
      </c>
      <c r="U2424" s="1">
        <v>1.00631322E8</v>
      </c>
      <c r="X2424" s="1" t="s">
        <v>63</v>
      </c>
      <c r="Y2424" s="1" t="s">
        <v>2081</v>
      </c>
      <c r="Z2424" s="1" t="s">
        <v>37</v>
      </c>
    </row>
    <row r="2425">
      <c r="A2425" s="1" t="s">
        <v>7491</v>
      </c>
      <c r="B2425" s="1" t="s">
        <v>7492</v>
      </c>
      <c r="C2425" s="1" t="s">
        <v>7493</v>
      </c>
      <c r="D2425" s="1" t="s">
        <v>78</v>
      </c>
      <c r="E2425" s="1" t="s">
        <v>28</v>
      </c>
      <c r="F2425" s="2">
        <v>480000.0</v>
      </c>
      <c r="G2425" s="1" t="s">
        <v>2077</v>
      </c>
      <c r="H2425" s="4">
        <f>IFERROR(__xludf.DUMMYFUNCTION("DATE(INDEX(SPLIT(G2425,""/""),,3),INDEX(SPLIT(G2425,""/""),,2),INDEX(SPLIT(G2425,""/""),,1))"),44700.0)</f>
        <v>44700</v>
      </c>
      <c r="I2425" s="4">
        <v>44840.0</v>
      </c>
      <c r="J2425" s="4">
        <f>IFERROR(__xludf.DUMMYFUNCTION("DATE(INDEX(SPLIT(I2425,""/""),,3),INDEX(SPLIT(I2425,""/""),,2),INDEX(SPLIT(I2425,""/""),,1))"),44722.0)</f>
        <v>44722</v>
      </c>
      <c r="L2425" s="1">
        <v>0.0</v>
      </c>
      <c r="M2425" s="1" t="s">
        <v>7494</v>
      </c>
      <c r="N2425" s="1"/>
      <c r="O2425" s="1" t="s">
        <v>30</v>
      </c>
      <c r="P2425" s="1" t="s">
        <v>31</v>
      </c>
      <c r="Q2425" s="1" t="s">
        <v>188</v>
      </c>
      <c r="R2425" s="1" t="s">
        <v>188</v>
      </c>
      <c r="S2425" s="1" t="s">
        <v>189</v>
      </c>
      <c r="U2425" s="1">
        <v>1.00659145E8</v>
      </c>
      <c r="Y2425" s="1" t="s">
        <v>7495</v>
      </c>
      <c r="Z2425" s="1" t="s">
        <v>37</v>
      </c>
    </row>
    <row r="2426">
      <c r="A2426" s="1" t="s">
        <v>7496</v>
      </c>
      <c r="B2426" s="1" t="s">
        <v>7489</v>
      </c>
      <c r="C2426" s="1" t="s">
        <v>7497</v>
      </c>
      <c r="D2426" s="1" t="s">
        <v>122</v>
      </c>
      <c r="E2426" s="1" t="s">
        <v>28</v>
      </c>
      <c r="F2426" s="2">
        <v>480000.0</v>
      </c>
      <c r="G2426" s="4">
        <v>44806.0</v>
      </c>
      <c r="H2426" s="4">
        <f>IFERROR(__xludf.DUMMYFUNCTION("DATE(INDEX(SPLIT(G2426,""/""),,3),INDEX(SPLIT(G2426,""/""),,2),INDEX(SPLIT(G2426,""/""),,1))"),44601.0)</f>
        <v>44601</v>
      </c>
      <c r="I2426" s="4">
        <v>44780.0</v>
      </c>
      <c r="J2426" s="4">
        <f>IFERROR(__xludf.DUMMYFUNCTION("DATE(INDEX(SPLIT(I2426,""/""),,3),INDEX(SPLIT(I2426,""/""),,2),INDEX(SPLIT(I2426,""/""),,1))"),44750.0)</f>
        <v>44750</v>
      </c>
      <c r="L2426" s="1">
        <v>0.0</v>
      </c>
      <c r="M2426" s="1" t="s">
        <v>7498</v>
      </c>
      <c r="N2426" s="1"/>
      <c r="O2426" s="1" t="s">
        <v>30</v>
      </c>
      <c r="P2426" s="1" t="s">
        <v>31</v>
      </c>
      <c r="Q2426" s="1" t="s">
        <v>235</v>
      </c>
      <c r="R2426" s="1" t="s">
        <v>235</v>
      </c>
      <c r="S2426" s="1" t="s">
        <v>236</v>
      </c>
      <c r="U2426" s="1">
        <v>1.01093101E8</v>
      </c>
      <c r="X2426" s="1" t="s">
        <v>63</v>
      </c>
      <c r="Y2426" s="1" t="s">
        <v>7498</v>
      </c>
      <c r="Z2426" s="1" t="s">
        <v>206</v>
      </c>
    </row>
    <row r="2427" hidden="1">
      <c r="A2427" s="1" t="s">
        <v>7499</v>
      </c>
      <c r="B2427" s="1" t="s">
        <v>7500</v>
      </c>
      <c r="C2427" s="1" t="s">
        <v>7501</v>
      </c>
      <c r="D2427" s="1" t="s">
        <v>78</v>
      </c>
      <c r="E2427" s="1" t="s">
        <v>28</v>
      </c>
      <c r="F2427" s="2">
        <v>480000.0</v>
      </c>
      <c r="G2427" s="4">
        <v>44568.0</v>
      </c>
      <c r="H2427" s="4">
        <f>IFERROR(__xludf.DUMMYFUNCTION("DATE(INDEX(SPLIT(G2427,""/""),,3),INDEX(SPLIT(G2427,""/""),,2),INDEX(SPLIT(G2427,""/""),,1))"),44743.0)</f>
        <v>44743</v>
      </c>
      <c r="I2427" s="1" t="s">
        <v>109</v>
      </c>
      <c r="J2427" s="4">
        <f>IFERROR(__xludf.DUMMYFUNCTION("DATE(INDEX(SPLIT(I2427,""/""),,3),INDEX(SPLIT(I2427,""/""),,2),INDEX(SPLIT(I2427,""/""),,1))"),44834.0)</f>
        <v>44834</v>
      </c>
      <c r="L2427" s="1">
        <v>0.0</v>
      </c>
      <c r="M2427" s="1" t="s">
        <v>5693</v>
      </c>
      <c r="N2427" s="1"/>
      <c r="O2427" s="1" t="s">
        <v>30</v>
      </c>
      <c r="P2427" s="1" t="s">
        <v>31</v>
      </c>
      <c r="Q2427" s="1" t="s">
        <v>228</v>
      </c>
      <c r="R2427" s="1" t="s">
        <v>228</v>
      </c>
      <c r="S2427" s="1" t="s">
        <v>229</v>
      </c>
      <c r="T2427" s="1" t="s">
        <v>513</v>
      </c>
      <c r="U2427" s="1">
        <v>1.00640945E8</v>
      </c>
      <c r="X2427" s="1" t="s">
        <v>74</v>
      </c>
      <c r="Y2427" s="1" t="s">
        <v>5693</v>
      </c>
      <c r="Z2427" s="1" t="s">
        <v>37</v>
      </c>
    </row>
    <row r="2428">
      <c r="A2428" s="1" t="s">
        <v>7502</v>
      </c>
      <c r="B2428" s="1" t="s">
        <v>427</v>
      </c>
      <c r="C2428" s="1" t="s">
        <v>7503</v>
      </c>
      <c r="D2428" s="1" t="s">
        <v>122</v>
      </c>
      <c r="E2428" s="1" t="s">
        <v>28</v>
      </c>
      <c r="F2428" s="2">
        <v>480000.0</v>
      </c>
      <c r="G2428" s="4">
        <v>44682.0</v>
      </c>
      <c r="H2428" s="4">
        <f>IFERROR(__xludf.DUMMYFUNCTION("DATE(INDEX(SPLIT(G2428,""/""),,3),INDEX(SPLIT(G2428,""/""),,2),INDEX(SPLIT(G2428,""/""),,1))"),44566.0)</f>
        <v>44566</v>
      </c>
      <c r="I2428" s="1" t="s">
        <v>1244</v>
      </c>
      <c r="J2428" s="4">
        <f>IFERROR(__xludf.DUMMYFUNCTION("DATE(INDEX(SPLIT(I2428,""/""),,3),INDEX(SPLIT(I2428,""/""),,2),INDEX(SPLIT(I2428,""/""),,1))"),44742.0)</f>
        <v>44742</v>
      </c>
      <c r="L2428" s="1">
        <v>0.0</v>
      </c>
      <c r="M2428" s="1" t="s">
        <v>891</v>
      </c>
      <c r="N2428" s="1"/>
      <c r="O2428" s="1" t="s">
        <v>30</v>
      </c>
      <c r="P2428" s="1" t="s">
        <v>31</v>
      </c>
      <c r="Q2428" s="1" t="s">
        <v>32</v>
      </c>
      <c r="R2428" s="1" t="s">
        <v>32</v>
      </c>
      <c r="S2428" s="1" t="s">
        <v>33</v>
      </c>
      <c r="T2428" s="1" t="s">
        <v>402</v>
      </c>
      <c r="U2428" s="1">
        <v>1.00866856E8</v>
      </c>
      <c r="X2428" s="1" t="s">
        <v>125</v>
      </c>
      <c r="Y2428" s="1" t="s">
        <v>7504</v>
      </c>
      <c r="Z2428" s="1" t="s">
        <v>37</v>
      </c>
    </row>
    <row r="2429" hidden="1">
      <c r="A2429" s="1" t="s">
        <v>7505</v>
      </c>
      <c r="B2429" s="1" t="s">
        <v>1748</v>
      </c>
      <c r="C2429" s="1" t="s">
        <v>7506</v>
      </c>
      <c r="D2429" s="1" t="s">
        <v>78</v>
      </c>
      <c r="E2429" s="1" t="s">
        <v>28</v>
      </c>
      <c r="F2429" s="2">
        <v>480000.0</v>
      </c>
      <c r="G2429" s="1" t="s">
        <v>154</v>
      </c>
      <c r="H2429" s="4">
        <f>IFERROR(__xludf.DUMMYFUNCTION("DATE(INDEX(SPLIT(G2429,""/""),,3),INDEX(SPLIT(G2429,""/""),,2),INDEX(SPLIT(G2429,""/""),,1))"),44670.0)</f>
        <v>44670</v>
      </c>
      <c r="I2429" s="1" t="s">
        <v>7507</v>
      </c>
      <c r="J2429" s="4">
        <f>IFERROR(__xludf.DUMMYFUNCTION("DATE(INDEX(SPLIT(I2429,""/""),,3),INDEX(SPLIT(I2429,""/""),,2),INDEX(SPLIT(I2429,""/""),,1))"),44821.0)</f>
        <v>44821</v>
      </c>
      <c r="L2429" s="1">
        <v>0.0</v>
      </c>
      <c r="M2429" s="1" t="s">
        <v>4639</v>
      </c>
      <c r="N2429" s="1"/>
      <c r="O2429" s="1" t="s">
        <v>30</v>
      </c>
      <c r="P2429" s="1" t="s">
        <v>31</v>
      </c>
      <c r="Q2429" s="1" t="s">
        <v>53</v>
      </c>
      <c r="R2429" s="1" t="s">
        <v>53</v>
      </c>
      <c r="S2429" s="1" t="s">
        <v>54</v>
      </c>
      <c r="U2429" s="1">
        <v>1.00660049E8</v>
      </c>
      <c r="X2429" s="1" t="s">
        <v>88</v>
      </c>
      <c r="Y2429" s="1" t="s">
        <v>7508</v>
      </c>
      <c r="Z2429" s="1" t="s">
        <v>37</v>
      </c>
    </row>
    <row r="2430" hidden="1">
      <c r="A2430" s="1" t="s">
        <v>7509</v>
      </c>
      <c r="B2430" s="1" t="s">
        <v>497</v>
      </c>
      <c r="C2430" s="1" t="s">
        <v>7510</v>
      </c>
      <c r="D2430" s="1" t="s">
        <v>122</v>
      </c>
      <c r="E2430" s="1" t="s">
        <v>28</v>
      </c>
      <c r="F2430" s="2">
        <v>475000.0</v>
      </c>
      <c r="G2430" s="1" t="s">
        <v>3438</v>
      </c>
      <c r="H2430" s="4">
        <f>IFERROR(__xludf.DUMMYFUNCTION("DATE(INDEX(SPLIT(G2430,""/""),,3),INDEX(SPLIT(G2430,""/""),,2),INDEX(SPLIT(G2430,""/""),,1))"),44407.0)</f>
        <v>44407</v>
      </c>
      <c r="I2430" s="1" t="s">
        <v>130</v>
      </c>
      <c r="J2430" s="4">
        <f>IFERROR(__xludf.DUMMYFUNCTION("DATE(INDEX(SPLIT(I2430,""/""),,3),INDEX(SPLIT(I2430,""/""),,2),INDEX(SPLIT(I2430,""/""),,1))"),44804.0)</f>
        <v>44804</v>
      </c>
      <c r="L2430" s="1">
        <v>0.0</v>
      </c>
      <c r="M2430" s="1" t="s">
        <v>715</v>
      </c>
      <c r="N2430" s="1"/>
      <c r="O2430" s="1" t="s">
        <v>30</v>
      </c>
      <c r="P2430" s="1" t="s">
        <v>31</v>
      </c>
      <c r="Q2430" s="1" t="s">
        <v>32</v>
      </c>
      <c r="R2430" s="1" t="s">
        <v>32</v>
      </c>
      <c r="S2430" s="1" t="s">
        <v>33</v>
      </c>
      <c r="T2430" s="1" t="s">
        <v>34</v>
      </c>
      <c r="U2430" s="1">
        <v>1.00592741E8</v>
      </c>
      <c r="X2430" s="1" t="s">
        <v>35</v>
      </c>
      <c r="Y2430" s="1" t="s">
        <v>715</v>
      </c>
      <c r="Z2430" s="1" t="s">
        <v>37</v>
      </c>
    </row>
    <row r="2431" hidden="1">
      <c r="A2431" s="1" t="s">
        <v>7511</v>
      </c>
      <c r="B2431" s="1" t="s">
        <v>1216</v>
      </c>
      <c r="C2431" s="1" t="s">
        <v>7512</v>
      </c>
      <c r="D2431" s="1" t="s">
        <v>78</v>
      </c>
      <c r="E2431" s="1" t="s">
        <v>28</v>
      </c>
      <c r="F2431" s="2">
        <v>475000.0</v>
      </c>
      <c r="G2431" s="1" t="s">
        <v>2300</v>
      </c>
      <c r="H2431" s="4">
        <f>IFERROR(__xludf.DUMMYFUNCTION("DATE(INDEX(SPLIT(G2431,""/""),,3),INDEX(SPLIT(G2431,""/""),,2),INDEX(SPLIT(G2431,""/""),,1))"),44712.0)</f>
        <v>44712</v>
      </c>
      <c r="I2431" s="4">
        <v>44569.0</v>
      </c>
      <c r="J2431" s="4">
        <f>IFERROR(__xludf.DUMMYFUNCTION("DATE(INDEX(SPLIT(I2431,""/""),,3),INDEX(SPLIT(I2431,""/""),,2),INDEX(SPLIT(I2431,""/""),,1))"),44774.0)</f>
        <v>44774</v>
      </c>
      <c r="L2431" s="1">
        <v>0.0</v>
      </c>
      <c r="M2431" s="1" t="s">
        <v>1792</v>
      </c>
      <c r="N2431" s="1"/>
      <c r="O2431" s="1" t="s">
        <v>30</v>
      </c>
      <c r="P2431" s="1" t="s">
        <v>31</v>
      </c>
      <c r="Q2431" s="1" t="s">
        <v>235</v>
      </c>
      <c r="R2431" s="1" t="s">
        <v>235</v>
      </c>
      <c r="S2431" s="1" t="s">
        <v>236</v>
      </c>
      <c r="T2431" s="1" t="s">
        <v>438</v>
      </c>
      <c r="U2431" s="1">
        <v>1.00964362E8</v>
      </c>
      <c r="X2431" s="1" t="s">
        <v>88</v>
      </c>
      <c r="Y2431" s="1" t="s">
        <v>2865</v>
      </c>
      <c r="Z2431" s="1" t="s">
        <v>37</v>
      </c>
    </row>
    <row r="2432" hidden="1">
      <c r="A2432" s="1" t="s">
        <v>7513</v>
      </c>
      <c r="B2432" s="1" t="s">
        <v>470</v>
      </c>
      <c r="C2432" s="1" t="s">
        <v>7514</v>
      </c>
      <c r="D2432" s="1" t="s">
        <v>27</v>
      </c>
      <c r="E2432" s="1" t="s">
        <v>28</v>
      </c>
      <c r="F2432" s="2">
        <v>475000.0</v>
      </c>
      <c r="G2432" s="4">
        <v>44743.0</v>
      </c>
      <c r="H2432" s="4">
        <f>IFERROR(__xludf.DUMMYFUNCTION("DATE(INDEX(SPLIT(G2432,""/""),,3),INDEX(SPLIT(G2432,""/""),,2),INDEX(SPLIT(G2432,""/""),,1))"),44568.0)</f>
        <v>44568</v>
      </c>
      <c r="I2432" s="4">
        <v>44630.0</v>
      </c>
      <c r="J2432" s="4">
        <f>IFERROR(__xludf.DUMMYFUNCTION("DATE(INDEX(SPLIT(I2432,""/""),,3),INDEX(SPLIT(I2432,""/""),,2),INDEX(SPLIT(I2432,""/""),,1))"),44837.0)</f>
        <v>44837</v>
      </c>
      <c r="L2432" s="1">
        <v>0.0</v>
      </c>
      <c r="M2432" s="1" t="s">
        <v>4117</v>
      </c>
      <c r="N2432" s="1"/>
      <c r="O2432" s="1" t="s">
        <v>30</v>
      </c>
      <c r="P2432" s="1" t="s">
        <v>31</v>
      </c>
      <c r="Q2432" s="1" t="s">
        <v>95</v>
      </c>
      <c r="R2432" s="1" t="s">
        <v>95</v>
      </c>
      <c r="S2432" s="1" t="s">
        <v>96</v>
      </c>
      <c r="T2432" s="1" t="s">
        <v>97</v>
      </c>
      <c r="U2432" s="1">
        <v>1.00658777E8</v>
      </c>
      <c r="X2432" s="1" t="s">
        <v>254</v>
      </c>
      <c r="Y2432" s="1" t="s">
        <v>5355</v>
      </c>
      <c r="Z2432" s="1" t="s">
        <v>206</v>
      </c>
    </row>
    <row r="2433">
      <c r="A2433" s="1" t="s">
        <v>7515</v>
      </c>
      <c r="B2433" s="1" t="s">
        <v>3293</v>
      </c>
      <c r="C2433" s="1" t="s">
        <v>7516</v>
      </c>
      <c r="D2433" s="1" t="s">
        <v>122</v>
      </c>
      <c r="E2433" s="1" t="s">
        <v>28</v>
      </c>
      <c r="F2433" s="2">
        <v>475000.0</v>
      </c>
      <c r="G2433" s="1" t="s">
        <v>233</v>
      </c>
      <c r="H2433" s="4">
        <f>IFERROR(__xludf.DUMMYFUNCTION("DATE(INDEX(SPLIT(G2433,""/""),,3),INDEX(SPLIT(G2433,""/""),,2),INDEX(SPLIT(G2433,""/""),,1))"),44729.0)</f>
        <v>44729</v>
      </c>
      <c r="I2433" s="1" t="s">
        <v>226</v>
      </c>
      <c r="J2433" s="4">
        <f>IFERROR(__xludf.DUMMYFUNCTION("DATE(INDEX(SPLIT(I2433,""/""),,3),INDEX(SPLIT(I2433,""/""),,2),INDEX(SPLIT(I2433,""/""),,1))"),44771.0)</f>
        <v>44771</v>
      </c>
      <c r="L2433" s="1">
        <v>0.0</v>
      </c>
      <c r="M2433" s="1" t="s">
        <v>7517</v>
      </c>
      <c r="N2433" s="1"/>
      <c r="O2433" s="1" t="s">
        <v>30</v>
      </c>
      <c r="P2433" s="1" t="s">
        <v>31</v>
      </c>
      <c r="Q2433" s="1" t="s">
        <v>235</v>
      </c>
      <c r="R2433" s="1" t="s">
        <v>235</v>
      </c>
      <c r="S2433" s="1" t="s">
        <v>236</v>
      </c>
      <c r="U2433" s="1">
        <v>1.0096162E8</v>
      </c>
      <c r="X2433" s="1" t="s">
        <v>63</v>
      </c>
      <c r="Y2433" s="1" t="s">
        <v>7518</v>
      </c>
      <c r="Z2433" s="1" t="s">
        <v>527</v>
      </c>
    </row>
    <row r="2434">
      <c r="A2434" s="1" t="s">
        <v>7519</v>
      </c>
      <c r="B2434" s="1" t="s">
        <v>7520</v>
      </c>
      <c r="C2434" s="1" t="s">
        <v>7521</v>
      </c>
      <c r="D2434" s="1" t="s">
        <v>122</v>
      </c>
      <c r="E2434" s="1" t="s">
        <v>28</v>
      </c>
      <c r="F2434" s="2">
        <v>475000.0</v>
      </c>
      <c r="G2434" s="1" t="s">
        <v>600</v>
      </c>
      <c r="H2434" s="4">
        <f>IFERROR(__xludf.DUMMYFUNCTION("DATE(INDEX(SPLIT(G2434,""/""),,3),INDEX(SPLIT(G2434,""/""),,2),INDEX(SPLIT(G2434,""/""),,1))"),44665.0)</f>
        <v>44665</v>
      </c>
      <c r="I2434" s="4">
        <v>44568.0</v>
      </c>
      <c r="J2434" s="4">
        <f>IFERROR(__xludf.DUMMYFUNCTION("DATE(INDEX(SPLIT(I2434,""/""),,3),INDEX(SPLIT(I2434,""/""),,2),INDEX(SPLIT(I2434,""/""),,1))"),44743.0)</f>
        <v>44743</v>
      </c>
      <c r="L2434" s="1">
        <v>0.0</v>
      </c>
      <c r="M2434" s="1" t="s">
        <v>7522</v>
      </c>
      <c r="N2434" s="1"/>
      <c r="O2434" s="1" t="s">
        <v>30</v>
      </c>
      <c r="P2434" s="1" t="s">
        <v>31</v>
      </c>
      <c r="Q2434" s="1" t="s">
        <v>95</v>
      </c>
      <c r="R2434" s="1" t="s">
        <v>95</v>
      </c>
      <c r="S2434" s="1" t="s">
        <v>96</v>
      </c>
      <c r="U2434" s="1">
        <v>1.01077583E8</v>
      </c>
      <c r="Y2434" s="1" t="s">
        <v>7523</v>
      </c>
      <c r="Z2434" s="1" t="s">
        <v>527</v>
      </c>
    </row>
    <row r="2435" hidden="1">
      <c r="A2435" s="1" t="s">
        <v>7524</v>
      </c>
      <c r="B2435" s="1" t="s">
        <v>1131</v>
      </c>
      <c r="C2435" s="1" t="s">
        <v>7525</v>
      </c>
      <c r="D2435" s="1" t="s">
        <v>122</v>
      </c>
      <c r="E2435" s="1" t="s">
        <v>28</v>
      </c>
      <c r="F2435" s="2">
        <v>475000.0</v>
      </c>
      <c r="G2435" s="1" t="s">
        <v>3438</v>
      </c>
      <c r="H2435" s="4">
        <f>IFERROR(__xludf.DUMMYFUNCTION("DATE(INDEX(SPLIT(G2435,""/""),,3),INDEX(SPLIT(G2435,""/""),,2),INDEX(SPLIT(G2435,""/""),,1))"),44407.0)</f>
        <v>44407</v>
      </c>
      <c r="I2435" s="1" t="s">
        <v>317</v>
      </c>
      <c r="J2435" s="4">
        <f>IFERROR(__xludf.DUMMYFUNCTION("DATE(INDEX(SPLIT(I2435,""/""),,3),INDEX(SPLIT(I2435,""/""),,2),INDEX(SPLIT(I2435,""/""),,1))"),44862.0)</f>
        <v>44862</v>
      </c>
      <c r="L2435" s="1">
        <v>0.0</v>
      </c>
      <c r="M2435" s="1" t="s">
        <v>5525</v>
      </c>
      <c r="N2435" s="1"/>
      <c r="O2435" s="1" t="s">
        <v>30</v>
      </c>
      <c r="P2435" s="1" t="s">
        <v>31</v>
      </c>
      <c r="Q2435" s="1" t="s">
        <v>157</v>
      </c>
      <c r="R2435" s="1" t="s">
        <v>157</v>
      </c>
      <c r="S2435" s="1" t="s">
        <v>158</v>
      </c>
      <c r="T2435" s="1" t="s">
        <v>571</v>
      </c>
      <c r="U2435" s="1">
        <v>1.00609393E8</v>
      </c>
      <c r="V2435" s="1" t="s">
        <v>7526</v>
      </c>
      <c r="W2435" s="1" t="s">
        <v>199</v>
      </c>
      <c r="X2435" s="1" t="s">
        <v>74</v>
      </c>
      <c r="Y2435" s="1" t="s">
        <v>5915</v>
      </c>
      <c r="Z2435" s="1" t="s">
        <v>37</v>
      </c>
    </row>
    <row r="2436" hidden="1">
      <c r="A2436" s="1" t="s">
        <v>7527</v>
      </c>
      <c r="B2436" s="1" t="s">
        <v>2000</v>
      </c>
      <c r="C2436" s="1" t="s">
        <v>7528</v>
      </c>
      <c r="D2436" s="1" t="s">
        <v>78</v>
      </c>
      <c r="E2436" s="1" t="s">
        <v>28</v>
      </c>
      <c r="F2436" s="2">
        <v>474625.0</v>
      </c>
      <c r="G2436" s="1" t="s">
        <v>619</v>
      </c>
      <c r="H2436" s="4">
        <f>IFERROR(__xludf.DUMMYFUNCTION("DATE(INDEX(SPLIT(G2436,""/""),,3),INDEX(SPLIT(G2436,""/""),,2),INDEX(SPLIT(G2436,""/""),,1))"),44490.0)</f>
        <v>44490</v>
      </c>
      <c r="I2436" s="4">
        <v>44571.0</v>
      </c>
      <c r="J2436" s="4">
        <f>IFERROR(__xludf.DUMMYFUNCTION("DATE(INDEX(SPLIT(I2436,""/""),,3),INDEX(SPLIT(I2436,""/""),,2),INDEX(SPLIT(I2436,""/""),,1))"),44835.0)</f>
        <v>44835</v>
      </c>
      <c r="L2436" s="1">
        <v>0.0</v>
      </c>
      <c r="M2436" s="1" t="s">
        <v>5592</v>
      </c>
      <c r="N2436" s="1"/>
      <c r="O2436" s="1" t="s">
        <v>30</v>
      </c>
      <c r="P2436" s="1" t="s">
        <v>31</v>
      </c>
      <c r="Q2436" s="1" t="s">
        <v>235</v>
      </c>
      <c r="R2436" s="1" t="s">
        <v>235</v>
      </c>
      <c r="S2436" s="1" t="s">
        <v>236</v>
      </c>
      <c r="T2436" s="1" t="s">
        <v>1349</v>
      </c>
      <c r="U2436" s="1">
        <v>1.00657831E8</v>
      </c>
      <c r="X2436" s="1" t="s">
        <v>609</v>
      </c>
      <c r="Y2436" s="1" t="s">
        <v>7529</v>
      </c>
      <c r="Z2436" s="1" t="s">
        <v>37</v>
      </c>
    </row>
    <row r="2437">
      <c r="A2437" s="1" t="s">
        <v>7530</v>
      </c>
      <c r="B2437" s="1" t="s">
        <v>2000</v>
      </c>
      <c r="C2437" s="1" t="s">
        <v>7531</v>
      </c>
      <c r="D2437" s="1" t="s">
        <v>78</v>
      </c>
      <c r="E2437" s="1" t="s">
        <v>28</v>
      </c>
      <c r="F2437" s="2">
        <v>474625.0</v>
      </c>
      <c r="G2437" s="1" t="s">
        <v>619</v>
      </c>
      <c r="H2437" s="4">
        <f>IFERROR(__xludf.DUMMYFUNCTION("DATE(INDEX(SPLIT(G2437,""/""),,3),INDEX(SPLIT(G2437,""/""),,2),INDEX(SPLIT(G2437,""/""),,1))"),44490.0)</f>
        <v>44490</v>
      </c>
      <c r="I2437" s="4">
        <v>44568.0</v>
      </c>
      <c r="J2437" s="4">
        <f>IFERROR(__xludf.DUMMYFUNCTION("DATE(INDEX(SPLIT(I2437,""/""),,3),INDEX(SPLIT(I2437,""/""),,2),INDEX(SPLIT(I2437,""/""),,1))"),44743.0)</f>
        <v>44743</v>
      </c>
      <c r="L2437" s="1">
        <v>0.0</v>
      </c>
      <c r="M2437" s="1" t="s">
        <v>5592</v>
      </c>
      <c r="N2437" s="1"/>
      <c r="O2437" s="1" t="s">
        <v>30</v>
      </c>
      <c r="P2437" s="1" t="s">
        <v>31</v>
      </c>
      <c r="Q2437" s="1" t="s">
        <v>235</v>
      </c>
      <c r="R2437" s="1" t="s">
        <v>235</v>
      </c>
      <c r="S2437" s="1" t="s">
        <v>236</v>
      </c>
      <c r="T2437" s="1" t="s">
        <v>1349</v>
      </c>
      <c r="U2437" s="1">
        <v>1.00657831E8</v>
      </c>
      <c r="X2437" s="1" t="s">
        <v>609</v>
      </c>
      <c r="Y2437" s="1" t="s">
        <v>7529</v>
      </c>
      <c r="Z2437" s="1" t="s">
        <v>37</v>
      </c>
    </row>
    <row r="2438" hidden="1">
      <c r="A2438" s="1" t="s">
        <v>7532</v>
      </c>
      <c r="B2438" s="1" t="s">
        <v>7533</v>
      </c>
      <c r="C2438" s="1" t="s">
        <v>7534</v>
      </c>
      <c r="D2438" s="1" t="s">
        <v>27</v>
      </c>
      <c r="E2438" s="1" t="s">
        <v>28</v>
      </c>
      <c r="F2438" s="2">
        <v>468000.0</v>
      </c>
      <c r="G2438" s="4">
        <v>43778.0</v>
      </c>
      <c r="H2438" s="4">
        <f>IFERROR(__xludf.DUMMYFUNCTION("DATE(INDEX(SPLIT(G2438,""/""),,3),INDEX(SPLIT(G2438,""/""),,2),INDEX(SPLIT(G2438,""/""),,1))"),43719.0)</f>
        <v>43719</v>
      </c>
      <c r="I2438" s="1" t="s">
        <v>1097</v>
      </c>
      <c r="J2438" s="4">
        <f>IFERROR(__xludf.DUMMYFUNCTION("DATE(INDEX(SPLIT(I2438,""/""),,3),INDEX(SPLIT(I2438,""/""),,2),INDEX(SPLIT(I2438,""/""),,1))"),45107.0)</f>
        <v>45107</v>
      </c>
      <c r="L2438" s="1">
        <v>0.0</v>
      </c>
      <c r="M2438" s="1" t="s">
        <v>2592</v>
      </c>
      <c r="N2438" s="1"/>
      <c r="O2438" s="1" t="s">
        <v>30</v>
      </c>
      <c r="P2438" s="1" t="s">
        <v>31</v>
      </c>
      <c r="Q2438" s="1" t="s">
        <v>71</v>
      </c>
      <c r="R2438" s="1" t="s">
        <v>71</v>
      </c>
      <c r="S2438" s="1" t="s">
        <v>72</v>
      </c>
      <c r="T2438" s="1" t="s">
        <v>136</v>
      </c>
      <c r="U2438" s="1">
        <v>1.00586452E8</v>
      </c>
      <c r="X2438" s="1" t="s">
        <v>74</v>
      </c>
      <c r="Y2438" s="1" t="s">
        <v>3650</v>
      </c>
      <c r="Z2438" s="1" t="s">
        <v>37</v>
      </c>
    </row>
    <row r="2439">
      <c r="A2439" s="1" t="s">
        <v>7535</v>
      </c>
      <c r="B2439" s="1" t="s">
        <v>2231</v>
      </c>
      <c r="C2439" s="1" t="s">
        <v>7536</v>
      </c>
      <c r="D2439" s="1" t="s">
        <v>122</v>
      </c>
      <c r="E2439" s="1" t="s">
        <v>28</v>
      </c>
      <c r="F2439" s="2">
        <v>465000.0</v>
      </c>
      <c r="G2439" s="1" t="s">
        <v>3178</v>
      </c>
      <c r="H2439" s="4">
        <f>IFERROR(__xludf.DUMMYFUNCTION("DATE(INDEX(SPLIT(G2439,""/""),,3),INDEX(SPLIT(G2439,""/""),,2),INDEX(SPLIT(G2439,""/""),,1))"),44644.0)</f>
        <v>44644</v>
      </c>
      <c r="I2439" s="1" t="s">
        <v>1244</v>
      </c>
      <c r="J2439" s="4">
        <f>IFERROR(__xludf.DUMMYFUNCTION("DATE(INDEX(SPLIT(I2439,""/""),,3),INDEX(SPLIT(I2439,""/""),,2),INDEX(SPLIT(I2439,""/""),,1))"),44742.0)</f>
        <v>44742</v>
      </c>
      <c r="L2439" s="1">
        <v>0.0</v>
      </c>
      <c r="M2439" s="1" t="s">
        <v>846</v>
      </c>
      <c r="N2439" s="1"/>
      <c r="O2439" s="1" t="s">
        <v>30</v>
      </c>
      <c r="P2439" s="1" t="s">
        <v>31</v>
      </c>
      <c r="Q2439" s="1" t="s">
        <v>157</v>
      </c>
      <c r="R2439" s="1" t="s">
        <v>157</v>
      </c>
      <c r="S2439" s="1" t="s">
        <v>158</v>
      </c>
      <c r="T2439" s="1" t="s">
        <v>442</v>
      </c>
      <c r="U2439" s="1">
        <v>1.00584422E8</v>
      </c>
      <c r="X2439" s="1" t="s">
        <v>125</v>
      </c>
      <c r="Y2439" s="1" t="s">
        <v>5027</v>
      </c>
      <c r="Z2439" s="1" t="s">
        <v>37</v>
      </c>
    </row>
    <row r="2440" hidden="1">
      <c r="A2440" s="1" t="s">
        <v>7537</v>
      </c>
      <c r="B2440" s="1" t="s">
        <v>1748</v>
      </c>
      <c r="C2440" s="1" t="s">
        <v>7538</v>
      </c>
      <c r="D2440" s="1" t="s">
        <v>78</v>
      </c>
      <c r="E2440" s="1" t="s">
        <v>28</v>
      </c>
      <c r="F2440" s="2">
        <v>465000.0</v>
      </c>
      <c r="G2440" s="4">
        <v>44623.0</v>
      </c>
      <c r="H2440" s="4">
        <f>IFERROR(__xludf.DUMMYFUNCTION("DATE(INDEX(SPLIT(G2440,""/""),,3),INDEX(SPLIT(G2440,""/""),,2),INDEX(SPLIT(G2440,""/""),,1))"),44623.0)</f>
        <v>44623</v>
      </c>
      <c r="I2440" s="1" t="s">
        <v>3797</v>
      </c>
      <c r="J2440" s="4">
        <f>IFERROR(__xludf.DUMMYFUNCTION("DATE(INDEX(SPLIT(I2440,""/""),,3),INDEX(SPLIT(I2440,""/""),,2),INDEX(SPLIT(I2440,""/""),,1))"),44858.0)</f>
        <v>44858</v>
      </c>
      <c r="L2440" s="1">
        <v>0.0</v>
      </c>
      <c r="M2440" s="1" t="s">
        <v>437</v>
      </c>
      <c r="N2440" s="1"/>
      <c r="O2440" s="1" t="s">
        <v>30</v>
      </c>
      <c r="P2440" s="1" t="s">
        <v>31</v>
      </c>
      <c r="Q2440" s="1" t="s">
        <v>235</v>
      </c>
      <c r="R2440" s="1" t="s">
        <v>235</v>
      </c>
      <c r="S2440" s="1" t="s">
        <v>236</v>
      </c>
      <c r="T2440" s="1" t="s">
        <v>1349</v>
      </c>
      <c r="U2440" s="1">
        <v>1.00650375E8</v>
      </c>
      <c r="X2440" s="1" t="s">
        <v>88</v>
      </c>
      <c r="Y2440" s="1" t="s">
        <v>437</v>
      </c>
      <c r="Z2440" s="1" t="s">
        <v>37</v>
      </c>
    </row>
    <row r="2441" hidden="1">
      <c r="A2441" s="1" t="s">
        <v>7539</v>
      </c>
      <c r="B2441" s="1" t="s">
        <v>1748</v>
      </c>
      <c r="C2441" s="1" t="s">
        <v>7540</v>
      </c>
      <c r="D2441" s="1" t="s">
        <v>122</v>
      </c>
      <c r="E2441" s="1" t="s">
        <v>28</v>
      </c>
      <c r="F2441" s="2">
        <v>460000.0</v>
      </c>
      <c r="G2441" s="4">
        <v>44656.0</v>
      </c>
      <c r="H2441" s="4">
        <f>IFERROR(__xludf.DUMMYFUNCTION("DATE(INDEX(SPLIT(G2441,""/""),,3),INDEX(SPLIT(G2441,""/""),,2),INDEX(SPLIT(G2441,""/""),,1))"),44685.0)</f>
        <v>44685</v>
      </c>
      <c r="I2441" s="1" t="s">
        <v>3941</v>
      </c>
      <c r="J2441" s="4">
        <f>IFERROR(__xludf.DUMMYFUNCTION("DATE(INDEX(SPLIT(I2441,""/""),,3),INDEX(SPLIT(I2441,""/""),,2),INDEX(SPLIT(I2441,""/""),,1))"),44823.0)</f>
        <v>44823</v>
      </c>
      <c r="L2441" s="1">
        <v>0.0</v>
      </c>
      <c r="M2441" s="1" t="s">
        <v>6003</v>
      </c>
      <c r="N2441" s="1"/>
      <c r="O2441" s="1" t="s">
        <v>30</v>
      </c>
      <c r="P2441" s="1" t="s">
        <v>31</v>
      </c>
      <c r="Q2441" s="1" t="s">
        <v>235</v>
      </c>
      <c r="R2441" s="1" t="s">
        <v>235</v>
      </c>
      <c r="S2441" s="1" t="s">
        <v>236</v>
      </c>
      <c r="T2441" s="1" t="s">
        <v>753</v>
      </c>
      <c r="U2441" s="1">
        <v>1.00623535E8</v>
      </c>
      <c r="W2441" s="1" t="s">
        <v>56</v>
      </c>
      <c r="X2441" s="1" t="s">
        <v>88</v>
      </c>
      <c r="Y2441" s="1" t="s">
        <v>6003</v>
      </c>
      <c r="Z2441" s="1" t="s">
        <v>37</v>
      </c>
    </row>
    <row r="2442">
      <c r="A2442" s="1" t="s">
        <v>7541</v>
      </c>
      <c r="B2442" s="1" t="s">
        <v>427</v>
      </c>
      <c r="C2442" s="1" t="s">
        <v>7542</v>
      </c>
      <c r="D2442" s="1" t="s">
        <v>122</v>
      </c>
      <c r="E2442" s="1" t="s">
        <v>28</v>
      </c>
      <c r="F2442" s="2">
        <v>460000.0</v>
      </c>
      <c r="G2442" s="1" t="s">
        <v>1806</v>
      </c>
      <c r="H2442" s="4">
        <f>IFERROR(__xludf.DUMMYFUNCTION("DATE(INDEX(SPLIT(G2442,""/""),,3),INDEX(SPLIT(G2442,""/""),,2),INDEX(SPLIT(G2442,""/""),,1))"),44694.0)</f>
        <v>44694</v>
      </c>
      <c r="I2442" s="1" t="s">
        <v>1244</v>
      </c>
      <c r="J2442" s="4">
        <f>IFERROR(__xludf.DUMMYFUNCTION("DATE(INDEX(SPLIT(I2442,""/""),,3),INDEX(SPLIT(I2442,""/""),,2),INDEX(SPLIT(I2442,""/""),,1))"),44742.0)</f>
        <v>44742</v>
      </c>
      <c r="L2442" s="1">
        <v>0.0</v>
      </c>
      <c r="M2442" s="1" t="s">
        <v>891</v>
      </c>
      <c r="N2442" s="1"/>
      <c r="O2442" s="1" t="s">
        <v>30</v>
      </c>
      <c r="P2442" s="1" t="s">
        <v>31</v>
      </c>
      <c r="Q2442" s="1" t="s">
        <v>32</v>
      </c>
      <c r="R2442" s="1" t="s">
        <v>32</v>
      </c>
      <c r="S2442" s="1" t="s">
        <v>33</v>
      </c>
      <c r="U2442" s="1">
        <v>1.00866856E8</v>
      </c>
      <c r="X2442" s="1" t="s">
        <v>125</v>
      </c>
      <c r="Y2442" s="1" t="s">
        <v>7543</v>
      </c>
      <c r="Z2442" s="1" t="s">
        <v>37</v>
      </c>
    </row>
    <row r="2443" hidden="1">
      <c r="A2443" s="1" t="s">
        <v>7544</v>
      </c>
      <c r="B2443" s="1" t="s">
        <v>7545</v>
      </c>
      <c r="C2443" s="1" t="s">
        <v>7546</v>
      </c>
      <c r="D2443" s="1" t="s">
        <v>78</v>
      </c>
      <c r="E2443" s="1" t="s">
        <v>28</v>
      </c>
      <c r="F2443" s="2">
        <v>459000.0</v>
      </c>
      <c r="G2443" s="1" t="s">
        <v>935</v>
      </c>
      <c r="H2443" s="4">
        <f>IFERROR(__xludf.DUMMYFUNCTION("DATE(INDEX(SPLIT(G2443,""/""),,3),INDEX(SPLIT(G2443,""/""),,2),INDEX(SPLIT(G2443,""/""),,1))"),44764.0)</f>
        <v>44764</v>
      </c>
      <c r="I2443" s="4">
        <v>44842.0</v>
      </c>
      <c r="J2443" s="4">
        <f>IFERROR(__xludf.DUMMYFUNCTION("DATE(INDEX(SPLIT(I2443,""/""),,3),INDEX(SPLIT(I2443,""/""),,2),INDEX(SPLIT(I2443,""/""),,1))"),44783.0)</f>
        <v>44783</v>
      </c>
      <c r="L2443" s="1">
        <v>0.0</v>
      </c>
      <c r="M2443" s="1" t="s">
        <v>1439</v>
      </c>
      <c r="N2443" s="1"/>
      <c r="O2443" s="1" t="s">
        <v>30</v>
      </c>
      <c r="P2443" s="1" t="s">
        <v>31</v>
      </c>
      <c r="Q2443" s="1" t="s">
        <v>32</v>
      </c>
      <c r="R2443" s="1" t="s">
        <v>32</v>
      </c>
      <c r="S2443" s="1" t="s">
        <v>33</v>
      </c>
      <c r="T2443" s="1" t="s">
        <v>103</v>
      </c>
      <c r="U2443" s="1">
        <v>1.00585872E8</v>
      </c>
      <c r="X2443" s="1" t="s">
        <v>361</v>
      </c>
      <c r="Y2443" s="1" t="s">
        <v>7547</v>
      </c>
      <c r="Z2443" s="1" t="s">
        <v>37</v>
      </c>
    </row>
    <row r="2444" hidden="1">
      <c r="A2444" s="1" t="s">
        <v>7548</v>
      </c>
      <c r="B2444" s="1" t="s">
        <v>1790</v>
      </c>
      <c r="C2444" s="1" t="s">
        <v>7549</v>
      </c>
      <c r="D2444" s="1" t="s">
        <v>27</v>
      </c>
      <c r="E2444" s="1" t="s">
        <v>28</v>
      </c>
      <c r="F2444" s="2">
        <v>455000.0</v>
      </c>
      <c r="G2444" s="1" t="s">
        <v>1521</v>
      </c>
      <c r="H2444" s="4">
        <f>IFERROR(__xludf.DUMMYFUNCTION("DATE(INDEX(SPLIT(G2444,""/""),,3),INDEX(SPLIT(G2444,""/""),,2),INDEX(SPLIT(G2444,""/""),,1))"),44756.0)</f>
        <v>44756</v>
      </c>
      <c r="I2444" s="1" t="s">
        <v>109</v>
      </c>
      <c r="J2444" s="4">
        <f>IFERROR(__xludf.DUMMYFUNCTION("DATE(INDEX(SPLIT(I2444,""/""),,3),INDEX(SPLIT(I2444,""/""),,2),INDEX(SPLIT(I2444,""/""),,1))"),44834.0)</f>
        <v>44834</v>
      </c>
      <c r="L2444" s="1">
        <v>0.0</v>
      </c>
      <c r="M2444" s="1" t="s">
        <v>1929</v>
      </c>
      <c r="N2444" s="1"/>
      <c r="O2444" s="1" t="s">
        <v>30</v>
      </c>
      <c r="P2444" s="1" t="s">
        <v>31</v>
      </c>
      <c r="Q2444" s="1" t="s">
        <v>95</v>
      </c>
      <c r="R2444" s="1" t="s">
        <v>95</v>
      </c>
      <c r="S2444" s="1" t="s">
        <v>96</v>
      </c>
      <c r="T2444" s="1" t="s">
        <v>602</v>
      </c>
      <c r="U2444" s="1">
        <v>1.00631642E8</v>
      </c>
      <c r="X2444" s="1" t="s">
        <v>88</v>
      </c>
      <c r="Y2444" s="1" t="s">
        <v>1929</v>
      </c>
      <c r="Z2444" s="1" t="s">
        <v>37</v>
      </c>
    </row>
    <row r="2445" hidden="1">
      <c r="A2445" s="1" t="s">
        <v>7550</v>
      </c>
      <c r="B2445" s="1" t="s">
        <v>7551</v>
      </c>
      <c r="C2445" s="1" t="s">
        <v>7552</v>
      </c>
      <c r="D2445" s="1" t="s">
        <v>122</v>
      </c>
      <c r="E2445" s="1" t="s">
        <v>28</v>
      </c>
      <c r="F2445" s="2">
        <v>455000.0</v>
      </c>
      <c r="G2445" s="1" t="s">
        <v>1154</v>
      </c>
      <c r="H2445" s="4">
        <f>IFERROR(__xludf.DUMMYFUNCTION("DATE(INDEX(SPLIT(G2445,""/""),,3),INDEX(SPLIT(G2445,""/""),,2),INDEX(SPLIT(G2445,""/""),,1))"),44735.0)</f>
        <v>44735</v>
      </c>
      <c r="I2445" s="4">
        <v>44903.0</v>
      </c>
      <c r="J2445" s="4">
        <f>IFERROR(__xludf.DUMMYFUNCTION("DATE(INDEX(SPLIT(I2445,""/""),,3),INDEX(SPLIT(I2445,""/""),,2),INDEX(SPLIT(I2445,""/""),,1))"),44785.0)</f>
        <v>44785</v>
      </c>
      <c r="L2445" s="1">
        <v>0.0</v>
      </c>
      <c r="M2445" s="1" t="s">
        <v>823</v>
      </c>
      <c r="N2445" s="1"/>
      <c r="O2445" s="1" t="s">
        <v>30</v>
      </c>
      <c r="P2445" s="1" t="s">
        <v>31</v>
      </c>
      <c r="Q2445" s="1" t="s">
        <v>95</v>
      </c>
      <c r="R2445" s="1" t="s">
        <v>95</v>
      </c>
      <c r="S2445" s="1" t="s">
        <v>96</v>
      </c>
      <c r="T2445" s="1" t="s">
        <v>489</v>
      </c>
      <c r="U2445" s="1">
        <v>1.00629729E8</v>
      </c>
      <c r="X2445" s="1" t="s">
        <v>490</v>
      </c>
      <c r="Y2445" s="1" t="s">
        <v>7553</v>
      </c>
      <c r="Z2445" s="1" t="s">
        <v>37</v>
      </c>
    </row>
    <row r="2446">
      <c r="A2446" s="1" t="s">
        <v>7554</v>
      </c>
      <c r="B2446" s="1" t="s">
        <v>246</v>
      </c>
      <c r="C2446" s="1" t="s">
        <v>7555</v>
      </c>
      <c r="D2446" s="1" t="s">
        <v>68</v>
      </c>
      <c r="E2446" s="1" t="s">
        <v>28</v>
      </c>
      <c r="F2446" s="2">
        <v>450000.0</v>
      </c>
      <c r="G2446" s="1" t="s">
        <v>6301</v>
      </c>
      <c r="H2446" s="4">
        <f>IFERROR(__xludf.DUMMYFUNCTION("DATE(INDEX(SPLIT(G2446,""/""),,3),INDEX(SPLIT(G2446,""/""),,2),INDEX(SPLIT(G2446,""/""),,1))"),44635.0)</f>
        <v>44635</v>
      </c>
      <c r="I2446" s="1" t="s">
        <v>226</v>
      </c>
      <c r="J2446" s="4">
        <f>IFERROR(__xludf.DUMMYFUNCTION("DATE(INDEX(SPLIT(I2446,""/""),,3),INDEX(SPLIT(I2446,""/""),,2),INDEX(SPLIT(I2446,""/""),,1))"),44771.0)</f>
        <v>44771</v>
      </c>
      <c r="L2446" s="1">
        <v>0.0</v>
      </c>
      <c r="M2446" s="1" t="s">
        <v>706</v>
      </c>
      <c r="N2446" s="1"/>
      <c r="O2446" s="1" t="s">
        <v>30</v>
      </c>
      <c r="P2446" s="1" t="s">
        <v>31</v>
      </c>
      <c r="Q2446" s="1" t="s">
        <v>53</v>
      </c>
      <c r="R2446" s="1" t="s">
        <v>53</v>
      </c>
      <c r="S2446" s="1" t="s">
        <v>54</v>
      </c>
      <c r="T2446" s="1" t="s">
        <v>55</v>
      </c>
      <c r="U2446" s="1">
        <v>1.00651901E8</v>
      </c>
      <c r="X2446" s="1" t="s">
        <v>35</v>
      </c>
      <c r="Y2446" s="1" t="s">
        <v>3706</v>
      </c>
      <c r="Z2446" s="1" t="s">
        <v>37</v>
      </c>
    </row>
    <row r="2447" hidden="1">
      <c r="A2447" s="1" t="s">
        <v>7556</v>
      </c>
      <c r="B2447" s="1" t="s">
        <v>7557</v>
      </c>
      <c r="C2447" s="1" t="s">
        <v>7558</v>
      </c>
      <c r="D2447" s="1" t="s">
        <v>122</v>
      </c>
      <c r="E2447" s="1" t="s">
        <v>28</v>
      </c>
      <c r="F2447" s="2">
        <v>450000.0</v>
      </c>
      <c r="G2447" s="1" t="s">
        <v>7559</v>
      </c>
      <c r="H2447" s="4">
        <f>IFERROR(__xludf.DUMMYFUNCTION("DATE(INDEX(SPLIT(G2447,""/""),,3),INDEX(SPLIT(G2447,""/""),,2),INDEX(SPLIT(G2447,""/""),,1))"),43762.0)</f>
        <v>43762</v>
      </c>
      <c r="I2447" s="1" t="s">
        <v>130</v>
      </c>
      <c r="J2447" s="4">
        <f>IFERROR(__xludf.DUMMYFUNCTION("DATE(INDEX(SPLIT(I2447,""/""),,3),INDEX(SPLIT(I2447,""/""),,2),INDEX(SPLIT(I2447,""/""),,1))"),44804.0)</f>
        <v>44804</v>
      </c>
      <c r="L2447" s="1">
        <v>0.0</v>
      </c>
      <c r="M2447" s="1" t="s">
        <v>799</v>
      </c>
      <c r="N2447" s="1"/>
      <c r="O2447" s="1" t="s">
        <v>30</v>
      </c>
      <c r="P2447" s="1" t="s">
        <v>31</v>
      </c>
      <c r="Q2447" s="1" t="s">
        <v>71</v>
      </c>
      <c r="R2447" s="1" t="s">
        <v>71</v>
      </c>
      <c r="S2447" s="1" t="s">
        <v>72</v>
      </c>
      <c r="T2447" s="1" t="s">
        <v>136</v>
      </c>
      <c r="U2447" s="1">
        <v>1.00634752E8</v>
      </c>
      <c r="X2447" s="1" t="s">
        <v>74</v>
      </c>
      <c r="Y2447" s="1" t="s">
        <v>7560</v>
      </c>
      <c r="Z2447" s="1" t="s">
        <v>37</v>
      </c>
    </row>
    <row r="2448">
      <c r="A2448" s="1" t="s">
        <v>7561</v>
      </c>
      <c r="B2448" s="1" t="s">
        <v>4426</v>
      </c>
      <c r="C2448" s="1" t="s">
        <v>7562</v>
      </c>
      <c r="D2448" s="1" t="s">
        <v>78</v>
      </c>
      <c r="E2448" s="1" t="s">
        <v>28</v>
      </c>
      <c r="F2448" s="2">
        <v>450000.0</v>
      </c>
      <c r="G2448" s="1" t="s">
        <v>7563</v>
      </c>
      <c r="H2448" s="4">
        <f>IFERROR(__xludf.DUMMYFUNCTION("DATE(INDEX(SPLIT(G2448,""/""),,3),INDEX(SPLIT(G2448,""/""),,2),INDEX(SPLIT(G2448,""/""),,1))"),44025.0)</f>
        <v>44025</v>
      </c>
      <c r="I2448" s="1" t="s">
        <v>226</v>
      </c>
      <c r="J2448" s="4">
        <f>IFERROR(__xludf.DUMMYFUNCTION("DATE(INDEX(SPLIT(I2448,""/""),,3),INDEX(SPLIT(I2448,""/""),,2),INDEX(SPLIT(I2448,""/""),,1))"),44771.0)</f>
        <v>44771</v>
      </c>
      <c r="L2448" s="1">
        <v>0.0</v>
      </c>
      <c r="M2448" s="1" t="s">
        <v>558</v>
      </c>
      <c r="N2448" s="1"/>
      <c r="O2448" s="1" t="s">
        <v>30</v>
      </c>
      <c r="P2448" s="1" t="s">
        <v>31</v>
      </c>
      <c r="Q2448" s="1" t="s">
        <v>53</v>
      </c>
      <c r="R2448" s="1" t="s">
        <v>53</v>
      </c>
      <c r="S2448" s="1" t="s">
        <v>54</v>
      </c>
      <c r="T2448" s="1" t="s">
        <v>87</v>
      </c>
      <c r="U2448" s="1">
        <v>1.00653597E8</v>
      </c>
      <c r="X2448" s="1" t="s">
        <v>375</v>
      </c>
      <c r="Y2448" s="1" t="s">
        <v>558</v>
      </c>
      <c r="Z2448" s="1" t="s">
        <v>37</v>
      </c>
    </row>
    <row r="2449" hidden="1">
      <c r="A2449" s="1" t="s">
        <v>7564</v>
      </c>
      <c r="B2449" s="1" t="s">
        <v>434</v>
      </c>
      <c r="C2449" s="1" t="s">
        <v>7565</v>
      </c>
      <c r="D2449" s="1" t="s">
        <v>122</v>
      </c>
      <c r="E2449" s="1" t="s">
        <v>28</v>
      </c>
      <c r="F2449" s="2">
        <v>450000.0</v>
      </c>
      <c r="G2449" s="1" t="s">
        <v>2110</v>
      </c>
      <c r="H2449" s="4">
        <f>IFERROR(__xludf.DUMMYFUNCTION("DATE(INDEX(SPLIT(G2449,""/""),,3),INDEX(SPLIT(G2449,""/""),,2),INDEX(SPLIT(G2449,""/""),,1))"),44650.0)</f>
        <v>44650</v>
      </c>
      <c r="I2449" s="1" t="s">
        <v>130</v>
      </c>
      <c r="J2449" s="4">
        <f>IFERROR(__xludf.DUMMYFUNCTION("DATE(INDEX(SPLIT(I2449,""/""),,3),INDEX(SPLIT(I2449,""/""),,2),INDEX(SPLIT(I2449,""/""),,1))"),44804.0)</f>
        <v>44804</v>
      </c>
      <c r="L2449" s="1">
        <v>0.0</v>
      </c>
      <c r="M2449" s="1" t="s">
        <v>1792</v>
      </c>
      <c r="N2449" s="1"/>
      <c r="O2449" s="1" t="s">
        <v>30</v>
      </c>
      <c r="P2449" s="1" t="s">
        <v>31</v>
      </c>
      <c r="Q2449" s="1" t="s">
        <v>235</v>
      </c>
      <c r="R2449" s="1" t="s">
        <v>235</v>
      </c>
      <c r="S2449" s="1" t="s">
        <v>236</v>
      </c>
      <c r="T2449" s="1" t="s">
        <v>438</v>
      </c>
      <c r="U2449" s="1">
        <v>1.00964362E8</v>
      </c>
      <c r="X2449" s="1" t="s">
        <v>88</v>
      </c>
      <c r="Y2449" s="1" t="s">
        <v>698</v>
      </c>
      <c r="Z2449" s="1" t="s">
        <v>37</v>
      </c>
    </row>
    <row r="2450">
      <c r="A2450" s="1" t="s">
        <v>7566</v>
      </c>
      <c r="B2450" s="1" t="s">
        <v>3453</v>
      </c>
      <c r="C2450" s="1" t="s">
        <v>7567</v>
      </c>
      <c r="D2450" s="1" t="s">
        <v>78</v>
      </c>
      <c r="E2450" s="1" t="s">
        <v>28</v>
      </c>
      <c r="F2450" s="2">
        <v>450000.0</v>
      </c>
      <c r="G2450" s="1" t="s">
        <v>3467</v>
      </c>
      <c r="H2450" s="4">
        <f>IFERROR(__xludf.DUMMYFUNCTION("DATE(INDEX(SPLIT(G2450,""/""),,3),INDEX(SPLIT(G2450,""/""),,2),INDEX(SPLIT(G2450,""/""),,1))"),44615.0)</f>
        <v>44615</v>
      </c>
      <c r="I2450" s="1" t="s">
        <v>226</v>
      </c>
      <c r="J2450" s="4">
        <f>IFERROR(__xludf.DUMMYFUNCTION("DATE(INDEX(SPLIT(I2450,""/""),,3),INDEX(SPLIT(I2450,""/""),,2),INDEX(SPLIT(I2450,""/""),,1))"),44771.0)</f>
        <v>44771</v>
      </c>
      <c r="L2450" s="1">
        <v>0.0</v>
      </c>
      <c r="M2450" s="1" t="s">
        <v>1685</v>
      </c>
      <c r="N2450" s="1"/>
      <c r="O2450" s="1" t="s">
        <v>30</v>
      </c>
      <c r="P2450" s="1" t="s">
        <v>31</v>
      </c>
      <c r="Q2450" s="1" t="s">
        <v>228</v>
      </c>
      <c r="R2450" s="1" t="s">
        <v>228</v>
      </c>
      <c r="S2450" s="1" t="s">
        <v>229</v>
      </c>
      <c r="T2450" s="1" t="s">
        <v>505</v>
      </c>
      <c r="U2450" s="1">
        <v>1.00612055E8</v>
      </c>
      <c r="X2450" s="1" t="s">
        <v>190</v>
      </c>
      <c r="Y2450" s="1" t="s">
        <v>1685</v>
      </c>
      <c r="Z2450" s="1" t="s">
        <v>37</v>
      </c>
    </row>
    <row r="2451" hidden="1">
      <c r="A2451" s="1" t="s">
        <v>7568</v>
      </c>
      <c r="B2451" s="1" t="s">
        <v>2735</v>
      </c>
      <c r="C2451" s="1" t="s">
        <v>7569</v>
      </c>
      <c r="D2451" s="1" t="s">
        <v>78</v>
      </c>
      <c r="E2451" s="1" t="s">
        <v>28</v>
      </c>
      <c r="F2451" s="2">
        <v>450000.0</v>
      </c>
      <c r="G2451" s="1" t="s">
        <v>418</v>
      </c>
      <c r="H2451" s="4">
        <f>IFERROR(__xludf.DUMMYFUNCTION("DATE(INDEX(SPLIT(G2451,""/""),,3),INDEX(SPLIT(G2451,""/""),,2),INDEX(SPLIT(G2451,""/""),,1))"),44755.0)</f>
        <v>44755</v>
      </c>
      <c r="I2451" s="1" t="s">
        <v>109</v>
      </c>
      <c r="J2451" s="4">
        <f>IFERROR(__xludf.DUMMYFUNCTION("DATE(INDEX(SPLIT(I2451,""/""),,3),INDEX(SPLIT(I2451,""/""),,2),INDEX(SPLIT(I2451,""/""),,1))"),44834.0)</f>
        <v>44834</v>
      </c>
      <c r="L2451" s="1">
        <v>0.0</v>
      </c>
      <c r="M2451" s="1" t="s">
        <v>3138</v>
      </c>
      <c r="N2451" s="1"/>
      <c r="O2451" s="1" t="s">
        <v>30</v>
      </c>
      <c r="P2451" s="1" t="s">
        <v>31</v>
      </c>
      <c r="Q2451" s="1" t="s">
        <v>157</v>
      </c>
      <c r="R2451" s="1" t="s">
        <v>157</v>
      </c>
      <c r="S2451" s="1" t="s">
        <v>158</v>
      </c>
      <c r="T2451" s="1" t="s">
        <v>634</v>
      </c>
      <c r="U2451" s="1">
        <v>1.00616377E8</v>
      </c>
      <c r="X2451" s="1" t="s">
        <v>490</v>
      </c>
      <c r="Y2451" s="1" t="s">
        <v>3138</v>
      </c>
      <c r="Z2451" s="1" t="s">
        <v>37</v>
      </c>
    </row>
    <row r="2452" hidden="1">
      <c r="A2452" s="1" t="s">
        <v>7570</v>
      </c>
      <c r="B2452" s="1" t="s">
        <v>7571</v>
      </c>
      <c r="C2452" s="1" t="s">
        <v>7572</v>
      </c>
      <c r="D2452" s="1" t="s">
        <v>122</v>
      </c>
      <c r="E2452" s="1" t="s">
        <v>28</v>
      </c>
      <c r="F2452" s="2">
        <v>450000.0</v>
      </c>
      <c r="G2452" s="1" t="s">
        <v>1004</v>
      </c>
      <c r="H2452" s="4">
        <f>IFERROR(__xludf.DUMMYFUNCTION("DATE(INDEX(SPLIT(G2452,""/""),,3),INDEX(SPLIT(G2452,""/""),,2),INDEX(SPLIT(G2452,""/""),,1))"),44582.0)</f>
        <v>44582</v>
      </c>
      <c r="I2452" s="1" t="s">
        <v>42</v>
      </c>
      <c r="J2452" s="4">
        <f>IFERROR(__xludf.DUMMYFUNCTION("DATE(INDEX(SPLIT(I2452,""/""),,3),INDEX(SPLIT(I2452,""/""),,2),INDEX(SPLIT(I2452,""/""),,1))"),44926.0)</f>
        <v>44926</v>
      </c>
      <c r="L2452" s="1">
        <v>0.0</v>
      </c>
      <c r="M2452" s="1" t="s">
        <v>7573</v>
      </c>
      <c r="N2452" s="1"/>
      <c r="O2452" s="1" t="s">
        <v>30</v>
      </c>
      <c r="P2452" s="1" t="s">
        <v>31</v>
      </c>
      <c r="Q2452" s="1" t="s">
        <v>71</v>
      </c>
      <c r="R2452" s="1" t="s">
        <v>71</v>
      </c>
      <c r="S2452" s="1" t="s">
        <v>72</v>
      </c>
      <c r="T2452" s="1" t="s">
        <v>136</v>
      </c>
      <c r="U2452" s="1">
        <v>1.01152213E8</v>
      </c>
      <c r="X2452" s="1" t="s">
        <v>74</v>
      </c>
      <c r="Y2452" s="1" t="s">
        <v>7574</v>
      </c>
      <c r="Z2452" s="1" t="s">
        <v>206</v>
      </c>
    </row>
    <row r="2453">
      <c r="A2453" s="1" t="s">
        <v>7575</v>
      </c>
      <c r="B2453" s="1" t="s">
        <v>6711</v>
      </c>
      <c r="C2453" s="1" t="s">
        <v>7576</v>
      </c>
      <c r="D2453" s="1" t="s">
        <v>27</v>
      </c>
      <c r="E2453" s="1" t="s">
        <v>28</v>
      </c>
      <c r="F2453" s="2">
        <v>450000.0</v>
      </c>
      <c r="G2453" s="1" t="s">
        <v>3037</v>
      </c>
      <c r="H2453" s="4">
        <f>IFERROR(__xludf.DUMMYFUNCTION("DATE(INDEX(SPLIT(G2453,""/""),,3),INDEX(SPLIT(G2453,""/""),,2),INDEX(SPLIT(G2453,""/""),,1))"),44487.0)</f>
        <v>44487</v>
      </c>
      <c r="I2453" s="1" t="s">
        <v>69</v>
      </c>
      <c r="J2453" s="4">
        <f>IFERROR(__xludf.DUMMYFUNCTION("DATE(INDEX(SPLIT(I2453,""/""),,3),INDEX(SPLIT(I2453,""/""),,2),INDEX(SPLIT(I2453,""/""),,1))"),44773.0)</f>
        <v>44773</v>
      </c>
      <c r="L2453" s="1">
        <v>0.0</v>
      </c>
      <c r="M2453" s="1" t="s">
        <v>3187</v>
      </c>
      <c r="N2453" s="1"/>
      <c r="O2453" s="1" t="s">
        <v>30</v>
      </c>
      <c r="P2453" s="1" t="s">
        <v>31</v>
      </c>
      <c r="Q2453" s="1" t="s">
        <v>228</v>
      </c>
      <c r="R2453" s="1" t="s">
        <v>228</v>
      </c>
      <c r="S2453" s="1" t="s">
        <v>229</v>
      </c>
      <c r="T2453" s="1" t="s">
        <v>80</v>
      </c>
      <c r="U2453" s="1">
        <v>1.00638978E8</v>
      </c>
      <c r="X2453" s="1" t="s">
        <v>781</v>
      </c>
      <c r="Y2453" s="1" t="s">
        <v>173</v>
      </c>
      <c r="Z2453" s="1" t="s">
        <v>37</v>
      </c>
    </row>
    <row r="2454">
      <c r="A2454" s="1" t="s">
        <v>7577</v>
      </c>
      <c r="B2454" s="1" t="s">
        <v>7578</v>
      </c>
      <c r="C2454" s="1" t="s">
        <v>7579</v>
      </c>
      <c r="D2454" s="1" t="s">
        <v>27</v>
      </c>
      <c r="E2454" s="1" t="s">
        <v>28</v>
      </c>
      <c r="F2454" s="2">
        <v>450000.0</v>
      </c>
      <c r="G2454" s="1" t="s">
        <v>271</v>
      </c>
      <c r="H2454" s="4">
        <f>IFERROR(__xludf.DUMMYFUNCTION("DATE(INDEX(SPLIT(G2454,""/""),,3),INDEX(SPLIT(G2454,""/""),,2),INDEX(SPLIT(G2454,""/""),,1))"),44680.0)</f>
        <v>44680</v>
      </c>
      <c r="I2454" s="4">
        <v>44626.0</v>
      </c>
      <c r="J2454" s="4">
        <f>IFERROR(__xludf.DUMMYFUNCTION("DATE(INDEX(SPLIT(I2454,""/""),,3),INDEX(SPLIT(I2454,""/""),,2),INDEX(SPLIT(I2454,""/""),,1))"),44715.0)</f>
        <v>44715</v>
      </c>
      <c r="L2454" s="1">
        <v>0.0</v>
      </c>
      <c r="M2454" s="1" t="s">
        <v>770</v>
      </c>
      <c r="N2454" s="1"/>
      <c r="O2454" s="1" t="s">
        <v>30</v>
      </c>
      <c r="P2454" s="1" t="s">
        <v>31</v>
      </c>
      <c r="Q2454" s="1" t="s">
        <v>157</v>
      </c>
      <c r="R2454" s="1" t="s">
        <v>157</v>
      </c>
      <c r="S2454" s="1" t="s">
        <v>158</v>
      </c>
      <c r="U2454" s="1">
        <v>1.00623421E8</v>
      </c>
      <c r="X2454" s="1" t="s">
        <v>312</v>
      </c>
      <c r="Y2454" s="1" t="s">
        <v>770</v>
      </c>
      <c r="Z2454" s="1" t="s">
        <v>37</v>
      </c>
    </row>
    <row r="2455" hidden="1">
      <c r="A2455" s="1" t="s">
        <v>7580</v>
      </c>
      <c r="B2455" s="1" t="s">
        <v>1030</v>
      </c>
      <c r="C2455" s="1" t="s">
        <v>7581</v>
      </c>
      <c r="D2455" s="1" t="s">
        <v>122</v>
      </c>
      <c r="E2455" s="1" t="s">
        <v>28</v>
      </c>
      <c r="F2455" s="2">
        <v>450000.0</v>
      </c>
      <c r="G2455" s="1" t="s">
        <v>7582</v>
      </c>
      <c r="H2455" s="4">
        <f>IFERROR(__xludf.DUMMYFUNCTION("DATE(INDEX(SPLIT(G2455,""/""),,3),INDEX(SPLIT(G2455,""/""),,2),INDEX(SPLIT(G2455,""/""),,1))"),44667.0)</f>
        <v>44667</v>
      </c>
      <c r="I2455" s="4">
        <v>44569.0</v>
      </c>
      <c r="J2455" s="4">
        <f>IFERROR(__xludf.DUMMYFUNCTION("DATE(INDEX(SPLIT(I2455,""/""),,3),INDEX(SPLIT(I2455,""/""),,2),INDEX(SPLIT(I2455,""/""),,1))"),44774.0)</f>
        <v>44774</v>
      </c>
      <c r="L2455" s="1">
        <v>0.0</v>
      </c>
      <c r="M2455" s="1" t="s">
        <v>2124</v>
      </c>
      <c r="N2455" s="1"/>
      <c r="O2455" s="1" t="s">
        <v>30</v>
      </c>
      <c r="P2455" s="1" t="s">
        <v>31</v>
      </c>
      <c r="Q2455" s="1" t="s">
        <v>157</v>
      </c>
      <c r="R2455" s="1" t="s">
        <v>157</v>
      </c>
      <c r="S2455" s="1" t="s">
        <v>158</v>
      </c>
      <c r="U2455" s="1">
        <v>1.00644305E8</v>
      </c>
      <c r="X2455" s="1" t="s">
        <v>63</v>
      </c>
      <c r="Y2455" s="1" t="s">
        <v>7583</v>
      </c>
      <c r="Z2455" s="1" t="s">
        <v>527</v>
      </c>
    </row>
    <row r="2456" hidden="1">
      <c r="A2456" s="1" t="s">
        <v>7584</v>
      </c>
      <c r="B2456" s="1" t="s">
        <v>1277</v>
      </c>
      <c r="C2456" s="1" t="s">
        <v>7585</v>
      </c>
      <c r="D2456" s="1" t="s">
        <v>78</v>
      </c>
      <c r="E2456" s="1" t="s">
        <v>28</v>
      </c>
      <c r="F2456" s="2">
        <v>450000.0</v>
      </c>
      <c r="G2456" s="4">
        <v>44480.0</v>
      </c>
      <c r="H2456" s="4">
        <f>IFERROR(__xludf.DUMMYFUNCTION("DATE(INDEX(SPLIT(G2456,""/""),,3),INDEX(SPLIT(G2456,""/""),,2),INDEX(SPLIT(G2456,""/""),,1))"),44510.0)</f>
        <v>44510</v>
      </c>
      <c r="I2456" s="1" t="s">
        <v>109</v>
      </c>
      <c r="J2456" s="4">
        <f>IFERROR(__xludf.DUMMYFUNCTION("DATE(INDEX(SPLIT(I2456,""/""),,3),INDEX(SPLIT(I2456,""/""),,2),INDEX(SPLIT(I2456,""/""),,1))"),44834.0)</f>
        <v>44834</v>
      </c>
      <c r="L2456" s="1">
        <v>0.0</v>
      </c>
      <c r="M2456" s="1" t="s">
        <v>1200</v>
      </c>
      <c r="N2456" s="1"/>
      <c r="O2456" s="1" t="s">
        <v>30</v>
      </c>
      <c r="P2456" s="1" t="s">
        <v>31</v>
      </c>
      <c r="Q2456" s="1" t="s">
        <v>235</v>
      </c>
      <c r="R2456" s="1" t="s">
        <v>235</v>
      </c>
      <c r="S2456" s="1" t="s">
        <v>236</v>
      </c>
      <c r="T2456" s="1" t="s">
        <v>438</v>
      </c>
      <c r="U2456" s="1">
        <v>1.00586959E8</v>
      </c>
      <c r="X2456" s="1" t="s">
        <v>88</v>
      </c>
      <c r="Y2456" s="1" t="s">
        <v>1200</v>
      </c>
      <c r="Z2456" s="1" t="s">
        <v>37</v>
      </c>
    </row>
    <row r="2457" hidden="1">
      <c r="A2457" s="1" t="s">
        <v>7586</v>
      </c>
      <c r="B2457" s="1" t="s">
        <v>709</v>
      </c>
      <c r="C2457" s="1" t="s">
        <v>7587</v>
      </c>
      <c r="D2457" s="1" t="s">
        <v>78</v>
      </c>
      <c r="E2457" s="1" t="s">
        <v>28</v>
      </c>
      <c r="F2457" s="2">
        <v>450000.0</v>
      </c>
      <c r="G2457" s="1" t="s">
        <v>557</v>
      </c>
      <c r="H2457" s="4">
        <f>IFERROR(__xludf.DUMMYFUNCTION("DATE(INDEX(SPLIT(G2457,""/""),,3),INDEX(SPLIT(G2457,""/""),,2),INDEX(SPLIT(G2457,""/""),,1))"),44439.0)</f>
        <v>44439</v>
      </c>
      <c r="I2457" s="1" t="s">
        <v>1799</v>
      </c>
      <c r="J2457" s="4">
        <f>IFERROR(__xludf.DUMMYFUNCTION("DATE(INDEX(SPLIT(I2457,""/""),,3),INDEX(SPLIT(I2457,""/""),,2),INDEX(SPLIT(I2457,""/""),,1))"),44788.0)</f>
        <v>44788</v>
      </c>
      <c r="L2457" s="1">
        <v>0.0</v>
      </c>
      <c r="M2457" s="1" t="s">
        <v>437</v>
      </c>
      <c r="N2457" s="1"/>
      <c r="O2457" s="1" t="s">
        <v>30</v>
      </c>
      <c r="P2457" s="1" t="s">
        <v>31</v>
      </c>
      <c r="Q2457" s="1" t="s">
        <v>235</v>
      </c>
      <c r="R2457" s="1" t="s">
        <v>235</v>
      </c>
      <c r="S2457" s="1" t="s">
        <v>236</v>
      </c>
      <c r="T2457" s="1" t="s">
        <v>34</v>
      </c>
      <c r="U2457" s="1">
        <v>1.00650375E8</v>
      </c>
      <c r="X2457" s="1" t="s">
        <v>35</v>
      </c>
      <c r="Y2457" s="1" t="s">
        <v>437</v>
      </c>
      <c r="Z2457" s="1" t="s">
        <v>37</v>
      </c>
    </row>
    <row r="2458" hidden="1">
      <c r="A2458" s="1" t="s">
        <v>7588</v>
      </c>
      <c r="B2458" s="1" t="s">
        <v>1511</v>
      </c>
      <c r="C2458" s="1" t="s">
        <v>7589</v>
      </c>
      <c r="D2458" s="1" t="s">
        <v>27</v>
      </c>
      <c r="E2458" s="1" t="s">
        <v>28</v>
      </c>
      <c r="F2458" s="2">
        <v>450000.0</v>
      </c>
      <c r="G2458" s="1" t="s">
        <v>3934</v>
      </c>
      <c r="H2458" s="4">
        <f>IFERROR(__xludf.DUMMYFUNCTION("DATE(INDEX(SPLIT(G2458,""/""),,3),INDEX(SPLIT(G2458,""/""),,2),INDEX(SPLIT(G2458,""/""),,1))"),44428.0)</f>
        <v>44428</v>
      </c>
      <c r="I2458" s="4">
        <v>44689.0</v>
      </c>
      <c r="J2458" s="4">
        <f>IFERROR(__xludf.DUMMYFUNCTION("DATE(INDEX(SPLIT(I2458,""/""),,3),INDEX(SPLIT(I2458,""/""),,2),INDEX(SPLIT(I2458,""/""),,1))"),44778.0)</f>
        <v>44778</v>
      </c>
      <c r="L2458" s="1">
        <v>0.0</v>
      </c>
      <c r="M2458" s="1" t="s">
        <v>1840</v>
      </c>
      <c r="N2458" s="1"/>
      <c r="O2458" s="1" t="s">
        <v>30</v>
      </c>
      <c r="P2458" s="1" t="s">
        <v>31</v>
      </c>
      <c r="Q2458" s="1" t="s">
        <v>71</v>
      </c>
      <c r="R2458" s="1" t="s">
        <v>71</v>
      </c>
      <c r="S2458" s="1" t="s">
        <v>72</v>
      </c>
      <c r="T2458" s="1" t="s">
        <v>615</v>
      </c>
      <c r="U2458" s="1">
        <v>1.00617113E8</v>
      </c>
      <c r="X2458" s="1" t="s">
        <v>490</v>
      </c>
      <c r="Y2458" s="1" t="s">
        <v>899</v>
      </c>
      <c r="Z2458" s="1" t="s">
        <v>37</v>
      </c>
    </row>
    <row r="2459">
      <c r="A2459" s="1" t="s">
        <v>7590</v>
      </c>
      <c r="B2459" s="1" t="s">
        <v>981</v>
      </c>
      <c r="C2459" s="1" t="s">
        <v>7591</v>
      </c>
      <c r="D2459" s="1" t="s">
        <v>68</v>
      </c>
      <c r="E2459" s="1" t="s">
        <v>28</v>
      </c>
      <c r="F2459" s="2">
        <v>450000.0</v>
      </c>
      <c r="G2459" s="1" t="s">
        <v>3972</v>
      </c>
      <c r="H2459" s="4">
        <f>IFERROR(__xludf.DUMMYFUNCTION("DATE(INDEX(SPLIT(G2459,""/""),,3),INDEX(SPLIT(G2459,""/""),,2),INDEX(SPLIT(G2459,""/""),,1))"),44637.0)</f>
        <v>44637</v>
      </c>
      <c r="I2459" s="1" t="s">
        <v>69</v>
      </c>
      <c r="J2459" s="4">
        <f>IFERROR(__xludf.DUMMYFUNCTION("DATE(INDEX(SPLIT(I2459,""/""),,3),INDEX(SPLIT(I2459,""/""),,2),INDEX(SPLIT(I2459,""/""),,1))"),44773.0)</f>
        <v>44773</v>
      </c>
      <c r="L2459" s="1">
        <v>0.0</v>
      </c>
      <c r="M2459" s="1" t="s">
        <v>1207</v>
      </c>
      <c r="N2459" s="1"/>
      <c r="O2459" s="1" t="s">
        <v>30</v>
      </c>
      <c r="P2459" s="1" t="s">
        <v>31</v>
      </c>
      <c r="Q2459" s="1" t="s">
        <v>157</v>
      </c>
      <c r="R2459" s="1" t="s">
        <v>157</v>
      </c>
      <c r="S2459" s="1" t="s">
        <v>158</v>
      </c>
      <c r="T2459" s="1" t="s">
        <v>159</v>
      </c>
      <c r="U2459" s="1">
        <v>1.00639495E8</v>
      </c>
      <c r="X2459" s="1" t="s">
        <v>490</v>
      </c>
      <c r="Y2459" s="1" t="s">
        <v>7592</v>
      </c>
      <c r="Z2459" s="1" t="s">
        <v>37</v>
      </c>
    </row>
    <row r="2460" hidden="1">
      <c r="A2460" s="1" t="s">
        <v>7593</v>
      </c>
      <c r="B2460" s="1" t="s">
        <v>7594</v>
      </c>
      <c r="C2460" s="1" t="s">
        <v>7595</v>
      </c>
      <c r="D2460" s="1" t="s">
        <v>27</v>
      </c>
      <c r="E2460" s="1" t="s">
        <v>28</v>
      </c>
      <c r="F2460" s="2">
        <v>450000.0</v>
      </c>
      <c r="G2460" s="1" t="s">
        <v>1716</v>
      </c>
      <c r="H2460" s="4">
        <f>IFERROR(__xludf.DUMMYFUNCTION("DATE(INDEX(SPLIT(G2460,""/""),,3),INDEX(SPLIT(G2460,""/""),,2),INDEX(SPLIT(G2460,""/""),,1))"),44619.0)</f>
        <v>44619</v>
      </c>
      <c r="I2460" s="4">
        <v>44689.0</v>
      </c>
      <c r="J2460" s="4">
        <f>IFERROR(__xludf.DUMMYFUNCTION("DATE(INDEX(SPLIT(I2460,""/""),,3),INDEX(SPLIT(I2460,""/""),,2),INDEX(SPLIT(I2460,""/""),,1))"),44778.0)</f>
        <v>44778</v>
      </c>
      <c r="L2460" s="1">
        <v>0.0</v>
      </c>
      <c r="M2460" s="1" t="s">
        <v>7498</v>
      </c>
      <c r="N2460" s="1"/>
      <c r="O2460" s="1" t="s">
        <v>30</v>
      </c>
      <c r="P2460" s="1" t="s">
        <v>31</v>
      </c>
      <c r="Q2460" s="1" t="s">
        <v>235</v>
      </c>
      <c r="R2460" s="1" t="s">
        <v>235</v>
      </c>
      <c r="S2460" s="1" t="s">
        <v>236</v>
      </c>
      <c r="U2460" s="1">
        <v>1.01093101E8</v>
      </c>
      <c r="X2460" s="1" t="s">
        <v>98</v>
      </c>
      <c r="Y2460" s="1" t="s">
        <v>7498</v>
      </c>
      <c r="Z2460" s="1" t="s">
        <v>206</v>
      </c>
    </row>
    <row r="2461">
      <c r="A2461" s="1" t="s">
        <v>7596</v>
      </c>
      <c r="B2461" s="1" t="s">
        <v>2283</v>
      </c>
      <c r="C2461" s="1" t="s">
        <v>7597</v>
      </c>
      <c r="D2461" s="1" t="s">
        <v>78</v>
      </c>
      <c r="E2461" s="1" t="s">
        <v>28</v>
      </c>
      <c r="F2461" s="2">
        <v>450000.0</v>
      </c>
      <c r="G2461" s="4">
        <v>44656.0</v>
      </c>
      <c r="H2461" s="4">
        <f>IFERROR(__xludf.DUMMYFUNCTION("DATE(INDEX(SPLIT(G2461,""/""),,3),INDEX(SPLIT(G2461,""/""),,2),INDEX(SPLIT(G2461,""/""),,1))"),44685.0)</f>
        <v>44685</v>
      </c>
      <c r="I2461" s="1" t="s">
        <v>226</v>
      </c>
      <c r="J2461" s="4">
        <f>IFERROR(__xludf.DUMMYFUNCTION("DATE(INDEX(SPLIT(I2461,""/""),,3),INDEX(SPLIT(I2461,""/""),,2),INDEX(SPLIT(I2461,""/""),,1))"),44771.0)</f>
        <v>44771</v>
      </c>
      <c r="L2461" s="1">
        <v>0.0</v>
      </c>
      <c r="M2461" s="1" t="s">
        <v>7598</v>
      </c>
      <c r="N2461" s="1"/>
      <c r="O2461" s="1" t="s">
        <v>30</v>
      </c>
      <c r="P2461" s="1" t="s">
        <v>31</v>
      </c>
      <c r="Q2461" s="1" t="s">
        <v>32</v>
      </c>
      <c r="R2461" s="1" t="s">
        <v>32</v>
      </c>
      <c r="S2461" s="1" t="s">
        <v>33</v>
      </c>
      <c r="T2461" s="1" t="s">
        <v>1386</v>
      </c>
      <c r="U2461" s="1">
        <v>1.00644939E8</v>
      </c>
      <c r="X2461" s="1" t="s">
        <v>490</v>
      </c>
      <c r="Y2461" s="1" t="s">
        <v>7599</v>
      </c>
      <c r="Z2461" s="1" t="s">
        <v>37</v>
      </c>
    </row>
    <row r="2462">
      <c r="A2462" s="1" t="s">
        <v>7600</v>
      </c>
      <c r="B2462" s="1" t="s">
        <v>7601</v>
      </c>
      <c r="C2462" s="1" t="s">
        <v>7602</v>
      </c>
      <c r="D2462" s="1" t="s">
        <v>122</v>
      </c>
      <c r="E2462" s="1" t="s">
        <v>28</v>
      </c>
      <c r="F2462" s="2">
        <v>450000.0</v>
      </c>
      <c r="G2462" s="1" t="s">
        <v>3972</v>
      </c>
      <c r="H2462" s="4">
        <f>IFERROR(__xludf.DUMMYFUNCTION("DATE(INDEX(SPLIT(G2462,""/""),,3),INDEX(SPLIT(G2462,""/""),,2),INDEX(SPLIT(G2462,""/""),,1))"),44637.0)</f>
        <v>44637</v>
      </c>
      <c r="I2462" s="1" t="s">
        <v>226</v>
      </c>
      <c r="J2462" s="4">
        <f>IFERROR(__xludf.DUMMYFUNCTION("DATE(INDEX(SPLIT(I2462,""/""),,3),INDEX(SPLIT(I2462,""/""),,2),INDEX(SPLIT(I2462,""/""),,1))"),44771.0)</f>
        <v>44771</v>
      </c>
      <c r="L2462" s="1">
        <v>0.0</v>
      </c>
      <c r="M2462" s="1" t="s">
        <v>3601</v>
      </c>
      <c r="N2462" s="1"/>
      <c r="O2462" s="1" t="s">
        <v>30</v>
      </c>
      <c r="P2462" s="1" t="s">
        <v>31</v>
      </c>
      <c r="Q2462" s="1" t="s">
        <v>71</v>
      </c>
      <c r="R2462" s="1" t="s">
        <v>71</v>
      </c>
      <c r="S2462" s="1" t="s">
        <v>72</v>
      </c>
      <c r="T2462" s="1" t="s">
        <v>136</v>
      </c>
      <c r="U2462" s="1">
        <v>1.00611547E8</v>
      </c>
      <c r="X2462" s="1" t="s">
        <v>2028</v>
      </c>
      <c r="Y2462" s="1" t="s">
        <v>1334</v>
      </c>
      <c r="Z2462" s="1" t="s">
        <v>37</v>
      </c>
    </row>
    <row r="2463">
      <c r="A2463" s="1" t="s">
        <v>7603</v>
      </c>
      <c r="B2463" s="1" t="s">
        <v>5989</v>
      </c>
      <c r="C2463" s="1" t="s">
        <v>7604</v>
      </c>
      <c r="D2463" s="1" t="s">
        <v>27</v>
      </c>
      <c r="E2463" s="1" t="s">
        <v>28</v>
      </c>
      <c r="F2463" s="2">
        <v>450000.0</v>
      </c>
      <c r="G2463" s="1" t="s">
        <v>7605</v>
      </c>
      <c r="H2463" s="4">
        <f>IFERROR(__xludf.DUMMYFUNCTION("DATE(INDEX(SPLIT(G2463,""/""),,3),INDEX(SPLIT(G2463,""/""),,2),INDEX(SPLIT(G2463,""/""),,1))"),44219.0)</f>
        <v>44219</v>
      </c>
      <c r="I2463" s="1" t="s">
        <v>1244</v>
      </c>
      <c r="J2463" s="4">
        <f>IFERROR(__xludf.DUMMYFUNCTION("DATE(INDEX(SPLIT(I2463,""/""),,3),INDEX(SPLIT(I2463,""/""),,2),INDEX(SPLIT(I2463,""/""),,1))"),44742.0)</f>
        <v>44742</v>
      </c>
      <c r="L2463" s="1">
        <v>0.0</v>
      </c>
      <c r="M2463" s="1" t="s">
        <v>5880</v>
      </c>
      <c r="N2463" s="1"/>
      <c r="O2463" s="1" t="s">
        <v>30</v>
      </c>
      <c r="P2463" s="1" t="s">
        <v>31</v>
      </c>
      <c r="Q2463" s="1" t="s">
        <v>228</v>
      </c>
      <c r="R2463" s="1" t="s">
        <v>228</v>
      </c>
      <c r="S2463" s="1" t="s">
        <v>229</v>
      </c>
      <c r="T2463" s="1" t="s">
        <v>640</v>
      </c>
      <c r="U2463" s="1">
        <v>1.00933537E8</v>
      </c>
      <c r="X2463" s="1" t="s">
        <v>490</v>
      </c>
      <c r="Y2463" s="1" t="s">
        <v>7606</v>
      </c>
      <c r="Z2463" s="1" t="s">
        <v>37</v>
      </c>
    </row>
    <row r="2464" hidden="1">
      <c r="A2464" s="1" t="s">
        <v>7607</v>
      </c>
      <c r="B2464" s="1" t="s">
        <v>7608</v>
      </c>
      <c r="C2464" s="1" t="s">
        <v>7609</v>
      </c>
      <c r="D2464" s="1" t="s">
        <v>78</v>
      </c>
      <c r="E2464" s="1" t="s">
        <v>28</v>
      </c>
      <c r="F2464" s="2">
        <v>450000.0</v>
      </c>
      <c r="G2464" s="4">
        <v>44538.0</v>
      </c>
      <c r="H2464" s="4">
        <f>IFERROR(__xludf.DUMMYFUNCTION("DATE(INDEX(SPLIT(G2464,""/""),,3),INDEX(SPLIT(G2464,""/""),,2),INDEX(SPLIT(G2464,""/""),,1))"),44420.0)</f>
        <v>44420</v>
      </c>
      <c r="I2464" s="4">
        <v>44601.0</v>
      </c>
      <c r="J2464" s="4">
        <f>IFERROR(__xludf.DUMMYFUNCTION("DATE(INDEX(SPLIT(I2464,""/""),,3),INDEX(SPLIT(I2464,""/""),,2),INDEX(SPLIT(I2464,""/""),,1))"),44806.0)</f>
        <v>44806</v>
      </c>
      <c r="L2464" s="1">
        <v>0.0</v>
      </c>
      <c r="M2464" s="1" t="s">
        <v>1284</v>
      </c>
      <c r="N2464" s="1"/>
      <c r="O2464" s="1" t="s">
        <v>30</v>
      </c>
      <c r="P2464" s="1" t="s">
        <v>31</v>
      </c>
      <c r="Q2464" s="1" t="s">
        <v>32</v>
      </c>
      <c r="R2464" s="1" t="s">
        <v>32</v>
      </c>
      <c r="S2464" s="1" t="s">
        <v>33</v>
      </c>
      <c r="T2464" s="1" t="s">
        <v>402</v>
      </c>
      <c r="U2464" s="1">
        <v>1.00626898E8</v>
      </c>
      <c r="X2464" s="1" t="s">
        <v>117</v>
      </c>
      <c r="Y2464" s="1" t="s">
        <v>1284</v>
      </c>
      <c r="Z2464" s="1" t="s">
        <v>37</v>
      </c>
    </row>
    <row r="2465" hidden="1">
      <c r="A2465" s="1" t="s">
        <v>7610</v>
      </c>
      <c r="B2465" s="1" t="s">
        <v>1050</v>
      </c>
      <c r="C2465" s="1" t="s">
        <v>7611</v>
      </c>
      <c r="D2465" s="1" t="s">
        <v>78</v>
      </c>
      <c r="E2465" s="1" t="s">
        <v>28</v>
      </c>
      <c r="F2465" s="2">
        <v>450000.0</v>
      </c>
      <c r="G2465" s="4">
        <v>44205.0</v>
      </c>
      <c r="H2465" s="4">
        <f>IFERROR(__xludf.DUMMYFUNCTION("DATE(INDEX(SPLIT(G2465,""/""),,3),INDEX(SPLIT(G2465,""/""),,2),INDEX(SPLIT(G2465,""/""),,1))"),44440.0)</f>
        <v>44440</v>
      </c>
      <c r="I2465" s="1" t="s">
        <v>317</v>
      </c>
      <c r="J2465" s="4">
        <f>IFERROR(__xludf.DUMMYFUNCTION("DATE(INDEX(SPLIT(I2465,""/""),,3),INDEX(SPLIT(I2465,""/""),,2),INDEX(SPLIT(I2465,""/""),,1))"),44862.0)</f>
        <v>44862</v>
      </c>
      <c r="L2465" s="1">
        <v>0.0</v>
      </c>
      <c r="M2465" s="1" t="s">
        <v>1052</v>
      </c>
      <c r="N2465" s="1"/>
      <c r="O2465" s="1" t="s">
        <v>30</v>
      </c>
      <c r="P2465" s="1" t="s">
        <v>31</v>
      </c>
      <c r="Q2465" s="1" t="s">
        <v>235</v>
      </c>
      <c r="R2465" s="1" t="s">
        <v>235</v>
      </c>
      <c r="S2465" s="1" t="s">
        <v>236</v>
      </c>
      <c r="T2465" s="1" t="s">
        <v>237</v>
      </c>
      <c r="U2465" s="1">
        <v>1.00650344E8</v>
      </c>
      <c r="X2465" s="1" t="s">
        <v>239</v>
      </c>
      <c r="Y2465" s="1" t="s">
        <v>7612</v>
      </c>
      <c r="Z2465" s="1" t="s">
        <v>37</v>
      </c>
    </row>
    <row r="2466">
      <c r="A2466" s="1" t="s">
        <v>7613</v>
      </c>
      <c r="B2466" s="1" t="s">
        <v>144</v>
      </c>
      <c r="C2466" s="1" t="s">
        <v>7614</v>
      </c>
      <c r="D2466" s="1" t="s">
        <v>27</v>
      </c>
      <c r="E2466" s="1" t="s">
        <v>28</v>
      </c>
      <c r="F2466" s="2">
        <v>450000.0</v>
      </c>
      <c r="G2466" s="4">
        <v>44837.0</v>
      </c>
      <c r="H2466" s="4">
        <f>IFERROR(__xludf.DUMMYFUNCTION("DATE(INDEX(SPLIT(G2466,""/""),,3),INDEX(SPLIT(G2466,""/""),,2),INDEX(SPLIT(G2466,""/""),,1))"),44630.0)</f>
        <v>44630</v>
      </c>
      <c r="I2466" s="1" t="s">
        <v>69</v>
      </c>
      <c r="J2466" s="4">
        <f>IFERROR(__xludf.DUMMYFUNCTION("DATE(INDEX(SPLIT(I2466,""/""),,3),INDEX(SPLIT(I2466,""/""),,2),INDEX(SPLIT(I2466,""/""),,1))"),44773.0)</f>
        <v>44773</v>
      </c>
      <c r="L2466" s="1">
        <v>0.0</v>
      </c>
      <c r="M2466" s="1" t="s">
        <v>601</v>
      </c>
      <c r="N2466" s="1"/>
      <c r="O2466" s="1" t="s">
        <v>30</v>
      </c>
      <c r="P2466" s="1" t="s">
        <v>31</v>
      </c>
      <c r="Q2466" s="1" t="s">
        <v>95</v>
      </c>
      <c r="R2466" s="1" t="s">
        <v>95</v>
      </c>
      <c r="S2466" s="1" t="s">
        <v>96</v>
      </c>
      <c r="T2466" s="1" t="s">
        <v>602</v>
      </c>
      <c r="U2466" s="1">
        <v>1.00625415E8</v>
      </c>
      <c r="X2466" s="1" t="s">
        <v>88</v>
      </c>
      <c r="Y2466" s="1" t="s">
        <v>603</v>
      </c>
      <c r="Z2466" s="1" t="s">
        <v>37</v>
      </c>
    </row>
    <row r="2467" hidden="1">
      <c r="A2467" s="1" t="s">
        <v>7615</v>
      </c>
      <c r="B2467" s="1" t="s">
        <v>2265</v>
      </c>
      <c r="C2467" s="1" t="s">
        <v>7616</v>
      </c>
      <c r="D2467" s="1" t="s">
        <v>122</v>
      </c>
      <c r="E2467" s="1" t="s">
        <v>28</v>
      </c>
      <c r="F2467" s="2">
        <v>450000.0</v>
      </c>
      <c r="G2467" s="4">
        <v>44717.0</v>
      </c>
      <c r="H2467" s="4">
        <f>IFERROR(__xludf.DUMMYFUNCTION("DATE(INDEX(SPLIT(G2467,""/""),,3),INDEX(SPLIT(G2467,""/""),,2),INDEX(SPLIT(G2467,""/""),,1))"),44687.0)</f>
        <v>44687</v>
      </c>
      <c r="I2467" s="1" t="s">
        <v>130</v>
      </c>
      <c r="J2467" s="4">
        <f>IFERROR(__xludf.DUMMYFUNCTION("DATE(INDEX(SPLIT(I2467,""/""),,3),INDEX(SPLIT(I2467,""/""),,2),INDEX(SPLIT(I2467,""/""),,1))"),44804.0)</f>
        <v>44804</v>
      </c>
      <c r="L2467" s="1">
        <v>0.0</v>
      </c>
      <c r="M2467" s="1" t="s">
        <v>2472</v>
      </c>
      <c r="N2467" s="1"/>
      <c r="O2467" s="1" t="s">
        <v>30</v>
      </c>
      <c r="P2467" s="1" t="s">
        <v>31</v>
      </c>
      <c r="Q2467" s="1" t="s">
        <v>228</v>
      </c>
      <c r="R2467" s="1" t="s">
        <v>228</v>
      </c>
      <c r="S2467" s="1" t="s">
        <v>229</v>
      </c>
      <c r="T2467" s="1" t="s">
        <v>640</v>
      </c>
      <c r="U2467" s="1">
        <v>1.00645232E8</v>
      </c>
      <c r="X2467" s="1" t="s">
        <v>239</v>
      </c>
      <c r="Y2467" s="1" t="s">
        <v>2472</v>
      </c>
      <c r="Z2467" s="1" t="s">
        <v>37</v>
      </c>
    </row>
    <row r="2468" hidden="1">
      <c r="A2468" s="1" t="s">
        <v>7617</v>
      </c>
      <c r="B2468" s="1" t="s">
        <v>7618</v>
      </c>
      <c r="C2468" s="1" t="s">
        <v>7619</v>
      </c>
      <c r="D2468" s="1" t="s">
        <v>27</v>
      </c>
      <c r="E2468" s="1" t="s">
        <v>28</v>
      </c>
      <c r="F2468" s="2">
        <v>450000.0</v>
      </c>
      <c r="G2468" s="1" t="s">
        <v>1251</v>
      </c>
      <c r="H2468" s="4">
        <f>IFERROR(__xludf.DUMMYFUNCTION("DATE(INDEX(SPLIT(G2468,""/""),,3),INDEX(SPLIT(G2468,""/""),,2),INDEX(SPLIT(G2468,""/""),,1))"),44454.0)</f>
        <v>44454</v>
      </c>
      <c r="I2468" s="1" t="s">
        <v>6544</v>
      </c>
      <c r="J2468" s="4">
        <f>IFERROR(__xludf.DUMMYFUNCTION("DATE(INDEX(SPLIT(I2468,""/""),,3),INDEX(SPLIT(I2468,""/""),,2),INDEX(SPLIT(I2468,""/""),,1))"),44939.0)</f>
        <v>44939</v>
      </c>
      <c r="L2468" s="1">
        <v>0.0</v>
      </c>
      <c r="M2468" s="1" t="s">
        <v>318</v>
      </c>
      <c r="N2468" s="1"/>
      <c r="O2468" s="1" t="s">
        <v>30</v>
      </c>
      <c r="P2468" s="1" t="s">
        <v>31</v>
      </c>
      <c r="Q2468" s="1" t="s">
        <v>71</v>
      </c>
      <c r="R2468" s="1" t="s">
        <v>71</v>
      </c>
      <c r="S2468" s="1" t="s">
        <v>72</v>
      </c>
      <c r="T2468" s="1" t="s">
        <v>489</v>
      </c>
      <c r="U2468" s="1">
        <v>1.00654705E8</v>
      </c>
      <c r="X2468" s="1" t="s">
        <v>74</v>
      </c>
      <c r="Y2468" s="1" t="s">
        <v>318</v>
      </c>
      <c r="Z2468" s="1" t="s">
        <v>37</v>
      </c>
    </row>
    <row r="2469" hidden="1">
      <c r="A2469" s="1" t="s">
        <v>7620</v>
      </c>
      <c r="B2469" s="1" t="s">
        <v>392</v>
      </c>
      <c r="C2469" s="1" t="s">
        <v>7621</v>
      </c>
      <c r="D2469" s="1" t="s">
        <v>78</v>
      </c>
      <c r="E2469" s="1" t="s">
        <v>28</v>
      </c>
      <c r="F2469" s="2">
        <v>450000.0</v>
      </c>
      <c r="G2469" s="1" t="s">
        <v>518</v>
      </c>
      <c r="H2469" s="4">
        <f>IFERROR(__xludf.DUMMYFUNCTION("DATE(INDEX(SPLIT(G2469,""/""),,3),INDEX(SPLIT(G2469,""/""),,2),INDEX(SPLIT(G2469,""/""),,1))"),44757.0)</f>
        <v>44757</v>
      </c>
      <c r="I2469" s="1" t="s">
        <v>109</v>
      </c>
      <c r="J2469" s="4">
        <f>IFERROR(__xludf.DUMMYFUNCTION("DATE(INDEX(SPLIT(I2469,""/""),,3),INDEX(SPLIT(I2469,""/""),,2),INDEX(SPLIT(I2469,""/""),,1))"),44834.0)</f>
        <v>44834</v>
      </c>
      <c r="L2469" s="1">
        <v>0.0</v>
      </c>
      <c r="M2469" s="1" t="s">
        <v>5017</v>
      </c>
      <c r="N2469" s="1"/>
      <c r="O2469" s="1" t="s">
        <v>30</v>
      </c>
      <c r="P2469" s="1" t="s">
        <v>31</v>
      </c>
      <c r="Q2469" s="1" t="s">
        <v>228</v>
      </c>
      <c r="R2469" s="1" t="s">
        <v>228</v>
      </c>
      <c r="S2469" s="1" t="s">
        <v>229</v>
      </c>
      <c r="T2469" s="1" t="s">
        <v>640</v>
      </c>
      <c r="U2469" s="1">
        <v>1.00620023E8</v>
      </c>
      <c r="X2469" s="1" t="s">
        <v>239</v>
      </c>
      <c r="Y2469" s="1" t="s">
        <v>7622</v>
      </c>
      <c r="Z2469" s="1" t="s">
        <v>37</v>
      </c>
    </row>
    <row r="2470" hidden="1">
      <c r="A2470" s="1" t="s">
        <v>7623</v>
      </c>
      <c r="B2470" s="1" t="s">
        <v>1854</v>
      </c>
      <c r="C2470" s="1" t="s">
        <v>7624</v>
      </c>
      <c r="D2470" s="1" t="s">
        <v>78</v>
      </c>
      <c r="E2470" s="1" t="s">
        <v>28</v>
      </c>
      <c r="F2470" s="2">
        <v>450000.0</v>
      </c>
      <c r="G2470" s="1" t="s">
        <v>275</v>
      </c>
      <c r="H2470" s="4">
        <f>IFERROR(__xludf.DUMMYFUNCTION("DATE(INDEX(SPLIT(G2470,""/""),,3),INDEX(SPLIT(G2470,""/""),,2),INDEX(SPLIT(G2470,""/""),,1))"),44462.0)</f>
        <v>44462</v>
      </c>
      <c r="I2470" s="1" t="s">
        <v>179</v>
      </c>
      <c r="J2470" s="4">
        <f>IFERROR(__xludf.DUMMYFUNCTION("DATE(INDEX(SPLIT(I2470,""/""),,3),INDEX(SPLIT(I2470,""/""),,2),INDEX(SPLIT(I2470,""/""),,1))"),44890.0)</f>
        <v>44890</v>
      </c>
      <c r="L2470" s="1">
        <v>0.0</v>
      </c>
      <c r="M2470" s="1" t="s">
        <v>2448</v>
      </c>
      <c r="N2470" s="1"/>
      <c r="O2470" s="1" t="s">
        <v>30</v>
      </c>
      <c r="P2470" s="1" t="s">
        <v>31</v>
      </c>
      <c r="Q2470" s="1" t="s">
        <v>53</v>
      </c>
      <c r="R2470" s="1" t="s">
        <v>53</v>
      </c>
      <c r="S2470" s="1" t="s">
        <v>54</v>
      </c>
      <c r="T2470" s="1" t="s">
        <v>197</v>
      </c>
      <c r="U2470" s="1">
        <v>1.00584032E8</v>
      </c>
      <c r="X2470" s="1" t="s">
        <v>63</v>
      </c>
      <c r="Y2470" s="1" t="s">
        <v>2448</v>
      </c>
      <c r="Z2470" s="1" t="s">
        <v>37</v>
      </c>
    </row>
    <row r="2471" hidden="1">
      <c r="A2471" s="1" t="s">
        <v>7625</v>
      </c>
      <c r="B2471" s="1" t="s">
        <v>1479</v>
      </c>
      <c r="C2471" s="1" t="s">
        <v>7626</v>
      </c>
      <c r="D2471" s="1" t="s">
        <v>78</v>
      </c>
      <c r="E2471" s="1" t="s">
        <v>28</v>
      </c>
      <c r="F2471" s="2">
        <v>450000.0</v>
      </c>
      <c r="G2471" s="1" t="s">
        <v>343</v>
      </c>
      <c r="H2471" s="4">
        <f>IFERROR(__xludf.DUMMYFUNCTION("DATE(INDEX(SPLIT(G2471,""/""),,3),INDEX(SPLIT(G2471,""/""),,2),INDEX(SPLIT(G2471,""/""),,1))"),44761.0)</f>
        <v>44761</v>
      </c>
      <c r="I2471" s="1" t="s">
        <v>109</v>
      </c>
      <c r="J2471" s="4">
        <f>IFERROR(__xludf.DUMMYFUNCTION("DATE(INDEX(SPLIT(I2471,""/""),,3),INDEX(SPLIT(I2471,""/""),,2),INDEX(SPLIT(I2471,""/""),,1))"),44834.0)</f>
        <v>44834</v>
      </c>
      <c r="L2471" s="1">
        <v>0.0</v>
      </c>
      <c r="M2471" s="1" t="s">
        <v>5555</v>
      </c>
      <c r="N2471" s="1"/>
      <c r="O2471" s="1" t="s">
        <v>30</v>
      </c>
      <c r="P2471" s="1" t="s">
        <v>31</v>
      </c>
      <c r="Q2471" s="1" t="s">
        <v>228</v>
      </c>
      <c r="R2471" s="1" t="s">
        <v>228</v>
      </c>
      <c r="S2471" s="1" t="s">
        <v>229</v>
      </c>
      <c r="U2471" s="1">
        <v>1.00611354E8</v>
      </c>
      <c r="X2471" s="1" t="s">
        <v>305</v>
      </c>
      <c r="Y2471" s="1" t="s">
        <v>5555</v>
      </c>
      <c r="Z2471" s="1" t="s">
        <v>37</v>
      </c>
    </row>
    <row r="2472" hidden="1">
      <c r="A2472" s="1" t="s">
        <v>7627</v>
      </c>
      <c r="B2472" s="1" t="s">
        <v>66</v>
      </c>
      <c r="C2472" s="1" t="s">
        <v>7628</v>
      </c>
      <c r="D2472" s="1" t="s">
        <v>27</v>
      </c>
      <c r="E2472" s="1" t="s">
        <v>28</v>
      </c>
      <c r="F2472" s="2">
        <v>450000.0</v>
      </c>
      <c r="G2472" s="4">
        <v>44654.0</v>
      </c>
      <c r="H2472" s="4">
        <f>IFERROR(__xludf.DUMMYFUNCTION("DATE(INDEX(SPLIT(G2472,""/""),,3),INDEX(SPLIT(G2472,""/""),,2),INDEX(SPLIT(G2472,""/""),,1))"),44624.0)</f>
        <v>44624</v>
      </c>
      <c r="I2472" s="1" t="s">
        <v>130</v>
      </c>
      <c r="J2472" s="4">
        <f>IFERROR(__xludf.DUMMYFUNCTION("DATE(INDEX(SPLIT(I2472,""/""),,3),INDEX(SPLIT(I2472,""/""),,2),INDEX(SPLIT(I2472,""/""),,1))"),44804.0)</f>
        <v>44804</v>
      </c>
      <c r="L2472" s="1">
        <v>0.0</v>
      </c>
      <c r="M2472" s="1" t="s">
        <v>5196</v>
      </c>
      <c r="N2472" s="1"/>
      <c r="O2472" s="1" t="s">
        <v>30</v>
      </c>
      <c r="P2472" s="1" t="s">
        <v>31</v>
      </c>
      <c r="Q2472" s="1" t="s">
        <v>71</v>
      </c>
      <c r="R2472" s="1" t="s">
        <v>71</v>
      </c>
      <c r="S2472" s="1" t="s">
        <v>72</v>
      </c>
      <c r="T2472" s="1" t="s">
        <v>73</v>
      </c>
      <c r="U2472" s="1">
        <v>1.00635527E8</v>
      </c>
      <c r="X2472" s="1" t="s">
        <v>74</v>
      </c>
      <c r="Y2472" s="1" t="s">
        <v>7629</v>
      </c>
      <c r="Z2472" s="1" t="s">
        <v>37</v>
      </c>
    </row>
    <row r="2473" hidden="1">
      <c r="A2473" s="1" t="s">
        <v>7630</v>
      </c>
      <c r="B2473" s="1" t="s">
        <v>1797</v>
      </c>
      <c r="C2473" s="1" t="s">
        <v>7631</v>
      </c>
      <c r="D2473" s="1" t="s">
        <v>122</v>
      </c>
      <c r="E2473" s="1" t="s">
        <v>28</v>
      </c>
      <c r="F2473" s="2">
        <v>450000.0</v>
      </c>
      <c r="G2473" s="4">
        <v>44294.0</v>
      </c>
      <c r="H2473" s="4">
        <f>IFERROR(__xludf.DUMMYFUNCTION("DATE(INDEX(SPLIT(G2473,""/""),,3),INDEX(SPLIT(G2473,""/""),,2),INDEX(SPLIT(G2473,""/""),,1))"),44412.0)</f>
        <v>44412</v>
      </c>
      <c r="I2473" s="1" t="s">
        <v>109</v>
      </c>
      <c r="J2473" s="4">
        <f>IFERROR(__xludf.DUMMYFUNCTION("DATE(INDEX(SPLIT(I2473,""/""),,3),INDEX(SPLIT(I2473,""/""),,2),INDEX(SPLIT(I2473,""/""),,1))"),44834.0)</f>
        <v>44834</v>
      </c>
      <c r="L2473" s="1">
        <v>0.0</v>
      </c>
      <c r="M2473" s="1" t="s">
        <v>5030</v>
      </c>
      <c r="N2473" s="1"/>
      <c r="O2473" s="1" t="s">
        <v>30</v>
      </c>
      <c r="P2473" s="1" t="s">
        <v>31</v>
      </c>
      <c r="Q2473" s="1" t="s">
        <v>228</v>
      </c>
      <c r="R2473" s="1" t="s">
        <v>228</v>
      </c>
      <c r="S2473" s="1" t="s">
        <v>229</v>
      </c>
      <c r="T2473" s="1" t="s">
        <v>640</v>
      </c>
      <c r="U2473" s="1">
        <v>1.00986592E8</v>
      </c>
      <c r="X2473" s="1" t="s">
        <v>490</v>
      </c>
      <c r="Y2473" s="1" t="s">
        <v>6245</v>
      </c>
      <c r="Z2473" s="1" t="s">
        <v>37</v>
      </c>
    </row>
    <row r="2474" hidden="1">
      <c r="A2474" s="1" t="s">
        <v>7632</v>
      </c>
      <c r="B2474" s="1" t="s">
        <v>3044</v>
      </c>
      <c r="C2474" s="1" t="s">
        <v>7633</v>
      </c>
      <c r="D2474" s="1" t="s">
        <v>27</v>
      </c>
      <c r="E2474" s="1" t="s">
        <v>28</v>
      </c>
      <c r="F2474" s="2">
        <v>450000.0</v>
      </c>
      <c r="G2474" s="1" t="s">
        <v>7472</v>
      </c>
      <c r="H2474" s="4">
        <f>IFERROR(__xludf.DUMMYFUNCTION("DATE(INDEX(SPLIT(G2474,""/""),,3),INDEX(SPLIT(G2474,""/""),,2),INDEX(SPLIT(G2474,""/""),,1))"),44299.0)</f>
        <v>44299</v>
      </c>
      <c r="I2474" s="1" t="s">
        <v>317</v>
      </c>
      <c r="J2474" s="4">
        <f>IFERROR(__xludf.DUMMYFUNCTION("DATE(INDEX(SPLIT(I2474,""/""),,3),INDEX(SPLIT(I2474,""/""),,2),INDEX(SPLIT(I2474,""/""),,1))"),44862.0)</f>
        <v>44862</v>
      </c>
      <c r="L2474" s="1">
        <v>0.0</v>
      </c>
      <c r="M2474" s="1" t="s">
        <v>2448</v>
      </c>
      <c r="N2474" s="1"/>
      <c r="O2474" s="1" t="s">
        <v>30</v>
      </c>
      <c r="P2474" s="1" t="s">
        <v>31</v>
      </c>
      <c r="Q2474" s="1" t="s">
        <v>53</v>
      </c>
      <c r="R2474" s="1" t="s">
        <v>53</v>
      </c>
      <c r="S2474" s="1" t="s">
        <v>54</v>
      </c>
      <c r="T2474" s="1" t="s">
        <v>197</v>
      </c>
      <c r="U2474" s="1">
        <v>1.00584032E8</v>
      </c>
      <c r="X2474" s="1" t="s">
        <v>63</v>
      </c>
      <c r="Y2474" s="1" t="s">
        <v>2448</v>
      </c>
      <c r="Z2474" s="1" t="s">
        <v>37</v>
      </c>
    </row>
    <row r="2475">
      <c r="A2475" s="1" t="s">
        <v>7634</v>
      </c>
      <c r="B2475" s="1" t="s">
        <v>7635</v>
      </c>
      <c r="C2475" s="1" t="s">
        <v>7636</v>
      </c>
      <c r="D2475" s="1" t="s">
        <v>122</v>
      </c>
      <c r="E2475" s="1" t="s">
        <v>28</v>
      </c>
      <c r="F2475" s="2">
        <v>450000.0</v>
      </c>
      <c r="G2475" s="1" t="s">
        <v>1551</v>
      </c>
      <c r="H2475" s="4">
        <f>IFERROR(__xludf.DUMMYFUNCTION("DATE(INDEX(SPLIT(G2475,""/""),,3),INDEX(SPLIT(G2475,""/""),,2),INDEX(SPLIT(G2475,""/""),,1))"),44618.0)</f>
        <v>44618</v>
      </c>
      <c r="I2475" s="1" t="s">
        <v>518</v>
      </c>
      <c r="J2475" s="4">
        <f>IFERROR(__xludf.DUMMYFUNCTION("DATE(INDEX(SPLIT(I2475,""/""),,3),INDEX(SPLIT(I2475,""/""),,2),INDEX(SPLIT(I2475,""/""),,1))"),44757.0)</f>
        <v>44757</v>
      </c>
      <c r="L2475" s="1">
        <v>0.0</v>
      </c>
      <c r="M2475" s="1" t="s">
        <v>2842</v>
      </c>
      <c r="N2475" s="1"/>
      <c r="O2475" s="1" t="s">
        <v>30</v>
      </c>
      <c r="P2475" s="1" t="s">
        <v>31</v>
      </c>
      <c r="Q2475" s="1" t="s">
        <v>53</v>
      </c>
      <c r="R2475" s="1" t="s">
        <v>53</v>
      </c>
      <c r="S2475" s="1" t="s">
        <v>54</v>
      </c>
      <c r="U2475" s="1">
        <v>1.00586524E8</v>
      </c>
      <c r="X2475" s="1" t="s">
        <v>410</v>
      </c>
      <c r="Y2475" s="1" t="s">
        <v>2842</v>
      </c>
      <c r="Z2475" s="1" t="s">
        <v>206</v>
      </c>
    </row>
    <row r="2476" hidden="1">
      <c r="A2476" s="1" t="s">
        <v>7637</v>
      </c>
      <c r="B2476" s="1" t="s">
        <v>1542</v>
      </c>
      <c r="C2476" s="1" t="s">
        <v>7638</v>
      </c>
      <c r="D2476" s="1" t="s">
        <v>122</v>
      </c>
      <c r="E2476" s="1" t="s">
        <v>28</v>
      </c>
      <c r="F2476" s="2">
        <v>450000.0</v>
      </c>
      <c r="G2476" s="1" t="s">
        <v>4047</v>
      </c>
      <c r="H2476" s="4">
        <f>IFERROR(__xludf.DUMMYFUNCTION("DATE(INDEX(SPLIT(G2476,""/""),,3),INDEX(SPLIT(G2476,""/""),,2),INDEX(SPLIT(G2476,""/""),,1))"),44580.0)</f>
        <v>44580</v>
      </c>
      <c r="I2476" s="1" t="s">
        <v>109</v>
      </c>
      <c r="J2476" s="4">
        <f>IFERROR(__xludf.DUMMYFUNCTION("DATE(INDEX(SPLIT(I2476,""/""),,3),INDEX(SPLIT(I2476,""/""),,2),INDEX(SPLIT(I2476,""/""),,1))"),44834.0)</f>
        <v>44834</v>
      </c>
      <c r="L2476" s="1">
        <v>0.0</v>
      </c>
      <c r="M2476" s="1" t="s">
        <v>4134</v>
      </c>
      <c r="N2476" s="1"/>
      <c r="O2476" s="1" t="s">
        <v>30</v>
      </c>
      <c r="P2476" s="1" t="s">
        <v>31</v>
      </c>
      <c r="Q2476" s="1" t="s">
        <v>53</v>
      </c>
      <c r="R2476" s="1" t="s">
        <v>53</v>
      </c>
      <c r="S2476" s="1" t="s">
        <v>54</v>
      </c>
      <c r="T2476" s="1" t="s">
        <v>181</v>
      </c>
      <c r="U2476" s="1">
        <v>1.00652666E8</v>
      </c>
      <c r="X2476" s="1" t="s">
        <v>74</v>
      </c>
      <c r="Y2476" s="1" t="s">
        <v>4134</v>
      </c>
      <c r="Z2476" s="1" t="s">
        <v>37</v>
      </c>
    </row>
    <row r="2477" hidden="1">
      <c r="A2477" s="1" t="s">
        <v>7639</v>
      </c>
      <c r="B2477" s="1" t="s">
        <v>3044</v>
      </c>
      <c r="C2477" s="1" t="s">
        <v>7640</v>
      </c>
      <c r="D2477" s="1" t="s">
        <v>27</v>
      </c>
      <c r="E2477" s="1" t="s">
        <v>28</v>
      </c>
      <c r="F2477" s="2">
        <v>450000.0</v>
      </c>
      <c r="G2477" s="1" t="s">
        <v>7472</v>
      </c>
      <c r="H2477" s="4">
        <f>IFERROR(__xludf.DUMMYFUNCTION("DATE(INDEX(SPLIT(G2477,""/""),,3),INDEX(SPLIT(G2477,""/""),,2),INDEX(SPLIT(G2477,""/""),,1))"),44299.0)</f>
        <v>44299</v>
      </c>
      <c r="I2477" s="1" t="s">
        <v>317</v>
      </c>
      <c r="J2477" s="4">
        <f>IFERROR(__xludf.DUMMYFUNCTION("DATE(INDEX(SPLIT(I2477,""/""),,3),INDEX(SPLIT(I2477,""/""),,2),INDEX(SPLIT(I2477,""/""),,1))"),44862.0)</f>
        <v>44862</v>
      </c>
      <c r="L2477" s="1">
        <v>0.0</v>
      </c>
      <c r="M2477" s="1" t="s">
        <v>2448</v>
      </c>
      <c r="N2477" s="1"/>
      <c r="O2477" s="1" t="s">
        <v>30</v>
      </c>
      <c r="P2477" s="1" t="s">
        <v>31</v>
      </c>
      <c r="Q2477" s="1" t="s">
        <v>53</v>
      </c>
      <c r="R2477" s="1" t="s">
        <v>53</v>
      </c>
      <c r="S2477" s="1" t="s">
        <v>54</v>
      </c>
      <c r="T2477" s="1" t="s">
        <v>197</v>
      </c>
      <c r="U2477" s="1">
        <v>1.00584032E8</v>
      </c>
      <c r="X2477" s="1" t="s">
        <v>63</v>
      </c>
      <c r="Y2477" s="1" t="s">
        <v>2448</v>
      </c>
      <c r="Z2477" s="1" t="s">
        <v>37</v>
      </c>
    </row>
    <row r="2478" hidden="1">
      <c r="A2478" s="1" t="s">
        <v>7641</v>
      </c>
      <c r="B2478" s="1" t="s">
        <v>59</v>
      </c>
      <c r="C2478" s="1" t="s">
        <v>7642</v>
      </c>
      <c r="D2478" s="1" t="s">
        <v>27</v>
      </c>
      <c r="E2478" s="1" t="s">
        <v>28</v>
      </c>
      <c r="F2478" s="2">
        <v>450000.0</v>
      </c>
      <c r="G2478" s="1" t="s">
        <v>5204</v>
      </c>
      <c r="H2478" s="4">
        <f>IFERROR(__xludf.DUMMYFUNCTION("DATE(INDEX(SPLIT(G2478,""/""),,3),INDEX(SPLIT(G2478,""/""),,2),INDEX(SPLIT(G2478,""/""),,1))"),44485.0)</f>
        <v>44485</v>
      </c>
      <c r="I2478" s="1" t="s">
        <v>293</v>
      </c>
      <c r="J2478" s="4">
        <f>IFERROR(__xludf.DUMMYFUNCTION("DATE(INDEX(SPLIT(I2478,""/""),,3),INDEX(SPLIT(I2478,""/""),,2),INDEX(SPLIT(I2478,""/""),,1))"),44918.0)</f>
        <v>44918</v>
      </c>
      <c r="L2478" s="1">
        <v>0.0</v>
      </c>
      <c r="M2478" s="1" t="s">
        <v>653</v>
      </c>
      <c r="N2478" s="1"/>
      <c r="O2478" s="1" t="s">
        <v>30</v>
      </c>
      <c r="P2478" s="1" t="s">
        <v>31</v>
      </c>
      <c r="Q2478" s="1" t="s">
        <v>157</v>
      </c>
      <c r="R2478" s="1" t="s">
        <v>157</v>
      </c>
      <c r="S2478" s="1" t="s">
        <v>158</v>
      </c>
      <c r="U2478" s="1">
        <v>1.00591141E8</v>
      </c>
      <c r="X2478" s="1" t="s">
        <v>63</v>
      </c>
      <c r="Y2478" s="1" t="s">
        <v>64</v>
      </c>
      <c r="Z2478" s="1" t="s">
        <v>37</v>
      </c>
    </row>
    <row r="2479" hidden="1">
      <c r="A2479" s="1" t="s">
        <v>7643</v>
      </c>
      <c r="B2479" s="1" t="s">
        <v>3044</v>
      </c>
      <c r="C2479" s="1" t="s">
        <v>7644</v>
      </c>
      <c r="D2479" s="1" t="s">
        <v>27</v>
      </c>
      <c r="E2479" s="1" t="s">
        <v>28</v>
      </c>
      <c r="F2479" s="2">
        <v>450000.0</v>
      </c>
      <c r="G2479" s="1" t="s">
        <v>7472</v>
      </c>
      <c r="H2479" s="4">
        <f>IFERROR(__xludf.DUMMYFUNCTION("DATE(INDEX(SPLIT(G2479,""/""),,3),INDEX(SPLIT(G2479,""/""),,2),INDEX(SPLIT(G2479,""/""),,1))"),44299.0)</f>
        <v>44299</v>
      </c>
      <c r="I2479" s="1" t="s">
        <v>317</v>
      </c>
      <c r="J2479" s="4">
        <f>IFERROR(__xludf.DUMMYFUNCTION("DATE(INDEX(SPLIT(I2479,""/""),,3),INDEX(SPLIT(I2479,""/""),,2),INDEX(SPLIT(I2479,""/""),,1))"),44862.0)</f>
        <v>44862</v>
      </c>
      <c r="L2479" s="1">
        <v>0.0</v>
      </c>
      <c r="M2479" s="1" t="s">
        <v>2448</v>
      </c>
      <c r="N2479" s="1"/>
      <c r="O2479" s="1" t="s">
        <v>30</v>
      </c>
      <c r="P2479" s="1" t="s">
        <v>31</v>
      </c>
      <c r="Q2479" s="1" t="s">
        <v>53</v>
      </c>
      <c r="R2479" s="1" t="s">
        <v>53</v>
      </c>
      <c r="S2479" s="1" t="s">
        <v>54</v>
      </c>
      <c r="T2479" s="1" t="s">
        <v>197</v>
      </c>
      <c r="U2479" s="1">
        <v>1.00584032E8</v>
      </c>
      <c r="X2479" s="1" t="s">
        <v>63</v>
      </c>
      <c r="Y2479" s="1" t="s">
        <v>2448</v>
      </c>
      <c r="Z2479" s="1" t="s">
        <v>37</v>
      </c>
    </row>
    <row r="2480">
      <c r="A2480" s="1" t="s">
        <v>7645</v>
      </c>
      <c r="B2480" s="1" t="s">
        <v>3532</v>
      </c>
      <c r="C2480" s="1" t="s">
        <v>7646</v>
      </c>
      <c r="D2480" s="1" t="s">
        <v>27</v>
      </c>
      <c r="E2480" s="1" t="s">
        <v>28</v>
      </c>
      <c r="F2480" s="2">
        <v>450000.0</v>
      </c>
      <c r="G2480" s="1" t="s">
        <v>2101</v>
      </c>
      <c r="H2480" s="4">
        <f>IFERROR(__xludf.DUMMYFUNCTION("DATE(INDEX(SPLIT(G2480,""/""),,3),INDEX(SPLIT(G2480,""/""),,2),INDEX(SPLIT(G2480,""/""),,1))"),44579.0)</f>
        <v>44579</v>
      </c>
      <c r="I2480" s="4">
        <v>44840.0</v>
      </c>
      <c r="J2480" s="4">
        <f>IFERROR(__xludf.DUMMYFUNCTION("DATE(INDEX(SPLIT(I2480,""/""),,3),INDEX(SPLIT(I2480,""/""),,2),INDEX(SPLIT(I2480,""/""),,1))"),44722.0)</f>
        <v>44722</v>
      </c>
      <c r="L2480" s="1">
        <v>0.0</v>
      </c>
      <c r="M2480" s="1" t="s">
        <v>3546</v>
      </c>
      <c r="N2480" s="1"/>
      <c r="O2480" s="1" t="s">
        <v>30</v>
      </c>
      <c r="P2480" s="1" t="s">
        <v>31</v>
      </c>
      <c r="Q2480" s="1" t="s">
        <v>53</v>
      </c>
      <c r="R2480" s="1" t="s">
        <v>53</v>
      </c>
      <c r="S2480" s="1" t="s">
        <v>54</v>
      </c>
      <c r="T2480" s="1" t="s">
        <v>197</v>
      </c>
      <c r="U2480" s="1">
        <v>1.00608164E8</v>
      </c>
      <c r="X2480" s="1" t="s">
        <v>63</v>
      </c>
      <c r="Y2480" s="1" t="s">
        <v>3546</v>
      </c>
      <c r="Z2480" s="1" t="s">
        <v>37</v>
      </c>
    </row>
    <row r="2481" hidden="1">
      <c r="A2481" s="1" t="s">
        <v>7647</v>
      </c>
      <c r="B2481" s="1" t="s">
        <v>1389</v>
      </c>
      <c r="C2481" s="1" t="s">
        <v>7648</v>
      </c>
      <c r="D2481" s="1" t="s">
        <v>27</v>
      </c>
      <c r="E2481" s="1" t="s">
        <v>28</v>
      </c>
      <c r="F2481" s="2">
        <v>450000.0</v>
      </c>
      <c r="G2481" s="1" t="s">
        <v>2655</v>
      </c>
      <c r="H2481" s="4">
        <f>IFERROR(__xludf.DUMMYFUNCTION("DATE(INDEX(SPLIT(G2481,""/""),,3),INDEX(SPLIT(G2481,""/""),,2),INDEX(SPLIT(G2481,""/""),,1))"),44467.0)</f>
        <v>44467</v>
      </c>
      <c r="I2481" s="4">
        <v>44630.0</v>
      </c>
      <c r="J2481" s="4">
        <f>IFERROR(__xludf.DUMMYFUNCTION("DATE(INDEX(SPLIT(I2481,""/""),,3),INDEX(SPLIT(I2481,""/""),,2),INDEX(SPLIT(I2481,""/""),,1))"),44837.0)</f>
        <v>44837</v>
      </c>
      <c r="L2481" s="1">
        <v>0.0</v>
      </c>
      <c r="M2481" s="1" t="s">
        <v>2757</v>
      </c>
      <c r="N2481" s="1"/>
      <c r="O2481" s="1" t="s">
        <v>30</v>
      </c>
      <c r="P2481" s="1" t="s">
        <v>31</v>
      </c>
      <c r="Q2481" s="1" t="s">
        <v>32</v>
      </c>
      <c r="R2481" s="1" t="s">
        <v>32</v>
      </c>
      <c r="S2481" s="1" t="s">
        <v>33</v>
      </c>
      <c r="T2481" s="1" t="s">
        <v>402</v>
      </c>
      <c r="U2481" s="1">
        <v>1.00893232E8</v>
      </c>
      <c r="X2481" s="1" t="s">
        <v>125</v>
      </c>
      <c r="Y2481" s="1" t="s">
        <v>7649</v>
      </c>
      <c r="Z2481" s="1" t="s">
        <v>37</v>
      </c>
    </row>
    <row r="2482" hidden="1">
      <c r="A2482" s="1" t="s">
        <v>7650</v>
      </c>
      <c r="B2482" s="1" t="s">
        <v>7651</v>
      </c>
      <c r="C2482" s="1" t="s">
        <v>7652</v>
      </c>
      <c r="D2482" s="1" t="s">
        <v>78</v>
      </c>
      <c r="E2482" s="1" t="s">
        <v>28</v>
      </c>
      <c r="F2482" s="2">
        <v>450000.0</v>
      </c>
      <c r="G2482" s="1" t="s">
        <v>1521</v>
      </c>
      <c r="H2482" s="4">
        <f>IFERROR(__xludf.DUMMYFUNCTION("DATE(INDEX(SPLIT(G2482,""/""),,3),INDEX(SPLIT(G2482,""/""),,2),INDEX(SPLIT(G2482,""/""),,1))"),44756.0)</f>
        <v>44756</v>
      </c>
      <c r="I2482" s="1" t="s">
        <v>130</v>
      </c>
      <c r="J2482" s="4">
        <f>IFERROR(__xludf.DUMMYFUNCTION("DATE(INDEX(SPLIT(I2482,""/""),,3),INDEX(SPLIT(I2482,""/""),,2),INDEX(SPLIT(I2482,""/""),,1))"),44804.0)</f>
        <v>44804</v>
      </c>
      <c r="L2482" s="1">
        <v>0.0</v>
      </c>
      <c r="M2482" s="1" t="s">
        <v>5894</v>
      </c>
      <c r="N2482" s="1"/>
      <c r="O2482" s="1" t="s">
        <v>30</v>
      </c>
      <c r="P2482" s="1" t="s">
        <v>31</v>
      </c>
      <c r="Q2482" s="1" t="s">
        <v>32</v>
      </c>
      <c r="R2482" s="1" t="s">
        <v>32</v>
      </c>
      <c r="S2482" s="1" t="s">
        <v>33</v>
      </c>
      <c r="U2482" s="1">
        <v>1.00580806E8</v>
      </c>
      <c r="X2482" s="1" t="s">
        <v>63</v>
      </c>
      <c r="Y2482" s="1" t="s">
        <v>7653</v>
      </c>
      <c r="Z2482" s="1" t="s">
        <v>37</v>
      </c>
    </row>
    <row r="2483">
      <c r="A2483" s="1" t="s">
        <v>7654</v>
      </c>
      <c r="B2483" s="1" t="s">
        <v>2000</v>
      </c>
      <c r="C2483" s="1" t="s">
        <v>7655</v>
      </c>
      <c r="D2483" s="1" t="s">
        <v>122</v>
      </c>
      <c r="E2483" s="1" t="s">
        <v>28</v>
      </c>
      <c r="F2483" s="2">
        <v>450000.0</v>
      </c>
      <c r="G2483" s="4">
        <v>44868.0</v>
      </c>
      <c r="H2483" s="4">
        <f>IFERROR(__xludf.DUMMYFUNCTION("DATE(INDEX(SPLIT(G2483,""/""),,3),INDEX(SPLIT(G2483,""/""),,2),INDEX(SPLIT(G2483,""/""),,1))"),44631.0)</f>
        <v>44631</v>
      </c>
      <c r="I2483" s="1" t="s">
        <v>1438</v>
      </c>
      <c r="J2483" s="4">
        <f>IFERROR(__xludf.DUMMYFUNCTION("DATE(INDEX(SPLIT(I2483,""/""),,3),INDEX(SPLIT(I2483,""/""),,2),INDEX(SPLIT(I2483,""/""),,1))"),44708.0)</f>
        <v>44708</v>
      </c>
      <c r="L2483" s="1">
        <v>0.0</v>
      </c>
      <c r="M2483" s="1" t="s">
        <v>2752</v>
      </c>
      <c r="N2483" s="1"/>
      <c r="O2483" s="1" t="s">
        <v>30</v>
      </c>
      <c r="P2483" s="1" t="s">
        <v>31</v>
      </c>
      <c r="Q2483" s="1" t="s">
        <v>235</v>
      </c>
      <c r="R2483" s="1" t="s">
        <v>235</v>
      </c>
      <c r="S2483" s="1" t="s">
        <v>236</v>
      </c>
      <c r="T2483" s="1" t="s">
        <v>1349</v>
      </c>
      <c r="U2483" s="1">
        <v>1.0062606E8</v>
      </c>
      <c r="X2483" s="1" t="s">
        <v>609</v>
      </c>
      <c r="Y2483" s="1" t="s">
        <v>5864</v>
      </c>
      <c r="Z2483" s="1" t="s">
        <v>37</v>
      </c>
    </row>
    <row r="2484" hidden="1">
      <c r="A2484" s="1" t="s">
        <v>7656</v>
      </c>
      <c r="B2484" s="1" t="s">
        <v>5483</v>
      </c>
      <c r="C2484" s="1" t="s">
        <v>7657</v>
      </c>
      <c r="D2484" s="1" t="s">
        <v>27</v>
      </c>
      <c r="E2484" s="1" t="s">
        <v>28</v>
      </c>
      <c r="F2484" s="2">
        <v>450000.0</v>
      </c>
      <c r="G2484" s="4">
        <v>44748.0</v>
      </c>
      <c r="H2484" s="4">
        <f>IFERROR(__xludf.DUMMYFUNCTION("DATE(INDEX(SPLIT(G2484,""/""),,3),INDEX(SPLIT(G2484,""/""),,2),INDEX(SPLIT(G2484,""/""),,1))"),44719.0)</f>
        <v>44719</v>
      </c>
      <c r="I2484" s="4">
        <v>44572.0</v>
      </c>
      <c r="J2484" s="4">
        <f>IFERROR(__xludf.DUMMYFUNCTION("DATE(INDEX(SPLIT(I2484,""/""),,3),INDEX(SPLIT(I2484,""/""),,2),INDEX(SPLIT(I2484,""/""),,1))"),44866.0)</f>
        <v>44866</v>
      </c>
      <c r="L2484" s="1">
        <v>0.0</v>
      </c>
      <c r="M2484" s="1" t="s">
        <v>7347</v>
      </c>
      <c r="N2484" s="1"/>
      <c r="O2484" s="1" t="s">
        <v>30</v>
      </c>
      <c r="P2484" s="1" t="s">
        <v>31</v>
      </c>
      <c r="Q2484" s="1" t="s">
        <v>228</v>
      </c>
      <c r="R2484" s="1" t="s">
        <v>228</v>
      </c>
      <c r="S2484" s="1" t="s">
        <v>229</v>
      </c>
      <c r="U2484" s="1">
        <v>1.00613669E8</v>
      </c>
      <c r="X2484" s="1" t="s">
        <v>190</v>
      </c>
      <c r="Y2484" s="1" t="s">
        <v>5485</v>
      </c>
      <c r="Z2484" s="1" t="s">
        <v>527</v>
      </c>
    </row>
    <row r="2485">
      <c r="A2485" s="1" t="s">
        <v>7658</v>
      </c>
      <c r="B2485" s="1" t="s">
        <v>66</v>
      </c>
      <c r="C2485" s="1" t="s">
        <v>7659</v>
      </c>
      <c r="D2485" s="1" t="s">
        <v>122</v>
      </c>
      <c r="E2485" s="1" t="s">
        <v>28</v>
      </c>
      <c r="F2485" s="2">
        <v>450000.0</v>
      </c>
      <c r="G2485" s="1" t="s">
        <v>1259</v>
      </c>
      <c r="H2485" s="4">
        <f>IFERROR(__xludf.DUMMYFUNCTION("DATE(INDEX(SPLIT(G2485,""/""),,3),INDEX(SPLIT(G2485,""/""),,2),INDEX(SPLIT(G2485,""/""),,1))"),44763.0)</f>
        <v>44763</v>
      </c>
      <c r="I2485" s="1" t="s">
        <v>226</v>
      </c>
      <c r="J2485" s="4">
        <f>IFERROR(__xludf.DUMMYFUNCTION("DATE(INDEX(SPLIT(I2485,""/""),,3),INDEX(SPLIT(I2485,""/""),,2),INDEX(SPLIT(I2485,""/""),,1))"),44771.0)</f>
        <v>44771</v>
      </c>
      <c r="L2485" s="1">
        <v>0.0</v>
      </c>
      <c r="M2485" s="1" t="s">
        <v>6682</v>
      </c>
      <c r="N2485" s="1"/>
      <c r="O2485" s="1" t="s">
        <v>30</v>
      </c>
      <c r="P2485" s="1" t="s">
        <v>31</v>
      </c>
      <c r="Q2485" s="1" t="s">
        <v>157</v>
      </c>
      <c r="R2485" s="1" t="s">
        <v>157</v>
      </c>
      <c r="S2485" s="1" t="s">
        <v>158</v>
      </c>
      <c r="U2485" s="1">
        <v>1.0049491E8</v>
      </c>
      <c r="X2485" s="1" t="s">
        <v>74</v>
      </c>
      <c r="Y2485" s="1" t="s">
        <v>7660</v>
      </c>
      <c r="Z2485" s="1" t="s">
        <v>37</v>
      </c>
    </row>
    <row r="2486">
      <c r="A2486" s="1" t="s">
        <v>7661</v>
      </c>
      <c r="B2486" s="1" t="s">
        <v>7662</v>
      </c>
      <c r="C2486" s="1" t="s">
        <v>7663</v>
      </c>
      <c r="D2486" s="1" t="s">
        <v>78</v>
      </c>
      <c r="E2486" s="1" t="s">
        <v>28</v>
      </c>
      <c r="F2486" s="2">
        <v>450000.0</v>
      </c>
      <c r="G2486" s="1" t="s">
        <v>2629</v>
      </c>
      <c r="H2486" s="4">
        <f>IFERROR(__xludf.DUMMYFUNCTION("DATE(INDEX(SPLIT(G2486,""/""),,3),INDEX(SPLIT(G2486,""/""),,2),INDEX(SPLIT(G2486,""/""),,1))"),44651.0)</f>
        <v>44651</v>
      </c>
      <c r="I2486" s="1" t="s">
        <v>2300</v>
      </c>
      <c r="J2486" s="4">
        <f>IFERROR(__xludf.DUMMYFUNCTION("DATE(INDEX(SPLIT(I2486,""/""),,3),INDEX(SPLIT(I2486,""/""),,2),INDEX(SPLIT(I2486,""/""),,1))"),44712.0)</f>
        <v>44712</v>
      </c>
      <c r="L2486" s="1">
        <v>0.0</v>
      </c>
      <c r="M2486" s="1" t="s">
        <v>1260</v>
      </c>
      <c r="N2486" s="1"/>
      <c r="O2486" s="1" t="s">
        <v>30</v>
      </c>
      <c r="P2486" s="1" t="s">
        <v>31</v>
      </c>
      <c r="Q2486" s="1" t="s">
        <v>228</v>
      </c>
      <c r="R2486" s="1" t="s">
        <v>228</v>
      </c>
      <c r="S2486" s="1" t="s">
        <v>229</v>
      </c>
      <c r="U2486" s="1">
        <v>1.01211068E8</v>
      </c>
      <c r="X2486" s="1" t="s">
        <v>88</v>
      </c>
      <c r="Y2486" s="1" t="s">
        <v>7664</v>
      </c>
      <c r="Z2486" s="1" t="s">
        <v>37</v>
      </c>
    </row>
    <row r="2487" hidden="1">
      <c r="A2487" s="1" t="s">
        <v>7665</v>
      </c>
      <c r="B2487" s="1" t="s">
        <v>2735</v>
      </c>
      <c r="C2487" s="1" t="s">
        <v>7666</v>
      </c>
      <c r="D2487" s="1" t="s">
        <v>122</v>
      </c>
      <c r="E2487" s="1" t="s">
        <v>28</v>
      </c>
      <c r="F2487" s="2">
        <v>450000.0</v>
      </c>
      <c r="G2487" s="1" t="s">
        <v>1244</v>
      </c>
      <c r="H2487" s="4">
        <f>IFERROR(__xludf.DUMMYFUNCTION("DATE(INDEX(SPLIT(G2487,""/""),,3),INDEX(SPLIT(G2487,""/""),,2),INDEX(SPLIT(G2487,""/""),,1))"),44742.0)</f>
        <v>44742</v>
      </c>
      <c r="I2487" s="1" t="s">
        <v>85</v>
      </c>
      <c r="J2487" s="4">
        <f>IFERROR(__xludf.DUMMYFUNCTION("DATE(INDEX(SPLIT(I2487,""/""),,3),INDEX(SPLIT(I2487,""/""),,2),INDEX(SPLIT(I2487,""/""),,1))"),44799.0)</f>
        <v>44799</v>
      </c>
      <c r="L2487" s="1">
        <v>0.0</v>
      </c>
      <c r="M2487" s="1" t="s">
        <v>4849</v>
      </c>
      <c r="N2487" s="1"/>
      <c r="O2487" s="1" t="s">
        <v>30</v>
      </c>
      <c r="P2487" s="1" t="s">
        <v>31</v>
      </c>
      <c r="Q2487" s="1" t="s">
        <v>157</v>
      </c>
      <c r="R2487" s="1" t="s">
        <v>157</v>
      </c>
      <c r="S2487" s="1" t="s">
        <v>158</v>
      </c>
      <c r="U2487" s="1">
        <v>1.00620934E8</v>
      </c>
      <c r="X2487" s="1" t="s">
        <v>490</v>
      </c>
      <c r="Y2487" s="1" t="s">
        <v>7480</v>
      </c>
      <c r="Z2487" s="1" t="s">
        <v>37</v>
      </c>
    </row>
    <row r="2488" hidden="1">
      <c r="A2488" s="1" t="s">
        <v>7667</v>
      </c>
      <c r="B2488" s="1" t="s">
        <v>7668</v>
      </c>
      <c r="C2488" s="1" t="s">
        <v>7669</v>
      </c>
      <c r="D2488" s="1" t="s">
        <v>122</v>
      </c>
      <c r="E2488" s="1" t="s">
        <v>28</v>
      </c>
      <c r="F2488" s="2">
        <v>450000.0</v>
      </c>
      <c r="G2488" s="4">
        <v>44837.0</v>
      </c>
      <c r="H2488" s="4">
        <f>IFERROR(__xludf.DUMMYFUNCTION("DATE(INDEX(SPLIT(G2488,""/""),,3),INDEX(SPLIT(G2488,""/""),,2),INDEX(SPLIT(G2488,""/""),,1))"),44630.0)</f>
        <v>44630</v>
      </c>
      <c r="I2488" s="1" t="s">
        <v>360</v>
      </c>
      <c r="J2488" s="4">
        <f>IFERROR(__xludf.DUMMYFUNCTION("DATE(INDEX(SPLIT(I2488,""/""),,3),INDEX(SPLIT(I2488,""/""),,2),INDEX(SPLIT(I2488,""/""),,1))"),44895.0)</f>
        <v>44895</v>
      </c>
      <c r="L2488" s="1">
        <v>0.0</v>
      </c>
      <c r="M2488" s="1" t="s">
        <v>1333</v>
      </c>
      <c r="N2488" s="1"/>
      <c r="O2488" s="1" t="s">
        <v>30</v>
      </c>
      <c r="P2488" s="1" t="s">
        <v>31</v>
      </c>
      <c r="Q2488" s="1" t="s">
        <v>71</v>
      </c>
      <c r="R2488" s="1" t="s">
        <v>71</v>
      </c>
      <c r="S2488" s="1" t="s">
        <v>72</v>
      </c>
      <c r="T2488" s="1" t="s">
        <v>136</v>
      </c>
      <c r="U2488" s="1">
        <v>1.006299E8</v>
      </c>
      <c r="X2488" s="1" t="s">
        <v>2769</v>
      </c>
      <c r="Y2488" s="1" t="s">
        <v>7670</v>
      </c>
      <c r="Z2488" s="1" t="s">
        <v>37</v>
      </c>
    </row>
    <row r="2489">
      <c r="A2489" s="1" t="s">
        <v>7671</v>
      </c>
      <c r="B2489" s="1" t="s">
        <v>2727</v>
      </c>
      <c r="C2489" s="1" t="s">
        <v>7672</v>
      </c>
      <c r="D2489" s="1" t="s">
        <v>68</v>
      </c>
      <c r="E2489" s="1" t="s">
        <v>28</v>
      </c>
      <c r="F2489" s="2">
        <v>450000.0</v>
      </c>
      <c r="G2489" s="4">
        <v>44656.0</v>
      </c>
      <c r="H2489" s="4">
        <f>IFERROR(__xludf.DUMMYFUNCTION("DATE(INDEX(SPLIT(G2489,""/""),,3),INDEX(SPLIT(G2489,""/""),,2),INDEX(SPLIT(G2489,""/""),,1))"),44685.0)</f>
        <v>44685</v>
      </c>
      <c r="I2489" s="1" t="s">
        <v>518</v>
      </c>
      <c r="J2489" s="4">
        <f>IFERROR(__xludf.DUMMYFUNCTION("DATE(INDEX(SPLIT(I2489,""/""),,3),INDEX(SPLIT(I2489,""/""),,2),INDEX(SPLIT(I2489,""/""),,1))"),44757.0)</f>
        <v>44757</v>
      </c>
      <c r="L2489" s="1">
        <v>0.0</v>
      </c>
      <c r="M2489" s="1" t="s">
        <v>1723</v>
      </c>
      <c r="N2489" s="1"/>
      <c r="O2489" s="1" t="s">
        <v>30</v>
      </c>
      <c r="P2489" s="1" t="s">
        <v>31</v>
      </c>
      <c r="Q2489" s="1" t="s">
        <v>157</v>
      </c>
      <c r="R2489" s="1" t="s">
        <v>157</v>
      </c>
      <c r="S2489" s="1" t="s">
        <v>158</v>
      </c>
      <c r="T2489" s="1" t="s">
        <v>159</v>
      </c>
      <c r="U2489" s="1">
        <v>1.00654085E8</v>
      </c>
      <c r="X2489" s="1" t="s">
        <v>74</v>
      </c>
      <c r="Y2489" s="1" t="s">
        <v>1723</v>
      </c>
      <c r="Z2489" s="1" t="s">
        <v>37</v>
      </c>
    </row>
    <row r="2490">
      <c r="A2490" s="1" t="s">
        <v>7673</v>
      </c>
      <c r="B2490" s="1" t="s">
        <v>120</v>
      </c>
      <c r="C2490" s="1" t="s">
        <v>7674</v>
      </c>
      <c r="D2490" s="1" t="s">
        <v>122</v>
      </c>
      <c r="E2490" s="1" t="s">
        <v>28</v>
      </c>
      <c r="F2490" s="2">
        <v>450000.0</v>
      </c>
      <c r="G2490" s="4">
        <v>44748.0</v>
      </c>
      <c r="H2490" s="4">
        <f>IFERROR(__xludf.DUMMYFUNCTION("DATE(INDEX(SPLIT(G2490,""/""),,3),INDEX(SPLIT(G2490,""/""),,2),INDEX(SPLIT(G2490,""/""),,1))"),44719.0)</f>
        <v>44719</v>
      </c>
      <c r="I2490" s="1" t="s">
        <v>935</v>
      </c>
      <c r="J2490" s="4">
        <f>IFERROR(__xludf.DUMMYFUNCTION("DATE(INDEX(SPLIT(I2490,""/""),,3),INDEX(SPLIT(I2490,""/""),,2),INDEX(SPLIT(I2490,""/""),,1))"),44764.0)</f>
        <v>44764</v>
      </c>
      <c r="L2490" s="1">
        <v>0.0</v>
      </c>
      <c r="M2490" s="1" t="s">
        <v>7598</v>
      </c>
      <c r="N2490" s="1"/>
      <c r="O2490" s="1" t="s">
        <v>30</v>
      </c>
      <c r="P2490" s="1" t="s">
        <v>31</v>
      </c>
      <c r="Q2490" s="1" t="s">
        <v>32</v>
      </c>
      <c r="R2490" s="1" t="s">
        <v>32</v>
      </c>
      <c r="S2490" s="1" t="s">
        <v>33</v>
      </c>
      <c r="T2490" s="1" t="s">
        <v>1386</v>
      </c>
      <c r="U2490" s="1">
        <v>1.00644939E8</v>
      </c>
      <c r="X2490" s="1" t="s">
        <v>125</v>
      </c>
      <c r="Y2490" s="1" t="s">
        <v>4699</v>
      </c>
      <c r="Z2490" s="1" t="s">
        <v>37</v>
      </c>
    </row>
    <row r="2491" hidden="1">
      <c r="A2491" s="1" t="s">
        <v>7675</v>
      </c>
      <c r="B2491" s="1" t="s">
        <v>7676</v>
      </c>
      <c r="C2491" s="1" t="s">
        <v>7677</v>
      </c>
      <c r="D2491" s="1" t="s">
        <v>122</v>
      </c>
      <c r="E2491" s="1" t="s">
        <v>28</v>
      </c>
      <c r="F2491" s="2">
        <v>450000.0</v>
      </c>
      <c r="G2491" s="4">
        <v>44567.0</v>
      </c>
      <c r="H2491" s="4">
        <f>IFERROR(__xludf.DUMMYFUNCTION("DATE(INDEX(SPLIT(G2491,""/""),,3),INDEX(SPLIT(G2491,""/""),,2),INDEX(SPLIT(G2491,""/""),,1))"),44713.0)</f>
        <v>44713</v>
      </c>
      <c r="I2491" s="1" t="s">
        <v>109</v>
      </c>
      <c r="J2491" s="4">
        <f>IFERROR(__xludf.DUMMYFUNCTION("DATE(INDEX(SPLIT(I2491,""/""),,3),INDEX(SPLIT(I2491,""/""),,2),INDEX(SPLIT(I2491,""/""),,1))"),44834.0)</f>
        <v>44834</v>
      </c>
      <c r="L2491" s="1">
        <v>0.0</v>
      </c>
      <c r="M2491" s="1" t="s">
        <v>5632</v>
      </c>
      <c r="N2491" s="1"/>
      <c r="O2491" s="1" t="s">
        <v>30</v>
      </c>
      <c r="P2491" s="1" t="s">
        <v>31</v>
      </c>
      <c r="Q2491" s="1" t="s">
        <v>157</v>
      </c>
      <c r="R2491" s="1" t="s">
        <v>157</v>
      </c>
      <c r="S2491" s="1" t="s">
        <v>158</v>
      </c>
      <c r="U2491" s="1">
        <v>1.00625563E8</v>
      </c>
      <c r="X2491" s="1" t="s">
        <v>2769</v>
      </c>
      <c r="Y2491" s="1" t="s">
        <v>7678</v>
      </c>
      <c r="Z2491" s="1" t="s">
        <v>37</v>
      </c>
    </row>
    <row r="2492" hidden="1">
      <c r="A2492" s="1" t="s">
        <v>7679</v>
      </c>
      <c r="B2492" s="1" t="s">
        <v>83</v>
      </c>
      <c r="C2492" s="1" t="s">
        <v>7680</v>
      </c>
      <c r="D2492" s="1" t="s">
        <v>27</v>
      </c>
      <c r="E2492" s="1" t="s">
        <v>28</v>
      </c>
      <c r="F2492" s="2">
        <v>450000.0</v>
      </c>
      <c r="G2492" s="1" t="s">
        <v>4346</v>
      </c>
      <c r="H2492" s="4">
        <f>IFERROR(__xludf.DUMMYFUNCTION("DATE(INDEX(SPLIT(G2492,""/""),,3),INDEX(SPLIT(G2492,""/""),,2),INDEX(SPLIT(G2492,""/""),,1))"),44765.0)</f>
        <v>44765</v>
      </c>
      <c r="I2492" s="1" t="s">
        <v>1799</v>
      </c>
      <c r="J2492" s="4">
        <f>IFERROR(__xludf.DUMMYFUNCTION("DATE(INDEX(SPLIT(I2492,""/""),,3),INDEX(SPLIT(I2492,""/""),,2),INDEX(SPLIT(I2492,""/""),,1))"),44788.0)</f>
        <v>44788</v>
      </c>
      <c r="L2492" s="1">
        <v>0.0</v>
      </c>
      <c r="M2492" s="1" t="s">
        <v>86</v>
      </c>
      <c r="N2492" s="1"/>
      <c r="O2492" s="1" t="s">
        <v>30</v>
      </c>
      <c r="P2492" s="1" t="s">
        <v>31</v>
      </c>
      <c r="Q2492" s="1" t="s">
        <v>53</v>
      </c>
      <c r="R2492" s="1" t="s">
        <v>53</v>
      </c>
      <c r="S2492" s="1" t="s">
        <v>54</v>
      </c>
      <c r="U2492" s="1">
        <v>1.00653539E8</v>
      </c>
      <c r="X2492" s="1" t="s">
        <v>88</v>
      </c>
      <c r="Y2492" s="1" t="s">
        <v>89</v>
      </c>
      <c r="Z2492" s="1" t="s">
        <v>37</v>
      </c>
    </row>
    <row r="2493">
      <c r="A2493" s="1" t="s">
        <v>7681</v>
      </c>
      <c r="B2493" s="1" t="s">
        <v>7682</v>
      </c>
      <c r="C2493" s="1" t="s">
        <v>7683</v>
      </c>
      <c r="D2493" s="1" t="s">
        <v>27</v>
      </c>
      <c r="E2493" s="1" t="s">
        <v>28</v>
      </c>
      <c r="F2493" s="2">
        <v>450000.0</v>
      </c>
      <c r="G2493" s="1" t="s">
        <v>1381</v>
      </c>
      <c r="H2493" s="4">
        <f>IFERROR(__xludf.DUMMYFUNCTION("DATE(INDEX(SPLIT(G2493,""/""),,3),INDEX(SPLIT(G2493,""/""),,2),INDEX(SPLIT(G2493,""/""),,1))"),44643.0)</f>
        <v>44643</v>
      </c>
      <c r="I2493" s="1" t="s">
        <v>226</v>
      </c>
      <c r="J2493" s="4">
        <f>IFERROR(__xludf.DUMMYFUNCTION("DATE(INDEX(SPLIT(I2493,""/""),,3),INDEX(SPLIT(I2493,""/""),,2),INDEX(SPLIT(I2493,""/""),,1))"),44771.0)</f>
        <v>44771</v>
      </c>
      <c r="L2493" s="1">
        <v>0.0</v>
      </c>
      <c r="M2493" s="1" t="s">
        <v>2448</v>
      </c>
      <c r="N2493" s="1"/>
      <c r="O2493" s="1" t="s">
        <v>30</v>
      </c>
      <c r="P2493" s="1" t="s">
        <v>31</v>
      </c>
      <c r="Q2493" s="1" t="s">
        <v>53</v>
      </c>
      <c r="R2493" s="1" t="s">
        <v>53</v>
      </c>
      <c r="S2493" s="1" t="s">
        <v>54</v>
      </c>
      <c r="U2493" s="1">
        <v>1.00584032E8</v>
      </c>
      <c r="X2493" s="1" t="s">
        <v>63</v>
      </c>
      <c r="Y2493" s="1" t="s">
        <v>2448</v>
      </c>
      <c r="Z2493" s="1" t="s">
        <v>37</v>
      </c>
    </row>
    <row r="2494" hidden="1">
      <c r="A2494" s="1" t="s">
        <v>7684</v>
      </c>
      <c r="B2494" s="1" t="s">
        <v>106</v>
      </c>
      <c r="C2494" s="1" t="s">
        <v>7685</v>
      </c>
      <c r="D2494" s="1" t="s">
        <v>78</v>
      </c>
      <c r="E2494" s="1" t="s">
        <v>28</v>
      </c>
      <c r="F2494" s="2">
        <v>450000.0</v>
      </c>
      <c r="G2494" s="4">
        <v>44748.0</v>
      </c>
      <c r="H2494" s="4">
        <f>IFERROR(__xludf.DUMMYFUNCTION("DATE(INDEX(SPLIT(G2494,""/""),,3),INDEX(SPLIT(G2494,""/""),,2),INDEX(SPLIT(G2494,""/""),,1))"),44719.0)</f>
        <v>44719</v>
      </c>
      <c r="I2494" s="1" t="s">
        <v>109</v>
      </c>
      <c r="J2494" s="4">
        <f>IFERROR(__xludf.DUMMYFUNCTION("DATE(INDEX(SPLIT(I2494,""/""),,3),INDEX(SPLIT(I2494,""/""),,2),INDEX(SPLIT(I2494,""/""),,1))"),44834.0)</f>
        <v>44834</v>
      </c>
      <c r="L2494" s="1">
        <v>0.0</v>
      </c>
      <c r="M2494" s="1" t="s">
        <v>7686</v>
      </c>
      <c r="N2494" s="1"/>
      <c r="O2494" s="1" t="s">
        <v>30</v>
      </c>
      <c r="P2494" s="1" t="s">
        <v>31</v>
      </c>
      <c r="Q2494" s="1" t="s">
        <v>188</v>
      </c>
      <c r="R2494" s="1" t="s">
        <v>188</v>
      </c>
      <c r="S2494" s="1" t="s">
        <v>189</v>
      </c>
      <c r="U2494" s="1">
        <v>1.00623248E8</v>
      </c>
      <c r="X2494" s="1" t="s">
        <v>63</v>
      </c>
      <c r="Y2494" s="1" t="s">
        <v>7687</v>
      </c>
      <c r="Z2494" s="1" t="s">
        <v>206</v>
      </c>
    </row>
    <row r="2495">
      <c r="A2495" s="1" t="s">
        <v>7688</v>
      </c>
      <c r="B2495" s="1" t="s">
        <v>2016</v>
      </c>
      <c r="C2495" s="1" t="s">
        <v>7689</v>
      </c>
      <c r="D2495" s="1" t="s">
        <v>78</v>
      </c>
      <c r="E2495" s="1" t="s">
        <v>28</v>
      </c>
      <c r="F2495" s="2">
        <v>450000.0</v>
      </c>
      <c r="G2495" s="1" t="s">
        <v>1128</v>
      </c>
      <c r="H2495" s="4">
        <f>IFERROR(__xludf.DUMMYFUNCTION("DATE(INDEX(SPLIT(G2495,""/""),,3),INDEX(SPLIT(G2495,""/""),,2),INDEX(SPLIT(G2495,""/""),,1))"),44737.0)</f>
        <v>44737</v>
      </c>
      <c r="I2495" s="1" t="s">
        <v>935</v>
      </c>
      <c r="J2495" s="4">
        <f>IFERROR(__xludf.DUMMYFUNCTION("DATE(INDEX(SPLIT(I2495,""/""),,3),INDEX(SPLIT(I2495,""/""),,2),INDEX(SPLIT(I2495,""/""),,1))"),44764.0)</f>
        <v>44764</v>
      </c>
      <c r="L2495" s="1">
        <v>0.0</v>
      </c>
      <c r="M2495" s="1" t="s">
        <v>1239</v>
      </c>
      <c r="N2495" s="1"/>
      <c r="O2495" s="1" t="s">
        <v>30</v>
      </c>
      <c r="P2495" s="1" t="s">
        <v>31</v>
      </c>
      <c r="Q2495" s="1" t="s">
        <v>71</v>
      </c>
      <c r="R2495" s="1" t="s">
        <v>71</v>
      </c>
      <c r="S2495" s="1" t="s">
        <v>72</v>
      </c>
      <c r="U2495" s="1">
        <v>1.00943277E8</v>
      </c>
      <c r="X2495" s="1" t="s">
        <v>74</v>
      </c>
      <c r="Y2495" s="1" t="s">
        <v>3855</v>
      </c>
      <c r="Z2495" s="1" t="s">
        <v>37</v>
      </c>
    </row>
    <row r="2496">
      <c r="A2496" s="1" t="s">
        <v>7690</v>
      </c>
      <c r="B2496" s="1" t="s">
        <v>784</v>
      </c>
      <c r="C2496" s="1" t="s">
        <v>7691</v>
      </c>
      <c r="D2496" s="1" t="s">
        <v>27</v>
      </c>
      <c r="E2496" s="1" t="s">
        <v>28</v>
      </c>
      <c r="F2496" s="2">
        <v>450000.0</v>
      </c>
      <c r="G2496" s="1" t="s">
        <v>557</v>
      </c>
      <c r="H2496" s="4">
        <f>IFERROR(__xludf.DUMMYFUNCTION("DATE(INDEX(SPLIT(G2496,""/""),,3),INDEX(SPLIT(G2496,""/""),,2),INDEX(SPLIT(G2496,""/""),,1))"),44439.0)</f>
        <v>44439</v>
      </c>
      <c r="I2496" s="1" t="s">
        <v>69</v>
      </c>
      <c r="J2496" s="4">
        <f>IFERROR(__xludf.DUMMYFUNCTION("DATE(INDEX(SPLIT(I2496,""/""),,3),INDEX(SPLIT(I2496,""/""),,2),INDEX(SPLIT(I2496,""/""),,1))"),44773.0)</f>
        <v>44773</v>
      </c>
      <c r="L2496" s="1">
        <v>0.0</v>
      </c>
      <c r="M2496" s="1" t="s">
        <v>1398</v>
      </c>
      <c r="N2496" s="1"/>
      <c r="O2496" s="1" t="s">
        <v>30</v>
      </c>
      <c r="P2496" s="1" t="s">
        <v>31</v>
      </c>
      <c r="Q2496" s="1" t="s">
        <v>95</v>
      </c>
      <c r="R2496" s="1" t="s">
        <v>95</v>
      </c>
      <c r="S2496" s="1" t="s">
        <v>96</v>
      </c>
      <c r="T2496" s="1" t="s">
        <v>111</v>
      </c>
      <c r="U2496" s="1">
        <v>1.0061941E8</v>
      </c>
      <c r="X2496" s="1" t="s">
        <v>63</v>
      </c>
      <c r="Y2496" s="1" t="s">
        <v>2081</v>
      </c>
      <c r="Z2496" s="1" t="s">
        <v>37</v>
      </c>
    </row>
    <row r="2497" hidden="1">
      <c r="A2497" s="1" t="s">
        <v>7692</v>
      </c>
      <c r="B2497" s="1" t="s">
        <v>784</v>
      </c>
      <c r="C2497" s="1" t="s">
        <v>7693</v>
      </c>
      <c r="D2497" s="1" t="s">
        <v>27</v>
      </c>
      <c r="E2497" s="1" t="s">
        <v>28</v>
      </c>
      <c r="F2497" s="2">
        <v>450000.0</v>
      </c>
      <c r="G2497" s="1" t="s">
        <v>557</v>
      </c>
      <c r="H2497" s="4">
        <f>IFERROR(__xludf.DUMMYFUNCTION("DATE(INDEX(SPLIT(G2497,""/""),,3),INDEX(SPLIT(G2497,""/""),,2),INDEX(SPLIT(G2497,""/""),,1))"),44439.0)</f>
        <v>44439</v>
      </c>
      <c r="I2497" s="1" t="s">
        <v>42</v>
      </c>
      <c r="J2497" s="4">
        <f>IFERROR(__xludf.DUMMYFUNCTION("DATE(INDEX(SPLIT(I2497,""/""),,3),INDEX(SPLIT(I2497,""/""),,2),INDEX(SPLIT(I2497,""/""),,1))"),44926.0)</f>
        <v>44926</v>
      </c>
      <c r="L2497" s="1">
        <v>0.0</v>
      </c>
      <c r="M2497" s="1" t="s">
        <v>1398</v>
      </c>
      <c r="N2497" s="1"/>
      <c r="O2497" s="1" t="s">
        <v>30</v>
      </c>
      <c r="P2497" s="1" t="s">
        <v>31</v>
      </c>
      <c r="Q2497" s="1" t="s">
        <v>95</v>
      </c>
      <c r="R2497" s="1" t="s">
        <v>95</v>
      </c>
      <c r="S2497" s="1" t="s">
        <v>96</v>
      </c>
      <c r="T2497" s="1" t="s">
        <v>111</v>
      </c>
      <c r="U2497" s="1">
        <v>1.0061941E8</v>
      </c>
      <c r="X2497" s="1" t="s">
        <v>63</v>
      </c>
      <c r="Y2497" s="1" t="s">
        <v>2081</v>
      </c>
      <c r="Z2497" s="1" t="s">
        <v>37</v>
      </c>
    </row>
    <row r="2498" hidden="1">
      <c r="A2498" s="1" t="s">
        <v>7694</v>
      </c>
      <c r="B2498" s="1" t="s">
        <v>566</v>
      </c>
      <c r="C2498" s="1" t="s">
        <v>7695</v>
      </c>
      <c r="D2498" s="1" t="s">
        <v>122</v>
      </c>
      <c r="E2498" s="1" t="s">
        <v>28</v>
      </c>
      <c r="F2498" s="2">
        <v>450000.0</v>
      </c>
      <c r="G2498" s="1" t="s">
        <v>7696</v>
      </c>
      <c r="H2498" s="4">
        <f>IFERROR(__xludf.DUMMYFUNCTION("DATE(INDEX(SPLIT(G2498,""/""),,3),INDEX(SPLIT(G2498,""/""),,2),INDEX(SPLIT(G2498,""/""),,1))"),44577.0)</f>
        <v>44577</v>
      </c>
      <c r="I2498" s="4">
        <v>44903.0</v>
      </c>
      <c r="J2498" s="4">
        <f>IFERROR(__xludf.DUMMYFUNCTION("DATE(INDEX(SPLIT(I2498,""/""),,3),INDEX(SPLIT(I2498,""/""),,2),INDEX(SPLIT(I2498,""/""),,1))"),44785.0)</f>
        <v>44785</v>
      </c>
      <c r="L2498" s="1">
        <v>0.0</v>
      </c>
      <c r="M2498" s="1" t="s">
        <v>558</v>
      </c>
      <c r="N2498" s="1"/>
      <c r="O2498" s="1" t="s">
        <v>30</v>
      </c>
      <c r="P2498" s="1" t="s">
        <v>31</v>
      </c>
      <c r="Q2498" s="1" t="s">
        <v>53</v>
      </c>
      <c r="R2498" s="1" t="s">
        <v>53</v>
      </c>
      <c r="S2498" s="1" t="s">
        <v>54</v>
      </c>
      <c r="T2498" s="1" t="s">
        <v>87</v>
      </c>
      <c r="U2498" s="1">
        <v>1.00653597E8</v>
      </c>
      <c r="X2498" s="1" t="s">
        <v>63</v>
      </c>
      <c r="Y2498" s="1" t="s">
        <v>558</v>
      </c>
      <c r="Z2498" s="1" t="s">
        <v>37</v>
      </c>
    </row>
    <row r="2499" hidden="1">
      <c r="A2499" s="1" t="s">
        <v>7697</v>
      </c>
      <c r="B2499" s="1" t="s">
        <v>6099</v>
      </c>
      <c r="C2499" s="1" t="s">
        <v>7698</v>
      </c>
      <c r="D2499" s="1" t="s">
        <v>78</v>
      </c>
      <c r="E2499" s="1" t="s">
        <v>28</v>
      </c>
      <c r="F2499" s="2">
        <v>450000.0</v>
      </c>
      <c r="G2499" s="1" t="s">
        <v>935</v>
      </c>
      <c r="H2499" s="4">
        <f>IFERROR(__xludf.DUMMYFUNCTION("DATE(INDEX(SPLIT(G2499,""/""),,3),INDEX(SPLIT(G2499,""/""),,2),INDEX(SPLIT(G2499,""/""),,1))"),44764.0)</f>
        <v>44764</v>
      </c>
      <c r="I2499" s="1" t="s">
        <v>281</v>
      </c>
      <c r="J2499" s="4">
        <f>IFERROR(__xludf.DUMMYFUNCTION("DATE(INDEX(SPLIT(I2499,""/""),,3),INDEX(SPLIT(I2499,""/""),,2),INDEX(SPLIT(I2499,""/""),,1))"),44865.0)</f>
        <v>44865</v>
      </c>
      <c r="L2499" s="1">
        <v>0.0</v>
      </c>
      <c r="M2499" s="1" t="s">
        <v>3138</v>
      </c>
      <c r="N2499" s="1"/>
      <c r="O2499" s="1" t="s">
        <v>30</v>
      </c>
      <c r="P2499" s="1" t="s">
        <v>31</v>
      </c>
      <c r="Q2499" s="1" t="s">
        <v>157</v>
      </c>
      <c r="R2499" s="1" t="s">
        <v>157</v>
      </c>
      <c r="S2499" s="1" t="s">
        <v>158</v>
      </c>
      <c r="U2499" s="1">
        <v>1.00616377E8</v>
      </c>
      <c r="X2499" s="1" t="s">
        <v>361</v>
      </c>
      <c r="Y2499" s="1" t="s">
        <v>7699</v>
      </c>
      <c r="Z2499" s="1" t="s">
        <v>37</v>
      </c>
    </row>
    <row r="2500" hidden="1">
      <c r="A2500" s="1" t="s">
        <v>7700</v>
      </c>
      <c r="B2500" s="1" t="s">
        <v>784</v>
      </c>
      <c r="C2500" s="1" t="s">
        <v>7701</v>
      </c>
      <c r="D2500" s="1" t="s">
        <v>27</v>
      </c>
      <c r="E2500" s="1" t="s">
        <v>28</v>
      </c>
      <c r="F2500" s="2">
        <v>450000.0</v>
      </c>
      <c r="G2500" s="1" t="s">
        <v>557</v>
      </c>
      <c r="H2500" s="4">
        <f>IFERROR(__xludf.DUMMYFUNCTION("DATE(INDEX(SPLIT(G2500,""/""),,3),INDEX(SPLIT(G2500,""/""),,2),INDEX(SPLIT(G2500,""/""),,1))"),44439.0)</f>
        <v>44439</v>
      </c>
      <c r="I2500" s="1" t="s">
        <v>203</v>
      </c>
      <c r="J2500" s="4">
        <f>IFERROR(__xludf.DUMMYFUNCTION("DATE(INDEX(SPLIT(I2500,""/""),,3),INDEX(SPLIT(I2500,""/""),,2),INDEX(SPLIT(I2500,""/""),,1))"),44925.0)</f>
        <v>44925</v>
      </c>
      <c r="L2500" s="1">
        <v>0.0</v>
      </c>
      <c r="M2500" s="1" t="s">
        <v>1398</v>
      </c>
      <c r="N2500" s="1"/>
      <c r="O2500" s="1" t="s">
        <v>30</v>
      </c>
      <c r="P2500" s="1" t="s">
        <v>31</v>
      </c>
      <c r="Q2500" s="1" t="s">
        <v>95</v>
      </c>
      <c r="R2500" s="1" t="s">
        <v>95</v>
      </c>
      <c r="S2500" s="1" t="s">
        <v>96</v>
      </c>
      <c r="T2500" s="1" t="s">
        <v>111</v>
      </c>
      <c r="U2500" s="1">
        <v>1.0061941E8</v>
      </c>
      <c r="X2500" s="1" t="s">
        <v>63</v>
      </c>
      <c r="Y2500" s="1" t="s">
        <v>2081</v>
      </c>
      <c r="Z2500" s="1" t="s">
        <v>37</v>
      </c>
    </row>
    <row r="2501" hidden="1">
      <c r="A2501" s="1" t="s">
        <v>7702</v>
      </c>
      <c r="B2501" s="1" t="s">
        <v>5378</v>
      </c>
      <c r="C2501" s="1" t="s">
        <v>7703</v>
      </c>
      <c r="D2501" s="1" t="s">
        <v>122</v>
      </c>
      <c r="E2501" s="1" t="s">
        <v>28</v>
      </c>
      <c r="F2501" s="2">
        <v>450000.0</v>
      </c>
      <c r="G2501" s="4">
        <v>44471.0</v>
      </c>
      <c r="H2501" s="4">
        <f>IFERROR(__xludf.DUMMYFUNCTION("DATE(INDEX(SPLIT(G2501,""/""),,3),INDEX(SPLIT(G2501,""/""),,2),INDEX(SPLIT(G2501,""/""),,1))"),44237.0)</f>
        <v>44237</v>
      </c>
      <c r="I2501" s="4">
        <v>44963.0</v>
      </c>
      <c r="J2501" s="4">
        <f>IFERROR(__xludf.DUMMYFUNCTION("DATE(INDEX(SPLIT(I2501,""/""),,3),INDEX(SPLIT(I2501,""/""),,2),INDEX(SPLIT(I2501,""/""),,1))"),45079.0)</f>
        <v>45079</v>
      </c>
      <c r="L2501" s="1">
        <v>0.0</v>
      </c>
      <c r="M2501" s="1" t="s">
        <v>344</v>
      </c>
      <c r="N2501" s="1"/>
      <c r="O2501" s="1" t="s">
        <v>30</v>
      </c>
      <c r="P2501" s="1" t="s">
        <v>31</v>
      </c>
      <c r="Q2501" s="1" t="s">
        <v>188</v>
      </c>
      <c r="R2501" s="1" t="s">
        <v>188</v>
      </c>
      <c r="S2501" s="1" t="s">
        <v>189</v>
      </c>
      <c r="T2501" s="1" t="s">
        <v>345</v>
      </c>
      <c r="U2501" s="1">
        <v>1.00646804E8</v>
      </c>
      <c r="X2501" s="1" t="s">
        <v>239</v>
      </c>
      <c r="Y2501" s="1" t="s">
        <v>4675</v>
      </c>
      <c r="Z2501" s="1" t="s">
        <v>37</v>
      </c>
    </row>
    <row r="2502" hidden="1">
      <c r="A2502" s="1" t="s">
        <v>7704</v>
      </c>
      <c r="B2502" s="1" t="s">
        <v>4101</v>
      </c>
      <c r="C2502" s="1" t="s">
        <v>7705</v>
      </c>
      <c r="D2502" s="1" t="s">
        <v>122</v>
      </c>
      <c r="E2502" s="1" t="s">
        <v>28</v>
      </c>
      <c r="F2502" s="2">
        <v>450000.0</v>
      </c>
      <c r="G2502" s="4">
        <v>44622.0</v>
      </c>
      <c r="H2502" s="4">
        <f>IFERROR(__xludf.DUMMYFUNCTION("DATE(INDEX(SPLIT(G2502,""/""),,3),INDEX(SPLIT(G2502,""/""),,2),INDEX(SPLIT(G2502,""/""),,1))"),44595.0)</f>
        <v>44595</v>
      </c>
      <c r="I2502" s="4">
        <v>44569.0</v>
      </c>
      <c r="J2502" s="4">
        <f>IFERROR(__xludf.DUMMYFUNCTION("DATE(INDEX(SPLIT(I2502,""/""),,3),INDEX(SPLIT(I2502,""/""),,2),INDEX(SPLIT(I2502,""/""),,1))"),44774.0)</f>
        <v>44774</v>
      </c>
      <c r="K2502" s="9">
        <v>44564.28194444445</v>
      </c>
      <c r="L2502" s="1">
        <v>0.0</v>
      </c>
      <c r="M2502" s="1" t="s">
        <v>5888</v>
      </c>
      <c r="N2502" s="1"/>
      <c r="O2502" s="1" t="s">
        <v>30</v>
      </c>
      <c r="P2502" s="1" t="s">
        <v>31</v>
      </c>
      <c r="Q2502" s="1" t="s">
        <v>32</v>
      </c>
      <c r="R2502" s="1" t="s">
        <v>32</v>
      </c>
      <c r="S2502" s="1" t="s">
        <v>33</v>
      </c>
      <c r="U2502" s="1">
        <v>1.00586334E8</v>
      </c>
      <c r="X2502" s="1" t="s">
        <v>312</v>
      </c>
      <c r="Y2502" s="1" t="s">
        <v>4745</v>
      </c>
      <c r="Z2502" s="1" t="s">
        <v>37</v>
      </c>
    </row>
    <row r="2503" hidden="1">
      <c r="A2503" s="1" t="s">
        <v>7706</v>
      </c>
      <c r="B2503" s="1" t="s">
        <v>3472</v>
      </c>
      <c r="C2503" s="1" t="s">
        <v>7707</v>
      </c>
      <c r="D2503" s="1" t="s">
        <v>27</v>
      </c>
      <c r="E2503" s="1" t="s">
        <v>28</v>
      </c>
      <c r="F2503" s="2">
        <v>450000.0</v>
      </c>
      <c r="G2503" s="4">
        <v>44623.0</v>
      </c>
      <c r="H2503" s="4">
        <f>IFERROR(__xludf.DUMMYFUNCTION("DATE(INDEX(SPLIT(G2503,""/""),,3),INDEX(SPLIT(G2503,""/""),,2),INDEX(SPLIT(G2503,""/""),,1))"),44623.0)</f>
        <v>44623</v>
      </c>
      <c r="I2503" s="1" t="s">
        <v>85</v>
      </c>
      <c r="J2503" s="4">
        <f>IFERROR(__xludf.DUMMYFUNCTION("DATE(INDEX(SPLIT(I2503,""/""),,3),INDEX(SPLIT(I2503,""/""),,2),INDEX(SPLIT(I2503,""/""),,1))"),44799.0)</f>
        <v>44799</v>
      </c>
      <c r="L2503" s="1">
        <v>0.0</v>
      </c>
      <c r="M2503" s="1" t="s">
        <v>3474</v>
      </c>
      <c r="N2503" s="1"/>
      <c r="O2503" s="1" t="s">
        <v>30</v>
      </c>
      <c r="P2503" s="1" t="s">
        <v>31</v>
      </c>
      <c r="Q2503" s="1" t="s">
        <v>95</v>
      </c>
      <c r="R2503" s="1" t="s">
        <v>95</v>
      </c>
      <c r="S2503" s="1" t="s">
        <v>96</v>
      </c>
      <c r="U2503" s="1">
        <v>1.00650841E8</v>
      </c>
      <c r="X2503" s="1" t="s">
        <v>490</v>
      </c>
      <c r="Y2503" s="1" t="s">
        <v>3474</v>
      </c>
      <c r="Z2503" s="1" t="s">
        <v>37</v>
      </c>
    </row>
    <row r="2504" hidden="1">
      <c r="A2504" s="1" t="s">
        <v>7708</v>
      </c>
      <c r="B2504" s="1" t="s">
        <v>1748</v>
      </c>
      <c r="C2504" s="1" t="s">
        <v>7709</v>
      </c>
      <c r="D2504" s="1" t="s">
        <v>27</v>
      </c>
      <c r="E2504" s="1" t="s">
        <v>28</v>
      </c>
      <c r="F2504" s="2">
        <v>450000.0</v>
      </c>
      <c r="G2504" s="1" t="s">
        <v>41</v>
      </c>
      <c r="H2504" s="4">
        <f>IFERROR(__xludf.DUMMYFUNCTION("DATE(INDEX(SPLIT(G2504,""/""),,3),INDEX(SPLIT(G2504,""/""),,2),INDEX(SPLIT(G2504,""/""),,1))"),44607.0)</f>
        <v>44607</v>
      </c>
      <c r="I2504" s="4">
        <v>44573.0</v>
      </c>
      <c r="J2504" s="4">
        <f>IFERROR(__xludf.DUMMYFUNCTION("DATE(INDEX(SPLIT(I2504,""/""),,3),INDEX(SPLIT(I2504,""/""),,2),INDEX(SPLIT(I2504,""/""),,1))"),44896.0)</f>
        <v>44896</v>
      </c>
      <c r="L2504" s="1">
        <v>0.0</v>
      </c>
      <c r="M2504" s="1" t="s">
        <v>5507</v>
      </c>
      <c r="N2504" s="1"/>
      <c r="O2504" s="1" t="s">
        <v>30</v>
      </c>
      <c r="P2504" s="1" t="s">
        <v>31</v>
      </c>
      <c r="Q2504" s="1" t="s">
        <v>235</v>
      </c>
      <c r="R2504" s="1" t="s">
        <v>235</v>
      </c>
      <c r="S2504" s="1" t="s">
        <v>236</v>
      </c>
      <c r="T2504" s="1" t="s">
        <v>1386</v>
      </c>
      <c r="U2504" s="1">
        <v>1.00620643E8</v>
      </c>
      <c r="X2504" s="1" t="s">
        <v>88</v>
      </c>
      <c r="Y2504" s="1" t="s">
        <v>1387</v>
      </c>
      <c r="Z2504" s="1" t="s">
        <v>37</v>
      </c>
    </row>
    <row r="2505">
      <c r="A2505" s="1" t="s">
        <v>7710</v>
      </c>
      <c r="B2505" s="1" t="s">
        <v>106</v>
      </c>
      <c r="C2505" s="1" t="s">
        <v>7711</v>
      </c>
      <c r="D2505" s="1" t="s">
        <v>122</v>
      </c>
      <c r="E2505" s="1" t="s">
        <v>28</v>
      </c>
      <c r="F2505" s="2">
        <v>450000.0</v>
      </c>
      <c r="G2505" s="4">
        <v>44716.0</v>
      </c>
      <c r="H2505" s="4">
        <f>IFERROR(__xludf.DUMMYFUNCTION("DATE(INDEX(SPLIT(G2505,""/""),,3),INDEX(SPLIT(G2505,""/""),,2),INDEX(SPLIT(G2505,""/""),,1))"),44657.0)</f>
        <v>44657</v>
      </c>
      <c r="I2505" s="1" t="s">
        <v>518</v>
      </c>
      <c r="J2505" s="4">
        <f>IFERROR(__xludf.DUMMYFUNCTION("DATE(INDEX(SPLIT(I2505,""/""),,3),INDEX(SPLIT(I2505,""/""),,2),INDEX(SPLIT(I2505,""/""),,1))"),44757.0)</f>
        <v>44757</v>
      </c>
      <c r="L2505" s="1">
        <v>0.0</v>
      </c>
      <c r="M2505" s="1" t="s">
        <v>196</v>
      </c>
      <c r="N2505" s="1"/>
      <c r="O2505" s="1" t="s">
        <v>30</v>
      </c>
      <c r="P2505" s="1" t="s">
        <v>31</v>
      </c>
      <c r="Q2505" s="1" t="s">
        <v>53</v>
      </c>
      <c r="R2505" s="1" t="s">
        <v>53</v>
      </c>
      <c r="S2505" s="1" t="s">
        <v>54</v>
      </c>
      <c r="T2505" s="1" t="s">
        <v>197</v>
      </c>
      <c r="U2505" s="1">
        <v>1.00589741E8</v>
      </c>
      <c r="X2505" s="1" t="s">
        <v>63</v>
      </c>
      <c r="Y2505" s="1" t="s">
        <v>7712</v>
      </c>
      <c r="Z2505" s="1" t="s">
        <v>37</v>
      </c>
    </row>
    <row r="2506" hidden="1">
      <c r="A2506" s="1" t="s">
        <v>7713</v>
      </c>
      <c r="B2506" s="1" t="s">
        <v>4160</v>
      </c>
      <c r="C2506" s="1" t="s">
        <v>7714</v>
      </c>
      <c r="D2506" s="1" t="s">
        <v>78</v>
      </c>
      <c r="E2506" s="1" t="s">
        <v>28</v>
      </c>
      <c r="F2506" s="2">
        <v>450000.0</v>
      </c>
      <c r="G2506" s="1" t="s">
        <v>310</v>
      </c>
      <c r="H2506" s="4">
        <f>IFERROR(__xludf.DUMMYFUNCTION("DATE(INDEX(SPLIT(G2506,""/""),,3),INDEX(SPLIT(G2506,""/""),,2),INDEX(SPLIT(G2506,""/""),,1))"),43791.0)</f>
        <v>43791</v>
      </c>
      <c r="I2506" s="1" t="s">
        <v>7715</v>
      </c>
      <c r="J2506" s="4">
        <f>IFERROR(__xludf.DUMMYFUNCTION("DATE(INDEX(SPLIT(I2506,""/""),,3),INDEX(SPLIT(I2506,""/""),,2),INDEX(SPLIT(I2506,""/""),,1))"),44887.0)</f>
        <v>44887</v>
      </c>
      <c r="L2506" s="1">
        <v>0.0</v>
      </c>
      <c r="M2506" s="1" t="s">
        <v>2237</v>
      </c>
      <c r="N2506" s="1"/>
      <c r="O2506" s="1" t="s">
        <v>30</v>
      </c>
      <c r="P2506" s="1" t="s">
        <v>31</v>
      </c>
      <c r="Q2506" s="1" t="s">
        <v>32</v>
      </c>
      <c r="R2506" s="1" t="s">
        <v>32</v>
      </c>
      <c r="S2506" s="1" t="s">
        <v>33</v>
      </c>
      <c r="T2506" s="1" t="s">
        <v>103</v>
      </c>
      <c r="U2506" s="1">
        <v>1.00611284E8</v>
      </c>
      <c r="X2506" s="1" t="s">
        <v>46</v>
      </c>
      <c r="Y2506" s="1" t="s">
        <v>2237</v>
      </c>
      <c r="Z2506" s="1" t="s">
        <v>37</v>
      </c>
    </row>
    <row r="2507">
      <c r="A2507" s="1" t="s">
        <v>7716</v>
      </c>
      <c r="B2507" s="1" t="s">
        <v>7717</v>
      </c>
      <c r="C2507" s="1" t="s">
        <v>7718</v>
      </c>
      <c r="D2507" s="1" t="s">
        <v>78</v>
      </c>
      <c r="E2507" s="1" t="s">
        <v>28</v>
      </c>
      <c r="F2507" s="2">
        <v>450000.0</v>
      </c>
      <c r="G2507" s="1" t="s">
        <v>3158</v>
      </c>
      <c r="H2507" s="4">
        <f>IFERROR(__xludf.DUMMYFUNCTION("DATE(INDEX(SPLIT(G2507,""/""),,3),INDEX(SPLIT(G2507,""/""),,2),INDEX(SPLIT(G2507,""/""),,1))"),44468.0)</f>
        <v>44468</v>
      </c>
      <c r="I2507" s="4">
        <v>44568.0</v>
      </c>
      <c r="J2507" s="4">
        <f>IFERROR(__xludf.DUMMYFUNCTION("DATE(INDEX(SPLIT(I2507,""/""),,3),INDEX(SPLIT(I2507,""/""),,2),INDEX(SPLIT(I2507,""/""),,1))"),44743.0)</f>
        <v>44743</v>
      </c>
      <c r="L2507" s="1">
        <v>0.0</v>
      </c>
      <c r="M2507" s="1" t="s">
        <v>5588</v>
      </c>
      <c r="N2507" s="1"/>
      <c r="O2507" s="1" t="s">
        <v>30</v>
      </c>
      <c r="P2507" s="1" t="s">
        <v>31</v>
      </c>
      <c r="Q2507" s="1" t="s">
        <v>1320</v>
      </c>
      <c r="R2507" s="1" t="s">
        <v>1320</v>
      </c>
      <c r="S2507" s="1" t="s">
        <v>54</v>
      </c>
      <c r="T2507" s="1" t="s">
        <v>55</v>
      </c>
      <c r="U2507" s="1">
        <v>1.00625588E8</v>
      </c>
      <c r="X2507" s="1" t="s">
        <v>289</v>
      </c>
      <c r="Y2507" s="1" t="s">
        <v>7719</v>
      </c>
      <c r="Z2507" s="1" t="s">
        <v>37</v>
      </c>
    </row>
    <row r="2508" hidden="1">
      <c r="A2508" s="1" t="s">
        <v>7720</v>
      </c>
      <c r="B2508" s="1" t="s">
        <v>1050</v>
      </c>
      <c r="C2508" s="1" t="s">
        <v>7721</v>
      </c>
      <c r="D2508" s="1" t="s">
        <v>27</v>
      </c>
      <c r="E2508" s="1" t="s">
        <v>28</v>
      </c>
      <c r="F2508" s="2">
        <v>450000.0</v>
      </c>
      <c r="G2508" s="4">
        <v>44266.0</v>
      </c>
      <c r="H2508" s="4">
        <f>IFERROR(__xludf.DUMMYFUNCTION("DATE(INDEX(SPLIT(G2508,""/""),,3),INDEX(SPLIT(G2508,""/""),,2),INDEX(SPLIT(G2508,""/""),,1))"),44503.0)</f>
        <v>44503</v>
      </c>
      <c r="I2508" s="4">
        <v>44752.0</v>
      </c>
      <c r="J2508" s="4">
        <f>IFERROR(__xludf.DUMMYFUNCTION("DATE(INDEX(SPLIT(I2508,""/""),,3),INDEX(SPLIT(I2508,""/""),,2),INDEX(SPLIT(I2508,""/""),,1))"),44841.0)</f>
        <v>44841</v>
      </c>
      <c r="L2508" s="1">
        <v>0.0</v>
      </c>
      <c r="M2508" s="1" t="s">
        <v>1052</v>
      </c>
      <c r="N2508" s="1"/>
      <c r="O2508" s="1" t="s">
        <v>30</v>
      </c>
      <c r="P2508" s="1" t="s">
        <v>31</v>
      </c>
      <c r="Q2508" s="1" t="s">
        <v>235</v>
      </c>
      <c r="R2508" s="1" t="s">
        <v>235</v>
      </c>
      <c r="S2508" s="1" t="s">
        <v>236</v>
      </c>
      <c r="T2508" s="1" t="s">
        <v>237</v>
      </c>
      <c r="U2508" s="1">
        <v>1.00650344E8</v>
      </c>
      <c r="X2508" s="1" t="s">
        <v>239</v>
      </c>
      <c r="Y2508" s="1" t="s">
        <v>4986</v>
      </c>
      <c r="Z2508" s="1" t="s">
        <v>37</v>
      </c>
    </row>
    <row r="2509">
      <c r="A2509" s="1" t="s">
        <v>7722</v>
      </c>
      <c r="B2509" s="1" t="s">
        <v>4255</v>
      </c>
      <c r="C2509" s="1" t="s">
        <v>7723</v>
      </c>
      <c r="D2509" s="1" t="s">
        <v>78</v>
      </c>
      <c r="E2509" s="1" t="s">
        <v>28</v>
      </c>
      <c r="F2509" s="2">
        <v>450000.0</v>
      </c>
      <c r="G2509" s="1" t="s">
        <v>7724</v>
      </c>
      <c r="H2509" s="4">
        <f>IFERROR(__xludf.DUMMYFUNCTION("DATE(INDEX(SPLIT(G2509,""/""),,3),INDEX(SPLIT(G2509,""/""),,2),INDEX(SPLIT(G2509,""/""),,1))"),44591.0)</f>
        <v>44591</v>
      </c>
      <c r="I2509" s="1" t="s">
        <v>226</v>
      </c>
      <c r="J2509" s="4">
        <f>IFERROR(__xludf.DUMMYFUNCTION("DATE(INDEX(SPLIT(I2509,""/""),,3),INDEX(SPLIT(I2509,""/""),,2),INDEX(SPLIT(I2509,""/""),,1))"),44771.0)</f>
        <v>44771</v>
      </c>
      <c r="L2509" s="1">
        <v>0.0</v>
      </c>
      <c r="M2509" s="1" t="s">
        <v>5500</v>
      </c>
      <c r="N2509" s="1"/>
      <c r="O2509" s="1" t="s">
        <v>30</v>
      </c>
      <c r="P2509" s="1" t="s">
        <v>31</v>
      </c>
      <c r="Q2509" s="1" t="s">
        <v>157</v>
      </c>
      <c r="R2509" s="1" t="s">
        <v>157</v>
      </c>
      <c r="S2509" s="1" t="s">
        <v>158</v>
      </c>
      <c r="T2509" s="1" t="s">
        <v>1344</v>
      </c>
      <c r="U2509" s="1">
        <v>1.00641485E8</v>
      </c>
      <c r="X2509" s="1" t="s">
        <v>254</v>
      </c>
      <c r="Y2509" s="1" t="s">
        <v>7725</v>
      </c>
      <c r="Z2509" s="1" t="s">
        <v>527</v>
      </c>
    </row>
    <row r="2510">
      <c r="A2510" s="1" t="s">
        <v>7726</v>
      </c>
      <c r="B2510" s="1" t="s">
        <v>1991</v>
      </c>
      <c r="C2510" s="1" t="s">
        <v>7727</v>
      </c>
      <c r="D2510" s="1" t="s">
        <v>68</v>
      </c>
      <c r="E2510" s="1" t="s">
        <v>28</v>
      </c>
      <c r="F2510" s="2">
        <v>450000.0</v>
      </c>
      <c r="G2510" s="1" t="s">
        <v>503</v>
      </c>
      <c r="H2510" s="4">
        <f>IFERROR(__xludf.DUMMYFUNCTION("DATE(INDEX(SPLIT(G2510,""/""),,3),INDEX(SPLIT(G2510,""/""),,2),INDEX(SPLIT(G2510,""/""),,1))"),44736.0)</f>
        <v>44736</v>
      </c>
      <c r="I2510" s="1" t="s">
        <v>503</v>
      </c>
      <c r="J2510" s="4">
        <f>IFERROR(__xludf.DUMMYFUNCTION("DATE(INDEX(SPLIT(I2510,""/""),,3),INDEX(SPLIT(I2510,""/""),,2),INDEX(SPLIT(I2510,""/""),,1))"),44736.0)</f>
        <v>44736</v>
      </c>
      <c r="L2510" s="1">
        <v>0.0</v>
      </c>
      <c r="M2510" s="1" t="s">
        <v>4243</v>
      </c>
      <c r="N2510" s="1"/>
      <c r="O2510" s="1" t="s">
        <v>30</v>
      </c>
      <c r="P2510" s="1" t="s">
        <v>31</v>
      </c>
      <c r="Q2510" s="1" t="s">
        <v>157</v>
      </c>
      <c r="R2510" s="1" t="s">
        <v>157</v>
      </c>
      <c r="S2510" s="1" t="s">
        <v>158</v>
      </c>
      <c r="U2510" s="1">
        <v>1.0058537E8</v>
      </c>
      <c r="X2510" s="1" t="s">
        <v>490</v>
      </c>
      <c r="Y2510" s="1" t="s">
        <v>7728</v>
      </c>
      <c r="Z2510" s="1" t="s">
        <v>37</v>
      </c>
    </row>
    <row r="2511">
      <c r="A2511" s="1" t="s">
        <v>7729</v>
      </c>
      <c r="B2511" s="1" t="s">
        <v>3532</v>
      </c>
      <c r="C2511" s="1" t="s">
        <v>7730</v>
      </c>
      <c r="D2511" s="1" t="s">
        <v>122</v>
      </c>
      <c r="E2511" s="1" t="s">
        <v>28</v>
      </c>
      <c r="F2511" s="2">
        <v>443000.0</v>
      </c>
      <c r="G2511" s="1" t="s">
        <v>6301</v>
      </c>
      <c r="H2511" s="4">
        <f>IFERROR(__xludf.DUMMYFUNCTION("DATE(INDEX(SPLIT(G2511,""/""),,3),INDEX(SPLIT(G2511,""/""),,2),INDEX(SPLIT(G2511,""/""),,1))"),44635.0)</f>
        <v>44635</v>
      </c>
      <c r="I2511" s="1" t="s">
        <v>69</v>
      </c>
      <c r="J2511" s="4">
        <f>IFERROR(__xludf.DUMMYFUNCTION("DATE(INDEX(SPLIT(I2511,""/""),,3),INDEX(SPLIT(I2511,""/""),,2),INDEX(SPLIT(I2511,""/""),,1))"),44773.0)</f>
        <v>44773</v>
      </c>
      <c r="L2511" s="1">
        <v>0.0</v>
      </c>
      <c r="M2511" s="1" t="s">
        <v>4129</v>
      </c>
      <c r="N2511" s="1"/>
      <c r="O2511" s="1" t="s">
        <v>30</v>
      </c>
      <c r="P2511" s="1" t="s">
        <v>31</v>
      </c>
      <c r="Q2511" s="1" t="s">
        <v>228</v>
      </c>
      <c r="R2511" s="1" t="s">
        <v>228</v>
      </c>
      <c r="S2511" s="1" t="s">
        <v>229</v>
      </c>
      <c r="T2511" s="1" t="s">
        <v>640</v>
      </c>
      <c r="U2511" s="1">
        <v>1.00599268E8</v>
      </c>
      <c r="X2511" s="1" t="s">
        <v>63</v>
      </c>
      <c r="Y2511" s="1" t="s">
        <v>7731</v>
      </c>
      <c r="Z2511" s="1" t="s">
        <v>37</v>
      </c>
    </row>
    <row r="2512">
      <c r="A2512" s="1" t="s">
        <v>7732</v>
      </c>
      <c r="B2512" s="1" t="s">
        <v>7733</v>
      </c>
      <c r="C2512" s="1" t="s">
        <v>7734</v>
      </c>
      <c r="D2512" s="1" t="s">
        <v>78</v>
      </c>
      <c r="E2512" s="1" t="s">
        <v>28</v>
      </c>
      <c r="F2512" s="2">
        <v>435000.0</v>
      </c>
      <c r="G2512" s="1" t="s">
        <v>7735</v>
      </c>
      <c r="H2512" s="4">
        <f>IFERROR(__xludf.DUMMYFUNCTION("DATE(INDEX(SPLIT(G2512,""/""),,3),INDEX(SPLIT(G2512,""/""),,2),INDEX(SPLIT(G2512,""/""),,1))"),43785.0)</f>
        <v>43785</v>
      </c>
      <c r="I2512" s="1" t="s">
        <v>226</v>
      </c>
      <c r="J2512" s="4">
        <f>IFERROR(__xludf.DUMMYFUNCTION("DATE(INDEX(SPLIT(I2512,""/""),,3),INDEX(SPLIT(I2512,""/""),,2),INDEX(SPLIT(I2512,""/""),,1))"),44771.0)</f>
        <v>44771</v>
      </c>
      <c r="L2512" s="1">
        <v>0.0</v>
      </c>
      <c r="M2512" s="1" t="s">
        <v>2696</v>
      </c>
      <c r="N2512" s="1"/>
      <c r="O2512" s="1" t="s">
        <v>30</v>
      </c>
      <c r="P2512" s="1" t="s">
        <v>31</v>
      </c>
      <c r="Q2512" s="1" t="s">
        <v>157</v>
      </c>
      <c r="R2512" s="1" t="s">
        <v>157</v>
      </c>
      <c r="S2512" s="1" t="s">
        <v>158</v>
      </c>
      <c r="T2512" s="1" t="s">
        <v>402</v>
      </c>
      <c r="U2512" s="1">
        <v>1.00611351E8</v>
      </c>
      <c r="X2512" s="1" t="s">
        <v>781</v>
      </c>
      <c r="Y2512" s="1" t="s">
        <v>3016</v>
      </c>
      <c r="Z2512" s="1" t="s">
        <v>37</v>
      </c>
    </row>
    <row r="2513" hidden="1">
      <c r="A2513" s="1" t="s">
        <v>7736</v>
      </c>
      <c r="B2513" s="1" t="s">
        <v>3429</v>
      </c>
      <c r="C2513" s="1" t="s">
        <v>7737</v>
      </c>
      <c r="D2513" s="1" t="s">
        <v>122</v>
      </c>
      <c r="E2513" s="1" t="s">
        <v>28</v>
      </c>
      <c r="F2513" s="2">
        <v>435000.0</v>
      </c>
      <c r="G2513" s="1" t="s">
        <v>108</v>
      </c>
      <c r="H2513" s="4">
        <f>IFERROR(__xludf.DUMMYFUNCTION("DATE(INDEX(SPLIT(G2513,""/""),,3),INDEX(SPLIT(G2513,""/""),,2),INDEX(SPLIT(G2513,""/""),,1))"),44725.0)</f>
        <v>44725</v>
      </c>
      <c r="I2513" s="1" t="s">
        <v>872</v>
      </c>
      <c r="J2513" s="4">
        <f>IFERROR(__xludf.DUMMYFUNCTION("DATE(INDEX(SPLIT(I2513,""/""),,3),INDEX(SPLIT(I2513,""/""),,2),INDEX(SPLIT(I2513,""/""),,1))"),44820.0)</f>
        <v>44820</v>
      </c>
      <c r="L2513" s="1">
        <v>0.0</v>
      </c>
      <c r="M2513" s="1" t="s">
        <v>61</v>
      </c>
      <c r="N2513" s="1"/>
      <c r="O2513" s="1" t="s">
        <v>30</v>
      </c>
      <c r="P2513" s="1" t="s">
        <v>31</v>
      </c>
      <c r="Q2513" s="1" t="s">
        <v>32</v>
      </c>
      <c r="R2513" s="1" t="s">
        <v>32</v>
      </c>
      <c r="S2513" s="1" t="s">
        <v>33</v>
      </c>
      <c r="T2513" s="1" t="s">
        <v>1386</v>
      </c>
      <c r="U2513" s="1">
        <v>1.0060843E8</v>
      </c>
      <c r="X2513" s="1" t="s">
        <v>63</v>
      </c>
      <c r="Y2513" s="1" t="s">
        <v>61</v>
      </c>
      <c r="Z2513" s="1" t="s">
        <v>37</v>
      </c>
    </row>
    <row r="2514" hidden="1">
      <c r="A2514" s="1" t="s">
        <v>7738</v>
      </c>
      <c r="B2514" s="1" t="s">
        <v>1185</v>
      </c>
      <c r="C2514" s="1" t="s">
        <v>7739</v>
      </c>
      <c r="D2514" s="1" t="s">
        <v>68</v>
      </c>
      <c r="E2514" s="1" t="s">
        <v>28</v>
      </c>
      <c r="F2514" s="2">
        <v>430000.0</v>
      </c>
      <c r="G2514" s="1" t="s">
        <v>3349</v>
      </c>
      <c r="H2514" s="4">
        <f>IFERROR(__xludf.DUMMYFUNCTION("DATE(INDEX(SPLIT(G2514,""/""),,3),INDEX(SPLIT(G2514,""/""),,2),INDEX(SPLIT(G2514,""/""),,1))"),44648.0)</f>
        <v>44648</v>
      </c>
      <c r="I2514" s="4">
        <v>44569.0</v>
      </c>
      <c r="J2514" s="4">
        <f>IFERROR(__xludf.DUMMYFUNCTION("DATE(INDEX(SPLIT(I2514,""/""),,3),INDEX(SPLIT(I2514,""/""),,2),INDEX(SPLIT(I2514,""/""),,1))"),44774.0)</f>
        <v>44774</v>
      </c>
      <c r="L2514" s="1">
        <v>0.0</v>
      </c>
      <c r="M2514" s="1" t="s">
        <v>2696</v>
      </c>
      <c r="N2514" s="1"/>
      <c r="O2514" s="1" t="s">
        <v>30</v>
      </c>
      <c r="P2514" s="1" t="s">
        <v>31</v>
      </c>
      <c r="Q2514" s="1" t="s">
        <v>157</v>
      </c>
      <c r="R2514" s="1" t="s">
        <v>157</v>
      </c>
      <c r="S2514" s="1" t="s">
        <v>158</v>
      </c>
      <c r="U2514" s="1">
        <v>1.00611351E8</v>
      </c>
      <c r="X2514" s="1" t="s">
        <v>190</v>
      </c>
      <c r="Y2514" s="1" t="s">
        <v>2696</v>
      </c>
      <c r="Z2514" s="1" t="s">
        <v>37</v>
      </c>
    </row>
    <row r="2515" hidden="1">
      <c r="A2515" s="1" t="s">
        <v>7740</v>
      </c>
      <c r="B2515" s="1" t="s">
        <v>83</v>
      </c>
      <c r="C2515" s="1" t="s">
        <v>7741</v>
      </c>
      <c r="D2515" s="1" t="s">
        <v>122</v>
      </c>
      <c r="E2515" s="1" t="s">
        <v>28</v>
      </c>
      <c r="F2515" s="2">
        <v>428154.0</v>
      </c>
      <c r="G2515" s="1" t="s">
        <v>330</v>
      </c>
      <c r="H2515" s="4">
        <f>IFERROR(__xludf.DUMMYFUNCTION("DATE(INDEX(SPLIT(G2515,""/""),,3),INDEX(SPLIT(G2515,""/""),,2),INDEX(SPLIT(G2515,""/""),,1))"),44728.0)</f>
        <v>44728</v>
      </c>
      <c r="I2515" s="4">
        <v>44903.0</v>
      </c>
      <c r="J2515" s="4">
        <f>IFERROR(__xludf.DUMMYFUNCTION("DATE(INDEX(SPLIT(I2515,""/""),,3),INDEX(SPLIT(I2515,""/""),,2),INDEX(SPLIT(I2515,""/""),,1))"),44785.0)</f>
        <v>44785</v>
      </c>
      <c r="L2515" s="1">
        <v>0.0</v>
      </c>
      <c r="M2515" s="1" t="s">
        <v>5351</v>
      </c>
      <c r="N2515" s="1"/>
      <c r="O2515" s="1" t="s">
        <v>30</v>
      </c>
      <c r="P2515" s="1" t="s">
        <v>31</v>
      </c>
      <c r="Q2515" s="1" t="s">
        <v>235</v>
      </c>
      <c r="R2515" s="1" t="s">
        <v>235</v>
      </c>
      <c r="S2515" s="1" t="s">
        <v>236</v>
      </c>
      <c r="T2515" s="1" t="s">
        <v>438</v>
      </c>
      <c r="U2515" s="1">
        <v>1.0060792E8</v>
      </c>
      <c r="X2515" s="1" t="s">
        <v>88</v>
      </c>
      <c r="Y2515" s="1" t="s">
        <v>7742</v>
      </c>
      <c r="Z2515" s="1" t="s">
        <v>37</v>
      </c>
    </row>
    <row r="2516">
      <c r="A2516" s="1" t="s">
        <v>7743</v>
      </c>
      <c r="B2516" s="1" t="s">
        <v>1748</v>
      </c>
      <c r="C2516" s="1" t="s">
        <v>7744</v>
      </c>
      <c r="D2516" s="1" t="s">
        <v>68</v>
      </c>
      <c r="E2516" s="1" t="s">
        <v>28</v>
      </c>
      <c r="F2516" s="2">
        <v>425000.0</v>
      </c>
      <c r="G2516" s="4">
        <v>44652.0</v>
      </c>
      <c r="H2516" s="4">
        <f>IFERROR(__xludf.DUMMYFUNCTION("DATE(INDEX(SPLIT(G2516,""/""),,3),INDEX(SPLIT(G2516,""/""),,2),INDEX(SPLIT(G2516,""/""),,1))"),44565.0)</f>
        <v>44565</v>
      </c>
      <c r="I2516" s="1" t="s">
        <v>1141</v>
      </c>
      <c r="J2516" s="4">
        <f>IFERROR(__xludf.DUMMYFUNCTION("DATE(INDEX(SPLIT(I2516,""/""),,3),INDEX(SPLIT(I2516,""/""),,2),INDEX(SPLIT(I2516,""/""),,1))"),44767.0)</f>
        <v>44767</v>
      </c>
      <c r="L2516" s="1">
        <v>0.0</v>
      </c>
      <c r="M2516" s="1" t="s">
        <v>437</v>
      </c>
      <c r="N2516" s="1"/>
      <c r="O2516" s="1" t="s">
        <v>30</v>
      </c>
      <c r="P2516" s="1" t="s">
        <v>31</v>
      </c>
      <c r="Q2516" s="1" t="s">
        <v>235</v>
      </c>
      <c r="R2516" s="1" t="s">
        <v>235</v>
      </c>
      <c r="S2516" s="1" t="s">
        <v>236</v>
      </c>
      <c r="T2516" s="1" t="s">
        <v>1349</v>
      </c>
      <c r="U2516" s="1">
        <v>1.00650375E8</v>
      </c>
      <c r="X2516" s="1" t="s">
        <v>88</v>
      </c>
      <c r="Y2516" s="1" t="s">
        <v>4713</v>
      </c>
      <c r="Z2516" s="1" t="s">
        <v>37</v>
      </c>
    </row>
    <row r="2517" hidden="1">
      <c r="A2517" s="1" t="s">
        <v>7745</v>
      </c>
      <c r="B2517" s="1" t="s">
        <v>3655</v>
      </c>
      <c r="C2517" s="1" t="s">
        <v>7746</v>
      </c>
      <c r="D2517" s="1" t="s">
        <v>27</v>
      </c>
      <c r="E2517" s="1" t="s">
        <v>28</v>
      </c>
      <c r="F2517" s="2">
        <v>425000.0</v>
      </c>
      <c r="G2517" s="4">
        <v>44718.0</v>
      </c>
      <c r="H2517" s="4">
        <f>IFERROR(__xludf.DUMMYFUNCTION("DATE(INDEX(SPLIT(G2517,""/""),,3),INDEX(SPLIT(G2517,""/""),,2),INDEX(SPLIT(G2517,""/""),,1))"),44718.0)</f>
        <v>44718</v>
      </c>
      <c r="I2517" s="1" t="s">
        <v>317</v>
      </c>
      <c r="J2517" s="4">
        <f>IFERROR(__xludf.DUMMYFUNCTION("DATE(INDEX(SPLIT(I2517,""/""),,3),INDEX(SPLIT(I2517,""/""),,2),INDEX(SPLIT(I2517,""/""),,1))"),44862.0)</f>
        <v>44862</v>
      </c>
      <c r="L2517" s="1">
        <v>0.0</v>
      </c>
      <c r="M2517" s="1" t="s">
        <v>4574</v>
      </c>
      <c r="N2517" s="1"/>
      <c r="O2517" s="1" t="s">
        <v>30</v>
      </c>
      <c r="P2517" s="1" t="s">
        <v>31</v>
      </c>
      <c r="Q2517" s="1" t="s">
        <v>235</v>
      </c>
      <c r="R2517" s="1" t="s">
        <v>235</v>
      </c>
      <c r="S2517" s="1" t="s">
        <v>236</v>
      </c>
      <c r="T2517" s="1" t="s">
        <v>438</v>
      </c>
      <c r="U2517" s="1">
        <v>1.00625459E8</v>
      </c>
      <c r="X2517" s="1" t="s">
        <v>88</v>
      </c>
      <c r="Y2517" s="1" t="s">
        <v>4574</v>
      </c>
      <c r="Z2517" s="1" t="s">
        <v>37</v>
      </c>
    </row>
    <row r="2518">
      <c r="A2518" s="1" t="s">
        <v>7747</v>
      </c>
      <c r="B2518" s="1" t="s">
        <v>1131</v>
      </c>
      <c r="C2518" s="1" t="s">
        <v>7748</v>
      </c>
      <c r="D2518" s="1" t="s">
        <v>122</v>
      </c>
      <c r="E2518" s="1" t="s">
        <v>28</v>
      </c>
      <c r="F2518" s="2">
        <v>420000.0</v>
      </c>
      <c r="G2518" s="1" t="s">
        <v>1851</v>
      </c>
      <c r="H2518" s="4">
        <f>IFERROR(__xludf.DUMMYFUNCTION("DATE(INDEX(SPLIT(G2518,""/""),,3),INDEX(SPLIT(G2518,""/""),,2),INDEX(SPLIT(G2518,""/""),,1))"),44646.0)</f>
        <v>44646</v>
      </c>
      <c r="I2518" s="1" t="s">
        <v>226</v>
      </c>
      <c r="J2518" s="4">
        <f>IFERROR(__xludf.DUMMYFUNCTION("DATE(INDEX(SPLIT(I2518,""/""),,3),INDEX(SPLIT(I2518,""/""),,2),INDEX(SPLIT(I2518,""/""),,1))"),44771.0)</f>
        <v>44771</v>
      </c>
      <c r="L2518" s="1">
        <v>0.0</v>
      </c>
      <c r="M2518" s="1" t="s">
        <v>5525</v>
      </c>
      <c r="N2518" s="1"/>
      <c r="O2518" s="1" t="s">
        <v>30</v>
      </c>
      <c r="P2518" s="1" t="s">
        <v>31</v>
      </c>
      <c r="Q2518" s="1" t="s">
        <v>157</v>
      </c>
      <c r="R2518" s="1" t="s">
        <v>157</v>
      </c>
      <c r="S2518" s="1" t="s">
        <v>158</v>
      </c>
      <c r="T2518" s="1" t="s">
        <v>571</v>
      </c>
      <c r="U2518" s="1">
        <v>1.00609393E8</v>
      </c>
      <c r="X2518" s="1" t="s">
        <v>74</v>
      </c>
      <c r="Y2518" s="1" t="s">
        <v>5526</v>
      </c>
      <c r="Z2518" s="1" t="s">
        <v>37</v>
      </c>
    </row>
    <row r="2519" hidden="1">
      <c r="A2519" s="1" t="s">
        <v>7749</v>
      </c>
      <c r="B2519" s="1" t="s">
        <v>1216</v>
      </c>
      <c r="C2519" s="1" t="s">
        <v>7750</v>
      </c>
      <c r="D2519" s="1" t="s">
        <v>27</v>
      </c>
      <c r="E2519" s="1" t="s">
        <v>28</v>
      </c>
      <c r="F2519" s="2">
        <v>405000.0</v>
      </c>
      <c r="G2519" s="1" t="s">
        <v>41</v>
      </c>
      <c r="H2519" s="4">
        <f>IFERROR(__xludf.DUMMYFUNCTION("DATE(INDEX(SPLIT(G2519,""/""),,3),INDEX(SPLIT(G2519,""/""),,2),INDEX(SPLIT(G2519,""/""),,1))"),44607.0)</f>
        <v>44607</v>
      </c>
      <c r="I2519" s="4">
        <v>44573.0</v>
      </c>
      <c r="J2519" s="4">
        <f>IFERROR(__xludf.DUMMYFUNCTION("DATE(INDEX(SPLIT(I2519,""/""),,3),INDEX(SPLIT(I2519,""/""),,2),INDEX(SPLIT(I2519,""/""),,1))"),44896.0)</f>
        <v>44896</v>
      </c>
      <c r="L2519" s="1">
        <v>0.0</v>
      </c>
      <c r="M2519" s="1" t="s">
        <v>5507</v>
      </c>
      <c r="N2519" s="1"/>
      <c r="O2519" s="1" t="s">
        <v>30</v>
      </c>
      <c r="P2519" s="1" t="s">
        <v>31</v>
      </c>
      <c r="Q2519" s="1" t="s">
        <v>235</v>
      </c>
      <c r="R2519" s="1" t="s">
        <v>235</v>
      </c>
      <c r="S2519" s="1" t="s">
        <v>236</v>
      </c>
      <c r="T2519" s="1" t="s">
        <v>1386</v>
      </c>
      <c r="U2519" s="1">
        <v>1.00620643E8</v>
      </c>
      <c r="X2519" s="1" t="s">
        <v>88</v>
      </c>
      <c r="Y2519" s="1" t="s">
        <v>1387</v>
      </c>
      <c r="Z2519" s="1" t="s">
        <v>37</v>
      </c>
    </row>
    <row r="2520">
      <c r="A2520" s="1" t="s">
        <v>7751</v>
      </c>
      <c r="B2520" s="1" t="s">
        <v>896</v>
      </c>
      <c r="C2520" s="1" t="s">
        <v>7752</v>
      </c>
      <c r="D2520" s="1" t="s">
        <v>68</v>
      </c>
      <c r="E2520" s="1" t="s">
        <v>28</v>
      </c>
      <c r="F2520" s="2">
        <v>405000.0</v>
      </c>
      <c r="G2520" s="4">
        <v>44597.0</v>
      </c>
      <c r="H2520" s="4">
        <f>IFERROR(__xludf.DUMMYFUNCTION("DATE(INDEX(SPLIT(G2520,""/""),,3),INDEX(SPLIT(G2520,""/""),,2),INDEX(SPLIT(G2520,""/""),,1))"),44683.0)</f>
        <v>44683</v>
      </c>
      <c r="I2520" s="1" t="s">
        <v>1438</v>
      </c>
      <c r="J2520" s="4">
        <f>IFERROR(__xludf.DUMMYFUNCTION("DATE(INDEX(SPLIT(I2520,""/""),,3),INDEX(SPLIT(I2520,""/""),,2),INDEX(SPLIT(I2520,""/""),,1))"),44708.0)</f>
        <v>44708</v>
      </c>
      <c r="L2520" s="1">
        <v>0.0</v>
      </c>
      <c r="M2520" s="1" t="s">
        <v>4513</v>
      </c>
      <c r="N2520" s="1"/>
      <c r="O2520" s="1" t="s">
        <v>30</v>
      </c>
      <c r="P2520" s="1" t="s">
        <v>31</v>
      </c>
      <c r="Q2520" s="1" t="s">
        <v>157</v>
      </c>
      <c r="R2520" s="1" t="s">
        <v>157</v>
      </c>
      <c r="S2520" s="1" t="s">
        <v>158</v>
      </c>
      <c r="U2520" s="1">
        <v>1.00914325E8</v>
      </c>
      <c r="X2520" s="1" t="s">
        <v>490</v>
      </c>
      <c r="Y2520" s="1" t="s">
        <v>5367</v>
      </c>
      <c r="Z2520" s="1" t="s">
        <v>206</v>
      </c>
    </row>
    <row r="2521">
      <c r="A2521" s="1" t="s">
        <v>7753</v>
      </c>
      <c r="B2521" s="1" t="s">
        <v>662</v>
      </c>
      <c r="C2521" s="1" t="s">
        <v>7754</v>
      </c>
      <c r="D2521" s="1" t="s">
        <v>122</v>
      </c>
      <c r="E2521" s="1" t="s">
        <v>28</v>
      </c>
      <c r="F2521" s="2">
        <v>400000.0</v>
      </c>
      <c r="G2521" s="1" t="s">
        <v>359</v>
      </c>
      <c r="H2521" s="4">
        <f>IFERROR(__xludf.DUMMYFUNCTION("DATE(INDEX(SPLIT(G2521,""/""),,3),INDEX(SPLIT(G2521,""/""),,2),INDEX(SPLIT(G2521,""/""),,1))"),44740.0)</f>
        <v>44740</v>
      </c>
      <c r="I2521" s="1" t="s">
        <v>226</v>
      </c>
      <c r="J2521" s="4">
        <f>IFERROR(__xludf.DUMMYFUNCTION("DATE(INDEX(SPLIT(I2521,""/""),,3),INDEX(SPLIT(I2521,""/""),,2),INDEX(SPLIT(I2521,""/""),,1))"),44771.0)</f>
        <v>44771</v>
      </c>
      <c r="L2521" s="1">
        <v>0.0</v>
      </c>
      <c r="M2521" s="1" t="s">
        <v>1439</v>
      </c>
      <c r="N2521" s="1"/>
      <c r="O2521" s="1" t="s">
        <v>30</v>
      </c>
      <c r="P2521" s="1" t="s">
        <v>31</v>
      </c>
      <c r="Q2521" s="1" t="s">
        <v>32</v>
      </c>
      <c r="R2521" s="1" t="s">
        <v>32</v>
      </c>
      <c r="S2521" s="1" t="s">
        <v>33</v>
      </c>
      <c r="T2521" s="1" t="s">
        <v>103</v>
      </c>
      <c r="U2521" s="1">
        <v>1.00585872E8</v>
      </c>
      <c r="X2521" s="1" t="s">
        <v>46</v>
      </c>
      <c r="Y2521" s="1" t="s">
        <v>1439</v>
      </c>
      <c r="Z2521" s="1" t="s">
        <v>37</v>
      </c>
    </row>
    <row r="2522" hidden="1">
      <c r="A2522" s="1" t="s">
        <v>7755</v>
      </c>
      <c r="B2522" s="1" t="s">
        <v>2358</v>
      </c>
      <c r="C2522" s="1" t="s">
        <v>7756</v>
      </c>
      <c r="D2522" s="1" t="s">
        <v>122</v>
      </c>
      <c r="E2522" s="1" t="s">
        <v>28</v>
      </c>
      <c r="F2522" s="2">
        <v>400000.0</v>
      </c>
      <c r="G2522" s="1" t="s">
        <v>3896</v>
      </c>
      <c r="H2522" s="4">
        <f>IFERROR(__xludf.DUMMYFUNCTION("DATE(INDEX(SPLIT(G2522,""/""),,3),INDEX(SPLIT(G2522,""/""),,2),INDEX(SPLIT(G2522,""/""),,1))"),44697.0)</f>
        <v>44697</v>
      </c>
      <c r="I2522" s="4">
        <v>44601.0</v>
      </c>
      <c r="J2522" s="4">
        <f>IFERROR(__xludf.DUMMYFUNCTION("DATE(INDEX(SPLIT(I2522,""/""),,3),INDEX(SPLIT(I2522,""/""),,2),INDEX(SPLIT(I2522,""/""),,1))"),44806.0)</f>
        <v>44806</v>
      </c>
      <c r="L2522" s="1">
        <v>0.0</v>
      </c>
      <c r="M2522" s="1" t="s">
        <v>2764</v>
      </c>
      <c r="N2522" s="1"/>
      <c r="O2522" s="1" t="s">
        <v>30</v>
      </c>
      <c r="P2522" s="1" t="s">
        <v>31</v>
      </c>
      <c r="Q2522" s="1" t="s">
        <v>157</v>
      </c>
      <c r="R2522" s="1" t="s">
        <v>157</v>
      </c>
      <c r="S2522" s="1" t="s">
        <v>158</v>
      </c>
      <c r="T2522" s="1" t="s">
        <v>442</v>
      </c>
      <c r="U2522" s="1">
        <v>1.00639477E8</v>
      </c>
      <c r="X2522" s="1" t="s">
        <v>490</v>
      </c>
      <c r="Y2522" s="1" t="s">
        <v>7757</v>
      </c>
      <c r="Z2522" s="1" t="s">
        <v>37</v>
      </c>
    </row>
    <row r="2523" hidden="1">
      <c r="A2523" s="1" t="s">
        <v>7758</v>
      </c>
      <c r="B2523" s="1" t="s">
        <v>7759</v>
      </c>
      <c r="C2523" s="1" t="s">
        <v>7760</v>
      </c>
      <c r="D2523" s="1" t="s">
        <v>78</v>
      </c>
      <c r="E2523" s="1" t="s">
        <v>28</v>
      </c>
      <c r="F2523" s="2">
        <v>400000.0</v>
      </c>
      <c r="G2523" s="4">
        <v>44599.0</v>
      </c>
      <c r="H2523" s="4">
        <f>IFERROR(__xludf.DUMMYFUNCTION("DATE(INDEX(SPLIT(G2523,""/""),,3),INDEX(SPLIT(G2523,""/""),,2),INDEX(SPLIT(G2523,""/""),,1))"),44744.0)</f>
        <v>44744</v>
      </c>
      <c r="I2523" s="1" t="s">
        <v>85</v>
      </c>
      <c r="J2523" s="4">
        <f>IFERROR(__xludf.DUMMYFUNCTION("DATE(INDEX(SPLIT(I2523,""/""),,3),INDEX(SPLIT(I2523,""/""),,2),INDEX(SPLIT(I2523,""/""),,1))"),44799.0)</f>
        <v>44799</v>
      </c>
      <c r="L2523" s="1">
        <v>0.0</v>
      </c>
      <c r="M2523" s="1" t="s">
        <v>2787</v>
      </c>
      <c r="N2523" s="1"/>
      <c r="O2523" s="1" t="s">
        <v>30</v>
      </c>
      <c r="P2523" s="1" t="s">
        <v>31</v>
      </c>
      <c r="Q2523" s="1" t="s">
        <v>157</v>
      </c>
      <c r="R2523" s="1" t="s">
        <v>157</v>
      </c>
      <c r="S2523" s="1" t="s">
        <v>158</v>
      </c>
      <c r="T2523" s="1" t="s">
        <v>442</v>
      </c>
      <c r="U2523" s="1">
        <v>1.00708984E8</v>
      </c>
      <c r="X2523" s="1" t="s">
        <v>2769</v>
      </c>
      <c r="Y2523" s="1" t="s">
        <v>6637</v>
      </c>
      <c r="Z2523" s="1" t="s">
        <v>37</v>
      </c>
    </row>
    <row r="2524" hidden="1">
      <c r="A2524" s="1" t="s">
        <v>7761</v>
      </c>
      <c r="B2524" s="1" t="s">
        <v>1070</v>
      </c>
      <c r="C2524" s="1" t="s">
        <v>7762</v>
      </c>
      <c r="D2524" s="1" t="s">
        <v>27</v>
      </c>
      <c r="E2524" s="1" t="s">
        <v>28</v>
      </c>
      <c r="F2524" s="2">
        <v>400000.0</v>
      </c>
      <c r="G2524" s="4">
        <v>44718.0</v>
      </c>
      <c r="H2524" s="4">
        <f>IFERROR(__xludf.DUMMYFUNCTION("DATE(INDEX(SPLIT(G2524,""/""),,3),INDEX(SPLIT(G2524,""/""),,2),INDEX(SPLIT(G2524,""/""),,1))"),44718.0)</f>
        <v>44718</v>
      </c>
      <c r="I2524" s="4">
        <v>44689.0</v>
      </c>
      <c r="J2524" s="4">
        <f>IFERROR(__xludf.DUMMYFUNCTION("DATE(INDEX(SPLIT(I2524,""/""),,3),INDEX(SPLIT(I2524,""/""),,2),INDEX(SPLIT(I2524,""/""),,1))"),44778.0)</f>
        <v>44778</v>
      </c>
      <c r="L2524" s="1">
        <v>0.0</v>
      </c>
      <c r="M2524" s="1" t="s">
        <v>5205</v>
      </c>
      <c r="N2524" s="1"/>
      <c r="O2524" s="1" t="s">
        <v>30</v>
      </c>
      <c r="P2524" s="1" t="s">
        <v>31</v>
      </c>
      <c r="Q2524" s="1" t="s">
        <v>32</v>
      </c>
      <c r="R2524" s="1" t="s">
        <v>32</v>
      </c>
      <c r="S2524" s="1" t="s">
        <v>33</v>
      </c>
      <c r="T2524" s="1" t="s">
        <v>34</v>
      </c>
      <c r="U2524" s="1">
        <v>1.00587881E8</v>
      </c>
      <c r="X2524" s="1" t="s">
        <v>305</v>
      </c>
      <c r="Y2524" s="1" t="s">
        <v>1857</v>
      </c>
      <c r="Z2524" s="1" t="s">
        <v>37</v>
      </c>
    </row>
    <row r="2525" hidden="1">
      <c r="A2525" s="1" t="s">
        <v>7763</v>
      </c>
      <c r="B2525" s="1" t="s">
        <v>2131</v>
      </c>
      <c r="C2525" s="1" t="s">
        <v>7764</v>
      </c>
      <c r="D2525" s="1" t="s">
        <v>27</v>
      </c>
      <c r="E2525" s="1" t="s">
        <v>28</v>
      </c>
      <c r="F2525" s="2">
        <v>400000.0</v>
      </c>
      <c r="G2525" s="4">
        <v>44471.0</v>
      </c>
      <c r="H2525" s="4">
        <f>IFERROR(__xludf.DUMMYFUNCTION("DATE(INDEX(SPLIT(G2525,""/""),,3),INDEX(SPLIT(G2525,""/""),,2),INDEX(SPLIT(G2525,""/""),,1))"),44237.0)</f>
        <v>44237</v>
      </c>
      <c r="I2525" s="1" t="s">
        <v>4464</v>
      </c>
      <c r="J2525" s="4">
        <f>IFERROR(__xludf.DUMMYFUNCTION("DATE(INDEX(SPLIT(I2525,""/""),,3),INDEX(SPLIT(I2525,""/""),,2),INDEX(SPLIT(I2525,""/""),,1))"),44849.0)</f>
        <v>44849</v>
      </c>
      <c r="L2525" s="1">
        <v>0.0</v>
      </c>
      <c r="M2525" s="1" t="s">
        <v>2371</v>
      </c>
      <c r="N2525" s="1"/>
      <c r="O2525" s="1" t="s">
        <v>30</v>
      </c>
      <c r="P2525" s="1" t="s">
        <v>31</v>
      </c>
      <c r="Q2525" s="1" t="s">
        <v>53</v>
      </c>
      <c r="R2525" s="1" t="s">
        <v>53</v>
      </c>
      <c r="S2525" s="1" t="s">
        <v>54</v>
      </c>
      <c r="T2525" s="1" t="s">
        <v>2372</v>
      </c>
      <c r="U2525" s="1">
        <v>1.00649936E8</v>
      </c>
      <c r="X2525" s="1" t="s">
        <v>239</v>
      </c>
      <c r="Y2525" s="1" t="s">
        <v>3167</v>
      </c>
      <c r="Z2525" s="1" t="s">
        <v>37</v>
      </c>
    </row>
    <row r="2526" hidden="1">
      <c r="A2526" s="1" t="s">
        <v>7765</v>
      </c>
      <c r="B2526" s="1" t="s">
        <v>981</v>
      </c>
      <c r="C2526" s="1" t="s">
        <v>7766</v>
      </c>
      <c r="D2526" s="1" t="s">
        <v>78</v>
      </c>
      <c r="E2526" s="1" t="s">
        <v>28</v>
      </c>
      <c r="F2526" s="2">
        <v>400000.0</v>
      </c>
      <c r="G2526" s="1" t="s">
        <v>3921</v>
      </c>
      <c r="H2526" s="4">
        <f>IFERROR(__xludf.DUMMYFUNCTION("DATE(INDEX(SPLIT(G2526,""/""),,3),INDEX(SPLIT(G2526,""/""),,2),INDEX(SPLIT(G2526,""/""),,1))"),44006.0)</f>
        <v>44006</v>
      </c>
      <c r="I2526" s="1" t="s">
        <v>1799</v>
      </c>
      <c r="J2526" s="4">
        <f>IFERROR(__xludf.DUMMYFUNCTION("DATE(INDEX(SPLIT(I2526,""/""),,3),INDEX(SPLIT(I2526,""/""),,2),INDEX(SPLIT(I2526,""/""),,1))"),44788.0)</f>
        <v>44788</v>
      </c>
      <c r="L2526" s="1">
        <v>0.0</v>
      </c>
      <c r="M2526" s="1" t="s">
        <v>1527</v>
      </c>
      <c r="N2526" s="1"/>
      <c r="O2526" s="1" t="s">
        <v>30</v>
      </c>
      <c r="P2526" s="1" t="s">
        <v>31</v>
      </c>
      <c r="Q2526" s="1" t="s">
        <v>95</v>
      </c>
      <c r="R2526" s="1" t="s">
        <v>95</v>
      </c>
      <c r="S2526" s="1" t="s">
        <v>96</v>
      </c>
      <c r="T2526" s="1" t="s">
        <v>489</v>
      </c>
      <c r="U2526" s="1">
        <v>1.00651554E8</v>
      </c>
      <c r="X2526" s="1" t="s">
        <v>490</v>
      </c>
      <c r="Y2526" s="1" t="s">
        <v>7767</v>
      </c>
      <c r="Z2526" s="1" t="s">
        <v>37</v>
      </c>
    </row>
    <row r="2527" hidden="1">
      <c r="A2527" s="1" t="s">
        <v>7768</v>
      </c>
      <c r="B2527" s="1" t="s">
        <v>1070</v>
      </c>
      <c r="C2527" s="1" t="s">
        <v>7769</v>
      </c>
      <c r="D2527" s="1" t="s">
        <v>78</v>
      </c>
      <c r="E2527" s="1" t="s">
        <v>28</v>
      </c>
      <c r="F2527" s="2">
        <v>400000.0</v>
      </c>
      <c r="G2527" s="1" t="s">
        <v>3921</v>
      </c>
      <c r="H2527" s="4">
        <f>IFERROR(__xludf.DUMMYFUNCTION("DATE(INDEX(SPLIT(G2527,""/""),,3),INDEX(SPLIT(G2527,""/""),,2),INDEX(SPLIT(G2527,""/""),,1))"),44006.0)</f>
        <v>44006</v>
      </c>
      <c r="I2527" s="4">
        <v>44569.0</v>
      </c>
      <c r="J2527" s="4">
        <f>IFERROR(__xludf.DUMMYFUNCTION("DATE(INDEX(SPLIT(I2527,""/""),,3),INDEX(SPLIT(I2527,""/""),,2),INDEX(SPLIT(I2527,""/""),,1))"),44774.0)</f>
        <v>44774</v>
      </c>
      <c r="L2527" s="1">
        <v>0.0</v>
      </c>
      <c r="M2527" s="1" t="s">
        <v>5205</v>
      </c>
      <c r="N2527" s="1"/>
      <c r="O2527" s="1" t="s">
        <v>30</v>
      </c>
      <c r="P2527" s="1" t="s">
        <v>31</v>
      </c>
      <c r="Q2527" s="1" t="s">
        <v>32</v>
      </c>
      <c r="R2527" s="1" t="s">
        <v>32</v>
      </c>
      <c r="S2527" s="1" t="s">
        <v>33</v>
      </c>
      <c r="T2527" s="1" t="s">
        <v>640</v>
      </c>
      <c r="U2527" s="1">
        <v>1.00587881E8</v>
      </c>
      <c r="X2527" s="1" t="s">
        <v>305</v>
      </c>
      <c r="Y2527" s="1" t="s">
        <v>5205</v>
      </c>
      <c r="Z2527" s="1" t="s">
        <v>37</v>
      </c>
    </row>
    <row r="2528">
      <c r="A2528" s="1" t="s">
        <v>7770</v>
      </c>
      <c r="B2528" s="1" t="s">
        <v>896</v>
      </c>
      <c r="C2528" s="1" t="s">
        <v>7771</v>
      </c>
      <c r="D2528" s="1" t="s">
        <v>122</v>
      </c>
      <c r="E2528" s="1" t="s">
        <v>28</v>
      </c>
      <c r="F2528" s="2">
        <v>400000.0</v>
      </c>
      <c r="G2528" s="1" t="s">
        <v>503</v>
      </c>
      <c r="H2528" s="4">
        <f>IFERROR(__xludf.DUMMYFUNCTION("DATE(INDEX(SPLIT(G2528,""/""),,3),INDEX(SPLIT(G2528,""/""),,2),INDEX(SPLIT(G2528,""/""),,1))"),44736.0)</f>
        <v>44736</v>
      </c>
      <c r="I2528" s="1" t="s">
        <v>935</v>
      </c>
      <c r="J2528" s="4">
        <f>IFERROR(__xludf.DUMMYFUNCTION("DATE(INDEX(SPLIT(I2528,""/""),,3),INDEX(SPLIT(I2528,""/""),,2),INDEX(SPLIT(I2528,""/""),,1))"),44764.0)</f>
        <v>44764</v>
      </c>
      <c r="L2528" s="1">
        <v>0.0</v>
      </c>
      <c r="M2528" s="1" t="s">
        <v>1552</v>
      </c>
      <c r="N2528" s="1"/>
      <c r="O2528" s="1" t="s">
        <v>30</v>
      </c>
      <c r="P2528" s="1" t="s">
        <v>31</v>
      </c>
      <c r="Q2528" s="1" t="s">
        <v>32</v>
      </c>
      <c r="R2528" s="1" t="s">
        <v>32</v>
      </c>
      <c r="S2528" s="1" t="s">
        <v>33</v>
      </c>
      <c r="T2528" s="1" t="s">
        <v>1195</v>
      </c>
      <c r="U2528" s="1">
        <v>1.00637597E8</v>
      </c>
      <c r="X2528" s="1" t="s">
        <v>490</v>
      </c>
      <c r="Y2528" s="1" t="s">
        <v>7772</v>
      </c>
      <c r="Z2528" s="1" t="s">
        <v>37</v>
      </c>
    </row>
    <row r="2529" hidden="1">
      <c r="A2529" s="1" t="s">
        <v>7773</v>
      </c>
      <c r="B2529" s="1" t="s">
        <v>6615</v>
      </c>
      <c r="C2529" s="1" t="s">
        <v>7774</v>
      </c>
      <c r="D2529" s="1" t="s">
        <v>122</v>
      </c>
      <c r="E2529" s="1" t="s">
        <v>28</v>
      </c>
      <c r="F2529" s="2">
        <v>400000.0</v>
      </c>
      <c r="G2529" s="1" t="s">
        <v>3745</v>
      </c>
      <c r="H2529" s="4">
        <f>IFERROR(__xludf.DUMMYFUNCTION("DATE(INDEX(SPLIT(G2529,""/""),,3),INDEX(SPLIT(G2529,""/""),,2),INDEX(SPLIT(G2529,""/""),,1))"),44343.0)</f>
        <v>44343</v>
      </c>
      <c r="I2529" s="4">
        <v>44601.0</v>
      </c>
      <c r="J2529" s="4">
        <f>IFERROR(__xludf.DUMMYFUNCTION("DATE(INDEX(SPLIT(I2529,""/""),,3),INDEX(SPLIT(I2529,""/""),,2),INDEX(SPLIT(I2529,""/""),,1))"),44806.0)</f>
        <v>44806</v>
      </c>
      <c r="L2529" s="1">
        <v>0.0</v>
      </c>
      <c r="M2529" s="1" t="s">
        <v>1959</v>
      </c>
      <c r="N2529" s="1"/>
      <c r="O2529" s="1" t="s">
        <v>30</v>
      </c>
      <c r="P2529" s="1" t="s">
        <v>31</v>
      </c>
      <c r="Q2529" s="1" t="s">
        <v>228</v>
      </c>
      <c r="R2529" s="1" t="s">
        <v>228</v>
      </c>
      <c r="S2529" s="1" t="s">
        <v>229</v>
      </c>
      <c r="T2529" s="1" t="s">
        <v>640</v>
      </c>
      <c r="U2529" s="1">
        <v>1.00955805E8</v>
      </c>
      <c r="X2529" s="1" t="s">
        <v>63</v>
      </c>
      <c r="Y2529" s="1" t="s">
        <v>3534</v>
      </c>
      <c r="Z2529" s="1" t="s">
        <v>37</v>
      </c>
    </row>
    <row r="2530" hidden="1">
      <c r="A2530" s="1" t="s">
        <v>7775</v>
      </c>
      <c r="B2530" s="1" t="s">
        <v>120</v>
      </c>
      <c r="C2530" s="1" t="s">
        <v>7776</v>
      </c>
      <c r="D2530" s="1" t="s">
        <v>122</v>
      </c>
      <c r="E2530" s="1" t="s">
        <v>28</v>
      </c>
      <c r="F2530" s="2">
        <v>400000.0</v>
      </c>
      <c r="G2530" s="1" t="s">
        <v>576</v>
      </c>
      <c r="H2530" s="4">
        <f>IFERROR(__xludf.DUMMYFUNCTION("DATE(INDEX(SPLIT(G2530,""/""),,3),INDEX(SPLIT(G2530,""/""),,2),INDEX(SPLIT(G2530,""/""),,1))"),44614.0)</f>
        <v>44614</v>
      </c>
      <c r="I2530" s="1" t="s">
        <v>281</v>
      </c>
      <c r="J2530" s="4">
        <f>IFERROR(__xludf.DUMMYFUNCTION("DATE(INDEX(SPLIT(I2530,""/""),,3),INDEX(SPLIT(I2530,""/""),,2),INDEX(SPLIT(I2530,""/""),,1))"),44865.0)</f>
        <v>44865</v>
      </c>
      <c r="L2530" s="1">
        <v>0.0</v>
      </c>
      <c r="M2530" s="1" t="s">
        <v>4000</v>
      </c>
      <c r="N2530" s="1"/>
      <c r="O2530" s="1" t="s">
        <v>30</v>
      </c>
      <c r="P2530" s="1" t="s">
        <v>31</v>
      </c>
      <c r="Q2530" s="1" t="s">
        <v>32</v>
      </c>
      <c r="R2530" s="1" t="s">
        <v>32</v>
      </c>
      <c r="S2530" s="1" t="s">
        <v>33</v>
      </c>
      <c r="T2530" s="1" t="s">
        <v>1386</v>
      </c>
      <c r="U2530" s="1">
        <v>1.00588959E8</v>
      </c>
      <c r="X2530" s="1" t="s">
        <v>125</v>
      </c>
      <c r="Y2530" s="1" t="s">
        <v>7777</v>
      </c>
      <c r="Z2530" s="1" t="s">
        <v>37</v>
      </c>
    </row>
    <row r="2531">
      <c r="A2531" s="1" t="s">
        <v>7778</v>
      </c>
      <c r="B2531" s="1" t="s">
        <v>1144</v>
      </c>
      <c r="C2531" s="1" t="s">
        <v>7779</v>
      </c>
      <c r="D2531" s="1" t="s">
        <v>78</v>
      </c>
      <c r="E2531" s="1" t="s">
        <v>28</v>
      </c>
      <c r="F2531" s="2">
        <v>400000.0</v>
      </c>
      <c r="G2531" s="1" t="s">
        <v>1288</v>
      </c>
      <c r="H2531" s="4">
        <f>IFERROR(__xludf.DUMMYFUNCTION("DATE(INDEX(SPLIT(G2531,""/""),,3),INDEX(SPLIT(G2531,""/""),,2),INDEX(SPLIT(G2531,""/""),,1))"),44707.0)</f>
        <v>44707</v>
      </c>
      <c r="I2531" s="4">
        <v>44780.0</v>
      </c>
      <c r="J2531" s="4">
        <f>IFERROR(__xludf.DUMMYFUNCTION("DATE(INDEX(SPLIT(I2531,""/""),,3),INDEX(SPLIT(I2531,""/""),,2),INDEX(SPLIT(I2531,""/""),,1))"),44750.0)</f>
        <v>44750</v>
      </c>
      <c r="L2531" s="1">
        <v>0.0</v>
      </c>
      <c r="M2531" s="1" t="s">
        <v>7780</v>
      </c>
      <c r="N2531" s="1"/>
      <c r="O2531" s="1" t="s">
        <v>30</v>
      </c>
      <c r="P2531" s="1" t="s">
        <v>31</v>
      </c>
      <c r="Q2531" s="1" t="s">
        <v>157</v>
      </c>
      <c r="R2531" s="1" t="s">
        <v>157</v>
      </c>
      <c r="S2531" s="1" t="s">
        <v>158</v>
      </c>
      <c r="U2531" s="1">
        <v>1.00644077E8</v>
      </c>
      <c r="X2531" s="1" t="s">
        <v>63</v>
      </c>
      <c r="Y2531" s="1" t="s">
        <v>7780</v>
      </c>
      <c r="Z2531" s="1" t="s">
        <v>37</v>
      </c>
    </row>
    <row r="2532" hidden="1">
      <c r="A2532" s="1" t="s">
        <v>7781</v>
      </c>
      <c r="B2532" s="1" t="s">
        <v>2889</v>
      </c>
      <c r="C2532" s="1" t="s">
        <v>7782</v>
      </c>
      <c r="D2532" s="1" t="s">
        <v>27</v>
      </c>
      <c r="E2532" s="1" t="s">
        <v>28</v>
      </c>
      <c r="F2532" s="2">
        <v>400000.0</v>
      </c>
      <c r="G2532" s="1" t="s">
        <v>7783</v>
      </c>
      <c r="H2532" s="4">
        <f>IFERROR(__xludf.DUMMYFUNCTION("DATE(INDEX(SPLIT(G2532,""/""),,3),INDEX(SPLIT(G2532,""/""),,2),INDEX(SPLIT(G2532,""/""),,1))"),43368.0)</f>
        <v>43368</v>
      </c>
      <c r="I2532" s="1" t="s">
        <v>317</v>
      </c>
      <c r="J2532" s="4">
        <f>IFERROR(__xludf.DUMMYFUNCTION("DATE(INDEX(SPLIT(I2532,""/""),,3),INDEX(SPLIT(I2532,""/""),,2),INDEX(SPLIT(I2532,""/""),,1))"),44862.0)</f>
        <v>44862</v>
      </c>
      <c r="L2532" s="1">
        <v>0.0</v>
      </c>
      <c r="M2532" s="1" t="s">
        <v>2592</v>
      </c>
      <c r="N2532" s="1"/>
      <c r="O2532" s="1" t="s">
        <v>30</v>
      </c>
      <c r="P2532" s="1" t="s">
        <v>31</v>
      </c>
      <c r="Q2532" s="1" t="s">
        <v>71</v>
      </c>
      <c r="R2532" s="1" t="s">
        <v>71</v>
      </c>
      <c r="S2532" s="1" t="s">
        <v>72</v>
      </c>
      <c r="T2532" s="1" t="s">
        <v>136</v>
      </c>
      <c r="U2532" s="1">
        <v>1.00586452E8</v>
      </c>
      <c r="X2532" s="1" t="s">
        <v>74</v>
      </c>
      <c r="Y2532" s="1" t="s">
        <v>3650</v>
      </c>
      <c r="Z2532" s="1" t="s">
        <v>37</v>
      </c>
    </row>
    <row r="2533" hidden="1">
      <c r="A2533" s="1" t="s">
        <v>7784</v>
      </c>
      <c r="B2533" s="1" t="s">
        <v>7785</v>
      </c>
      <c r="C2533" s="1" t="s">
        <v>7786</v>
      </c>
      <c r="D2533" s="1" t="s">
        <v>68</v>
      </c>
      <c r="E2533" s="1" t="s">
        <v>28</v>
      </c>
      <c r="F2533" s="2">
        <v>400000.0</v>
      </c>
      <c r="G2533" s="4">
        <v>44872.0</v>
      </c>
      <c r="H2533" s="4">
        <f>IFERROR(__xludf.DUMMYFUNCTION("DATE(INDEX(SPLIT(G2533,""/""),,3),INDEX(SPLIT(G2533,""/""),,2),INDEX(SPLIT(G2533,""/""),,1))"),44753.0)</f>
        <v>44753</v>
      </c>
      <c r="I2533" s="1" t="s">
        <v>130</v>
      </c>
      <c r="J2533" s="4">
        <f>IFERROR(__xludf.DUMMYFUNCTION("DATE(INDEX(SPLIT(I2533,""/""),,3),INDEX(SPLIT(I2533,""/""),,2),INDEX(SPLIT(I2533,""/""),,1))"),44804.0)</f>
        <v>44804</v>
      </c>
      <c r="L2533" s="1">
        <v>0.0</v>
      </c>
      <c r="M2533" s="1" t="s">
        <v>3236</v>
      </c>
      <c r="N2533" s="1"/>
      <c r="O2533" s="1" t="s">
        <v>30</v>
      </c>
      <c r="P2533" s="1" t="s">
        <v>31</v>
      </c>
      <c r="Q2533" s="1" t="s">
        <v>53</v>
      </c>
      <c r="R2533" s="1" t="s">
        <v>53</v>
      </c>
      <c r="S2533" s="1" t="s">
        <v>54</v>
      </c>
      <c r="U2533" s="1">
        <v>1.00650453E8</v>
      </c>
      <c r="X2533" s="1" t="s">
        <v>375</v>
      </c>
      <c r="Y2533" s="1" t="s">
        <v>3236</v>
      </c>
      <c r="Z2533" s="1" t="s">
        <v>37</v>
      </c>
    </row>
    <row r="2534" hidden="1">
      <c r="A2534" s="1" t="s">
        <v>7787</v>
      </c>
      <c r="B2534" s="1" t="s">
        <v>7500</v>
      </c>
      <c r="C2534" s="1" t="s">
        <v>7788</v>
      </c>
      <c r="D2534" s="1" t="s">
        <v>78</v>
      </c>
      <c r="E2534" s="1" t="s">
        <v>28</v>
      </c>
      <c r="F2534" s="2">
        <v>400000.0</v>
      </c>
      <c r="G2534" s="4">
        <v>44568.0</v>
      </c>
      <c r="H2534" s="4">
        <f>IFERROR(__xludf.DUMMYFUNCTION("DATE(INDEX(SPLIT(G2534,""/""),,3),INDEX(SPLIT(G2534,""/""),,2),INDEX(SPLIT(G2534,""/""),,1))"),44743.0)</f>
        <v>44743</v>
      </c>
      <c r="I2534" s="1" t="s">
        <v>360</v>
      </c>
      <c r="J2534" s="4">
        <f>IFERROR(__xludf.DUMMYFUNCTION("DATE(INDEX(SPLIT(I2534,""/""),,3),INDEX(SPLIT(I2534,""/""),,2),INDEX(SPLIT(I2534,""/""),,1))"),44895.0)</f>
        <v>44895</v>
      </c>
      <c r="L2534" s="1">
        <v>0.0</v>
      </c>
      <c r="M2534" s="1" t="s">
        <v>5693</v>
      </c>
      <c r="N2534" s="1"/>
      <c r="O2534" s="1" t="s">
        <v>30</v>
      </c>
      <c r="P2534" s="1" t="s">
        <v>31</v>
      </c>
      <c r="Q2534" s="1" t="s">
        <v>228</v>
      </c>
      <c r="R2534" s="1" t="s">
        <v>228</v>
      </c>
      <c r="S2534" s="1" t="s">
        <v>229</v>
      </c>
      <c r="T2534" s="1" t="s">
        <v>513</v>
      </c>
      <c r="U2534" s="1">
        <v>1.00640945E8</v>
      </c>
      <c r="X2534" s="1" t="s">
        <v>74</v>
      </c>
      <c r="Y2534" s="1" t="s">
        <v>5693</v>
      </c>
      <c r="Z2534" s="1" t="s">
        <v>37</v>
      </c>
    </row>
    <row r="2535" hidden="1">
      <c r="A2535" s="1" t="s">
        <v>7789</v>
      </c>
      <c r="B2535" s="1" t="s">
        <v>39</v>
      </c>
      <c r="C2535" s="1" t="s">
        <v>7790</v>
      </c>
      <c r="D2535" s="1" t="s">
        <v>27</v>
      </c>
      <c r="E2535" s="1" t="s">
        <v>28</v>
      </c>
      <c r="F2535" s="2">
        <v>400000.0</v>
      </c>
      <c r="G2535" s="1" t="s">
        <v>2540</v>
      </c>
      <c r="H2535" s="4">
        <f>IFERROR(__xludf.DUMMYFUNCTION("DATE(INDEX(SPLIT(G2535,""/""),,3),INDEX(SPLIT(G2535,""/""),,2),INDEX(SPLIT(G2535,""/""),,1))"),44491.0)</f>
        <v>44491</v>
      </c>
      <c r="I2535" s="1" t="s">
        <v>130</v>
      </c>
      <c r="J2535" s="4">
        <f>IFERROR(__xludf.DUMMYFUNCTION("DATE(INDEX(SPLIT(I2535,""/""),,3),INDEX(SPLIT(I2535,""/""),,2),INDEX(SPLIT(I2535,""/""),,1))"),44804.0)</f>
        <v>44804</v>
      </c>
      <c r="L2535" s="1">
        <v>0.0</v>
      </c>
      <c r="M2535" s="1" t="s">
        <v>1019</v>
      </c>
      <c r="N2535" s="1"/>
      <c r="O2535" s="1" t="s">
        <v>30</v>
      </c>
      <c r="P2535" s="1" t="s">
        <v>31</v>
      </c>
      <c r="Q2535" s="1" t="s">
        <v>95</v>
      </c>
      <c r="R2535" s="1" t="s">
        <v>95</v>
      </c>
      <c r="S2535" s="1" t="s">
        <v>96</v>
      </c>
      <c r="T2535" s="1" t="s">
        <v>311</v>
      </c>
      <c r="U2535" s="1">
        <v>1.00607644E8</v>
      </c>
      <c r="X2535" s="1" t="s">
        <v>46</v>
      </c>
      <c r="Y2535" s="1" t="s">
        <v>842</v>
      </c>
      <c r="Z2535" s="1" t="s">
        <v>37</v>
      </c>
    </row>
    <row r="2536" hidden="1">
      <c r="A2536" s="1" t="s">
        <v>7791</v>
      </c>
      <c r="B2536" s="1" t="s">
        <v>1492</v>
      </c>
      <c r="C2536" s="1" t="s">
        <v>7792</v>
      </c>
      <c r="D2536" s="1" t="s">
        <v>27</v>
      </c>
      <c r="E2536" s="1" t="s">
        <v>28</v>
      </c>
      <c r="F2536" s="2">
        <v>400000.0</v>
      </c>
      <c r="G2536" s="4">
        <v>44266.0</v>
      </c>
      <c r="H2536" s="4">
        <f>IFERROR(__xludf.DUMMYFUNCTION("DATE(INDEX(SPLIT(G2536,""/""),,3),INDEX(SPLIT(G2536,""/""),,2),INDEX(SPLIT(G2536,""/""),,1))"),44503.0)</f>
        <v>44503</v>
      </c>
      <c r="I2536" s="1" t="s">
        <v>921</v>
      </c>
      <c r="J2536" s="4">
        <f>IFERROR(__xludf.DUMMYFUNCTION("DATE(INDEX(SPLIT(I2536,""/""),,3),INDEX(SPLIT(I2536,""/""),,2),INDEX(SPLIT(I2536,""/""),,1))"),44981.0)</f>
        <v>44981</v>
      </c>
      <c r="L2536" s="1">
        <v>0.0</v>
      </c>
      <c r="M2536" s="1" t="s">
        <v>1496</v>
      </c>
      <c r="N2536" s="1"/>
      <c r="O2536" s="1" t="s">
        <v>30</v>
      </c>
      <c r="P2536" s="1" t="s">
        <v>31</v>
      </c>
      <c r="Q2536" s="1" t="s">
        <v>53</v>
      </c>
      <c r="R2536" s="1" t="s">
        <v>53</v>
      </c>
      <c r="S2536" s="1" t="s">
        <v>54</v>
      </c>
      <c r="T2536" s="1" t="s">
        <v>1386</v>
      </c>
      <c r="U2536" s="1">
        <v>1.00610014E8</v>
      </c>
      <c r="X2536" s="1" t="s">
        <v>81</v>
      </c>
      <c r="Y2536" s="1" t="s">
        <v>7793</v>
      </c>
      <c r="Z2536" s="1" t="s">
        <v>37</v>
      </c>
    </row>
    <row r="2537" hidden="1">
      <c r="A2537" s="1" t="s">
        <v>7794</v>
      </c>
      <c r="B2537" s="1" t="s">
        <v>492</v>
      </c>
      <c r="C2537" s="1" t="s">
        <v>7795</v>
      </c>
      <c r="D2537" s="1" t="s">
        <v>122</v>
      </c>
      <c r="E2537" s="1" t="s">
        <v>28</v>
      </c>
      <c r="F2537" s="2">
        <v>400000.0</v>
      </c>
      <c r="G2537" s="4">
        <v>44807.0</v>
      </c>
      <c r="H2537" s="4">
        <f>IFERROR(__xludf.DUMMYFUNCTION("DATE(INDEX(SPLIT(G2537,""/""),,3),INDEX(SPLIT(G2537,""/""),,2),INDEX(SPLIT(G2537,""/""),,1))"),44629.0)</f>
        <v>44629</v>
      </c>
      <c r="I2537" s="1" t="s">
        <v>130</v>
      </c>
      <c r="J2537" s="4">
        <f>IFERROR(__xludf.DUMMYFUNCTION("DATE(INDEX(SPLIT(I2537,""/""),,3),INDEX(SPLIT(I2537,""/""),,2),INDEX(SPLIT(I2537,""/""),,1))"),44804.0)</f>
        <v>44804</v>
      </c>
      <c r="L2537" s="1">
        <v>0.0</v>
      </c>
      <c r="M2537" s="1" t="s">
        <v>4807</v>
      </c>
      <c r="N2537" s="1"/>
      <c r="O2537" s="1" t="s">
        <v>30</v>
      </c>
      <c r="P2537" s="1" t="s">
        <v>31</v>
      </c>
      <c r="Q2537" s="1" t="s">
        <v>95</v>
      </c>
      <c r="R2537" s="1" t="s">
        <v>95</v>
      </c>
      <c r="S2537" s="1" t="s">
        <v>96</v>
      </c>
      <c r="U2537" s="1">
        <v>1.00569225E8</v>
      </c>
      <c r="X2537" s="1" t="s">
        <v>46</v>
      </c>
      <c r="Y2537" s="1" t="s">
        <v>698</v>
      </c>
      <c r="Z2537" s="1" t="s">
        <v>37</v>
      </c>
    </row>
    <row r="2538" hidden="1">
      <c r="A2538" s="1" t="s">
        <v>7796</v>
      </c>
      <c r="B2538" s="1" t="s">
        <v>39</v>
      </c>
      <c r="C2538" s="1" t="s">
        <v>7797</v>
      </c>
      <c r="D2538" s="1" t="s">
        <v>27</v>
      </c>
      <c r="E2538" s="1" t="s">
        <v>28</v>
      </c>
      <c r="F2538" s="2">
        <v>400000.0</v>
      </c>
      <c r="G2538" s="1" t="s">
        <v>6091</v>
      </c>
      <c r="H2538" s="4">
        <f>IFERROR(__xludf.DUMMYFUNCTION("DATE(INDEX(SPLIT(G2538,""/""),,3),INDEX(SPLIT(G2538,""/""),,2),INDEX(SPLIT(G2538,""/""),,1))"),44278.0)</f>
        <v>44278</v>
      </c>
      <c r="I2538" s="1" t="s">
        <v>130</v>
      </c>
      <c r="J2538" s="4">
        <f>IFERROR(__xludf.DUMMYFUNCTION("DATE(INDEX(SPLIT(I2538,""/""),,3),INDEX(SPLIT(I2538,""/""),,2),INDEX(SPLIT(I2538,""/""),,1))"),44804.0)</f>
        <v>44804</v>
      </c>
      <c r="L2538" s="1">
        <v>0.0</v>
      </c>
      <c r="M2538" s="1" t="s">
        <v>43</v>
      </c>
      <c r="N2538" s="1"/>
      <c r="O2538" s="1" t="s">
        <v>30</v>
      </c>
      <c r="P2538" s="1" t="s">
        <v>31</v>
      </c>
      <c r="Q2538" s="1" t="s">
        <v>32</v>
      </c>
      <c r="R2538" s="1" t="s">
        <v>32</v>
      </c>
      <c r="S2538" s="1" t="s">
        <v>33</v>
      </c>
      <c r="T2538" s="1" t="s">
        <v>103</v>
      </c>
      <c r="U2538" s="1">
        <v>1.00587944E8</v>
      </c>
      <c r="X2538" s="1" t="s">
        <v>46</v>
      </c>
      <c r="Y2538" s="1" t="s">
        <v>104</v>
      </c>
      <c r="Z2538" s="1" t="s">
        <v>37</v>
      </c>
    </row>
    <row r="2539">
      <c r="A2539" s="1" t="s">
        <v>7798</v>
      </c>
      <c r="B2539" s="1" t="s">
        <v>605</v>
      </c>
      <c r="C2539" s="1" t="s">
        <v>7799</v>
      </c>
      <c r="D2539" s="1" t="s">
        <v>68</v>
      </c>
      <c r="E2539" s="1" t="s">
        <v>28</v>
      </c>
      <c r="F2539" s="2">
        <v>400000.0</v>
      </c>
      <c r="G2539" s="1" t="s">
        <v>271</v>
      </c>
      <c r="H2539" s="4">
        <f>IFERROR(__xludf.DUMMYFUNCTION("DATE(INDEX(SPLIT(G2539,""/""),,3),INDEX(SPLIT(G2539,""/""),,2),INDEX(SPLIT(G2539,""/""),,1))"),44680.0)</f>
        <v>44680</v>
      </c>
      <c r="I2539" s="1" t="s">
        <v>503</v>
      </c>
      <c r="J2539" s="4">
        <f>IFERROR(__xludf.DUMMYFUNCTION("DATE(INDEX(SPLIT(I2539,""/""),,3),INDEX(SPLIT(I2539,""/""),,2),INDEX(SPLIT(I2539,""/""),,1))"),44736.0)</f>
        <v>44736</v>
      </c>
      <c r="L2539" s="1">
        <v>0.0</v>
      </c>
      <c r="M2539" s="1" t="s">
        <v>4979</v>
      </c>
      <c r="N2539" s="1"/>
      <c r="O2539" s="1" t="s">
        <v>30</v>
      </c>
      <c r="P2539" s="1" t="s">
        <v>31</v>
      </c>
      <c r="Q2539" s="1" t="s">
        <v>235</v>
      </c>
      <c r="R2539" s="1" t="s">
        <v>235</v>
      </c>
      <c r="S2539" s="1" t="s">
        <v>236</v>
      </c>
      <c r="T2539" s="1" t="s">
        <v>1349</v>
      </c>
      <c r="U2539" s="1">
        <v>1.00637587E8</v>
      </c>
      <c r="X2539" s="1" t="s">
        <v>609</v>
      </c>
      <c r="Y2539" s="1" t="s">
        <v>7800</v>
      </c>
      <c r="Z2539" s="1" t="s">
        <v>37</v>
      </c>
    </row>
    <row r="2540" hidden="1">
      <c r="A2540" s="1" t="s">
        <v>7801</v>
      </c>
      <c r="B2540" s="1" t="s">
        <v>7802</v>
      </c>
      <c r="C2540" s="1" t="s">
        <v>7803</v>
      </c>
      <c r="D2540" s="1" t="s">
        <v>27</v>
      </c>
      <c r="E2540" s="1" t="s">
        <v>28</v>
      </c>
      <c r="F2540" s="2">
        <v>400000.0</v>
      </c>
      <c r="G2540" s="1" t="s">
        <v>798</v>
      </c>
      <c r="H2540" s="4">
        <f>IFERROR(__xludf.DUMMYFUNCTION("DATE(INDEX(SPLIT(G2540,""/""),,3),INDEX(SPLIT(G2540,""/""),,2),INDEX(SPLIT(G2540,""/""),,1))"),44313.0)</f>
        <v>44313</v>
      </c>
      <c r="I2540" s="1" t="s">
        <v>109</v>
      </c>
      <c r="J2540" s="4">
        <f>IFERROR(__xludf.DUMMYFUNCTION("DATE(INDEX(SPLIT(I2540,""/""),,3),INDEX(SPLIT(I2540,""/""),,2),INDEX(SPLIT(I2540,""/""),,1))"),44834.0)</f>
        <v>44834</v>
      </c>
      <c r="L2540" s="1">
        <v>0.0</v>
      </c>
      <c r="M2540" s="1" t="s">
        <v>1649</v>
      </c>
      <c r="N2540" s="1"/>
      <c r="O2540" s="1" t="s">
        <v>30</v>
      </c>
      <c r="P2540" s="1" t="s">
        <v>31</v>
      </c>
      <c r="Q2540" s="1" t="s">
        <v>157</v>
      </c>
      <c r="R2540" s="1" t="s">
        <v>157</v>
      </c>
      <c r="S2540" s="1" t="s">
        <v>158</v>
      </c>
      <c r="T2540" s="1" t="s">
        <v>159</v>
      </c>
      <c r="U2540" s="1">
        <v>1.00643454E8</v>
      </c>
      <c r="X2540" s="1" t="s">
        <v>117</v>
      </c>
      <c r="Y2540" s="1" t="s">
        <v>1649</v>
      </c>
      <c r="Z2540" s="1" t="s">
        <v>37</v>
      </c>
    </row>
    <row r="2541" hidden="1">
      <c r="A2541" s="1" t="s">
        <v>7804</v>
      </c>
      <c r="B2541" s="1" t="s">
        <v>2889</v>
      </c>
      <c r="C2541" s="1" t="s">
        <v>7805</v>
      </c>
      <c r="D2541" s="1" t="s">
        <v>78</v>
      </c>
      <c r="E2541" s="1" t="s">
        <v>28</v>
      </c>
      <c r="F2541" s="2">
        <v>400000.0</v>
      </c>
      <c r="G2541" s="1" t="s">
        <v>7806</v>
      </c>
      <c r="H2541" s="4">
        <f>IFERROR(__xludf.DUMMYFUNCTION("DATE(INDEX(SPLIT(G2541,""/""),,3),INDEX(SPLIT(G2541,""/""),,2),INDEX(SPLIT(G2541,""/""),,1))"),44065.0)</f>
        <v>44065</v>
      </c>
      <c r="I2541" s="4">
        <v>44813.0</v>
      </c>
      <c r="J2541" s="4">
        <f>IFERROR(__xludf.DUMMYFUNCTION("DATE(INDEX(SPLIT(I2541,""/""),,3),INDEX(SPLIT(I2541,""/""),,2),INDEX(SPLIT(I2541,""/""),,1))"),44813.0)</f>
        <v>44813</v>
      </c>
      <c r="L2541" s="1">
        <v>0.0</v>
      </c>
      <c r="M2541" s="1" t="s">
        <v>1088</v>
      </c>
      <c r="N2541" s="1"/>
      <c r="O2541" s="1" t="s">
        <v>30</v>
      </c>
      <c r="P2541" s="1" t="s">
        <v>31</v>
      </c>
      <c r="Q2541" s="1" t="s">
        <v>71</v>
      </c>
      <c r="R2541" s="1" t="s">
        <v>71</v>
      </c>
      <c r="S2541" s="1" t="s">
        <v>72</v>
      </c>
      <c r="T2541" s="1" t="s">
        <v>136</v>
      </c>
      <c r="U2541" s="1">
        <v>1.0090037E8</v>
      </c>
      <c r="X2541" s="1" t="s">
        <v>74</v>
      </c>
      <c r="Y2541" s="1" t="s">
        <v>6503</v>
      </c>
      <c r="Z2541" s="1" t="s">
        <v>37</v>
      </c>
    </row>
    <row r="2542" hidden="1">
      <c r="A2542" s="1" t="s">
        <v>7807</v>
      </c>
      <c r="B2542" s="1" t="s">
        <v>1095</v>
      </c>
      <c r="C2542" s="1" t="s">
        <v>2313</v>
      </c>
      <c r="D2542" s="1" t="s">
        <v>78</v>
      </c>
      <c r="E2542" s="1" t="s">
        <v>28</v>
      </c>
      <c r="F2542" s="2">
        <v>400000.0</v>
      </c>
      <c r="G2542" s="4">
        <v>44450.0</v>
      </c>
      <c r="H2542" s="4">
        <f>IFERROR(__xludf.DUMMYFUNCTION("DATE(INDEX(SPLIT(G2542,""/""),,3),INDEX(SPLIT(G2542,""/""),,2),INDEX(SPLIT(G2542,""/""),,1))"),44509.0)</f>
        <v>44509</v>
      </c>
      <c r="I2542" s="1" t="s">
        <v>317</v>
      </c>
      <c r="J2542" s="4">
        <f>IFERROR(__xludf.DUMMYFUNCTION("DATE(INDEX(SPLIT(I2542,""/""),,3),INDEX(SPLIT(I2542,""/""),,2),INDEX(SPLIT(I2542,""/""),,1))"),44862.0)</f>
        <v>44862</v>
      </c>
      <c r="L2542" s="1">
        <v>0.0</v>
      </c>
      <c r="M2542" s="1" t="s">
        <v>2312</v>
      </c>
      <c r="N2542" s="1"/>
      <c r="O2542" s="1" t="s">
        <v>30</v>
      </c>
      <c r="P2542" s="1" t="s">
        <v>31</v>
      </c>
      <c r="Q2542" s="1" t="s">
        <v>32</v>
      </c>
      <c r="R2542" s="1" t="s">
        <v>32</v>
      </c>
      <c r="S2542" s="1" t="s">
        <v>33</v>
      </c>
      <c r="T2542" s="1" t="s">
        <v>103</v>
      </c>
      <c r="U2542" s="1">
        <v>1.00610903E8</v>
      </c>
      <c r="W2542" s="1" t="s">
        <v>56</v>
      </c>
      <c r="X2542" s="1" t="s">
        <v>312</v>
      </c>
      <c r="Y2542" s="1" t="s">
        <v>2312</v>
      </c>
      <c r="Z2542" s="1" t="s">
        <v>37</v>
      </c>
    </row>
    <row r="2543" hidden="1">
      <c r="A2543" s="1" t="s">
        <v>7808</v>
      </c>
      <c r="B2543" s="1" t="s">
        <v>3254</v>
      </c>
      <c r="C2543" s="1" t="s">
        <v>7809</v>
      </c>
      <c r="D2543" s="1" t="s">
        <v>78</v>
      </c>
      <c r="E2543" s="1" t="s">
        <v>28</v>
      </c>
      <c r="F2543" s="2">
        <v>400000.0</v>
      </c>
      <c r="G2543" s="1" t="s">
        <v>1244</v>
      </c>
      <c r="H2543" s="4">
        <f>IFERROR(__xludf.DUMMYFUNCTION("DATE(INDEX(SPLIT(G2543,""/""),,3),INDEX(SPLIT(G2543,""/""),,2),INDEX(SPLIT(G2543,""/""),,1))"),44742.0)</f>
        <v>44742</v>
      </c>
      <c r="I2543" s="4">
        <v>44689.0</v>
      </c>
      <c r="J2543" s="4">
        <f>IFERROR(__xludf.DUMMYFUNCTION("DATE(INDEX(SPLIT(I2543,""/""),,3),INDEX(SPLIT(I2543,""/""),,2),INDEX(SPLIT(I2543,""/""),,1))"),44778.0)</f>
        <v>44778</v>
      </c>
      <c r="L2543" s="1">
        <v>0.0</v>
      </c>
      <c r="M2543" s="1" t="s">
        <v>1333</v>
      </c>
      <c r="N2543" s="1"/>
      <c r="O2543" s="1" t="s">
        <v>30</v>
      </c>
      <c r="P2543" s="1" t="s">
        <v>31</v>
      </c>
      <c r="Q2543" s="1" t="s">
        <v>71</v>
      </c>
      <c r="R2543" s="1" t="s">
        <v>71</v>
      </c>
      <c r="S2543" s="1" t="s">
        <v>72</v>
      </c>
      <c r="T2543" s="1" t="s">
        <v>136</v>
      </c>
      <c r="U2543" s="1">
        <v>1.006299E8</v>
      </c>
      <c r="X2543" s="1" t="s">
        <v>2028</v>
      </c>
      <c r="Y2543" s="1" t="s">
        <v>7810</v>
      </c>
      <c r="Z2543" s="1" t="s">
        <v>37</v>
      </c>
    </row>
    <row r="2544">
      <c r="A2544" s="1" t="s">
        <v>7811</v>
      </c>
      <c r="B2544" s="1" t="s">
        <v>241</v>
      </c>
      <c r="C2544" s="1" t="s">
        <v>7812</v>
      </c>
      <c r="D2544" s="1" t="s">
        <v>122</v>
      </c>
      <c r="E2544" s="1" t="s">
        <v>28</v>
      </c>
      <c r="F2544" s="2">
        <v>400000.0</v>
      </c>
      <c r="G2544" s="1" t="s">
        <v>2309</v>
      </c>
      <c r="H2544" s="4">
        <f>IFERROR(__xludf.DUMMYFUNCTION("DATE(INDEX(SPLIT(G2544,""/""),,3),INDEX(SPLIT(G2544,""/""),,2),INDEX(SPLIT(G2544,""/""),,1))"),44672.0)</f>
        <v>44672</v>
      </c>
      <c r="I2544" s="1" t="s">
        <v>226</v>
      </c>
      <c r="J2544" s="4">
        <f>IFERROR(__xludf.DUMMYFUNCTION("DATE(INDEX(SPLIT(I2544,""/""),,3),INDEX(SPLIT(I2544,""/""),,2),INDEX(SPLIT(I2544,""/""),,1))"),44771.0)</f>
        <v>44771</v>
      </c>
      <c r="L2544" s="1">
        <v>0.0</v>
      </c>
      <c r="M2544" s="1" t="s">
        <v>4508</v>
      </c>
      <c r="N2544" s="1"/>
      <c r="O2544" s="1" t="s">
        <v>30</v>
      </c>
      <c r="P2544" s="1" t="s">
        <v>31</v>
      </c>
      <c r="Q2544" s="1" t="s">
        <v>228</v>
      </c>
      <c r="R2544" s="1" t="s">
        <v>228</v>
      </c>
      <c r="S2544" s="1" t="s">
        <v>229</v>
      </c>
      <c r="T2544" s="1" t="s">
        <v>640</v>
      </c>
      <c r="U2544" s="1">
        <v>1.00657185E8</v>
      </c>
      <c r="X2544" s="1" t="s">
        <v>35</v>
      </c>
      <c r="Y2544" s="1" t="s">
        <v>5616</v>
      </c>
      <c r="Z2544" s="1" t="s">
        <v>37</v>
      </c>
    </row>
    <row r="2545">
      <c r="A2545" s="1" t="s">
        <v>7813</v>
      </c>
      <c r="B2545" s="1" t="s">
        <v>876</v>
      </c>
      <c r="C2545" s="1" t="s">
        <v>7814</v>
      </c>
      <c r="D2545" s="1" t="s">
        <v>122</v>
      </c>
      <c r="E2545" s="1" t="s">
        <v>28</v>
      </c>
      <c r="F2545" s="2">
        <v>400000.0</v>
      </c>
      <c r="G2545" s="1" t="s">
        <v>1244</v>
      </c>
      <c r="H2545" s="4">
        <f>IFERROR(__xludf.DUMMYFUNCTION("DATE(INDEX(SPLIT(G2545,""/""),,3),INDEX(SPLIT(G2545,""/""),,2),INDEX(SPLIT(G2545,""/""),,1))"),44742.0)</f>
        <v>44742</v>
      </c>
      <c r="I2545" s="1" t="s">
        <v>226</v>
      </c>
      <c r="J2545" s="4">
        <f>IFERROR(__xludf.DUMMYFUNCTION("DATE(INDEX(SPLIT(I2545,""/""),,3),INDEX(SPLIT(I2545,""/""),,2),INDEX(SPLIT(I2545,""/""),,1))"),44771.0)</f>
        <v>44771</v>
      </c>
      <c r="L2545" s="1">
        <v>0.0</v>
      </c>
      <c r="M2545" s="1" t="s">
        <v>639</v>
      </c>
      <c r="N2545" s="1"/>
      <c r="O2545" s="1" t="s">
        <v>30</v>
      </c>
      <c r="P2545" s="1" t="s">
        <v>31</v>
      </c>
      <c r="Q2545" s="1" t="s">
        <v>228</v>
      </c>
      <c r="R2545" s="1" t="s">
        <v>228</v>
      </c>
      <c r="S2545" s="1" t="s">
        <v>229</v>
      </c>
      <c r="T2545" s="1" t="s">
        <v>640</v>
      </c>
      <c r="U2545" s="1">
        <v>1.00646519E8</v>
      </c>
      <c r="X2545" s="1" t="s">
        <v>35</v>
      </c>
      <c r="Y2545" s="1" t="s">
        <v>7815</v>
      </c>
      <c r="Z2545" s="1" t="s">
        <v>37</v>
      </c>
    </row>
    <row r="2546" hidden="1">
      <c r="A2546" s="1" t="s">
        <v>7816</v>
      </c>
      <c r="B2546" s="1" t="s">
        <v>7817</v>
      </c>
      <c r="C2546" s="1" t="s">
        <v>7818</v>
      </c>
      <c r="D2546" s="1" t="s">
        <v>78</v>
      </c>
      <c r="E2546" s="1" t="s">
        <v>28</v>
      </c>
      <c r="F2546" s="2">
        <v>400000.0</v>
      </c>
      <c r="G2546" s="1" t="s">
        <v>7819</v>
      </c>
      <c r="H2546" s="4">
        <f>IFERROR(__xludf.DUMMYFUNCTION("DATE(INDEX(SPLIT(G2546,""/""),,3),INDEX(SPLIT(G2546,""/""),,2),INDEX(SPLIT(G2546,""/""),,1))"),43859.0)</f>
        <v>43859</v>
      </c>
      <c r="I2546" s="1" t="s">
        <v>42</v>
      </c>
      <c r="J2546" s="4">
        <f>IFERROR(__xludf.DUMMYFUNCTION("DATE(INDEX(SPLIT(I2546,""/""),,3),INDEX(SPLIT(I2546,""/""),,2),INDEX(SPLIT(I2546,""/""),,1))"),44926.0)</f>
        <v>44926</v>
      </c>
      <c r="L2546" s="1">
        <v>0.0</v>
      </c>
      <c r="M2546" s="1" t="s">
        <v>1582</v>
      </c>
      <c r="N2546" s="1"/>
      <c r="O2546" s="1" t="s">
        <v>30</v>
      </c>
      <c r="P2546" s="1" t="s">
        <v>31</v>
      </c>
      <c r="Q2546" s="1" t="s">
        <v>235</v>
      </c>
      <c r="R2546" s="1" t="s">
        <v>235</v>
      </c>
      <c r="S2546" s="1" t="s">
        <v>236</v>
      </c>
      <c r="T2546" s="1" t="s">
        <v>438</v>
      </c>
      <c r="U2546" s="1">
        <v>1.00639226E8</v>
      </c>
      <c r="X2546" s="1" t="s">
        <v>88</v>
      </c>
      <c r="Y2546" s="1" t="s">
        <v>1582</v>
      </c>
      <c r="Z2546" s="1" t="s">
        <v>527</v>
      </c>
    </row>
    <row r="2547" hidden="1">
      <c r="A2547" s="1" t="s">
        <v>7820</v>
      </c>
      <c r="B2547" s="1" t="s">
        <v>4013</v>
      </c>
      <c r="C2547" s="1" t="s">
        <v>6609</v>
      </c>
      <c r="D2547" s="1" t="s">
        <v>78</v>
      </c>
      <c r="E2547" s="1" t="s">
        <v>28</v>
      </c>
      <c r="F2547" s="2">
        <v>400000.0</v>
      </c>
      <c r="G2547" s="1" t="s">
        <v>6460</v>
      </c>
      <c r="H2547" s="4">
        <f>IFERROR(__xludf.DUMMYFUNCTION("DATE(INDEX(SPLIT(G2547,""/""),,3),INDEX(SPLIT(G2547,""/""),,2),INDEX(SPLIT(G2547,""/""),,1))"),44433.0)</f>
        <v>44433</v>
      </c>
      <c r="I2547" s="1" t="s">
        <v>360</v>
      </c>
      <c r="J2547" s="4">
        <f>IFERROR(__xludf.DUMMYFUNCTION("DATE(INDEX(SPLIT(I2547,""/""),,3),INDEX(SPLIT(I2547,""/""),,2),INDEX(SPLIT(I2547,""/""),,1))"),44895.0)</f>
        <v>44895</v>
      </c>
      <c r="K2547" s="9">
        <v>44717.23888888889</v>
      </c>
      <c r="L2547" s="1">
        <v>0.0</v>
      </c>
      <c r="M2547" s="1" t="s">
        <v>852</v>
      </c>
      <c r="N2547" s="1"/>
      <c r="O2547" s="1" t="s">
        <v>30</v>
      </c>
      <c r="P2547" s="1" t="s">
        <v>31</v>
      </c>
      <c r="Q2547" s="1" t="s">
        <v>157</v>
      </c>
      <c r="R2547" s="1" t="s">
        <v>157</v>
      </c>
      <c r="S2547" s="1" t="s">
        <v>158</v>
      </c>
      <c r="T2547" s="1" t="s">
        <v>442</v>
      </c>
      <c r="U2547" s="1">
        <v>1.00648457E8</v>
      </c>
      <c r="V2547" s="1" t="s">
        <v>6630</v>
      </c>
      <c r="W2547" s="1" t="s">
        <v>199</v>
      </c>
      <c r="X2547" s="1" t="s">
        <v>190</v>
      </c>
      <c r="Y2547" s="1" t="s">
        <v>5726</v>
      </c>
      <c r="Z2547" s="1" t="s">
        <v>37</v>
      </c>
    </row>
    <row r="2548" hidden="1">
      <c r="A2548" s="1" t="s">
        <v>7821</v>
      </c>
      <c r="B2548" s="1" t="s">
        <v>2217</v>
      </c>
      <c r="C2548" s="1" t="s">
        <v>7822</v>
      </c>
      <c r="D2548" s="1" t="s">
        <v>78</v>
      </c>
      <c r="E2548" s="1" t="s">
        <v>28</v>
      </c>
      <c r="F2548" s="2">
        <v>400000.0</v>
      </c>
      <c r="G2548" s="4">
        <v>44716.0</v>
      </c>
      <c r="H2548" s="4">
        <f>IFERROR(__xludf.DUMMYFUNCTION("DATE(INDEX(SPLIT(G2548,""/""),,3),INDEX(SPLIT(G2548,""/""),,2),INDEX(SPLIT(G2548,""/""),,1))"),44657.0)</f>
        <v>44657</v>
      </c>
      <c r="I2548" s="4">
        <v>44813.0</v>
      </c>
      <c r="J2548" s="4">
        <f>IFERROR(__xludf.DUMMYFUNCTION("DATE(INDEX(SPLIT(I2548,""/""),,3),INDEX(SPLIT(I2548,""/""),,2),INDEX(SPLIT(I2548,""/""),,1))"),44813.0)</f>
        <v>44813</v>
      </c>
      <c r="L2548" s="1">
        <v>0.0</v>
      </c>
      <c r="M2548" s="1" t="s">
        <v>318</v>
      </c>
      <c r="N2548" s="1"/>
      <c r="O2548" s="1" t="s">
        <v>30</v>
      </c>
      <c r="P2548" s="1" t="s">
        <v>31</v>
      </c>
      <c r="Q2548" s="1" t="s">
        <v>71</v>
      </c>
      <c r="R2548" s="1" t="s">
        <v>71</v>
      </c>
      <c r="S2548" s="1" t="s">
        <v>72</v>
      </c>
      <c r="T2548" s="1" t="s">
        <v>73</v>
      </c>
      <c r="U2548" s="1">
        <v>1.00654705E8</v>
      </c>
      <c r="X2548" s="1" t="s">
        <v>74</v>
      </c>
      <c r="Y2548" s="1" t="s">
        <v>318</v>
      </c>
      <c r="Z2548" s="1" t="s">
        <v>37</v>
      </c>
    </row>
    <row r="2549" hidden="1">
      <c r="A2549" s="1" t="s">
        <v>7823</v>
      </c>
      <c r="B2549" s="1" t="s">
        <v>7824</v>
      </c>
      <c r="C2549" s="1" t="s">
        <v>7825</v>
      </c>
      <c r="D2549" s="1" t="s">
        <v>78</v>
      </c>
      <c r="E2549" s="1" t="s">
        <v>28</v>
      </c>
      <c r="F2549" s="2">
        <v>400000.0</v>
      </c>
      <c r="G2549" s="1" t="s">
        <v>934</v>
      </c>
      <c r="H2549" s="4">
        <f>IFERROR(__xludf.DUMMYFUNCTION("DATE(INDEX(SPLIT(G2549,""/""),,3),INDEX(SPLIT(G2549,""/""),,2),INDEX(SPLIT(G2549,""/""),,1))"),44681.0)</f>
        <v>44681</v>
      </c>
      <c r="I2549" s="1" t="s">
        <v>130</v>
      </c>
      <c r="J2549" s="4">
        <f>IFERROR(__xludf.DUMMYFUNCTION("DATE(INDEX(SPLIT(I2549,""/""),,3),INDEX(SPLIT(I2549,""/""),,2),INDEX(SPLIT(I2549,""/""),,1))"),44804.0)</f>
        <v>44804</v>
      </c>
      <c r="L2549" s="1">
        <v>0.0</v>
      </c>
      <c r="M2549" s="1" t="s">
        <v>5588</v>
      </c>
      <c r="N2549" s="1"/>
      <c r="O2549" s="1" t="s">
        <v>30</v>
      </c>
      <c r="P2549" s="1" t="s">
        <v>31</v>
      </c>
      <c r="Q2549" s="1" t="s">
        <v>1320</v>
      </c>
      <c r="R2549" s="1" t="s">
        <v>1320</v>
      </c>
      <c r="S2549" s="1" t="s">
        <v>54</v>
      </c>
      <c r="U2549" s="1">
        <v>1.00625588E8</v>
      </c>
      <c r="X2549" s="1" t="s">
        <v>781</v>
      </c>
      <c r="Y2549" s="1" t="s">
        <v>5589</v>
      </c>
      <c r="Z2549" s="1" t="s">
        <v>37</v>
      </c>
    </row>
    <row r="2550" hidden="1">
      <c r="A2550" s="1" t="s">
        <v>7826</v>
      </c>
      <c r="B2550" s="1" t="s">
        <v>1579</v>
      </c>
      <c r="C2550" s="1" t="s">
        <v>7827</v>
      </c>
      <c r="D2550" s="1" t="s">
        <v>122</v>
      </c>
      <c r="E2550" s="1" t="s">
        <v>28</v>
      </c>
      <c r="F2550" s="2">
        <v>400000.0</v>
      </c>
      <c r="G2550" s="4">
        <v>44508.0</v>
      </c>
      <c r="H2550" s="4">
        <f>IFERROR(__xludf.DUMMYFUNCTION("DATE(INDEX(SPLIT(G2550,""/""),,3),INDEX(SPLIT(G2550,""/""),,2),INDEX(SPLIT(G2550,""/""),,1))"),44419.0)</f>
        <v>44419</v>
      </c>
      <c r="I2550" s="1" t="s">
        <v>317</v>
      </c>
      <c r="J2550" s="4">
        <f>IFERROR(__xludf.DUMMYFUNCTION("DATE(INDEX(SPLIT(I2550,""/""),,3),INDEX(SPLIT(I2550,""/""),,2),INDEX(SPLIT(I2550,""/""),,1))"),44862.0)</f>
        <v>44862</v>
      </c>
      <c r="L2550" s="1">
        <v>0.0</v>
      </c>
      <c r="M2550" s="1" t="s">
        <v>979</v>
      </c>
      <c r="N2550" s="1"/>
      <c r="O2550" s="1" t="s">
        <v>30</v>
      </c>
      <c r="P2550" s="1" t="s">
        <v>31</v>
      </c>
      <c r="Q2550" s="1" t="s">
        <v>235</v>
      </c>
      <c r="R2550" s="1" t="s">
        <v>235</v>
      </c>
      <c r="S2550" s="1" t="s">
        <v>236</v>
      </c>
      <c r="T2550" s="1" t="s">
        <v>438</v>
      </c>
      <c r="U2550" s="1">
        <v>1.00647262E8</v>
      </c>
      <c r="X2550" s="1" t="s">
        <v>88</v>
      </c>
      <c r="Y2550" s="1" t="s">
        <v>1582</v>
      </c>
      <c r="Z2550" s="1" t="s">
        <v>37</v>
      </c>
    </row>
    <row r="2551" hidden="1">
      <c r="A2551" s="1" t="s">
        <v>7828</v>
      </c>
      <c r="B2551" s="1" t="s">
        <v>1042</v>
      </c>
      <c r="C2551" s="1" t="s">
        <v>7829</v>
      </c>
      <c r="D2551" s="1" t="s">
        <v>78</v>
      </c>
      <c r="E2551" s="1" t="s">
        <v>28</v>
      </c>
      <c r="F2551" s="2">
        <v>400000.0</v>
      </c>
      <c r="G2551" s="4">
        <v>44053.0</v>
      </c>
      <c r="H2551" s="4">
        <f>IFERROR(__xludf.DUMMYFUNCTION("DATE(INDEX(SPLIT(G2551,""/""),,3),INDEX(SPLIT(G2551,""/""),,2),INDEX(SPLIT(G2551,""/""),,1))"),44112.0)</f>
        <v>44112</v>
      </c>
      <c r="I2551" s="1" t="s">
        <v>42</v>
      </c>
      <c r="J2551" s="4">
        <f>IFERROR(__xludf.DUMMYFUNCTION("DATE(INDEX(SPLIT(I2551,""/""),,3),INDEX(SPLIT(I2551,""/""),,2),INDEX(SPLIT(I2551,""/""),,1))"),44926.0)</f>
        <v>44926</v>
      </c>
      <c r="L2551" s="1">
        <v>0.0</v>
      </c>
      <c r="M2551" s="1" t="s">
        <v>7830</v>
      </c>
      <c r="N2551" s="1"/>
      <c r="O2551" s="1" t="s">
        <v>30</v>
      </c>
      <c r="P2551" s="1" t="s">
        <v>31</v>
      </c>
      <c r="Q2551" s="1" t="s">
        <v>235</v>
      </c>
      <c r="R2551" s="1" t="s">
        <v>235</v>
      </c>
      <c r="S2551" s="1" t="s">
        <v>236</v>
      </c>
      <c r="T2551" s="1" t="s">
        <v>438</v>
      </c>
      <c r="U2551" s="1">
        <v>1.00658814E8</v>
      </c>
      <c r="X2551" s="1" t="s">
        <v>88</v>
      </c>
      <c r="Y2551" s="1" t="s">
        <v>7831</v>
      </c>
      <c r="Z2551" s="1" t="s">
        <v>37</v>
      </c>
    </row>
    <row r="2552" hidden="1">
      <c r="A2552" s="1" t="s">
        <v>7832</v>
      </c>
      <c r="B2552" s="1" t="s">
        <v>7817</v>
      </c>
      <c r="C2552" s="1" t="s">
        <v>7833</v>
      </c>
      <c r="D2552" s="1" t="s">
        <v>78</v>
      </c>
      <c r="E2552" s="1" t="s">
        <v>28</v>
      </c>
      <c r="F2552" s="2">
        <v>400000.0</v>
      </c>
      <c r="G2552" s="1" t="s">
        <v>7834</v>
      </c>
      <c r="H2552" s="4">
        <f>IFERROR(__xludf.DUMMYFUNCTION("DATE(INDEX(SPLIT(G2552,""/""),,3),INDEX(SPLIT(G2552,""/""),,2),INDEX(SPLIT(G2552,""/""),,1))"),44277.0)</f>
        <v>44277</v>
      </c>
      <c r="I2552" s="1" t="s">
        <v>42</v>
      </c>
      <c r="J2552" s="4">
        <f>IFERROR(__xludf.DUMMYFUNCTION("DATE(INDEX(SPLIT(I2552,""/""),,3),INDEX(SPLIT(I2552,""/""),,2),INDEX(SPLIT(I2552,""/""),,1))"),44926.0)</f>
        <v>44926</v>
      </c>
      <c r="L2552" s="1">
        <v>0.0</v>
      </c>
      <c r="M2552" s="1" t="s">
        <v>1582</v>
      </c>
      <c r="N2552" s="1"/>
      <c r="O2552" s="1" t="s">
        <v>30</v>
      </c>
      <c r="P2552" s="1" t="s">
        <v>31</v>
      </c>
      <c r="Q2552" s="1" t="s">
        <v>235</v>
      </c>
      <c r="R2552" s="1" t="s">
        <v>235</v>
      </c>
      <c r="S2552" s="1" t="s">
        <v>236</v>
      </c>
      <c r="T2552" s="1" t="s">
        <v>438</v>
      </c>
      <c r="U2552" s="1">
        <v>1.00639226E8</v>
      </c>
      <c r="X2552" s="1" t="s">
        <v>88</v>
      </c>
      <c r="Y2552" s="1" t="s">
        <v>1582</v>
      </c>
      <c r="Z2552" s="1" t="s">
        <v>527</v>
      </c>
    </row>
    <row r="2553" hidden="1">
      <c r="A2553" s="1" t="s">
        <v>7835</v>
      </c>
      <c r="B2553" s="1" t="s">
        <v>2884</v>
      </c>
      <c r="C2553" s="1" t="s">
        <v>7836</v>
      </c>
      <c r="D2553" s="1" t="s">
        <v>27</v>
      </c>
      <c r="E2553" s="1" t="s">
        <v>28</v>
      </c>
      <c r="F2553" s="2">
        <v>400000.0</v>
      </c>
      <c r="G2553" s="1" t="s">
        <v>5068</v>
      </c>
      <c r="H2553" s="4">
        <f>IFERROR(__xludf.DUMMYFUNCTION("DATE(INDEX(SPLIT(G2553,""/""),,3),INDEX(SPLIT(G2553,""/""),,2),INDEX(SPLIT(G2553,""/""),,1))"),44315.0)</f>
        <v>44315</v>
      </c>
      <c r="I2553" s="1" t="s">
        <v>7837</v>
      </c>
      <c r="J2553" s="4">
        <f>IFERROR(__xludf.DUMMYFUNCTION("DATE(INDEX(SPLIT(I2553,""/""),,3),INDEX(SPLIT(I2553,""/""),,2),INDEX(SPLIT(I2553,""/""),,1))"),44825.0)</f>
        <v>44825</v>
      </c>
      <c r="L2553" s="1">
        <v>0.0</v>
      </c>
      <c r="M2553" s="1" t="s">
        <v>318</v>
      </c>
      <c r="N2553" s="1"/>
      <c r="O2553" s="1" t="s">
        <v>30</v>
      </c>
      <c r="P2553" s="1" t="s">
        <v>31</v>
      </c>
      <c r="Q2553" s="1" t="s">
        <v>71</v>
      </c>
      <c r="R2553" s="1" t="s">
        <v>71</v>
      </c>
      <c r="S2553" s="1" t="s">
        <v>72</v>
      </c>
      <c r="T2553" s="1" t="s">
        <v>73</v>
      </c>
      <c r="U2553" s="1">
        <v>1.00654705E8</v>
      </c>
      <c r="X2553" s="1" t="s">
        <v>74</v>
      </c>
      <c r="Y2553" s="1" t="s">
        <v>318</v>
      </c>
      <c r="Z2553" s="1" t="s">
        <v>37</v>
      </c>
    </row>
    <row r="2554" hidden="1">
      <c r="A2554" s="1" t="s">
        <v>7838</v>
      </c>
      <c r="B2554" s="1" t="s">
        <v>529</v>
      </c>
      <c r="C2554" s="1" t="s">
        <v>7839</v>
      </c>
      <c r="D2554" s="1" t="s">
        <v>27</v>
      </c>
      <c r="E2554" s="1" t="s">
        <v>28</v>
      </c>
      <c r="F2554" s="2">
        <v>400000.0</v>
      </c>
      <c r="G2554" s="1" t="s">
        <v>7840</v>
      </c>
      <c r="H2554" s="4">
        <f>IFERROR(__xludf.DUMMYFUNCTION("DATE(INDEX(SPLIT(G2554,""/""),,3),INDEX(SPLIT(G2554,""/""),,2),INDEX(SPLIT(G2554,""/""),,1))"),44035.0)</f>
        <v>44035</v>
      </c>
      <c r="I2554" s="4">
        <v>45171.0</v>
      </c>
      <c r="J2554" s="4">
        <f>IFERROR(__xludf.DUMMYFUNCTION("DATE(INDEX(SPLIT(I2554,""/""),,3),INDEX(SPLIT(I2554,""/""),,2),INDEX(SPLIT(I2554,""/""),,1))"),44966.0)</f>
        <v>44966</v>
      </c>
      <c r="L2554" s="1">
        <v>0.0</v>
      </c>
      <c r="M2554" s="1" t="s">
        <v>1452</v>
      </c>
      <c r="N2554" s="1"/>
      <c r="O2554" s="1" t="s">
        <v>30</v>
      </c>
      <c r="P2554" s="1" t="s">
        <v>31</v>
      </c>
      <c r="Q2554" s="1" t="s">
        <v>32</v>
      </c>
      <c r="R2554" s="1" t="s">
        <v>32</v>
      </c>
      <c r="S2554" s="1" t="s">
        <v>33</v>
      </c>
      <c r="T2554" s="1" t="s">
        <v>103</v>
      </c>
      <c r="U2554" s="1">
        <v>1.00643044E8</v>
      </c>
      <c r="X2554" s="1" t="s">
        <v>410</v>
      </c>
      <c r="Y2554" s="1" t="s">
        <v>2043</v>
      </c>
      <c r="Z2554" s="1" t="s">
        <v>206</v>
      </c>
    </row>
    <row r="2555">
      <c r="A2555" s="1" t="s">
        <v>7841</v>
      </c>
      <c r="B2555" s="1" t="s">
        <v>1838</v>
      </c>
      <c r="C2555" s="1" t="s">
        <v>7842</v>
      </c>
      <c r="D2555" s="1" t="s">
        <v>122</v>
      </c>
      <c r="E2555" s="1" t="s">
        <v>28</v>
      </c>
      <c r="F2555" s="2">
        <v>400000.0</v>
      </c>
      <c r="G2555" s="1" t="s">
        <v>7843</v>
      </c>
      <c r="H2555" s="4">
        <f>IFERROR(__xludf.DUMMYFUNCTION("DATE(INDEX(SPLIT(G2555,""/""),,3),INDEX(SPLIT(G2555,""/""),,2),INDEX(SPLIT(G2555,""/""),,1))"),44639.0)</f>
        <v>44639</v>
      </c>
      <c r="I2555" s="4">
        <v>44840.0</v>
      </c>
      <c r="J2555" s="4">
        <f>IFERROR(__xludf.DUMMYFUNCTION("DATE(INDEX(SPLIT(I2555,""/""),,3),INDEX(SPLIT(I2555,""/""),,2),INDEX(SPLIT(I2555,""/""),,1))"),44722.0)</f>
        <v>44722</v>
      </c>
      <c r="L2555" s="1">
        <v>0.0</v>
      </c>
      <c r="M2555" s="1" t="s">
        <v>1840</v>
      </c>
      <c r="N2555" s="1"/>
      <c r="O2555" s="1" t="s">
        <v>30</v>
      </c>
      <c r="P2555" s="1" t="s">
        <v>31</v>
      </c>
      <c r="Q2555" s="1" t="s">
        <v>71</v>
      </c>
      <c r="R2555" s="1" t="s">
        <v>71</v>
      </c>
      <c r="S2555" s="1" t="s">
        <v>72</v>
      </c>
      <c r="T2555" s="1" t="s">
        <v>615</v>
      </c>
      <c r="U2555" s="1">
        <v>1.00617113E8</v>
      </c>
      <c r="V2555" s="1" t="s">
        <v>7844</v>
      </c>
      <c r="W2555" s="1" t="s">
        <v>717</v>
      </c>
      <c r="X2555" s="1" t="s">
        <v>490</v>
      </c>
      <c r="Y2555" s="1" t="s">
        <v>7845</v>
      </c>
      <c r="Z2555" s="1" t="s">
        <v>37</v>
      </c>
    </row>
    <row r="2556">
      <c r="A2556" s="1" t="s">
        <v>7846</v>
      </c>
      <c r="B2556" s="1" t="s">
        <v>7847</v>
      </c>
      <c r="C2556" s="1" t="s">
        <v>7848</v>
      </c>
      <c r="D2556" s="1" t="s">
        <v>27</v>
      </c>
      <c r="E2556" s="1" t="s">
        <v>28</v>
      </c>
      <c r="F2556" s="2">
        <v>400000.0</v>
      </c>
      <c r="G2556" s="1" t="s">
        <v>93</v>
      </c>
      <c r="H2556" s="4">
        <f>IFERROR(__xludf.DUMMYFUNCTION("DATE(INDEX(SPLIT(G2556,""/""),,3),INDEX(SPLIT(G2556,""/""),,2),INDEX(SPLIT(G2556,""/""),,1))"),44671.0)</f>
        <v>44671</v>
      </c>
      <c r="I2556" s="1" t="s">
        <v>226</v>
      </c>
      <c r="J2556" s="4">
        <f>IFERROR(__xludf.DUMMYFUNCTION("DATE(INDEX(SPLIT(I2556,""/""),,3),INDEX(SPLIT(I2556,""/""),,2),INDEX(SPLIT(I2556,""/""),,1))"),44771.0)</f>
        <v>44771</v>
      </c>
      <c r="L2556" s="1">
        <v>0.0</v>
      </c>
      <c r="M2556" s="1" t="s">
        <v>3617</v>
      </c>
      <c r="N2556" s="1"/>
      <c r="O2556" s="1" t="s">
        <v>30</v>
      </c>
      <c r="P2556" s="1" t="s">
        <v>31</v>
      </c>
      <c r="Q2556" s="1" t="s">
        <v>53</v>
      </c>
      <c r="R2556" s="1" t="s">
        <v>53</v>
      </c>
      <c r="S2556" s="1" t="s">
        <v>54</v>
      </c>
      <c r="U2556" s="1">
        <v>1.00568413E8</v>
      </c>
      <c r="X2556" s="1" t="s">
        <v>74</v>
      </c>
      <c r="Y2556" s="1" t="s">
        <v>3617</v>
      </c>
      <c r="Z2556" s="1" t="s">
        <v>37</v>
      </c>
    </row>
    <row r="2557" hidden="1">
      <c r="A2557" s="1" t="s">
        <v>7849</v>
      </c>
      <c r="B2557" s="1" t="s">
        <v>1429</v>
      </c>
      <c r="C2557" s="1" t="s">
        <v>7850</v>
      </c>
      <c r="D2557" s="1" t="s">
        <v>27</v>
      </c>
      <c r="E2557" s="1" t="s">
        <v>28</v>
      </c>
      <c r="F2557" s="2">
        <v>400000.0</v>
      </c>
      <c r="G2557" s="1" t="s">
        <v>518</v>
      </c>
      <c r="H2557" s="4">
        <f>IFERROR(__xludf.DUMMYFUNCTION("DATE(INDEX(SPLIT(G2557,""/""),,3),INDEX(SPLIT(G2557,""/""),,2),INDEX(SPLIT(G2557,""/""),,1))"),44757.0)</f>
        <v>44757</v>
      </c>
      <c r="I2557" s="4">
        <v>44571.0</v>
      </c>
      <c r="J2557" s="4">
        <f>IFERROR(__xludf.DUMMYFUNCTION("DATE(INDEX(SPLIT(I2557,""/""),,3),INDEX(SPLIT(I2557,""/""),,2),INDEX(SPLIT(I2557,""/""),,1))"),44835.0)</f>
        <v>44835</v>
      </c>
      <c r="L2557" s="1">
        <v>0.0</v>
      </c>
      <c r="M2557" s="1" t="s">
        <v>1741</v>
      </c>
      <c r="N2557" s="1"/>
      <c r="O2557" s="1" t="s">
        <v>30</v>
      </c>
      <c r="P2557" s="1" t="s">
        <v>31</v>
      </c>
      <c r="Q2557" s="1" t="s">
        <v>32</v>
      </c>
      <c r="R2557" s="1" t="s">
        <v>32</v>
      </c>
      <c r="S2557" s="1" t="s">
        <v>33</v>
      </c>
      <c r="U2557" s="1">
        <v>1.00645852E8</v>
      </c>
      <c r="X2557" s="1" t="s">
        <v>190</v>
      </c>
      <c r="Y2557" s="1" t="s">
        <v>1741</v>
      </c>
      <c r="Z2557" s="1" t="s">
        <v>37</v>
      </c>
    </row>
    <row r="2558" hidden="1">
      <c r="A2558" s="1" t="s">
        <v>7851</v>
      </c>
      <c r="B2558" s="1" t="s">
        <v>1748</v>
      </c>
      <c r="C2558" s="1" t="s">
        <v>7852</v>
      </c>
      <c r="D2558" s="1" t="s">
        <v>27</v>
      </c>
      <c r="E2558" s="1" t="s">
        <v>28</v>
      </c>
      <c r="F2558" s="2">
        <v>400000.0</v>
      </c>
      <c r="G2558" s="4">
        <v>44567.0</v>
      </c>
      <c r="H2558" s="4">
        <f>IFERROR(__xludf.DUMMYFUNCTION("DATE(INDEX(SPLIT(G2558,""/""),,3),INDEX(SPLIT(G2558,""/""),,2),INDEX(SPLIT(G2558,""/""),,1))"),44713.0)</f>
        <v>44713</v>
      </c>
      <c r="I2558" s="1" t="s">
        <v>130</v>
      </c>
      <c r="J2558" s="4">
        <f>IFERROR(__xludf.DUMMYFUNCTION("DATE(INDEX(SPLIT(I2558,""/""),,3),INDEX(SPLIT(I2558,""/""),,2),INDEX(SPLIT(I2558,""/""),,1))"),44804.0)</f>
        <v>44804</v>
      </c>
      <c r="L2558" s="1">
        <v>0.0</v>
      </c>
      <c r="M2558" s="1" t="s">
        <v>5525</v>
      </c>
      <c r="N2558" s="1"/>
      <c r="O2558" s="1" t="s">
        <v>30</v>
      </c>
      <c r="P2558" s="1" t="s">
        <v>31</v>
      </c>
      <c r="Q2558" s="1" t="s">
        <v>157</v>
      </c>
      <c r="R2558" s="1" t="s">
        <v>157</v>
      </c>
      <c r="S2558" s="1" t="s">
        <v>158</v>
      </c>
      <c r="T2558" s="1" t="s">
        <v>571</v>
      </c>
      <c r="U2558" s="1">
        <v>1.00609393E8</v>
      </c>
      <c r="X2558" s="1" t="s">
        <v>88</v>
      </c>
      <c r="Y2558" s="1" t="s">
        <v>4920</v>
      </c>
      <c r="Z2558" s="1" t="s">
        <v>37</v>
      </c>
    </row>
    <row r="2559">
      <c r="A2559" s="1" t="s">
        <v>7853</v>
      </c>
      <c r="B2559" s="1" t="s">
        <v>120</v>
      </c>
      <c r="C2559" s="1" t="s">
        <v>7854</v>
      </c>
      <c r="D2559" s="1" t="s">
        <v>122</v>
      </c>
      <c r="E2559" s="1" t="s">
        <v>28</v>
      </c>
      <c r="F2559" s="2">
        <v>400000.0</v>
      </c>
      <c r="G2559" s="1" t="s">
        <v>3896</v>
      </c>
      <c r="H2559" s="4">
        <f>IFERROR(__xludf.DUMMYFUNCTION("DATE(INDEX(SPLIT(G2559,""/""),,3),INDEX(SPLIT(G2559,""/""),,2),INDEX(SPLIT(G2559,""/""),,1))"),44697.0)</f>
        <v>44697</v>
      </c>
      <c r="I2559" s="1" t="s">
        <v>503</v>
      </c>
      <c r="J2559" s="4">
        <f>IFERROR(__xludf.DUMMYFUNCTION("DATE(INDEX(SPLIT(I2559,""/""),,3),INDEX(SPLIT(I2559,""/""),,2),INDEX(SPLIT(I2559,""/""),,1))"),44736.0)</f>
        <v>44736</v>
      </c>
      <c r="L2559" s="1">
        <v>0.0</v>
      </c>
      <c r="M2559" s="1" t="s">
        <v>1643</v>
      </c>
      <c r="N2559" s="1"/>
      <c r="O2559" s="1" t="s">
        <v>30</v>
      </c>
      <c r="P2559" s="1" t="s">
        <v>31</v>
      </c>
      <c r="Q2559" s="1" t="s">
        <v>53</v>
      </c>
      <c r="R2559" s="1" t="s">
        <v>53</v>
      </c>
      <c r="S2559" s="1" t="s">
        <v>54</v>
      </c>
      <c r="U2559" s="1">
        <v>1.00653977E8</v>
      </c>
      <c r="X2559" s="1" t="s">
        <v>125</v>
      </c>
      <c r="Y2559" s="1" t="s">
        <v>1644</v>
      </c>
      <c r="Z2559" s="1" t="s">
        <v>37</v>
      </c>
    </row>
    <row r="2560">
      <c r="A2560" s="1" t="s">
        <v>7855</v>
      </c>
      <c r="B2560" s="1" t="s">
        <v>2609</v>
      </c>
      <c r="C2560" s="1" t="s">
        <v>7856</v>
      </c>
      <c r="D2560" s="1" t="s">
        <v>78</v>
      </c>
      <c r="E2560" s="1" t="s">
        <v>28</v>
      </c>
      <c r="F2560" s="2">
        <v>400000.0</v>
      </c>
      <c r="G2560" s="1" t="s">
        <v>3896</v>
      </c>
      <c r="H2560" s="4">
        <f>IFERROR(__xludf.DUMMYFUNCTION("DATE(INDEX(SPLIT(G2560,""/""),,3),INDEX(SPLIT(G2560,""/""),,2),INDEX(SPLIT(G2560,""/""),,1))"),44697.0)</f>
        <v>44697</v>
      </c>
      <c r="I2560" s="1" t="s">
        <v>1058</v>
      </c>
      <c r="J2560" s="4">
        <f>IFERROR(__xludf.DUMMYFUNCTION("DATE(INDEX(SPLIT(I2560,""/""),,3),INDEX(SPLIT(I2560,""/""),,2),INDEX(SPLIT(I2560,""/""),,1))"),44733.0)</f>
        <v>44733</v>
      </c>
      <c r="L2560" s="1">
        <v>0.0</v>
      </c>
      <c r="M2560" s="1" t="s">
        <v>3663</v>
      </c>
      <c r="N2560" s="1"/>
      <c r="O2560" s="1" t="s">
        <v>30</v>
      </c>
      <c r="P2560" s="1" t="s">
        <v>31</v>
      </c>
      <c r="Q2560" s="1" t="s">
        <v>95</v>
      </c>
      <c r="R2560" s="1" t="s">
        <v>95</v>
      </c>
      <c r="S2560" s="1" t="s">
        <v>96</v>
      </c>
      <c r="T2560" s="1" t="s">
        <v>489</v>
      </c>
      <c r="U2560" s="1">
        <v>1.00620159E8</v>
      </c>
      <c r="X2560" s="1" t="s">
        <v>490</v>
      </c>
      <c r="Y2560" s="1" t="s">
        <v>7857</v>
      </c>
      <c r="Z2560" s="1" t="s">
        <v>37</v>
      </c>
    </row>
    <row r="2561" hidden="1">
      <c r="A2561" s="1" t="s">
        <v>7858</v>
      </c>
      <c r="B2561" s="1" t="s">
        <v>3180</v>
      </c>
      <c r="C2561" s="1" t="s">
        <v>7859</v>
      </c>
      <c r="D2561" s="1" t="s">
        <v>78</v>
      </c>
      <c r="E2561" s="1" t="s">
        <v>28</v>
      </c>
      <c r="F2561" s="2">
        <v>400000.0</v>
      </c>
      <c r="G2561" s="1" t="s">
        <v>2963</v>
      </c>
      <c r="H2561" s="4">
        <f>IFERROR(__xludf.DUMMYFUNCTION("DATE(INDEX(SPLIT(G2561,""/""),,3),INDEX(SPLIT(G2561,""/""),,2),INDEX(SPLIT(G2561,""/""),,1))"),44524.0)</f>
        <v>44524</v>
      </c>
      <c r="I2561" s="1" t="s">
        <v>109</v>
      </c>
      <c r="J2561" s="4">
        <f>IFERROR(__xludf.DUMMYFUNCTION("DATE(INDEX(SPLIT(I2561,""/""),,3),INDEX(SPLIT(I2561,""/""),,2),INDEX(SPLIT(I2561,""/""),,1))"),44834.0)</f>
        <v>44834</v>
      </c>
      <c r="L2561" s="1">
        <v>0.0</v>
      </c>
      <c r="M2561" s="1" t="s">
        <v>1856</v>
      </c>
      <c r="N2561" s="1"/>
      <c r="O2561" s="1" t="s">
        <v>30</v>
      </c>
      <c r="P2561" s="1" t="s">
        <v>31</v>
      </c>
      <c r="Q2561" s="1" t="s">
        <v>32</v>
      </c>
      <c r="R2561" s="1" t="s">
        <v>32</v>
      </c>
      <c r="S2561" s="1" t="s">
        <v>33</v>
      </c>
      <c r="T2561" s="1" t="s">
        <v>103</v>
      </c>
      <c r="U2561" s="1">
        <v>1.00587434E8</v>
      </c>
      <c r="X2561" s="1" t="s">
        <v>63</v>
      </c>
      <c r="Y2561" s="1" t="s">
        <v>1856</v>
      </c>
      <c r="Z2561" s="1" t="s">
        <v>37</v>
      </c>
    </row>
    <row r="2562">
      <c r="A2562" s="1" t="s">
        <v>7860</v>
      </c>
      <c r="B2562" s="1" t="s">
        <v>7861</v>
      </c>
      <c r="C2562" s="1" t="s">
        <v>7862</v>
      </c>
      <c r="D2562" s="1" t="s">
        <v>68</v>
      </c>
      <c r="E2562" s="1" t="s">
        <v>28</v>
      </c>
      <c r="F2562" s="2">
        <v>400000.0</v>
      </c>
      <c r="G2562" s="1" t="s">
        <v>1767</v>
      </c>
      <c r="H2562" s="4">
        <f>IFERROR(__xludf.DUMMYFUNCTION("DATE(INDEX(SPLIT(G2562,""/""),,3),INDEX(SPLIT(G2562,""/""),,2),INDEX(SPLIT(G2562,""/""),,1))"),44698.0)</f>
        <v>44698</v>
      </c>
      <c r="I2562" s="4">
        <v>44872.0</v>
      </c>
      <c r="J2562" s="4">
        <f>IFERROR(__xludf.DUMMYFUNCTION("DATE(INDEX(SPLIT(I2562,""/""),,3),INDEX(SPLIT(I2562,""/""),,2),INDEX(SPLIT(I2562,""/""),,1))"),44753.0)</f>
        <v>44753</v>
      </c>
      <c r="K2562" s="1" t="s">
        <v>4505</v>
      </c>
      <c r="L2562" s="1">
        <v>0.0</v>
      </c>
      <c r="M2562" s="1" t="s">
        <v>2582</v>
      </c>
      <c r="N2562" s="1"/>
      <c r="O2562" s="1" t="s">
        <v>30</v>
      </c>
      <c r="P2562" s="1" t="s">
        <v>31</v>
      </c>
      <c r="Q2562" s="1" t="s">
        <v>157</v>
      </c>
      <c r="R2562" s="1" t="s">
        <v>157</v>
      </c>
      <c r="S2562" s="1" t="s">
        <v>158</v>
      </c>
      <c r="T2562" s="1" t="s">
        <v>442</v>
      </c>
      <c r="U2562" s="1">
        <v>1.00590772E8</v>
      </c>
      <c r="X2562" s="1" t="s">
        <v>46</v>
      </c>
      <c r="Y2562" s="1" t="s">
        <v>7863</v>
      </c>
      <c r="Z2562" s="1" t="s">
        <v>37</v>
      </c>
    </row>
    <row r="2563">
      <c r="A2563" s="1" t="s">
        <v>7864</v>
      </c>
      <c r="B2563" s="1" t="s">
        <v>66</v>
      </c>
      <c r="C2563" s="1" t="s">
        <v>7865</v>
      </c>
      <c r="D2563" s="1" t="s">
        <v>78</v>
      </c>
      <c r="E2563" s="1" t="s">
        <v>28</v>
      </c>
      <c r="F2563" s="2">
        <v>400000.0</v>
      </c>
      <c r="G2563" s="1" t="s">
        <v>1806</v>
      </c>
      <c r="H2563" s="4">
        <f>IFERROR(__xludf.DUMMYFUNCTION("DATE(INDEX(SPLIT(G2563,""/""),,3),INDEX(SPLIT(G2563,""/""),,2),INDEX(SPLIT(G2563,""/""),,1))"),44694.0)</f>
        <v>44694</v>
      </c>
      <c r="I2563" s="1" t="s">
        <v>69</v>
      </c>
      <c r="J2563" s="4">
        <f>IFERROR(__xludf.DUMMYFUNCTION("DATE(INDEX(SPLIT(I2563,""/""),,3),INDEX(SPLIT(I2563,""/""),,2),INDEX(SPLIT(I2563,""/""),,1))"),44773.0)</f>
        <v>44773</v>
      </c>
      <c r="L2563" s="1">
        <v>0.0</v>
      </c>
      <c r="M2563" s="1" t="s">
        <v>4319</v>
      </c>
      <c r="N2563" s="1"/>
      <c r="O2563" s="1" t="s">
        <v>30</v>
      </c>
      <c r="P2563" s="1" t="s">
        <v>31</v>
      </c>
      <c r="Q2563" s="1" t="s">
        <v>71</v>
      </c>
      <c r="R2563" s="1" t="s">
        <v>71</v>
      </c>
      <c r="S2563" s="1" t="s">
        <v>72</v>
      </c>
      <c r="U2563" s="1">
        <v>1.00607635E8</v>
      </c>
      <c r="X2563" s="1" t="s">
        <v>74</v>
      </c>
      <c r="Y2563" s="1" t="s">
        <v>7866</v>
      </c>
      <c r="Z2563" s="1" t="s">
        <v>527</v>
      </c>
    </row>
    <row r="2564">
      <c r="A2564" s="1" t="s">
        <v>7867</v>
      </c>
      <c r="B2564" s="1" t="s">
        <v>7868</v>
      </c>
      <c r="C2564" s="1" t="s">
        <v>7869</v>
      </c>
      <c r="D2564" s="1" t="s">
        <v>27</v>
      </c>
      <c r="E2564" s="1" t="s">
        <v>28</v>
      </c>
      <c r="F2564" s="2">
        <v>400000.0</v>
      </c>
      <c r="G2564" s="1" t="s">
        <v>7870</v>
      </c>
      <c r="H2564" s="4">
        <f>IFERROR(__xludf.DUMMYFUNCTION("DATE(INDEX(SPLIT(G2564,""/""),,3),INDEX(SPLIT(G2564,""/""),,2),INDEX(SPLIT(G2564,""/""),,1))"),44499.0)</f>
        <v>44499</v>
      </c>
      <c r="I2564" s="1" t="s">
        <v>414</v>
      </c>
      <c r="J2564" s="4">
        <f>IFERROR(__xludf.DUMMYFUNCTION("DATE(INDEX(SPLIT(I2564,""/""),,3),INDEX(SPLIT(I2564,""/""),,2),INDEX(SPLIT(I2564,""/""),,1))"),44772.0)</f>
        <v>44772</v>
      </c>
      <c r="L2564" s="1">
        <v>0.0</v>
      </c>
      <c r="M2564" s="1" t="s">
        <v>1398</v>
      </c>
      <c r="N2564" s="1"/>
      <c r="O2564" s="1" t="s">
        <v>30</v>
      </c>
      <c r="P2564" s="1" t="s">
        <v>31</v>
      </c>
      <c r="Q2564" s="1" t="s">
        <v>95</v>
      </c>
      <c r="R2564" s="1" t="s">
        <v>95</v>
      </c>
      <c r="S2564" s="1" t="s">
        <v>96</v>
      </c>
      <c r="T2564" s="1" t="s">
        <v>111</v>
      </c>
      <c r="U2564" s="1">
        <v>1.0061941E8</v>
      </c>
      <c r="X2564" s="1" t="s">
        <v>63</v>
      </c>
      <c r="Y2564" s="1" t="s">
        <v>7871</v>
      </c>
      <c r="Z2564" s="1" t="s">
        <v>37</v>
      </c>
    </row>
    <row r="2565">
      <c r="A2565" s="1" t="s">
        <v>7872</v>
      </c>
      <c r="B2565" s="1" t="s">
        <v>7873</v>
      </c>
      <c r="C2565" s="1" t="s">
        <v>7874</v>
      </c>
      <c r="D2565" s="1" t="s">
        <v>78</v>
      </c>
      <c r="E2565" s="1" t="s">
        <v>28</v>
      </c>
      <c r="F2565" s="2">
        <v>400000.0</v>
      </c>
      <c r="G2565" s="1" t="s">
        <v>1500</v>
      </c>
      <c r="H2565" s="4">
        <f>IFERROR(__xludf.DUMMYFUNCTION("DATE(INDEX(SPLIT(G2565,""/""),,3),INDEX(SPLIT(G2565,""/""),,2),INDEX(SPLIT(G2565,""/""),,1))"),44695.0)</f>
        <v>44695</v>
      </c>
      <c r="I2565" s="1" t="s">
        <v>226</v>
      </c>
      <c r="J2565" s="4">
        <f>IFERROR(__xludf.DUMMYFUNCTION("DATE(INDEX(SPLIT(I2565,""/""),,3),INDEX(SPLIT(I2565,""/""),,2),INDEX(SPLIT(I2565,""/""),,1))"),44771.0)</f>
        <v>44771</v>
      </c>
      <c r="L2565" s="1">
        <v>0.0</v>
      </c>
      <c r="M2565" s="1" t="s">
        <v>1793</v>
      </c>
      <c r="N2565" s="1"/>
      <c r="O2565" s="1" t="s">
        <v>30</v>
      </c>
      <c r="P2565" s="1" t="s">
        <v>31</v>
      </c>
      <c r="Q2565" s="1" t="s">
        <v>235</v>
      </c>
      <c r="R2565" s="1" t="s">
        <v>235</v>
      </c>
      <c r="S2565" s="1" t="s">
        <v>236</v>
      </c>
      <c r="T2565" s="1" t="s">
        <v>438</v>
      </c>
      <c r="U2565" s="1">
        <v>1.01102846E8</v>
      </c>
      <c r="X2565" s="1" t="s">
        <v>88</v>
      </c>
      <c r="Y2565" s="1" t="s">
        <v>7875</v>
      </c>
      <c r="Z2565" s="1" t="s">
        <v>527</v>
      </c>
    </row>
    <row r="2566" hidden="1">
      <c r="A2566" s="1" t="s">
        <v>7876</v>
      </c>
      <c r="B2566" s="1" t="s">
        <v>3040</v>
      </c>
      <c r="C2566" s="1" t="s">
        <v>7877</v>
      </c>
      <c r="D2566" s="1" t="s">
        <v>78</v>
      </c>
      <c r="E2566" s="1" t="s">
        <v>28</v>
      </c>
      <c r="F2566" s="2">
        <v>400000.0</v>
      </c>
      <c r="G2566" s="1" t="s">
        <v>7878</v>
      </c>
      <c r="H2566" s="4">
        <f>IFERROR(__xludf.DUMMYFUNCTION("DATE(INDEX(SPLIT(G2566,""/""),,3),INDEX(SPLIT(G2566,""/""),,2),INDEX(SPLIT(G2566,""/""),,1))"),44242.0)</f>
        <v>44242</v>
      </c>
      <c r="I2566" s="1" t="s">
        <v>85</v>
      </c>
      <c r="J2566" s="4">
        <f>IFERROR(__xludf.DUMMYFUNCTION("DATE(INDEX(SPLIT(I2566,""/""),,3),INDEX(SPLIT(I2566,""/""),,2),INDEX(SPLIT(I2566,""/""),,1))"),44799.0)</f>
        <v>44799</v>
      </c>
      <c r="L2566" s="1">
        <v>0.0</v>
      </c>
      <c r="M2566" s="1" t="s">
        <v>2020</v>
      </c>
      <c r="N2566" s="1"/>
      <c r="O2566" s="1" t="s">
        <v>30</v>
      </c>
      <c r="P2566" s="1" t="s">
        <v>31</v>
      </c>
      <c r="Q2566" s="1" t="s">
        <v>157</v>
      </c>
      <c r="R2566" s="1" t="s">
        <v>157</v>
      </c>
      <c r="S2566" s="1" t="s">
        <v>158</v>
      </c>
      <c r="T2566" s="1" t="s">
        <v>442</v>
      </c>
      <c r="U2566" s="1">
        <v>1.00650678E8</v>
      </c>
      <c r="X2566" s="1" t="s">
        <v>125</v>
      </c>
      <c r="Y2566" s="1" t="s">
        <v>847</v>
      </c>
      <c r="Z2566" s="1" t="s">
        <v>37</v>
      </c>
    </row>
    <row r="2567">
      <c r="A2567" s="1" t="s">
        <v>7879</v>
      </c>
      <c r="B2567" s="1" t="s">
        <v>106</v>
      </c>
      <c r="C2567" s="1" t="s">
        <v>7880</v>
      </c>
      <c r="D2567" s="1" t="s">
        <v>78</v>
      </c>
      <c r="E2567" s="1" t="s">
        <v>28</v>
      </c>
      <c r="F2567" s="2">
        <v>400000.0</v>
      </c>
      <c r="G2567" s="4">
        <v>44810.0</v>
      </c>
      <c r="H2567" s="4">
        <f>IFERROR(__xludf.DUMMYFUNCTION("DATE(INDEX(SPLIT(G2567,""/""),,3),INDEX(SPLIT(G2567,""/""),,2),INDEX(SPLIT(G2567,""/""),,1))"),44721.0)</f>
        <v>44721</v>
      </c>
      <c r="I2567" s="1" t="s">
        <v>226</v>
      </c>
      <c r="J2567" s="4">
        <f>IFERROR(__xludf.DUMMYFUNCTION("DATE(INDEX(SPLIT(I2567,""/""),,3),INDEX(SPLIT(I2567,""/""),,2),INDEX(SPLIT(I2567,""/""),,1))"),44771.0)</f>
        <v>44771</v>
      </c>
      <c r="L2567" s="1">
        <v>0.0</v>
      </c>
      <c r="M2567" s="1" t="s">
        <v>1412</v>
      </c>
      <c r="N2567" s="1"/>
      <c r="O2567" s="1" t="s">
        <v>30</v>
      </c>
      <c r="P2567" s="1" t="s">
        <v>31</v>
      </c>
      <c r="Q2567" s="1" t="s">
        <v>53</v>
      </c>
      <c r="R2567" s="1" t="s">
        <v>53</v>
      </c>
      <c r="S2567" s="1" t="s">
        <v>54</v>
      </c>
      <c r="U2567" s="1">
        <v>1.00589587E8</v>
      </c>
      <c r="X2567" s="1" t="s">
        <v>63</v>
      </c>
      <c r="Y2567" s="1" t="s">
        <v>1412</v>
      </c>
      <c r="Z2567" s="1" t="s">
        <v>37</v>
      </c>
    </row>
    <row r="2568" hidden="1">
      <c r="A2568" s="1" t="s">
        <v>7881</v>
      </c>
      <c r="B2568" s="1" t="s">
        <v>546</v>
      </c>
      <c r="C2568" s="1" t="s">
        <v>7882</v>
      </c>
      <c r="D2568" s="1" t="s">
        <v>122</v>
      </c>
      <c r="E2568" s="1" t="s">
        <v>28</v>
      </c>
      <c r="F2568" s="2">
        <v>400000.0</v>
      </c>
      <c r="G2568" s="4">
        <v>44779.0</v>
      </c>
      <c r="H2568" s="4">
        <f>IFERROR(__xludf.DUMMYFUNCTION("DATE(INDEX(SPLIT(G2568,""/""),,3),INDEX(SPLIT(G2568,""/""),,2),INDEX(SPLIT(G2568,""/""),,1))"),44720.0)</f>
        <v>44720</v>
      </c>
      <c r="I2568" s="4">
        <v>44842.0</v>
      </c>
      <c r="J2568" s="4">
        <f>IFERROR(__xludf.DUMMYFUNCTION("DATE(INDEX(SPLIT(I2568,""/""),,3),INDEX(SPLIT(I2568,""/""),,2),INDEX(SPLIT(I2568,""/""),,1))"),44783.0)</f>
        <v>44783</v>
      </c>
      <c r="L2568" s="1">
        <v>0.0</v>
      </c>
      <c r="M2568" s="1" t="s">
        <v>5610</v>
      </c>
      <c r="N2568" s="1"/>
      <c r="O2568" s="1" t="s">
        <v>30</v>
      </c>
      <c r="P2568" s="1" t="s">
        <v>31</v>
      </c>
      <c r="Q2568" s="1" t="s">
        <v>53</v>
      </c>
      <c r="R2568" s="1" t="s">
        <v>53</v>
      </c>
      <c r="S2568" s="1" t="s">
        <v>54</v>
      </c>
      <c r="T2568" s="1" t="s">
        <v>181</v>
      </c>
      <c r="U2568" s="1">
        <v>1.00650162E8</v>
      </c>
      <c r="X2568" s="1" t="s">
        <v>74</v>
      </c>
      <c r="Y2568" s="1" t="s">
        <v>4520</v>
      </c>
      <c r="Z2568" s="1" t="s">
        <v>37</v>
      </c>
    </row>
    <row r="2569" hidden="1">
      <c r="A2569" s="1" t="s">
        <v>7883</v>
      </c>
      <c r="B2569" s="1" t="s">
        <v>7884</v>
      </c>
      <c r="C2569" s="1" t="s">
        <v>7885</v>
      </c>
      <c r="D2569" s="1" t="s">
        <v>122</v>
      </c>
      <c r="E2569" s="1" t="s">
        <v>28</v>
      </c>
      <c r="F2569" s="2">
        <v>400000.0</v>
      </c>
      <c r="G2569" s="1" t="s">
        <v>1154</v>
      </c>
      <c r="H2569" s="4">
        <f>IFERROR(__xludf.DUMMYFUNCTION("DATE(INDEX(SPLIT(G2569,""/""),,3),INDEX(SPLIT(G2569,""/""),,2),INDEX(SPLIT(G2569,""/""),,1))"),44735.0)</f>
        <v>44735</v>
      </c>
      <c r="I2569" s="1" t="s">
        <v>85</v>
      </c>
      <c r="J2569" s="4">
        <f>IFERROR(__xludf.DUMMYFUNCTION("DATE(INDEX(SPLIT(I2569,""/""),,3),INDEX(SPLIT(I2569,""/""),,2),INDEX(SPLIT(I2569,""/""),,1))"),44799.0)</f>
        <v>44799</v>
      </c>
      <c r="L2569" s="1">
        <v>0.0</v>
      </c>
      <c r="M2569" s="1" t="s">
        <v>7886</v>
      </c>
      <c r="N2569" s="1"/>
      <c r="O2569" s="1" t="s">
        <v>30</v>
      </c>
      <c r="P2569" s="1" t="s">
        <v>31</v>
      </c>
      <c r="Q2569" s="1" t="s">
        <v>53</v>
      </c>
      <c r="R2569" s="1" t="s">
        <v>53</v>
      </c>
      <c r="S2569" s="1" t="s">
        <v>54</v>
      </c>
      <c r="T2569" s="1" t="s">
        <v>1386</v>
      </c>
      <c r="U2569" s="1">
        <v>1.01056986E8</v>
      </c>
      <c r="X2569" s="1" t="s">
        <v>781</v>
      </c>
      <c r="Y2569" s="1" t="s">
        <v>7887</v>
      </c>
      <c r="Z2569" s="1" t="s">
        <v>527</v>
      </c>
    </row>
    <row r="2570" hidden="1">
      <c r="A2570" s="1" t="s">
        <v>7888</v>
      </c>
      <c r="B2570" s="1" t="s">
        <v>7889</v>
      </c>
      <c r="C2570" s="1" t="s">
        <v>7890</v>
      </c>
      <c r="D2570" s="1" t="s">
        <v>78</v>
      </c>
      <c r="E2570" s="1" t="s">
        <v>28</v>
      </c>
      <c r="F2570" s="2">
        <v>400000.0</v>
      </c>
      <c r="G2570" s="4">
        <v>44779.0</v>
      </c>
      <c r="H2570" s="4">
        <f>IFERROR(__xludf.DUMMYFUNCTION("DATE(INDEX(SPLIT(G2570,""/""),,3),INDEX(SPLIT(G2570,""/""),,2),INDEX(SPLIT(G2570,""/""),,1))"),44720.0)</f>
        <v>44720</v>
      </c>
      <c r="I2570" s="4">
        <v>44570.0</v>
      </c>
      <c r="J2570" s="4">
        <f>IFERROR(__xludf.DUMMYFUNCTION("DATE(INDEX(SPLIT(I2570,""/""),,3),INDEX(SPLIT(I2570,""/""),,2),INDEX(SPLIT(I2570,""/""),,1))"),44805.0)</f>
        <v>44805</v>
      </c>
      <c r="L2570" s="1">
        <v>0.0</v>
      </c>
      <c r="M2570" s="1" t="s">
        <v>929</v>
      </c>
      <c r="N2570" s="1"/>
      <c r="O2570" s="1" t="s">
        <v>30</v>
      </c>
      <c r="P2570" s="1" t="s">
        <v>31</v>
      </c>
      <c r="Q2570" s="1" t="s">
        <v>71</v>
      </c>
      <c r="R2570" s="1" t="s">
        <v>71</v>
      </c>
      <c r="S2570" s="1" t="s">
        <v>72</v>
      </c>
      <c r="T2570" s="1" t="s">
        <v>73</v>
      </c>
      <c r="U2570" s="1">
        <v>1.00649698E8</v>
      </c>
      <c r="Y2570" s="1" t="s">
        <v>929</v>
      </c>
      <c r="Z2570" s="1" t="s">
        <v>37</v>
      </c>
    </row>
    <row r="2571">
      <c r="A2571" s="1" t="s">
        <v>7891</v>
      </c>
      <c r="B2571" s="1" t="s">
        <v>7892</v>
      </c>
      <c r="C2571" s="1" t="s">
        <v>7893</v>
      </c>
      <c r="D2571" s="1" t="s">
        <v>122</v>
      </c>
      <c r="E2571" s="1" t="s">
        <v>28</v>
      </c>
      <c r="F2571" s="2">
        <v>400000.0</v>
      </c>
      <c r="G2571" s="4">
        <v>44511.0</v>
      </c>
      <c r="H2571" s="4">
        <f>IFERROR(__xludf.DUMMYFUNCTION("DATE(INDEX(SPLIT(G2571,""/""),,3),INDEX(SPLIT(G2571,""/""),,2),INDEX(SPLIT(G2571,""/""),,1))"),44511.0)</f>
        <v>44511</v>
      </c>
      <c r="I2571" s="1" t="s">
        <v>1438</v>
      </c>
      <c r="J2571" s="4">
        <f>IFERROR(__xludf.DUMMYFUNCTION("DATE(INDEX(SPLIT(I2571,""/""),,3),INDEX(SPLIT(I2571,""/""),,2),INDEX(SPLIT(I2571,""/""),,1))"),44708.0)</f>
        <v>44708</v>
      </c>
      <c r="L2571" s="1">
        <v>0.0</v>
      </c>
      <c r="M2571" s="1" t="s">
        <v>2964</v>
      </c>
      <c r="N2571" s="1"/>
      <c r="O2571" s="1" t="s">
        <v>30</v>
      </c>
      <c r="P2571" s="1" t="s">
        <v>31</v>
      </c>
      <c r="Q2571" s="1" t="s">
        <v>95</v>
      </c>
      <c r="R2571" s="1" t="s">
        <v>95</v>
      </c>
      <c r="S2571" s="1" t="s">
        <v>96</v>
      </c>
      <c r="T2571" s="1" t="s">
        <v>217</v>
      </c>
      <c r="U2571" s="1">
        <v>1.00654835E8</v>
      </c>
      <c r="X2571" s="1" t="s">
        <v>361</v>
      </c>
      <c r="Y2571" s="1" t="s">
        <v>2964</v>
      </c>
      <c r="Z2571" s="1" t="s">
        <v>206</v>
      </c>
    </row>
    <row r="2572" hidden="1">
      <c r="A2572" s="1" t="s">
        <v>7894</v>
      </c>
      <c r="B2572" s="1" t="s">
        <v>7895</v>
      </c>
      <c r="C2572" s="1" t="s">
        <v>7896</v>
      </c>
      <c r="D2572" s="1" t="s">
        <v>78</v>
      </c>
      <c r="E2572" s="1" t="s">
        <v>28</v>
      </c>
      <c r="F2572" s="2">
        <v>400000.0</v>
      </c>
      <c r="G2572" s="4">
        <v>43443.0</v>
      </c>
      <c r="H2572" s="4">
        <f>IFERROR(__xludf.DUMMYFUNCTION("DATE(INDEX(SPLIT(G2572,""/""),,3),INDEX(SPLIT(G2572,""/""),,2),INDEX(SPLIT(G2572,""/""),,1))"),43355.0)</f>
        <v>43355</v>
      </c>
      <c r="I2572" s="1" t="s">
        <v>1361</v>
      </c>
      <c r="J2572" s="4">
        <f>IFERROR(__xludf.DUMMYFUNCTION("DATE(INDEX(SPLIT(I2572,""/""),,3),INDEX(SPLIT(I2572,""/""),,2),INDEX(SPLIT(I2572,""/""),,1))"),44827.0)</f>
        <v>44827</v>
      </c>
      <c r="L2572" s="1">
        <v>0.0</v>
      </c>
      <c r="M2572" s="1" t="s">
        <v>2020</v>
      </c>
      <c r="N2572" s="1"/>
      <c r="O2572" s="1" t="s">
        <v>30</v>
      </c>
      <c r="P2572" s="1" t="s">
        <v>31</v>
      </c>
      <c r="Q2572" s="1" t="s">
        <v>157</v>
      </c>
      <c r="R2572" s="1" t="s">
        <v>157</v>
      </c>
      <c r="S2572" s="1" t="s">
        <v>158</v>
      </c>
      <c r="T2572" s="1" t="s">
        <v>442</v>
      </c>
      <c r="U2572" s="1">
        <v>1.00650678E8</v>
      </c>
      <c r="X2572" s="1" t="s">
        <v>125</v>
      </c>
      <c r="Y2572" s="1" t="s">
        <v>2020</v>
      </c>
      <c r="Z2572" s="1" t="s">
        <v>37</v>
      </c>
    </row>
    <row r="2573">
      <c r="A2573" s="1" t="s">
        <v>7897</v>
      </c>
      <c r="B2573" s="1" t="s">
        <v>1158</v>
      </c>
      <c r="C2573" s="1" t="s">
        <v>7898</v>
      </c>
      <c r="D2573" s="1" t="s">
        <v>27</v>
      </c>
      <c r="E2573" s="1" t="s">
        <v>28</v>
      </c>
      <c r="F2573" s="2">
        <v>400000.0</v>
      </c>
      <c r="G2573" s="4">
        <v>44897.0</v>
      </c>
      <c r="H2573" s="4">
        <f>IFERROR(__xludf.DUMMYFUNCTION("DATE(INDEX(SPLIT(G2573,""/""),,3),INDEX(SPLIT(G2573,""/""),,2),INDEX(SPLIT(G2573,""/""),,1))"),44604.0)</f>
        <v>44604</v>
      </c>
      <c r="I2573" s="1" t="s">
        <v>226</v>
      </c>
      <c r="J2573" s="4">
        <f>IFERROR(__xludf.DUMMYFUNCTION("DATE(INDEX(SPLIT(I2573,""/""),,3),INDEX(SPLIT(I2573,""/""),,2),INDEX(SPLIT(I2573,""/""),,1))"),44771.0)</f>
        <v>44771</v>
      </c>
      <c r="L2573" s="1">
        <v>0.0</v>
      </c>
      <c r="M2573" s="1" t="s">
        <v>558</v>
      </c>
      <c r="N2573" s="1"/>
      <c r="O2573" s="1" t="s">
        <v>30</v>
      </c>
      <c r="P2573" s="1" t="s">
        <v>31</v>
      </c>
      <c r="Q2573" s="1" t="s">
        <v>53</v>
      </c>
      <c r="R2573" s="1" t="s">
        <v>53</v>
      </c>
      <c r="S2573" s="1" t="s">
        <v>54</v>
      </c>
      <c r="T2573" s="1" t="s">
        <v>87</v>
      </c>
      <c r="U2573" s="1">
        <v>1.00653597E8</v>
      </c>
      <c r="X2573" s="1" t="s">
        <v>88</v>
      </c>
      <c r="Y2573" s="1" t="s">
        <v>1161</v>
      </c>
      <c r="Z2573" s="1" t="s">
        <v>37</v>
      </c>
    </row>
    <row r="2574" hidden="1">
      <c r="A2574" s="1" t="s">
        <v>7899</v>
      </c>
      <c r="B2574" s="1" t="s">
        <v>6936</v>
      </c>
      <c r="C2574" s="1" t="s">
        <v>7900</v>
      </c>
      <c r="D2574" s="1" t="s">
        <v>27</v>
      </c>
      <c r="E2574" s="1" t="s">
        <v>28</v>
      </c>
      <c r="F2574" s="2">
        <v>400000.0</v>
      </c>
      <c r="G2574" s="1" t="s">
        <v>2900</v>
      </c>
      <c r="H2574" s="4">
        <f>IFERROR(__xludf.DUMMYFUNCTION("DATE(INDEX(SPLIT(G2574,""/""),,3),INDEX(SPLIT(G2574,""/""),,2),INDEX(SPLIT(G2574,""/""),,1))"),44678.0)</f>
        <v>44678</v>
      </c>
      <c r="I2574" s="1" t="s">
        <v>1799</v>
      </c>
      <c r="J2574" s="4">
        <f>IFERROR(__xludf.DUMMYFUNCTION("DATE(INDEX(SPLIT(I2574,""/""),,3),INDEX(SPLIT(I2574,""/""),,2),INDEX(SPLIT(I2574,""/""),,1))"),44788.0)</f>
        <v>44788</v>
      </c>
      <c r="L2574" s="1">
        <v>0.0</v>
      </c>
      <c r="M2574" s="1" t="s">
        <v>6938</v>
      </c>
      <c r="N2574" s="1"/>
      <c r="O2574" s="1" t="s">
        <v>30</v>
      </c>
      <c r="P2574" s="1" t="s">
        <v>31</v>
      </c>
      <c r="Q2574" s="1" t="s">
        <v>235</v>
      </c>
      <c r="R2574" s="1" t="s">
        <v>235</v>
      </c>
      <c r="S2574" s="1" t="s">
        <v>236</v>
      </c>
      <c r="U2574" s="1">
        <v>1.01161608E8</v>
      </c>
      <c r="X2574" s="1" t="s">
        <v>239</v>
      </c>
      <c r="Y2574" s="1" t="s">
        <v>6939</v>
      </c>
      <c r="Z2574" s="1" t="s">
        <v>37</v>
      </c>
    </row>
    <row r="2575">
      <c r="A2575" s="1" t="s">
        <v>7901</v>
      </c>
      <c r="B2575" s="1" t="s">
        <v>223</v>
      </c>
      <c r="C2575" s="1" t="s">
        <v>7902</v>
      </c>
      <c r="D2575" s="1" t="s">
        <v>27</v>
      </c>
      <c r="E2575" s="1" t="s">
        <v>28</v>
      </c>
      <c r="F2575" s="2">
        <v>400000.0</v>
      </c>
      <c r="G2575" s="1" t="s">
        <v>2963</v>
      </c>
      <c r="H2575" s="4">
        <f>IFERROR(__xludf.DUMMYFUNCTION("DATE(INDEX(SPLIT(G2575,""/""),,3),INDEX(SPLIT(G2575,""/""),,2),INDEX(SPLIT(G2575,""/""),,1))"),44524.0)</f>
        <v>44524</v>
      </c>
      <c r="I2575" s="1" t="s">
        <v>69</v>
      </c>
      <c r="J2575" s="4">
        <f>IFERROR(__xludf.DUMMYFUNCTION("DATE(INDEX(SPLIT(I2575,""/""),,3),INDEX(SPLIT(I2575,""/""),,2),INDEX(SPLIT(I2575,""/""),,1))"),44773.0)</f>
        <v>44773</v>
      </c>
      <c r="L2575" s="1">
        <v>0.0</v>
      </c>
      <c r="M2575" s="1" t="s">
        <v>227</v>
      </c>
      <c r="N2575" s="1"/>
      <c r="O2575" s="1" t="s">
        <v>30</v>
      </c>
      <c r="P2575" s="1" t="s">
        <v>31</v>
      </c>
      <c r="Q2575" s="1" t="s">
        <v>228</v>
      </c>
      <c r="R2575" s="1" t="s">
        <v>228</v>
      </c>
      <c r="S2575" s="1" t="s">
        <v>229</v>
      </c>
      <c r="T2575" s="1" t="s">
        <v>217</v>
      </c>
      <c r="U2575" s="1">
        <v>1.00660017E8</v>
      </c>
      <c r="X2575" s="1" t="s">
        <v>81</v>
      </c>
      <c r="Y2575" s="1" t="s">
        <v>227</v>
      </c>
      <c r="Z2575" s="1" t="s">
        <v>37</v>
      </c>
    </row>
    <row r="2576" hidden="1">
      <c r="A2576" s="1" t="s">
        <v>7903</v>
      </c>
      <c r="B2576" s="1" t="s">
        <v>516</v>
      </c>
      <c r="C2576" s="1" t="s">
        <v>7904</v>
      </c>
      <c r="D2576" s="1" t="s">
        <v>78</v>
      </c>
      <c r="E2576" s="1" t="s">
        <v>28</v>
      </c>
      <c r="F2576" s="2">
        <v>400000.0</v>
      </c>
      <c r="G2576" s="4">
        <v>44626.0</v>
      </c>
      <c r="H2576" s="4">
        <f>IFERROR(__xludf.DUMMYFUNCTION("DATE(INDEX(SPLIT(G2576,""/""),,3),INDEX(SPLIT(G2576,""/""),,2),INDEX(SPLIT(G2576,""/""),,1))"),44715.0)</f>
        <v>44715</v>
      </c>
      <c r="I2576" s="1" t="s">
        <v>130</v>
      </c>
      <c r="J2576" s="4">
        <f>IFERROR(__xludf.DUMMYFUNCTION("DATE(INDEX(SPLIT(I2576,""/""),,3),INDEX(SPLIT(I2576,""/""),,2),INDEX(SPLIT(I2576,""/""),,1))"),44804.0)</f>
        <v>44804</v>
      </c>
      <c r="L2576" s="1">
        <v>0.0</v>
      </c>
      <c r="M2576" s="1" t="s">
        <v>512</v>
      </c>
      <c r="N2576" s="1"/>
      <c r="O2576" s="1" t="s">
        <v>30</v>
      </c>
      <c r="P2576" s="1" t="s">
        <v>31</v>
      </c>
      <c r="Q2576" s="1" t="s">
        <v>228</v>
      </c>
      <c r="R2576" s="1" t="s">
        <v>228</v>
      </c>
      <c r="S2576" s="1" t="s">
        <v>229</v>
      </c>
      <c r="T2576" s="1" t="s">
        <v>513</v>
      </c>
      <c r="U2576" s="1">
        <v>1.00654864E8</v>
      </c>
      <c r="X2576" s="1" t="s">
        <v>98</v>
      </c>
      <c r="Y2576" s="1" t="s">
        <v>7905</v>
      </c>
      <c r="Z2576" s="1" t="s">
        <v>37</v>
      </c>
    </row>
    <row r="2577">
      <c r="A2577" s="1" t="s">
        <v>7906</v>
      </c>
      <c r="B2577" s="1" t="s">
        <v>2735</v>
      </c>
      <c r="C2577" s="1" t="s">
        <v>7907</v>
      </c>
      <c r="D2577" s="1" t="s">
        <v>78</v>
      </c>
      <c r="E2577" s="1" t="s">
        <v>28</v>
      </c>
      <c r="F2577" s="2">
        <v>400000.0</v>
      </c>
      <c r="G2577" s="1" t="s">
        <v>1438</v>
      </c>
      <c r="H2577" s="4">
        <f>IFERROR(__xludf.DUMMYFUNCTION("DATE(INDEX(SPLIT(G2577,""/""),,3),INDEX(SPLIT(G2577,""/""),,2),INDEX(SPLIT(G2577,""/""),,1))"),44708.0)</f>
        <v>44708</v>
      </c>
      <c r="I2577" s="1" t="s">
        <v>226</v>
      </c>
      <c r="J2577" s="4">
        <f>IFERROR(__xludf.DUMMYFUNCTION("DATE(INDEX(SPLIT(I2577,""/""),,3),INDEX(SPLIT(I2577,""/""),,2),INDEX(SPLIT(I2577,""/""),,1))"),44771.0)</f>
        <v>44771</v>
      </c>
      <c r="L2577" s="1">
        <v>0.0</v>
      </c>
      <c r="M2577" s="1" t="s">
        <v>3138</v>
      </c>
      <c r="N2577" s="1"/>
      <c r="O2577" s="1" t="s">
        <v>30</v>
      </c>
      <c r="P2577" s="1" t="s">
        <v>31</v>
      </c>
      <c r="Q2577" s="1" t="s">
        <v>157</v>
      </c>
      <c r="R2577" s="1" t="s">
        <v>157</v>
      </c>
      <c r="S2577" s="1" t="s">
        <v>158</v>
      </c>
      <c r="U2577" s="1">
        <v>1.00616377E8</v>
      </c>
      <c r="X2577" s="1" t="s">
        <v>490</v>
      </c>
      <c r="Y2577" s="1" t="s">
        <v>7908</v>
      </c>
      <c r="Z2577" s="1" t="s">
        <v>37</v>
      </c>
    </row>
    <row r="2578">
      <c r="A2578" s="1" t="s">
        <v>7909</v>
      </c>
      <c r="B2578" s="1" t="s">
        <v>981</v>
      </c>
      <c r="C2578" s="1" t="s">
        <v>7910</v>
      </c>
      <c r="D2578" s="1" t="s">
        <v>68</v>
      </c>
      <c r="E2578" s="1" t="s">
        <v>28</v>
      </c>
      <c r="F2578" s="2">
        <v>400000.0</v>
      </c>
      <c r="G2578" s="1" t="s">
        <v>2263</v>
      </c>
      <c r="H2578" s="4">
        <f>IFERROR(__xludf.DUMMYFUNCTION("DATE(INDEX(SPLIT(G2578,""/""),,3),INDEX(SPLIT(G2578,""/""),,2),INDEX(SPLIT(G2578,""/""),,1))"),44638.0)</f>
        <v>44638</v>
      </c>
      <c r="I2578" s="1" t="s">
        <v>1244</v>
      </c>
      <c r="J2578" s="4">
        <f>IFERROR(__xludf.DUMMYFUNCTION("DATE(INDEX(SPLIT(I2578,""/""),,3),INDEX(SPLIT(I2578,""/""),,2),INDEX(SPLIT(I2578,""/""),,1))"),44742.0)</f>
        <v>44742</v>
      </c>
      <c r="L2578" s="1">
        <v>0.0</v>
      </c>
      <c r="M2578" s="1" t="s">
        <v>1207</v>
      </c>
      <c r="N2578" s="1"/>
      <c r="O2578" s="1" t="s">
        <v>30</v>
      </c>
      <c r="P2578" s="1" t="s">
        <v>31</v>
      </c>
      <c r="Q2578" s="1" t="s">
        <v>157</v>
      </c>
      <c r="R2578" s="1" t="s">
        <v>157</v>
      </c>
      <c r="S2578" s="1" t="s">
        <v>158</v>
      </c>
      <c r="T2578" s="1" t="s">
        <v>159</v>
      </c>
      <c r="U2578" s="1">
        <v>1.00639495E8</v>
      </c>
      <c r="X2578" s="1" t="s">
        <v>490</v>
      </c>
      <c r="Y2578" s="1" t="s">
        <v>7592</v>
      </c>
      <c r="Z2578" s="1" t="s">
        <v>37</v>
      </c>
    </row>
    <row r="2579">
      <c r="A2579" s="1" t="s">
        <v>7911</v>
      </c>
      <c r="B2579" s="1" t="s">
        <v>7912</v>
      </c>
      <c r="C2579" s="1" t="s">
        <v>7913</v>
      </c>
      <c r="D2579" s="1" t="s">
        <v>27</v>
      </c>
      <c r="E2579" s="1" t="s">
        <v>28</v>
      </c>
      <c r="F2579" s="2">
        <v>400000.0</v>
      </c>
      <c r="G2579" s="1" t="s">
        <v>1716</v>
      </c>
      <c r="H2579" s="4">
        <f>IFERROR(__xludf.DUMMYFUNCTION("DATE(INDEX(SPLIT(G2579,""/""),,3),INDEX(SPLIT(G2579,""/""),,2),INDEX(SPLIT(G2579,""/""),,1))"),44619.0)</f>
        <v>44619</v>
      </c>
      <c r="I2579" s="1" t="s">
        <v>518</v>
      </c>
      <c r="J2579" s="4">
        <f>IFERROR(__xludf.DUMMYFUNCTION("DATE(INDEX(SPLIT(I2579,""/""),,3),INDEX(SPLIT(I2579,""/""),,2),INDEX(SPLIT(I2579,""/""),,1))"),44757.0)</f>
        <v>44757</v>
      </c>
      <c r="L2579" s="1">
        <v>0.0</v>
      </c>
      <c r="M2579" s="1" t="s">
        <v>7498</v>
      </c>
      <c r="N2579" s="1"/>
      <c r="O2579" s="1" t="s">
        <v>30</v>
      </c>
      <c r="P2579" s="1" t="s">
        <v>31</v>
      </c>
      <c r="Q2579" s="1" t="s">
        <v>235</v>
      </c>
      <c r="R2579" s="1" t="s">
        <v>235</v>
      </c>
      <c r="S2579" s="1" t="s">
        <v>236</v>
      </c>
      <c r="U2579" s="1">
        <v>1.01093101E8</v>
      </c>
      <c r="X2579" s="1" t="s">
        <v>88</v>
      </c>
      <c r="Y2579" s="1" t="s">
        <v>7498</v>
      </c>
      <c r="Z2579" s="1" t="s">
        <v>206</v>
      </c>
    </row>
    <row r="2580" hidden="1">
      <c r="A2580" s="1" t="s">
        <v>7914</v>
      </c>
      <c r="B2580" s="1" t="s">
        <v>756</v>
      </c>
      <c r="C2580" s="1" t="s">
        <v>7915</v>
      </c>
      <c r="D2580" s="1" t="s">
        <v>78</v>
      </c>
      <c r="E2580" s="1" t="s">
        <v>28</v>
      </c>
      <c r="F2580" s="2">
        <v>400000.0</v>
      </c>
      <c r="G2580" s="1" t="s">
        <v>298</v>
      </c>
      <c r="H2580" s="4">
        <f>IFERROR(__xludf.DUMMYFUNCTION("DATE(INDEX(SPLIT(G2580,""/""),,3),INDEX(SPLIT(G2580,""/""),,2),INDEX(SPLIT(G2580,""/""),,1))"),44762.0)</f>
        <v>44762</v>
      </c>
      <c r="I2580" s="4">
        <v>44689.0</v>
      </c>
      <c r="J2580" s="4">
        <f>IFERROR(__xludf.DUMMYFUNCTION("DATE(INDEX(SPLIT(I2580,""/""),,3),INDEX(SPLIT(I2580,""/""),,2),INDEX(SPLIT(I2580,""/""),,1))"),44778.0)</f>
        <v>44778</v>
      </c>
      <c r="L2580" s="1">
        <v>0.0</v>
      </c>
      <c r="M2580" s="1" t="s">
        <v>459</v>
      </c>
      <c r="N2580" s="1"/>
      <c r="O2580" s="1" t="s">
        <v>30</v>
      </c>
      <c r="P2580" s="1" t="s">
        <v>31</v>
      </c>
      <c r="Q2580" s="1" t="s">
        <v>53</v>
      </c>
      <c r="R2580" s="1" t="s">
        <v>53</v>
      </c>
      <c r="S2580" s="1" t="s">
        <v>54</v>
      </c>
      <c r="T2580" s="1" t="s">
        <v>87</v>
      </c>
      <c r="U2580" s="1">
        <v>1.00653756E8</v>
      </c>
      <c r="X2580" s="1" t="s">
        <v>88</v>
      </c>
      <c r="Y2580" s="1" t="s">
        <v>7508</v>
      </c>
      <c r="Z2580" s="1" t="s">
        <v>37</v>
      </c>
    </row>
    <row r="2581" hidden="1">
      <c r="A2581" s="1" t="s">
        <v>7916</v>
      </c>
      <c r="B2581" s="1" t="s">
        <v>1158</v>
      </c>
      <c r="C2581" s="1" t="s">
        <v>7917</v>
      </c>
      <c r="D2581" s="1" t="s">
        <v>27</v>
      </c>
      <c r="E2581" s="1" t="s">
        <v>28</v>
      </c>
      <c r="F2581" s="2">
        <v>400000.0</v>
      </c>
      <c r="G2581" s="1" t="s">
        <v>7918</v>
      </c>
      <c r="H2581" s="4">
        <f>IFERROR(__xludf.DUMMYFUNCTION("DATE(INDEX(SPLIT(G2581,""/""),,3),INDEX(SPLIT(G2581,""/""),,2),INDEX(SPLIT(G2581,""/""),,1))"),44280.0)</f>
        <v>44280</v>
      </c>
      <c r="I2581" s="4">
        <v>44752.0</v>
      </c>
      <c r="J2581" s="4">
        <f>IFERROR(__xludf.DUMMYFUNCTION("DATE(INDEX(SPLIT(I2581,""/""),,3),INDEX(SPLIT(I2581,""/""),,2),INDEX(SPLIT(I2581,""/""),,1))"),44841.0)</f>
        <v>44841</v>
      </c>
      <c r="L2581" s="1">
        <v>0.0</v>
      </c>
      <c r="M2581" s="1" t="s">
        <v>437</v>
      </c>
      <c r="N2581" s="1"/>
      <c r="O2581" s="1" t="s">
        <v>30</v>
      </c>
      <c r="P2581" s="1" t="s">
        <v>31</v>
      </c>
      <c r="Q2581" s="1" t="s">
        <v>235</v>
      </c>
      <c r="R2581" s="1" t="s">
        <v>235</v>
      </c>
      <c r="S2581" s="1" t="s">
        <v>236</v>
      </c>
      <c r="T2581" s="1" t="s">
        <v>1349</v>
      </c>
      <c r="U2581" s="1">
        <v>1.00650375E8</v>
      </c>
      <c r="X2581" s="1" t="s">
        <v>88</v>
      </c>
      <c r="Y2581" s="1" t="s">
        <v>437</v>
      </c>
      <c r="Z2581" s="1" t="s">
        <v>37</v>
      </c>
    </row>
    <row r="2582" hidden="1">
      <c r="A2582" s="1" t="s">
        <v>7919</v>
      </c>
      <c r="B2582" s="1" t="s">
        <v>120</v>
      </c>
      <c r="C2582" s="1" t="s">
        <v>7920</v>
      </c>
      <c r="D2582" s="1" t="s">
        <v>78</v>
      </c>
      <c r="E2582" s="1" t="s">
        <v>28</v>
      </c>
      <c r="F2582" s="2">
        <v>400000.0</v>
      </c>
      <c r="G2582" s="1" t="s">
        <v>1381</v>
      </c>
      <c r="H2582" s="4">
        <f>IFERROR(__xludf.DUMMYFUNCTION("DATE(INDEX(SPLIT(G2582,""/""),,3),INDEX(SPLIT(G2582,""/""),,2),INDEX(SPLIT(G2582,""/""),,1))"),44643.0)</f>
        <v>44643</v>
      </c>
      <c r="I2582" s="1" t="s">
        <v>85</v>
      </c>
      <c r="J2582" s="4">
        <f>IFERROR(__xludf.DUMMYFUNCTION("DATE(INDEX(SPLIT(I2582,""/""),,3),INDEX(SPLIT(I2582,""/""),,2),INDEX(SPLIT(I2582,""/""),,1))"),44799.0)</f>
        <v>44799</v>
      </c>
      <c r="L2582" s="1">
        <v>0.0</v>
      </c>
      <c r="M2582" s="1" t="s">
        <v>2020</v>
      </c>
      <c r="N2582" s="1"/>
      <c r="O2582" s="1" t="s">
        <v>30</v>
      </c>
      <c r="P2582" s="1" t="s">
        <v>31</v>
      </c>
      <c r="Q2582" s="1" t="s">
        <v>157</v>
      </c>
      <c r="R2582" s="1" t="s">
        <v>157</v>
      </c>
      <c r="S2582" s="1" t="s">
        <v>158</v>
      </c>
      <c r="U2582" s="1">
        <v>1.00650678E8</v>
      </c>
      <c r="X2582" s="1" t="s">
        <v>125</v>
      </c>
      <c r="Y2582" s="1" t="s">
        <v>2021</v>
      </c>
      <c r="Z2582" s="1" t="s">
        <v>37</v>
      </c>
    </row>
    <row r="2583" hidden="1">
      <c r="A2583" s="1" t="s">
        <v>7921</v>
      </c>
      <c r="B2583" s="1" t="s">
        <v>3655</v>
      </c>
      <c r="C2583" s="1" t="s">
        <v>7922</v>
      </c>
      <c r="D2583" s="1" t="s">
        <v>27</v>
      </c>
      <c r="E2583" s="1" t="s">
        <v>28</v>
      </c>
      <c r="F2583" s="2">
        <v>400000.0</v>
      </c>
      <c r="G2583" s="4">
        <v>44599.0</v>
      </c>
      <c r="H2583" s="4">
        <f>IFERROR(__xludf.DUMMYFUNCTION("DATE(INDEX(SPLIT(G2583,""/""),,3),INDEX(SPLIT(G2583,""/""),,2),INDEX(SPLIT(G2583,""/""),,1))"),44744.0)</f>
        <v>44744</v>
      </c>
      <c r="I2583" s="1" t="s">
        <v>7923</v>
      </c>
      <c r="J2583" s="4">
        <f>IFERROR(__xludf.DUMMYFUNCTION("DATE(INDEX(SPLIT(I2583,""/""),,3),INDEX(SPLIT(I2583,""/""),,2),INDEX(SPLIT(I2583,""/""),,1))"),44956.0)</f>
        <v>44956</v>
      </c>
      <c r="L2583" s="1">
        <v>0.0</v>
      </c>
      <c r="M2583" s="1" t="s">
        <v>4574</v>
      </c>
      <c r="N2583" s="1"/>
      <c r="O2583" s="1" t="s">
        <v>30</v>
      </c>
      <c r="P2583" s="1" t="s">
        <v>31</v>
      </c>
      <c r="Q2583" s="1" t="s">
        <v>235</v>
      </c>
      <c r="R2583" s="1" t="s">
        <v>235</v>
      </c>
      <c r="S2583" s="1" t="s">
        <v>236</v>
      </c>
      <c r="T2583" s="1" t="s">
        <v>438</v>
      </c>
      <c r="U2583" s="1">
        <v>1.00625459E8</v>
      </c>
      <c r="X2583" s="1" t="s">
        <v>88</v>
      </c>
      <c r="Y2583" s="1" t="s">
        <v>7924</v>
      </c>
      <c r="Z2583" s="1" t="s">
        <v>37</v>
      </c>
    </row>
    <row r="2584">
      <c r="A2584" s="1" t="s">
        <v>7925</v>
      </c>
      <c r="B2584" s="1" t="s">
        <v>7926</v>
      </c>
      <c r="C2584" s="1" t="s">
        <v>7927</v>
      </c>
      <c r="D2584" s="1" t="s">
        <v>27</v>
      </c>
      <c r="E2584" s="1" t="s">
        <v>28</v>
      </c>
      <c r="F2584" s="2">
        <v>400000.0</v>
      </c>
      <c r="G2584" s="1" t="s">
        <v>436</v>
      </c>
      <c r="H2584" s="4">
        <f>IFERROR(__xludf.DUMMYFUNCTION("DATE(INDEX(SPLIT(G2584,""/""),,3),INDEX(SPLIT(G2584,""/""),,2),INDEX(SPLIT(G2584,""/""),,1))"),44434.0)</f>
        <v>44434</v>
      </c>
      <c r="I2584" s="1" t="s">
        <v>1244</v>
      </c>
      <c r="J2584" s="4">
        <f>IFERROR(__xludf.DUMMYFUNCTION("DATE(INDEX(SPLIT(I2584,""/""),,3),INDEX(SPLIT(I2584,""/""),,2),INDEX(SPLIT(I2584,""/""),,1))"),44742.0)</f>
        <v>44742</v>
      </c>
      <c r="L2584" s="1">
        <v>0.0</v>
      </c>
      <c r="M2584" s="1" t="s">
        <v>3139</v>
      </c>
      <c r="N2584" s="1"/>
      <c r="O2584" s="1" t="s">
        <v>30</v>
      </c>
      <c r="P2584" s="1" t="s">
        <v>31</v>
      </c>
      <c r="Q2584" s="1" t="s">
        <v>157</v>
      </c>
      <c r="R2584" s="1" t="s">
        <v>157</v>
      </c>
      <c r="S2584" s="1" t="s">
        <v>158</v>
      </c>
      <c r="T2584" s="1" t="s">
        <v>442</v>
      </c>
      <c r="U2584" s="1">
        <v>1.00869655E8</v>
      </c>
      <c r="X2584" s="1" t="s">
        <v>5049</v>
      </c>
      <c r="Y2584" s="1" t="s">
        <v>7928</v>
      </c>
      <c r="Z2584" s="1" t="s">
        <v>527</v>
      </c>
    </row>
    <row r="2585">
      <c r="A2585" s="1" t="s">
        <v>7929</v>
      </c>
      <c r="B2585" s="1" t="s">
        <v>7930</v>
      </c>
      <c r="C2585" s="1" t="s">
        <v>7931</v>
      </c>
      <c r="D2585" s="1" t="s">
        <v>78</v>
      </c>
      <c r="E2585" s="1" t="s">
        <v>28</v>
      </c>
      <c r="F2585" s="2">
        <v>400000.0</v>
      </c>
      <c r="G2585" s="1" t="s">
        <v>436</v>
      </c>
      <c r="H2585" s="4">
        <f>IFERROR(__xludf.DUMMYFUNCTION("DATE(INDEX(SPLIT(G2585,""/""),,3),INDEX(SPLIT(G2585,""/""),,2),INDEX(SPLIT(G2585,""/""),,1))"),44434.0)</f>
        <v>44434</v>
      </c>
      <c r="I2585" s="1" t="s">
        <v>226</v>
      </c>
      <c r="J2585" s="4">
        <f>IFERROR(__xludf.DUMMYFUNCTION("DATE(INDEX(SPLIT(I2585,""/""),,3),INDEX(SPLIT(I2585,""/""),,2),INDEX(SPLIT(I2585,""/""),,1))"),44771.0)</f>
        <v>44771</v>
      </c>
      <c r="L2585" s="1">
        <v>0.0</v>
      </c>
      <c r="M2585" s="1" t="s">
        <v>2277</v>
      </c>
      <c r="N2585" s="1"/>
      <c r="O2585" s="1" t="s">
        <v>30</v>
      </c>
      <c r="P2585" s="1" t="s">
        <v>31</v>
      </c>
      <c r="Q2585" s="1" t="s">
        <v>71</v>
      </c>
      <c r="R2585" s="1" t="s">
        <v>71</v>
      </c>
      <c r="S2585" s="1" t="s">
        <v>72</v>
      </c>
      <c r="T2585" s="1" t="s">
        <v>136</v>
      </c>
      <c r="U2585" s="1">
        <v>1.00619607E8</v>
      </c>
      <c r="X2585" s="1" t="s">
        <v>2028</v>
      </c>
      <c r="Y2585" s="1" t="s">
        <v>2277</v>
      </c>
      <c r="Z2585" s="1" t="s">
        <v>37</v>
      </c>
    </row>
    <row r="2586" hidden="1">
      <c r="A2586" s="1" t="s">
        <v>7932</v>
      </c>
      <c r="B2586" s="1" t="s">
        <v>7933</v>
      </c>
      <c r="C2586" s="1" t="s">
        <v>7934</v>
      </c>
      <c r="D2586" s="1" t="s">
        <v>27</v>
      </c>
      <c r="E2586" s="1" t="s">
        <v>28</v>
      </c>
      <c r="F2586" s="2">
        <v>400000.0</v>
      </c>
      <c r="G2586" s="1" t="s">
        <v>2101</v>
      </c>
      <c r="H2586" s="4">
        <f>IFERROR(__xludf.DUMMYFUNCTION("DATE(INDEX(SPLIT(G2586,""/""),,3),INDEX(SPLIT(G2586,""/""),,2),INDEX(SPLIT(G2586,""/""),,1))"),44579.0)</f>
        <v>44579</v>
      </c>
      <c r="I2586" s="1" t="s">
        <v>281</v>
      </c>
      <c r="J2586" s="4">
        <f>IFERROR(__xludf.DUMMYFUNCTION("DATE(INDEX(SPLIT(I2586,""/""),,3),INDEX(SPLIT(I2586,""/""),,2),INDEX(SPLIT(I2586,""/""),,1))"),44865.0)</f>
        <v>44865</v>
      </c>
      <c r="L2586" s="1">
        <v>0.0</v>
      </c>
      <c r="M2586" s="1" t="s">
        <v>1649</v>
      </c>
      <c r="N2586" s="1"/>
      <c r="O2586" s="1" t="s">
        <v>30</v>
      </c>
      <c r="P2586" s="1" t="s">
        <v>31</v>
      </c>
      <c r="Q2586" s="1" t="s">
        <v>157</v>
      </c>
      <c r="R2586" s="1" t="s">
        <v>157</v>
      </c>
      <c r="S2586" s="1" t="s">
        <v>158</v>
      </c>
      <c r="T2586" s="1" t="s">
        <v>442</v>
      </c>
      <c r="U2586" s="1">
        <v>1.00643454E8</v>
      </c>
      <c r="X2586" s="1" t="s">
        <v>490</v>
      </c>
      <c r="Y2586" s="1" t="s">
        <v>4389</v>
      </c>
      <c r="Z2586" s="1" t="s">
        <v>37</v>
      </c>
    </row>
    <row r="2587" hidden="1">
      <c r="A2587" s="1" t="s">
        <v>7935</v>
      </c>
      <c r="B2587" s="1" t="s">
        <v>7936</v>
      </c>
      <c r="C2587" s="1" t="s">
        <v>7937</v>
      </c>
      <c r="D2587" s="1" t="s">
        <v>27</v>
      </c>
      <c r="E2587" s="1" t="s">
        <v>28</v>
      </c>
      <c r="F2587" s="2">
        <v>400000.0</v>
      </c>
      <c r="G2587" s="4">
        <v>44684.0</v>
      </c>
      <c r="H2587" s="4">
        <f>IFERROR(__xludf.DUMMYFUNCTION("DATE(INDEX(SPLIT(G2587,""/""),,3),INDEX(SPLIT(G2587,""/""),,2),INDEX(SPLIT(G2587,""/""),,1))"),44625.0)</f>
        <v>44625</v>
      </c>
      <c r="I2587" s="4">
        <v>44570.0</v>
      </c>
      <c r="J2587" s="4">
        <f>IFERROR(__xludf.DUMMYFUNCTION("DATE(INDEX(SPLIT(I2587,""/""),,3),INDEX(SPLIT(I2587,""/""),,2),INDEX(SPLIT(I2587,""/""),,1))"),44805.0)</f>
        <v>44805</v>
      </c>
      <c r="L2587" s="1">
        <v>0.0</v>
      </c>
      <c r="M2587" s="1" t="s">
        <v>3216</v>
      </c>
      <c r="N2587" s="1"/>
      <c r="O2587" s="1" t="s">
        <v>30</v>
      </c>
      <c r="P2587" s="1" t="s">
        <v>31</v>
      </c>
      <c r="Q2587" s="1" t="s">
        <v>32</v>
      </c>
      <c r="R2587" s="1" t="s">
        <v>32</v>
      </c>
      <c r="S2587" s="1" t="s">
        <v>33</v>
      </c>
      <c r="T2587" s="1" t="s">
        <v>34</v>
      </c>
      <c r="U2587" s="1">
        <v>1.00622716E8</v>
      </c>
      <c r="X2587" s="1" t="s">
        <v>35</v>
      </c>
      <c r="Y2587" s="1" t="s">
        <v>3216</v>
      </c>
      <c r="Z2587" s="1" t="s">
        <v>37</v>
      </c>
    </row>
    <row r="2588" hidden="1">
      <c r="A2588" s="1" t="s">
        <v>7938</v>
      </c>
      <c r="B2588" s="1" t="s">
        <v>1772</v>
      </c>
      <c r="C2588" s="1" t="s">
        <v>7939</v>
      </c>
      <c r="D2588" s="1" t="s">
        <v>27</v>
      </c>
      <c r="E2588" s="1" t="s">
        <v>28</v>
      </c>
      <c r="F2588" s="2">
        <v>400000.0</v>
      </c>
      <c r="G2588" s="4">
        <v>44140.0</v>
      </c>
      <c r="H2588" s="4">
        <f>IFERROR(__xludf.DUMMYFUNCTION("DATE(INDEX(SPLIT(G2588,""/""),,3),INDEX(SPLIT(G2588,""/""),,2),INDEX(SPLIT(G2588,""/""),,1))"),43962.0)</f>
        <v>43962</v>
      </c>
      <c r="I2588" s="1" t="s">
        <v>130</v>
      </c>
      <c r="J2588" s="4">
        <f>IFERROR(__xludf.DUMMYFUNCTION("DATE(INDEX(SPLIT(I2588,""/""),,3),INDEX(SPLIT(I2588,""/""),,2),INDEX(SPLIT(I2588,""/""),,1))"),44804.0)</f>
        <v>44804</v>
      </c>
      <c r="L2588" s="1">
        <v>0.0</v>
      </c>
      <c r="M2588" s="1" t="s">
        <v>620</v>
      </c>
      <c r="N2588" s="1"/>
      <c r="O2588" s="1" t="s">
        <v>30</v>
      </c>
      <c r="P2588" s="1" t="s">
        <v>31</v>
      </c>
      <c r="Q2588" s="1" t="s">
        <v>32</v>
      </c>
      <c r="R2588" s="1" t="s">
        <v>32</v>
      </c>
      <c r="S2588" s="1" t="s">
        <v>33</v>
      </c>
      <c r="U2588" s="1">
        <v>1.00609607E8</v>
      </c>
      <c r="X2588" s="1" t="s">
        <v>81</v>
      </c>
      <c r="Y2588" s="1" t="s">
        <v>1925</v>
      </c>
      <c r="Z2588" s="1" t="s">
        <v>37</v>
      </c>
    </row>
    <row r="2589" hidden="1">
      <c r="A2589" s="1" t="s">
        <v>7940</v>
      </c>
      <c r="B2589" s="1" t="s">
        <v>1966</v>
      </c>
      <c r="C2589" s="1" t="s">
        <v>7941</v>
      </c>
      <c r="D2589" s="1" t="s">
        <v>122</v>
      </c>
      <c r="E2589" s="1" t="s">
        <v>28</v>
      </c>
      <c r="F2589" s="2">
        <v>400000.0</v>
      </c>
      <c r="G2589" s="1" t="s">
        <v>2900</v>
      </c>
      <c r="H2589" s="4">
        <f>IFERROR(__xludf.DUMMYFUNCTION("DATE(INDEX(SPLIT(G2589,""/""),,3),INDEX(SPLIT(G2589,""/""),,2),INDEX(SPLIT(G2589,""/""),,1))"),44678.0)</f>
        <v>44678</v>
      </c>
      <c r="I2589" s="1" t="s">
        <v>109</v>
      </c>
      <c r="J2589" s="4">
        <f>IFERROR(__xludf.DUMMYFUNCTION("DATE(INDEX(SPLIT(I2589,""/""),,3),INDEX(SPLIT(I2589,""/""),,2),INDEX(SPLIT(I2589,""/""),,1))"),44834.0)</f>
        <v>44834</v>
      </c>
      <c r="L2589" s="1">
        <v>0.0</v>
      </c>
      <c r="M2589" s="1" t="s">
        <v>2787</v>
      </c>
      <c r="N2589" s="1"/>
      <c r="O2589" s="1" t="s">
        <v>30</v>
      </c>
      <c r="P2589" s="1" t="s">
        <v>31</v>
      </c>
      <c r="Q2589" s="1" t="s">
        <v>157</v>
      </c>
      <c r="R2589" s="1" t="s">
        <v>157</v>
      </c>
      <c r="S2589" s="1" t="s">
        <v>158</v>
      </c>
      <c r="T2589" s="1" t="s">
        <v>442</v>
      </c>
      <c r="U2589" s="1">
        <v>1.00708984E8</v>
      </c>
      <c r="X2589" s="1" t="s">
        <v>125</v>
      </c>
      <c r="Y2589" s="1" t="s">
        <v>7942</v>
      </c>
      <c r="Z2589" s="1" t="s">
        <v>37</v>
      </c>
    </row>
    <row r="2590">
      <c r="A2590" s="1" t="s">
        <v>7943</v>
      </c>
      <c r="B2590" s="1" t="s">
        <v>7944</v>
      </c>
      <c r="C2590" s="1" t="s">
        <v>7945</v>
      </c>
      <c r="D2590" s="1" t="s">
        <v>122</v>
      </c>
      <c r="E2590" s="1" t="s">
        <v>28</v>
      </c>
      <c r="F2590" s="2">
        <v>400000.0</v>
      </c>
      <c r="G2590" s="1" t="s">
        <v>1004</v>
      </c>
      <c r="H2590" s="4">
        <f>IFERROR(__xludf.DUMMYFUNCTION("DATE(INDEX(SPLIT(G2590,""/""),,3),INDEX(SPLIT(G2590,""/""),,2),INDEX(SPLIT(G2590,""/""),,1))"),44582.0)</f>
        <v>44582</v>
      </c>
      <c r="I2590" s="1" t="s">
        <v>1438</v>
      </c>
      <c r="J2590" s="4">
        <f>IFERROR(__xludf.DUMMYFUNCTION("DATE(INDEX(SPLIT(I2590,""/""),,3),INDEX(SPLIT(I2590,""/""),,2),INDEX(SPLIT(I2590,""/""),,1))"),44708.0)</f>
        <v>44708</v>
      </c>
      <c r="L2590" s="1">
        <v>0.0</v>
      </c>
      <c r="M2590" s="1" t="s">
        <v>2551</v>
      </c>
      <c r="N2590" s="1"/>
      <c r="O2590" s="1" t="s">
        <v>30</v>
      </c>
      <c r="P2590" s="1" t="s">
        <v>31</v>
      </c>
      <c r="Q2590" s="1" t="s">
        <v>95</v>
      </c>
      <c r="R2590" s="1" t="s">
        <v>95</v>
      </c>
      <c r="S2590" s="1" t="s">
        <v>96</v>
      </c>
      <c r="T2590" s="1" t="s">
        <v>640</v>
      </c>
      <c r="U2590" s="1">
        <v>1.00660092E8</v>
      </c>
      <c r="V2590" s="1" t="s">
        <v>7946</v>
      </c>
      <c r="W2590" s="1" t="s">
        <v>199</v>
      </c>
      <c r="X2590" s="1" t="s">
        <v>63</v>
      </c>
      <c r="Y2590" s="1" t="s">
        <v>2551</v>
      </c>
      <c r="Z2590" s="1" t="s">
        <v>37</v>
      </c>
    </row>
    <row r="2591">
      <c r="A2591" s="1" t="s">
        <v>7947</v>
      </c>
      <c r="B2591" s="1" t="s">
        <v>1352</v>
      </c>
      <c r="C2591" s="1" t="s">
        <v>7948</v>
      </c>
      <c r="D2591" s="1" t="s">
        <v>27</v>
      </c>
      <c r="E2591" s="1" t="s">
        <v>28</v>
      </c>
      <c r="F2591" s="2">
        <v>400000.0</v>
      </c>
      <c r="G2591" s="4">
        <v>44540.0</v>
      </c>
      <c r="H2591" s="4">
        <f>IFERROR(__xludf.DUMMYFUNCTION("DATE(INDEX(SPLIT(G2591,""/""),,3),INDEX(SPLIT(G2591,""/""),,2),INDEX(SPLIT(G2591,""/""),,1))"),44481.0)</f>
        <v>44481</v>
      </c>
      <c r="I2591" s="1" t="s">
        <v>226</v>
      </c>
      <c r="J2591" s="4">
        <f>IFERROR(__xludf.DUMMYFUNCTION("DATE(INDEX(SPLIT(I2591,""/""),,3),INDEX(SPLIT(I2591,""/""),,2),INDEX(SPLIT(I2591,""/""),,1))"),44771.0)</f>
        <v>44771</v>
      </c>
      <c r="L2591" s="1">
        <v>0.0</v>
      </c>
      <c r="M2591" s="1" t="s">
        <v>1959</v>
      </c>
      <c r="N2591" s="1"/>
      <c r="O2591" s="1" t="s">
        <v>30</v>
      </c>
      <c r="P2591" s="1" t="s">
        <v>31</v>
      </c>
      <c r="Q2591" s="1" t="s">
        <v>228</v>
      </c>
      <c r="R2591" s="1" t="s">
        <v>228</v>
      </c>
      <c r="S2591" s="1" t="s">
        <v>229</v>
      </c>
      <c r="T2591" s="1" t="s">
        <v>640</v>
      </c>
      <c r="U2591" s="1">
        <v>1.00955805E8</v>
      </c>
      <c r="X2591" s="1" t="s">
        <v>375</v>
      </c>
      <c r="Y2591" s="1" t="s">
        <v>7949</v>
      </c>
      <c r="Z2591" s="1" t="s">
        <v>37</v>
      </c>
    </row>
    <row r="2592">
      <c r="A2592" s="1" t="s">
        <v>7950</v>
      </c>
      <c r="B2592" s="1" t="s">
        <v>3424</v>
      </c>
      <c r="C2592" s="1" t="s">
        <v>7951</v>
      </c>
      <c r="D2592" s="1" t="s">
        <v>78</v>
      </c>
      <c r="E2592" s="1" t="s">
        <v>28</v>
      </c>
      <c r="F2592" s="2">
        <v>400000.0</v>
      </c>
      <c r="G2592" s="4">
        <v>44839.0</v>
      </c>
      <c r="H2592" s="4">
        <f>IFERROR(__xludf.DUMMYFUNCTION("DATE(INDEX(SPLIT(G2592,""/""),,3),INDEX(SPLIT(G2592,""/""),,2),INDEX(SPLIT(G2592,""/""),,1))"),44691.0)</f>
        <v>44691</v>
      </c>
      <c r="I2592" s="4">
        <v>44840.0</v>
      </c>
      <c r="J2592" s="4">
        <f>IFERROR(__xludf.DUMMYFUNCTION("DATE(INDEX(SPLIT(I2592,""/""),,3),INDEX(SPLIT(I2592,""/""),,2),INDEX(SPLIT(I2592,""/""),,1))"),44722.0)</f>
        <v>44722</v>
      </c>
      <c r="L2592" s="1">
        <v>0.0</v>
      </c>
      <c r="M2592" s="1" t="s">
        <v>653</v>
      </c>
      <c r="N2592" s="1"/>
      <c r="O2592" s="1" t="s">
        <v>30</v>
      </c>
      <c r="P2592" s="1" t="s">
        <v>31</v>
      </c>
      <c r="Q2592" s="1" t="s">
        <v>157</v>
      </c>
      <c r="R2592" s="1" t="s">
        <v>157</v>
      </c>
      <c r="S2592" s="1" t="s">
        <v>158</v>
      </c>
      <c r="U2592" s="1">
        <v>1.00591141E8</v>
      </c>
      <c r="X2592" s="1" t="s">
        <v>63</v>
      </c>
      <c r="Y2592" s="1" t="s">
        <v>6229</v>
      </c>
      <c r="Z2592" s="1" t="s">
        <v>37</v>
      </c>
    </row>
    <row r="2593" hidden="1">
      <c r="A2593" s="1" t="s">
        <v>7952</v>
      </c>
      <c r="B2593" s="1" t="s">
        <v>4977</v>
      </c>
      <c r="C2593" s="1" t="s">
        <v>7953</v>
      </c>
      <c r="D2593" s="1" t="s">
        <v>78</v>
      </c>
      <c r="E2593" s="1" t="s">
        <v>28</v>
      </c>
      <c r="F2593" s="2">
        <v>400000.0</v>
      </c>
      <c r="G2593" s="4">
        <v>44412.0</v>
      </c>
      <c r="H2593" s="4">
        <f>IFERROR(__xludf.DUMMYFUNCTION("DATE(INDEX(SPLIT(G2593,""/""),,3),INDEX(SPLIT(G2593,""/""),,2),INDEX(SPLIT(G2593,""/""),,1))"),44294.0)</f>
        <v>44294</v>
      </c>
      <c r="I2593" s="1" t="s">
        <v>109</v>
      </c>
      <c r="J2593" s="4">
        <f>IFERROR(__xludf.DUMMYFUNCTION("DATE(INDEX(SPLIT(I2593,""/""),,3),INDEX(SPLIT(I2593,""/""),,2),INDEX(SPLIT(I2593,""/""),,1))"),44834.0)</f>
        <v>44834</v>
      </c>
      <c r="L2593" s="1">
        <v>0.0</v>
      </c>
      <c r="M2593" s="1" t="s">
        <v>2600</v>
      </c>
      <c r="N2593" s="1"/>
      <c r="O2593" s="1" t="s">
        <v>30</v>
      </c>
      <c r="P2593" s="1" t="s">
        <v>31</v>
      </c>
      <c r="Q2593" s="1" t="s">
        <v>32</v>
      </c>
      <c r="R2593" s="1" t="s">
        <v>32</v>
      </c>
      <c r="S2593" s="1" t="s">
        <v>33</v>
      </c>
      <c r="T2593" s="1" t="s">
        <v>1386</v>
      </c>
      <c r="U2593" s="1">
        <v>1.00642238E8</v>
      </c>
      <c r="X2593" s="1" t="s">
        <v>88</v>
      </c>
      <c r="Y2593" s="1" t="s">
        <v>7954</v>
      </c>
      <c r="Z2593" s="1" t="s">
        <v>37</v>
      </c>
    </row>
    <row r="2594" hidden="1">
      <c r="A2594" s="1" t="s">
        <v>7955</v>
      </c>
      <c r="B2594" s="1" t="s">
        <v>2822</v>
      </c>
      <c r="C2594" s="1" t="s">
        <v>7956</v>
      </c>
      <c r="D2594" s="1" t="s">
        <v>78</v>
      </c>
      <c r="E2594" s="1" t="s">
        <v>28</v>
      </c>
      <c r="F2594" s="2">
        <v>400000.0</v>
      </c>
      <c r="G2594" s="1" t="s">
        <v>4133</v>
      </c>
      <c r="H2594" s="4">
        <f>IFERROR(__xludf.DUMMYFUNCTION("DATE(INDEX(SPLIT(G2594,""/""),,3),INDEX(SPLIT(G2594,""/""),,2),INDEX(SPLIT(G2594,""/""),,1))"),44495.0)</f>
        <v>44495</v>
      </c>
      <c r="I2594" s="1" t="s">
        <v>203</v>
      </c>
      <c r="J2594" s="4">
        <f>IFERROR(__xludf.DUMMYFUNCTION("DATE(INDEX(SPLIT(I2594,""/""),,3),INDEX(SPLIT(I2594,""/""),,2),INDEX(SPLIT(I2594,""/""),,1))"),44925.0)</f>
        <v>44925</v>
      </c>
      <c r="L2594" s="1">
        <v>0.0</v>
      </c>
      <c r="M2594" s="1" t="s">
        <v>3873</v>
      </c>
      <c r="N2594" s="1"/>
      <c r="O2594" s="1" t="s">
        <v>30</v>
      </c>
      <c r="P2594" s="1" t="s">
        <v>31</v>
      </c>
      <c r="Q2594" s="1" t="s">
        <v>53</v>
      </c>
      <c r="R2594" s="1" t="s">
        <v>53</v>
      </c>
      <c r="S2594" s="1" t="s">
        <v>54</v>
      </c>
      <c r="T2594" s="1" t="s">
        <v>1386</v>
      </c>
      <c r="U2594" s="1">
        <v>1.01213659E8</v>
      </c>
      <c r="X2594" s="1" t="s">
        <v>81</v>
      </c>
      <c r="Y2594" s="1" t="s">
        <v>303</v>
      </c>
      <c r="Z2594" s="1" t="s">
        <v>206</v>
      </c>
    </row>
    <row r="2595">
      <c r="A2595" s="1" t="s">
        <v>7957</v>
      </c>
      <c r="B2595" s="1" t="s">
        <v>7958</v>
      </c>
      <c r="C2595" s="1" t="s">
        <v>7959</v>
      </c>
      <c r="D2595" s="1" t="s">
        <v>27</v>
      </c>
      <c r="E2595" s="1" t="s">
        <v>28</v>
      </c>
      <c r="F2595" s="2">
        <v>400000.0</v>
      </c>
      <c r="G2595" s="1" t="s">
        <v>1244</v>
      </c>
      <c r="H2595" s="4">
        <f>IFERROR(__xludf.DUMMYFUNCTION("DATE(INDEX(SPLIT(G2595,""/""),,3),INDEX(SPLIT(G2595,""/""),,2),INDEX(SPLIT(G2595,""/""),,1))"),44742.0)</f>
        <v>44742</v>
      </c>
      <c r="I2595" s="1" t="s">
        <v>226</v>
      </c>
      <c r="J2595" s="4">
        <f>IFERROR(__xludf.DUMMYFUNCTION("DATE(INDEX(SPLIT(I2595,""/""),,3),INDEX(SPLIT(I2595,""/""),,2),INDEX(SPLIT(I2595,""/""),,1))"),44771.0)</f>
        <v>44771</v>
      </c>
      <c r="L2595" s="1">
        <v>0.0</v>
      </c>
      <c r="M2595" s="1" t="s">
        <v>4460</v>
      </c>
      <c r="N2595" s="1"/>
      <c r="O2595" s="1" t="s">
        <v>30</v>
      </c>
      <c r="P2595" s="1" t="s">
        <v>31</v>
      </c>
      <c r="Q2595" s="1" t="s">
        <v>188</v>
      </c>
      <c r="R2595" s="1" t="s">
        <v>188</v>
      </c>
      <c r="S2595" s="1" t="s">
        <v>189</v>
      </c>
      <c r="U2595" s="1">
        <v>1.00632514E8</v>
      </c>
      <c r="X2595" s="1" t="s">
        <v>490</v>
      </c>
      <c r="Y2595" s="1" t="s">
        <v>4460</v>
      </c>
      <c r="Z2595" s="1" t="s">
        <v>37</v>
      </c>
    </row>
    <row r="2596" hidden="1">
      <c r="A2596" s="1" t="s">
        <v>7960</v>
      </c>
      <c r="B2596" s="1" t="s">
        <v>650</v>
      </c>
      <c r="C2596" s="1" t="s">
        <v>7961</v>
      </c>
      <c r="D2596" s="1" t="s">
        <v>78</v>
      </c>
      <c r="E2596" s="1" t="s">
        <v>28</v>
      </c>
      <c r="F2596" s="2">
        <v>400000.0</v>
      </c>
      <c r="G2596" s="1" t="s">
        <v>154</v>
      </c>
      <c r="H2596" s="4">
        <f>IFERROR(__xludf.DUMMYFUNCTION("DATE(INDEX(SPLIT(G2596,""/""),,3),INDEX(SPLIT(G2596,""/""),,2),INDEX(SPLIT(G2596,""/""),,1))"),44670.0)</f>
        <v>44670</v>
      </c>
      <c r="I2596" s="1" t="s">
        <v>109</v>
      </c>
      <c r="J2596" s="4">
        <f>IFERROR(__xludf.DUMMYFUNCTION("DATE(INDEX(SPLIT(I2596,""/""),,3),INDEX(SPLIT(I2596,""/""),,2),INDEX(SPLIT(I2596,""/""),,1))"),44834.0)</f>
        <v>44834</v>
      </c>
      <c r="L2596" s="1">
        <v>0.0</v>
      </c>
      <c r="M2596" s="1" t="s">
        <v>5135</v>
      </c>
      <c r="N2596" s="1"/>
      <c r="O2596" s="1" t="s">
        <v>30</v>
      </c>
      <c r="P2596" s="1" t="s">
        <v>31</v>
      </c>
      <c r="Q2596" s="1" t="s">
        <v>228</v>
      </c>
      <c r="R2596" s="1" t="s">
        <v>228</v>
      </c>
      <c r="S2596" s="1" t="s">
        <v>229</v>
      </c>
      <c r="T2596" s="1" t="s">
        <v>640</v>
      </c>
      <c r="U2596" s="1">
        <v>1.0064195E8</v>
      </c>
      <c r="X2596" s="1" t="s">
        <v>63</v>
      </c>
      <c r="Y2596" s="1" t="s">
        <v>4289</v>
      </c>
      <c r="Z2596" s="1" t="s">
        <v>37</v>
      </c>
    </row>
    <row r="2597" hidden="1">
      <c r="A2597" s="1" t="s">
        <v>7962</v>
      </c>
      <c r="B2597" s="1" t="s">
        <v>617</v>
      </c>
      <c r="C2597" s="1" t="s">
        <v>7963</v>
      </c>
      <c r="D2597" s="1" t="s">
        <v>27</v>
      </c>
      <c r="E2597" s="1" t="s">
        <v>28</v>
      </c>
      <c r="F2597" s="2">
        <v>400000.0</v>
      </c>
      <c r="G2597" s="1" t="s">
        <v>1288</v>
      </c>
      <c r="H2597" s="4">
        <f>IFERROR(__xludf.DUMMYFUNCTION("DATE(INDEX(SPLIT(G2597,""/""),,3),INDEX(SPLIT(G2597,""/""),,2),INDEX(SPLIT(G2597,""/""),,1))"),44707.0)</f>
        <v>44707</v>
      </c>
      <c r="I2597" s="4">
        <v>44600.0</v>
      </c>
      <c r="J2597" s="4">
        <f>IFERROR(__xludf.DUMMYFUNCTION("DATE(INDEX(SPLIT(I2597,""/""),,3),INDEX(SPLIT(I2597,""/""),,2),INDEX(SPLIT(I2597,""/""),,1))"),44775.0)</f>
        <v>44775</v>
      </c>
      <c r="L2597" s="1">
        <v>0.0</v>
      </c>
      <c r="M2597" s="1" t="s">
        <v>1741</v>
      </c>
      <c r="N2597" s="1"/>
      <c r="O2597" s="1" t="s">
        <v>30</v>
      </c>
      <c r="P2597" s="1" t="s">
        <v>31</v>
      </c>
      <c r="Q2597" s="1" t="s">
        <v>32</v>
      </c>
      <c r="R2597" s="1" t="s">
        <v>32</v>
      </c>
      <c r="S2597" s="1" t="s">
        <v>33</v>
      </c>
      <c r="T2597" s="1" t="s">
        <v>34</v>
      </c>
      <c r="U2597" s="1">
        <v>1.00645852E8</v>
      </c>
      <c r="X2597" s="1" t="s">
        <v>81</v>
      </c>
      <c r="Y2597" s="1" t="s">
        <v>1741</v>
      </c>
      <c r="Z2597" s="1" t="s">
        <v>37</v>
      </c>
    </row>
    <row r="2598" hidden="1">
      <c r="A2598" s="1" t="s">
        <v>7964</v>
      </c>
      <c r="B2598" s="1" t="s">
        <v>1634</v>
      </c>
      <c r="C2598" s="1" t="s">
        <v>7965</v>
      </c>
      <c r="D2598" s="1" t="s">
        <v>27</v>
      </c>
      <c r="E2598" s="1" t="s">
        <v>28</v>
      </c>
      <c r="F2598" s="2">
        <v>400000.0</v>
      </c>
      <c r="G2598" s="4">
        <v>44420.0</v>
      </c>
      <c r="H2598" s="4">
        <f>IFERROR(__xludf.DUMMYFUNCTION("DATE(INDEX(SPLIT(G2598,""/""),,3),INDEX(SPLIT(G2598,""/""),,2),INDEX(SPLIT(G2598,""/""),,1))"),44538.0)</f>
        <v>44538</v>
      </c>
      <c r="I2598" s="4">
        <v>44693.0</v>
      </c>
      <c r="J2598" s="4">
        <f>IFERROR(__xludf.DUMMYFUNCTION("DATE(INDEX(SPLIT(I2598,""/""),,3),INDEX(SPLIT(I2598,""/""),,2),INDEX(SPLIT(I2598,""/""),,1))"),44900.0)</f>
        <v>44900</v>
      </c>
      <c r="L2598" s="1">
        <v>0.0</v>
      </c>
      <c r="M2598" s="1" t="s">
        <v>1514</v>
      </c>
      <c r="N2598" s="1"/>
      <c r="O2598" s="1" t="s">
        <v>30</v>
      </c>
      <c r="P2598" s="1" t="s">
        <v>31</v>
      </c>
      <c r="Q2598" s="1" t="s">
        <v>71</v>
      </c>
      <c r="R2598" s="1" t="s">
        <v>71</v>
      </c>
      <c r="S2598" s="1" t="s">
        <v>72</v>
      </c>
      <c r="T2598" s="1" t="s">
        <v>615</v>
      </c>
      <c r="U2598" s="1">
        <v>1.006324E8</v>
      </c>
      <c r="X2598" s="1" t="s">
        <v>490</v>
      </c>
      <c r="Y2598" s="1" t="s">
        <v>899</v>
      </c>
      <c r="Z2598" s="1" t="s">
        <v>37</v>
      </c>
    </row>
    <row r="2599" hidden="1">
      <c r="A2599" s="1" t="s">
        <v>7966</v>
      </c>
      <c r="B2599" s="1" t="s">
        <v>3494</v>
      </c>
      <c r="C2599" s="1" t="s">
        <v>7967</v>
      </c>
      <c r="D2599" s="1" t="s">
        <v>122</v>
      </c>
      <c r="E2599" s="1" t="s">
        <v>28</v>
      </c>
      <c r="F2599" s="2">
        <v>400000.0</v>
      </c>
      <c r="G2599" s="1" t="s">
        <v>4047</v>
      </c>
      <c r="H2599" s="4">
        <f>IFERROR(__xludf.DUMMYFUNCTION("DATE(INDEX(SPLIT(G2599,""/""),,3),INDEX(SPLIT(G2599,""/""),,2),INDEX(SPLIT(G2599,""/""),,1))"),44580.0)</f>
        <v>44580</v>
      </c>
      <c r="I2599" s="1" t="s">
        <v>109</v>
      </c>
      <c r="J2599" s="4">
        <f>IFERROR(__xludf.DUMMYFUNCTION("DATE(INDEX(SPLIT(I2599,""/""),,3),INDEX(SPLIT(I2599,""/""),,2),INDEX(SPLIT(I2599,""/""),,1))"),44834.0)</f>
        <v>44834</v>
      </c>
      <c r="L2599" s="1">
        <v>0.0</v>
      </c>
      <c r="M2599" s="1" t="s">
        <v>7968</v>
      </c>
      <c r="N2599" s="1"/>
      <c r="O2599" s="1" t="s">
        <v>30</v>
      </c>
      <c r="P2599" s="1" t="s">
        <v>31</v>
      </c>
      <c r="Q2599" s="1" t="s">
        <v>157</v>
      </c>
      <c r="R2599" s="1" t="s">
        <v>157</v>
      </c>
      <c r="S2599" s="1" t="s">
        <v>158</v>
      </c>
      <c r="U2599" s="1">
        <v>1.00653494E8</v>
      </c>
      <c r="X2599" s="1" t="s">
        <v>254</v>
      </c>
      <c r="Y2599" s="1" t="s">
        <v>7968</v>
      </c>
      <c r="Z2599" s="1" t="s">
        <v>527</v>
      </c>
    </row>
    <row r="2600" hidden="1">
      <c r="A2600" s="1" t="s">
        <v>7969</v>
      </c>
      <c r="B2600" s="1" t="s">
        <v>1463</v>
      </c>
      <c r="C2600" s="1" t="s">
        <v>7970</v>
      </c>
      <c r="D2600" s="1" t="s">
        <v>27</v>
      </c>
      <c r="E2600" s="1" t="s">
        <v>28</v>
      </c>
      <c r="F2600" s="2">
        <v>400000.0</v>
      </c>
      <c r="G2600" s="1" t="s">
        <v>93</v>
      </c>
      <c r="H2600" s="4">
        <f>IFERROR(__xludf.DUMMYFUNCTION("DATE(INDEX(SPLIT(G2600,""/""),,3),INDEX(SPLIT(G2600,""/""),,2),INDEX(SPLIT(G2600,""/""),,1))"),44671.0)</f>
        <v>44671</v>
      </c>
      <c r="I2600" s="1" t="s">
        <v>360</v>
      </c>
      <c r="J2600" s="4">
        <f>IFERROR(__xludf.DUMMYFUNCTION("DATE(INDEX(SPLIT(I2600,""/""),,3),INDEX(SPLIT(I2600,""/""),,2),INDEX(SPLIT(I2600,""/""),,1))"),44895.0)</f>
        <v>44895</v>
      </c>
      <c r="L2600" s="1">
        <v>0.0</v>
      </c>
      <c r="M2600" s="1" t="s">
        <v>978</v>
      </c>
      <c r="N2600" s="1"/>
      <c r="O2600" s="1" t="s">
        <v>30</v>
      </c>
      <c r="P2600" s="1" t="s">
        <v>31</v>
      </c>
      <c r="Q2600" s="1" t="s">
        <v>235</v>
      </c>
      <c r="R2600" s="1" t="s">
        <v>235</v>
      </c>
      <c r="S2600" s="1" t="s">
        <v>236</v>
      </c>
      <c r="T2600" s="1" t="s">
        <v>438</v>
      </c>
      <c r="U2600" s="1">
        <v>1.00608243E8</v>
      </c>
      <c r="X2600" s="1" t="s">
        <v>88</v>
      </c>
      <c r="Y2600" s="1" t="s">
        <v>979</v>
      </c>
      <c r="Z2600" s="1" t="s">
        <v>206</v>
      </c>
    </row>
    <row r="2601" hidden="1">
      <c r="A2601" s="1" t="s">
        <v>7971</v>
      </c>
      <c r="B2601" s="1" t="s">
        <v>7972</v>
      </c>
      <c r="C2601" s="1" t="s">
        <v>7973</v>
      </c>
      <c r="D2601" s="1" t="s">
        <v>27</v>
      </c>
      <c r="E2601" s="1" t="s">
        <v>28</v>
      </c>
      <c r="F2601" s="2">
        <v>400000.0</v>
      </c>
      <c r="G2601" s="4">
        <v>44596.0</v>
      </c>
      <c r="H2601" s="4">
        <f>IFERROR(__xludf.DUMMYFUNCTION("DATE(INDEX(SPLIT(G2601,""/""),,3),INDEX(SPLIT(G2601,""/""),,2),INDEX(SPLIT(G2601,""/""),,1))"),44653.0)</f>
        <v>44653</v>
      </c>
      <c r="I2601" s="1" t="s">
        <v>130</v>
      </c>
      <c r="J2601" s="4">
        <f>IFERROR(__xludf.DUMMYFUNCTION("DATE(INDEX(SPLIT(I2601,""/""),,3),INDEX(SPLIT(I2601,""/""),,2),INDEX(SPLIT(I2601,""/""),,1))"),44804.0)</f>
        <v>44804</v>
      </c>
      <c r="L2601" s="1">
        <v>0.0</v>
      </c>
      <c r="M2601" s="1" t="s">
        <v>3159</v>
      </c>
      <c r="N2601" s="1"/>
      <c r="O2601" s="1" t="s">
        <v>30</v>
      </c>
      <c r="P2601" s="1" t="s">
        <v>31</v>
      </c>
      <c r="Q2601" s="1" t="s">
        <v>95</v>
      </c>
      <c r="R2601" s="1" t="s">
        <v>95</v>
      </c>
      <c r="S2601" s="1" t="s">
        <v>96</v>
      </c>
      <c r="U2601" s="1">
        <v>1.00627256E8</v>
      </c>
      <c r="X2601" s="1" t="s">
        <v>46</v>
      </c>
      <c r="Y2601" s="1" t="s">
        <v>3159</v>
      </c>
      <c r="Z2601" s="1" t="s">
        <v>527</v>
      </c>
    </row>
    <row r="2602" hidden="1">
      <c r="A2602" s="1" t="s">
        <v>7974</v>
      </c>
      <c r="B2602" s="1" t="s">
        <v>7975</v>
      </c>
      <c r="C2602" s="1" t="s">
        <v>7976</v>
      </c>
      <c r="D2602" s="1" t="s">
        <v>78</v>
      </c>
      <c r="E2602" s="1" t="s">
        <v>28</v>
      </c>
      <c r="F2602" s="2">
        <v>400000.0</v>
      </c>
      <c r="G2602" s="1" t="s">
        <v>4133</v>
      </c>
      <c r="H2602" s="4">
        <f>IFERROR(__xludf.DUMMYFUNCTION("DATE(INDEX(SPLIT(G2602,""/""),,3),INDEX(SPLIT(G2602,""/""),,2),INDEX(SPLIT(G2602,""/""),,1))"),44495.0)</f>
        <v>44495</v>
      </c>
      <c r="I2602" s="4">
        <v>44573.0</v>
      </c>
      <c r="J2602" s="4">
        <f>IFERROR(__xludf.DUMMYFUNCTION("DATE(INDEX(SPLIT(I2602,""/""),,3),INDEX(SPLIT(I2602,""/""),,2),INDEX(SPLIT(I2602,""/""),,1))"),44896.0)</f>
        <v>44896</v>
      </c>
      <c r="L2602" s="1">
        <v>0.0</v>
      </c>
      <c r="M2602" s="1" t="s">
        <v>1072</v>
      </c>
      <c r="N2602" s="1"/>
      <c r="O2602" s="1" t="s">
        <v>30</v>
      </c>
      <c r="P2602" s="1" t="s">
        <v>31</v>
      </c>
      <c r="Q2602" s="1" t="s">
        <v>157</v>
      </c>
      <c r="R2602" s="1" t="s">
        <v>157</v>
      </c>
      <c r="S2602" s="1" t="s">
        <v>158</v>
      </c>
      <c r="T2602" s="1" t="s">
        <v>571</v>
      </c>
      <c r="U2602" s="1">
        <v>1.00594872E8</v>
      </c>
      <c r="X2602" s="1" t="s">
        <v>305</v>
      </c>
      <c r="Y2602" s="1" t="s">
        <v>1072</v>
      </c>
      <c r="Z2602" s="1" t="s">
        <v>37</v>
      </c>
    </row>
    <row r="2603" hidden="1">
      <c r="A2603" s="1" t="s">
        <v>7977</v>
      </c>
      <c r="B2603" s="1" t="s">
        <v>516</v>
      </c>
      <c r="C2603" s="1" t="s">
        <v>7978</v>
      </c>
      <c r="D2603" s="1" t="s">
        <v>27</v>
      </c>
      <c r="E2603" s="1" t="s">
        <v>28</v>
      </c>
      <c r="F2603" s="2">
        <v>400000.0</v>
      </c>
      <c r="G2603" s="4">
        <v>44598.0</v>
      </c>
      <c r="H2603" s="4">
        <f>IFERROR(__xludf.DUMMYFUNCTION("DATE(INDEX(SPLIT(G2603,""/""),,3),INDEX(SPLIT(G2603,""/""),,2),INDEX(SPLIT(G2603,""/""),,1))"),44714.0)</f>
        <v>44714</v>
      </c>
      <c r="I2603" s="1" t="s">
        <v>130</v>
      </c>
      <c r="J2603" s="4">
        <f>IFERROR(__xludf.DUMMYFUNCTION("DATE(INDEX(SPLIT(I2603,""/""),,3),INDEX(SPLIT(I2603,""/""),,2),INDEX(SPLIT(I2603,""/""),,1))"),44804.0)</f>
        <v>44804</v>
      </c>
      <c r="L2603" s="1">
        <v>0.0</v>
      </c>
      <c r="M2603" s="1" t="s">
        <v>5708</v>
      </c>
      <c r="N2603" s="1"/>
      <c r="O2603" s="1" t="s">
        <v>30</v>
      </c>
      <c r="P2603" s="1" t="s">
        <v>31</v>
      </c>
      <c r="Q2603" s="1" t="s">
        <v>71</v>
      </c>
      <c r="R2603" s="1" t="s">
        <v>71</v>
      </c>
      <c r="S2603" s="1" t="s">
        <v>72</v>
      </c>
      <c r="T2603" s="1" t="s">
        <v>136</v>
      </c>
      <c r="U2603" s="1">
        <v>1.00611377E8</v>
      </c>
      <c r="X2603" s="1" t="s">
        <v>74</v>
      </c>
      <c r="Y2603" s="1" t="s">
        <v>5708</v>
      </c>
      <c r="Z2603" s="1" t="s">
        <v>37</v>
      </c>
    </row>
    <row r="2604" hidden="1">
      <c r="A2604" s="1" t="s">
        <v>7979</v>
      </c>
      <c r="B2604" s="1" t="s">
        <v>1831</v>
      </c>
      <c r="C2604" s="1" t="s">
        <v>7980</v>
      </c>
      <c r="D2604" s="1" t="s">
        <v>122</v>
      </c>
      <c r="E2604" s="1" t="s">
        <v>28</v>
      </c>
      <c r="F2604" s="2">
        <v>400000.0</v>
      </c>
      <c r="G2604" s="4">
        <v>44749.0</v>
      </c>
      <c r="H2604" s="4">
        <f>IFERROR(__xludf.DUMMYFUNCTION("DATE(INDEX(SPLIT(G2604,""/""),,3),INDEX(SPLIT(G2604,""/""),,2),INDEX(SPLIT(G2604,""/""),,1))"),44749.0)</f>
        <v>44749</v>
      </c>
      <c r="I2604" s="4">
        <v>44690.0</v>
      </c>
      <c r="J2604" s="4">
        <f>IFERROR(__xludf.DUMMYFUNCTION("DATE(INDEX(SPLIT(I2604,""/""),,3),INDEX(SPLIT(I2604,""/""),,2),INDEX(SPLIT(I2604,""/""),,1))"),44809.0)</f>
        <v>44809</v>
      </c>
      <c r="L2604" s="1">
        <v>0.0</v>
      </c>
      <c r="M2604" s="1" t="s">
        <v>819</v>
      </c>
      <c r="N2604" s="1"/>
      <c r="O2604" s="1" t="s">
        <v>30</v>
      </c>
      <c r="P2604" s="1" t="s">
        <v>31</v>
      </c>
      <c r="Q2604" s="1" t="s">
        <v>53</v>
      </c>
      <c r="R2604" s="1" t="s">
        <v>53</v>
      </c>
      <c r="S2604" s="1" t="s">
        <v>54</v>
      </c>
      <c r="T2604" s="1" t="s">
        <v>634</v>
      </c>
      <c r="U2604" s="1">
        <v>1.00661738E8</v>
      </c>
      <c r="X2604" s="1" t="s">
        <v>490</v>
      </c>
      <c r="Y2604" s="1" t="s">
        <v>3788</v>
      </c>
      <c r="Z2604" s="1" t="s">
        <v>37</v>
      </c>
    </row>
    <row r="2605" hidden="1">
      <c r="A2605" s="1" t="s">
        <v>7981</v>
      </c>
      <c r="B2605" s="1" t="s">
        <v>1371</v>
      </c>
      <c r="C2605" s="1" t="s">
        <v>7982</v>
      </c>
      <c r="D2605" s="1" t="s">
        <v>122</v>
      </c>
      <c r="E2605" s="1" t="s">
        <v>28</v>
      </c>
      <c r="F2605" s="2">
        <v>400000.0</v>
      </c>
      <c r="G2605" s="4">
        <v>44451.0</v>
      </c>
      <c r="H2605" s="4">
        <f>IFERROR(__xludf.DUMMYFUNCTION("DATE(INDEX(SPLIT(G2605,""/""),,3),INDEX(SPLIT(G2605,""/""),,2),INDEX(SPLIT(G2605,""/""),,1))"),44539.0)</f>
        <v>44539</v>
      </c>
      <c r="I2605" s="1" t="s">
        <v>360</v>
      </c>
      <c r="J2605" s="4">
        <f>IFERROR(__xludf.DUMMYFUNCTION("DATE(INDEX(SPLIT(I2605,""/""),,3),INDEX(SPLIT(I2605,""/""),,2),INDEX(SPLIT(I2605,""/""),,1))"),44895.0)</f>
        <v>44895</v>
      </c>
      <c r="L2605" s="1">
        <v>0.0</v>
      </c>
      <c r="M2605" s="1" t="s">
        <v>787</v>
      </c>
      <c r="N2605" s="1"/>
      <c r="O2605" s="1" t="s">
        <v>30</v>
      </c>
      <c r="P2605" s="1" t="s">
        <v>31</v>
      </c>
      <c r="Q2605" s="1" t="s">
        <v>53</v>
      </c>
      <c r="R2605" s="1" t="s">
        <v>53</v>
      </c>
      <c r="S2605" s="1" t="s">
        <v>54</v>
      </c>
      <c r="T2605" s="1" t="s">
        <v>197</v>
      </c>
      <c r="U2605" s="1">
        <v>1.00610205E8</v>
      </c>
      <c r="X2605" s="1" t="s">
        <v>63</v>
      </c>
      <c r="Y2605" s="1" t="s">
        <v>4965</v>
      </c>
      <c r="Z2605" s="1" t="s">
        <v>37</v>
      </c>
    </row>
    <row r="2606">
      <c r="A2606" s="1" t="s">
        <v>7983</v>
      </c>
      <c r="B2606" s="1" t="s">
        <v>7984</v>
      </c>
      <c r="C2606" s="1" t="s">
        <v>7985</v>
      </c>
      <c r="D2606" s="1" t="s">
        <v>78</v>
      </c>
      <c r="E2606" s="1" t="s">
        <v>28</v>
      </c>
      <c r="F2606" s="2">
        <v>400000.0</v>
      </c>
      <c r="G2606" s="4">
        <v>44568.0</v>
      </c>
      <c r="H2606" s="4">
        <f>IFERROR(__xludf.DUMMYFUNCTION("DATE(INDEX(SPLIT(G2606,""/""),,3),INDEX(SPLIT(G2606,""/""),,2),INDEX(SPLIT(G2606,""/""),,1))"),44743.0)</f>
        <v>44743</v>
      </c>
      <c r="I2606" s="1" t="s">
        <v>69</v>
      </c>
      <c r="J2606" s="4">
        <f>IFERROR(__xludf.DUMMYFUNCTION("DATE(INDEX(SPLIT(I2606,""/""),,3),INDEX(SPLIT(I2606,""/""),,2),INDEX(SPLIT(I2606,""/""),,1))"),44773.0)</f>
        <v>44773</v>
      </c>
      <c r="L2606" s="1">
        <v>0.0</v>
      </c>
      <c r="M2606" s="1" t="s">
        <v>1443</v>
      </c>
      <c r="N2606" s="1"/>
      <c r="O2606" s="1" t="s">
        <v>30</v>
      </c>
      <c r="P2606" s="1" t="s">
        <v>31</v>
      </c>
      <c r="Q2606" s="1" t="s">
        <v>53</v>
      </c>
      <c r="R2606" s="1" t="s">
        <v>53</v>
      </c>
      <c r="S2606" s="1" t="s">
        <v>54</v>
      </c>
      <c r="U2606" s="1">
        <v>1.0059033E8</v>
      </c>
      <c r="X2606" s="1" t="s">
        <v>117</v>
      </c>
      <c r="Y2606" s="1" t="s">
        <v>7986</v>
      </c>
      <c r="Z2606" s="1" t="s">
        <v>37</v>
      </c>
    </row>
    <row r="2607" hidden="1">
      <c r="A2607" s="1" t="s">
        <v>7987</v>
      </c>
      <c r="B2607" s="1" t="s">
        <v>7988</v>
      </c>
      <c r="C2607" s="1" t="s">
        <v>7989</v>
      </c>
      <c r="D2607" s="1" t="s">
        <v>78</v>
      </c>
      <c r="E2607" s="1" t="s">
        <v>28</v>
      </c>
      <c r="F2607" s="2">
        <v>400000.0</v>
      </c>
      <c r="G2607" s="1" t="s">
        <v>1244</v>
      </c>
      <c r="H2607" s="4">
        <f>IFERROR(__xludf.DUMMYFUNCTION("DATE(INDEX(SPLIT(G2607,""/""),,3),INDEX(SPLIT(G2607,""/""),,2),INDEX(SPLIT(G2607,""/""),,1))"),44742.0)</f>
        <v>44742</v>
      </c>
      <c r="I2607" s="4">
        <v>44569.0</v>
      </c>
      <c r="J2607" s="4">
        <f>IFERROR(__xludf.DUMMYFUNCTION("DATE(INDEX(SPLIT(I2607,""/""),,3),INDEX(SPLIT(I2607,""/""),,2),INDEX(SPLIT(I2607,""/""),,1))"),44774.0)</f>
        <v>44774</v>
      </c>
      <c r="L2607" s="1">
        <v>0.0</v>
      </c>
      <c r="M2607" s="1" t="s">
        <v>1614</v>
      </c>
      <c r="N2607" s="1"/>
      <c r="O2607" s="1" t="s">
        <v>30</v>
      </c>
      <c r="P2607" s="1" t="s">
        <v>31</v>
      </c>
      <c r="Q2607" s="1" t="s">
        <v>32</v>
      </c>
      <c r="R2607" s="1" t="s">
        <v>32</v>
      </c>
      <c r="S2607" s="1" t="s">
        <v>33</v>
      </c>
      <c r="U2607" s="1">
        <v>1.00587799E8</v>
      </c>
      <c r="X2607" s="1" t="s">
        <v>117</v>
      </c>
      <c r="Y2607" s="1" t="s">
        <v>1614</v>
      </c>
      <c r="Z2607" s="1" t="s">
        <v>37</v>
      </c>
    </row>
    <row r="2608" hidden="1">
      <c r="A2608" s="1" t="s">
        <v>7990</v>
      </c>
      <c r="B2608" s="1" t="s">
        <v>5483</v>
      </c>
      <c r="C2608" s="1" t="s">
        <v>7991</v>
      </c>
      <c r="D2608" s="1" t="s">
        <v>27</v>
      </c>
      <c r="E2608" s="1" t="s">
        <v>28</v>
      </c>
      <c r="F2608" s="2">
        <v>400000.0</v>
      </c>
      <c r="G2608" s="4">
        <v>44748.0</v>
      </c>
      <c r="H2608" s="4">
        <f>IFERROR(__xludf.DUMMYFUNCTION("DATE(INDEX(SPLIT(G2608,""/""),,3),INDEX(SPLIT(G2608,""/""),,2),INDEX(SPLIT(G2608,""/""),,1))"),44719.0)</f>
        <v>44719</v>
      </c>
      <c r="I2608" s="1" t="s">
        <v>109</v>
      </c>
      <c r="J2608" s="4">
        <f>IFERROR(__xludf.DUMMYFUNCTION("DATE(INDEX(SPLIT(I2608,""/""),,3),INDEX(SPLIT(I2608,""/""),,2),INDEX(SPLIT(I2608,""/""),,1))"),44834.0)</f>
        <v>44834</v>
      </c>
      <c r="L2608" s="1">
        <v>0.0</v>
      </c>
      <c r="M2608" s="1" t="s">
        <v>7347</v>
      </c>
      <c r="N2608" s="1"/>
      <c r="O2608" s="1" t="s">
        <v>30</v>
      </c>
      <c r="P2608" s="1" t="s">
        <v>31</v>
      </c>
      <c r="Q2608" s="1" t="s">
        <v>228</v>
      </c>
      <c r="R2608" s="1" t="s">
        <v>228</v>
      </c>
      <c r="S2608" s="1" t="s">
        <v>229</v>
      </c>
      <c r="U2608" s="1">
        <v>1.00613669E8</v>
      </c>
      <c r="X2608" s="1" t="s">
        <v>190</v>
      </c>
      <c r="Y2608" s="1" t="s">
        <v>5485</v>
      </c>
      <c r="Z2608" s="1" t="s">
        <v>527</v>
      </c>
    </row>
    <row r="2609" hidden="1">
      <c r="A2609" s="1" t="s">
        <v>7992</v>
      </c>
      <c r="B2609" s="1" t="s">
        <v>7993</v>
      </c>
      <c r="C2609" s="1" t="s">
        <v>7994</v>
      </c>
      <c r="D2609" s="1" t="s">
        <v>78</v>
      </c>
      <c r="E2609" s="1" t="s">
        <v>28</v>
      </c>
      <c r="F2609" s="2">
        <v>400000.0</v>
      </c>
      <c r="G2609" s="1" t="s">
        <v>1244</v>
      </c>
      <c r="H2609" s="4">
        <f>IFERROR(__xludf.DUMMYFUNCTION("DATE(INDEX(SPLIT(G2609,""/""),,3),INDEX(SPLIT(G2609,""/""),,2),INDEX(SPLIT(G2609,""/""),,1))"),44742.0)</f>
        <v>44742</v>
      </c>
      <c r="I2609" s="1" t="s">
        <v>42</v>
      </c>
      <c r="J2609" s="4">
        <f>IFERROR(__xludf.DUMMYFUNCTION("DATE(INDEX(SPLIT(I2609,""/""),,3),INDEX(SPLIT(I2609,""/""),,2),INDEX(SPLIT(I2609,""/""),,1))"),44926.0)</f>
        <v>44926</v>
      </c>
      <c r="L2609" s="1">
        <v>0.0</v>
      </c>
      <c r="M2609" s="1" t="s">
        <v>4477</v>
      </c>
      <c r="N2609" s="1"/>
      <c r="O2609" s="1" t="s">
        <v>30</v>
      </c>
      <c r="P2609" s="1" t="s">
        <v>31</v>
      </c>
      <c r="Q2609" s="1" t="s">
        <v>228</v>
      </c>
      <c r="R2609" s="1" t="s">
        <v>228</v>
      </c>
      <c r="S2609" s="1" t="s">
        <v>229</v>
      </c>
      <c r="T2609" s="1" t="s">
        <v>513</v>
      </c>
      <c r="U2609" s="1">
        <v>1.00592715E8</v>
      </c>
      <c r="X2609" s="1" t="s">
        <v>98</v>
      </c>
      <c r="Y2609" s="1" t="s">
        <v>4477</v>
      </c>
      <c r="Z2609" s="1" t="s">
        <v>37</v>
      </c>
    </row>
    <row r="2610" hidden="1">
      <c r="A2610" s="1" t="s">
        <v>7995</v>
      </c>
      <c r="B2610" s="1" t="s">
        <v>7996</v>
      </c>
      <c r="C2610" s="1" t="s">
        <v>7997</v>
      </c>
      <c r="D2610" s="1" t="s">
        <v>122</v>
      </c>
      <c r="E2610" s="1" t="s">
        <v>28</v>
      </c>
      <c r="F2610" s="2">
        <v>400000.0</v>
      </c>
      <c r="G2610" s="1" t="s">
        <v>586</v>
      </c>
      <c r="H2610" s="4">
        <f>IFERROR(__xludf.DUMMYFUNCTION("DATE(INDEX(SPLIT(G2610,""/""),,3),INDEX(SPLIT(G2610,""/""),,2),INDEX(SPLIT(G2610,""/""),,1))"),44726.0)</f>
        <v>44726</v>
      </c>
      <c r="I2610" s="1" t="s">
        <v>130</v>
      </c>
      <c r="J2610" s="4">
        <f>IFERROR(__xludf.DUMMYFUNCTION("DATE(INDEX(SPLIT(I2610,""/""),,3),INDEX(SPLIT(I2610,""/""),,2),INDEX(SPLIT(I2610,""/""),,1))"),44804.0)</f>
        <v>44804</v>
      </c>
      <c r="L2610" s="1">
        <v>0.0</v>
      </c>
      <c r="M2610" s="1" t="s">
        <v>7998</v>
      </c>
      <c r="N2610" s="1"/>
      <c r="O2610" s="1" t="s">
        <v>30</v>
      </c>
      <c r="P2610" s="1" t="s">
        <v>31</v>
      </c>
      <c r="Q2610" s="1" t="s">
        <v>157</v>
      </c>
      <c r="R2610" s="1" t="s">
        <v>157</v>
      </c>
      <c r="S2610" s="1" t="s">
        <v>158</v>
      </c>
      <c r="U2610" s="1">
        <v>1.01237665E8</v>
      </c>
      <c r="X2610" s="1" t="s">
        <v>98</v>
      </c>
      <c r="Y2610" s="1" t="s">
        <v>7998</v>
      </c>
      <c r="Z2610" s="1" t="s">
        <v>37</v>
      </c>
    </row>
    <row r="2611">
      <c r="A2611" s="1" t="s">
        <v>7999</v>
      </c>
      <c r="B2611" s="1" t="s">
        <v>7861</v>
      </c>
      <c r="C2611" s="1" t="s">
        <v>8000</v>
      </c>
      <c r="D2611" s="1" t="s">
        <v>122</v>
      </c>
      <c r="E2611" s="1" t="s">
        <v>28</v>
      </c>
      <c r="F2611" s="2">
        <v>400000.0</v>
      </c>
      <c r="G2611" s="1" t="s">
        <v>2025</v>
      </c>
      <c r="H2611" s="4">
        <f>IFERROR(__xludf.DUMMYFUNCTION("DATE(INDEX(SPLIT(G2611,""/""),,3),INDEX(SPLIT(G2611,""/""),,2),INDEX(SPLIT(G2611,""/""),,1))"),44664.0)</f>
        <v>44664</v>
      </c>
      <c r="I2611" s="4">
        <v>44872.0</v>
      </c>
      <c r="J2611" s="4">
        <f>IFERROR(__xludf.DUMMYFUNCTION("DATE(INDEX(SPLIT(I2611,""/""),,3),INDEX(SPLIT(I2611,""/""),,2),INDEX(SPLIT(I2611,""/""),,1))"),44753.0)</f>
        <v>44753</v>
      </c>
      <c r="L2611" s="1">
        <v>0.0</v>
      </c>
      <c r="M2611" s="1" t="s">
        <v>2582</v>
      </c>
      <c r="N2611" s="1"/>
      <c r="O2611" s="1" t="s">
        <v>30</v>
      </c>
      <c r="P2611" s="1" t="s">
        <v>31</v>
      </c>
      <c r="Q2611" s="1" t="s">
        <v>157</v>
      </c>
      <c r="R2611" s="1" t="s">
        <v>157</v>
      </c>
      <c r="S2611" s="1" t="s">
        <v>158</v>
      </c>
      <c r="T2611" s="1" t="s">
        <v>442</v>
      </c>
      <c r="U2611" s="1">
        <v>1.00590772E8</v>
      </c>
      <c r="X2611" s="1" t="s">
        <v>46</v>
      </c>
      <c r="Y2611" s="1" t="s">
        <v>8001</v>
      </c>
      <c r="Z2611" s="1" t="s">
        <v>37</v>
      </c>
    </row>
    <row r="2612" hidden="1">
      <c r="A2612" s="1" t="s">
        <v>8002</v>
      </c>
      <c r="B2612" s="1" t="s">
        <v>2159</v>
      </c>
      <c r="C2612" s="1" t="s">
        <v>8003</v>
      </c>
      <c r="D2612" s="1" t="s">
        <v>78</v>
      </c>
      <c r="E2612" s="1" t="s">
        <v>28</v>
      </c>
      <c r="F2612" s="2">
        <v>400000.0</v>
      </c>
      <c r="G2612" s="4">
        <v>44900.0</v>
      </c>
      <c r="H2612" s="4">
        <f>IFERROR(__xludf.DUMMYFUNCTION("DATE(INDEX(SPLIT(G2612,""/""),,3),INDEX(SPLIT(G2612,""/""),,2),INDEX(SPLIT(G2612,""/""),,1))"),44693.0)</f>
        <v>44693</v>
      </c>
      <c r="I2612" s="1" t="s">
        <v>317</v>
      </c>
      <c r="J2612" s="4">
        <f>IFERROR(__xludf.DUMMYFUNCTION("DATE(INDEX(SPLIT(I2612,""/""),,3),INDEX(SPLIT(I2612,""/""),,2),INDEX(SPLIT(I2612,""/""),,1))"),44862.0)</f>
        <v>44862</v>
      </c>
      <c r="L2612" s="1">
        <v>0.0</v>
      </c>
      <c r="M2612" s="1" t="s">
        <v>7296</v>
      </c>
      <c r="N2612" s="1"/>
      <c r="O2612" s="1" t="s">
        <v>30</v>
      </c>
      <c r="P2612" s="1" t="s">
        <v>31</v>
      </c>
      <c r="Q2612" s="1" t="s">
        <v>71</v>
      </c>
      <c r="R2612" s="1" t="s">
        <v>71</v>
      </c>
      <c r="S2612" s="1" t="s">
        <v>72</v>
      </c>
      <c r="T2612" s="1" t="s">
        <v>73</v>
      </c>
      <c r="U2612" s="1">
        <v>1.00594243E8</v>
      </c>
      <c r="X2612" s="1" t="s">
        <v>74</v>
      </c>
      <c r="Y2612" s="1" t="s">
        <v>7296</v>
      </c>
      <c r="Z2612" s="1" t="s">
        <v>206</v>
      </c>
    </row>
    <row r="2613" hidden="1">
      <c r="A2613" s="1" t="s">
        <v>8004</v>
      </c>
      <c r="B2613" s="1" t="s">
        <v>2159</v>
      </c>
      <c r="C2613" s="1" t="s">
        <v>8005</v>
      </c>
      <c r="D2613" s="1" t="s">
        <v>122</v>
      </c>
      <c r="E2613" s="1" t="s">
        <v>28</v>
      </c>
      <c r="F2613" s="2">
        <v>400000.0</v>
      </c>
      <c r="G2613" s="4">
        <v>44389.0</v>
      </c>
      <c r="H2613" s="4">
        <f>IFERROR(__xludf.DUMMYFUNCTION("DATE(INDEX(SPLIT(G2613,""/""),,3),INDEX(SPLIT(G2613,""/""),,2),INDEX(SPLIT(G2613,""/""),,1))"),44537.0)</f>
        <v>44537</v>
      </c>
      <c r="I2613" s="1" t="s">
        <v>625</v>
      </c>
      <c r="J2613" s="4">
        <f>IFERROR(__xludf.DUMMYFUNCTION("DATE(INDEX(SPLIT(I2613,""/""),,3),INDEX(SPLIT(I2613,""/""),,2),INDEX(SPLIT(I2613,""/""),,1))"),44848.0)</f>
        <v>44848</v>
      </c>
      <c r="L2613" s="1">
        <v>0.0</v>
      </c>
      <c r="M2613" s="1" t="s">
        <v>318</v>
      </c>
      <c r="N2613" s="1"/>
      <c r="O2613" s="1" t="s">
        <v>30</v>
      </c>
      <c r="P2613" s="1" t="s">
        <v>31</v>
      </c>
      <c r="Q2613" s="1" t="s">
        <v>71</v>
      </c>
      <c r="R2613" s="1" t="s">
        <v>71</v>
      </c>
      <c r="S2613" s="1" t="s">
        <v>72</v>
      </c>
      <c r="T2613" s="1" t="s">
        <v>73</v>
      </c>
      <c r="U2613" s="1">
        <v>1.00654705E8</v>
      </c>
      <c r="X2613" s="1" t="s">
        <v>74</v>
      </c>
      <c r="Y2613" s="1" t="s">
        <v>318</v>
      </c>
      <c r="Z2613" s="1" t="s">
        <v>37</v>
      </c>
    </row>
    <row r="2614" hidden="1">
      <c r="A2614" s="1" t="s">
        <v>8006</v>
      </c>
      <c r="B2614" s="1" t="s">
        <v>756</v>
      </c>
      <c r="C2614" s="1" t="s">
        <v>8007</v>
      </c>
      <c r="D2614" s="1" t="s">
        <v>122</v>
      </c>
      <c r="E2614" s="1" t="s">
        <v>28</v>
      </c>
      <c r="F2614" s="2">
        <v>400000.0</v>
      </c>
      <c r="G2614" s="1" t="s">
        <v>472</v>
      </c>
      <c r="H2614" s="4">
        <f>IFERROR(__xludf.DUMMYFUNCTION("DATE(INDEX(SPLIT(G2614,""/""),,3),INDEX(SPLIT(G2614,""/""),,2),INDEX(SPLIT(G2614,""/""),,1))"),44760.0)</f>
        <v>44760</v>
      </c>
      <c r="I2614" s="4">
        <v>44903.0</v>
      </c>
      <c r="J2614" s="4">
        <f>IFERROR(__xludf.DUMMYFUNCTION("DATE(INDEX(SPLIT(I2614,""/""),,3),INDEX(SPLIT(I2614,""/""),,2),INDEX(SPLIT(I2614,""/""),,1))"),44785.0)</f>
        <v>44785</v>
      </c>
      <c r="L2614" s="1">
        <v>0.0</v>
      </c>
      <c r="M2614" s="1" t="s">
        <v>459</v>
      </c>
      <c r="N2614" s="1"/>
      <c r="O2614" s="1" t="s">
        <v>30</v>
      </c>
      <c r="P2614" s="1" t="s">
        <v>31</v>
      </c>
      <c r="Q2614" s="1" t="s">
        <v>53</v>
      </c>
      <c r="R2614" s="1" t="s">
        <v>53</v>
      </c>
      <c r="S2614" s="1" t="s">
        <v>54</v>
      </c>
      <c r="T2614" s="1" t="s">
        <v>87</v>
      </c>
      <c r="U2614" s="1">
        <v>1.00653756E8</v>
      </c>
      <c r="X2614" s="1" t="s">
        <v>88</v>
      </c>
      <c r="Y2614" s="1" t="s">
        <v>7508</v>
      </c>
      <c r="Z2614" s="1" t="s">
        <v>37</v>
      </c>
    </row>
    <row r="2615" hidden="1">
      <c r="A2615" s="1" t="s">
        <v>8008</v>
      </c>
      <c r="B2615" s="1" t="s">
        <v>8009</v>
      </c>
      <c r="C2615" s="1" t="s">
        <v>8010</v>
      </c>
      <c r="D2615" s="1" t="s">
        <v>122</v>
      </c>
      <c r="E2615" s="1" t="s">
        <v>28</v>
      </c>
      <c r="F2615" s="2">
        <v>400000.0</v>
      </c>
      <c r="G2615" s="1" t="s">
        <v>935</v>
      </c>
      <c r="H2615" s="4">
        <f>IFERROR(__xludf.DUMMYFUNCTION("DATE(INDEX(SPLIT(G2615,""/""),,3),INDEX(SPLIT(G2615,""/""),,2),INDEX(SPLIT(G2615,""/""),,1))"),44764.0)</f>
        <v>44764</v>
      </c>
      <c r="I2615" s="1" t="s">
        <v>85</v>
      </c>
      <c r="J2615" s="4">
        <f>IFERROR(__xludf.DUMMYFUNCTION("DATE(INDEX(SPLIT(I2615,""/""),,3),INDEX(SPLIT(I2615,""/""),,2),INDEX(SPLIT(I2615,""/""),,1))"),44799.0)</f>
        <v>44799</v>
      </c>
      <c r="L2615" s="1">
        <v>0.0</v>
      </c>
      <c r="M2615" s="1" t="s">
        <v>1614</v>
      </c>
      <c r="N2615" s="1"/>
      <c r="O2615" s="1" t="s">
        <v>30</v>
      </c>
      <c r="P2615" s="1" t="s">
        <v>31</v>
      </c>
      <c r="Q2615" s="1" t="s">
        <v>32</v>
      </c>
      <c r="R2615" s="1" t="s">
        <v>32</v>
      </c>
      <c r="S2615" s="1" t="s">
        <v>33</v>
      </c>
      <c r="U2615" s="1">
        <v>1.00587799E8</v>
      </c>
      <c r="X2615" s="1" t="s">
        <v>98</v>
      </c>
      <c r="Y2615" s="1" t="s">
        <v>3080</v>
      </c>
      <c r="Z2615" s="1" t="s">
        <v>37</v>
      </c>
    </row>
    <row r="2616">
      <c r="A2616" s="1" t="s">
        <v>8011</v>
      </c>
      <c r="B2616" s="1" t="s">
        <v>1257</v>
      </c>
      <c r="C2616" s="1" t="s">
        <v>1261</v>
      </c>
      <c r="D2616" s="1" t="s">
        <v>27</v>
      </c>
      <c r="E2616" s="1" t="s">
        <v>28</v>
      </c>
      <c r="F2616" s="2">
        <v>400000.0</v>
      </c>
      <c r="G2616" s="1" t="s">
        <v>343</v>
      </c>
      <c r="H2616" s="4">
        <f>IFERROR(__xludf.DUMMYFUNCTION("DATE(INDEX(SPLIT(G2616,""/""),,3),INDEX(SPLIT(G2616,""/""),,2),INDEX(SPLIT(G2616,""/""),,1))"),44761.0)</f>
        <v>44761</v>
      </c>
      <c r="I2616" s="1" t="s">
        <v>69</v>
      </c>
      <c r="J2616" s="4">
        <f>IFERROR(__xludf.DUMMYFUNCTION("DATE(INDEX(SPLIT(I2616,""/""),,3),INDEX(SPLIT(I2616,""/""),,2),INDEX(SPLIT(I2616,""/""),,1))"),44773.0)</f>
        <v>44773</v>
      </c>
      <c r="L2616" s="1">
        <v>0.0</v>
      </c>
      <c r="M2616" s="1" t="s">
        <v>1260</v>
      </c>
      <c r="N2616" s="1"/>
      <c r="O2616" s="1" t="s">
        <v>30</v>
      </c>
      <c r="P2616" s="1" t="s">
        <v>31</v>
      </c>
      <c r="Q2616" s="1" t="s">
        <v>228</v>
      </c>
      <c r="R2616" s="1" t="s">
        <v>228</v>
      </c>
      <c r="S2616" s="1" t="s">
        <v>229</v>
      </c>
      <c r="U2616" s="1">
        <v>1.01211068E8</v>
      </c>
      <c r="W2616" s="1" t="s">
        <v>56</v>
      </c>
      <c r="X2616" s="1" t="s">
        <v>81</v>
      </c>
      <c r="Y2616" s="1" t="s">
        <v>8012</v>
      </c>
      <c r="Z2616" s="1" t="s">
        <v>37</v>
      </c>
    </row>
    <row r="2617" hidden="1">
      <c r="A2617" s="1" t="s">
        <v>8013</v>
      </c>
      <c r="B2617" s="1" t="s">
        <v>315</v>
      </c>
      <c r="C2617" s="1" t="s">
        <v>8014</v>
      </c>
      <c r="D2617" s="1" t="s">
        <v>27</v>
      </c>
      <c r="E2617" s="1" t="s">
        <v>28</v>
      </c>
      <c r="F2617" s="2">
        <v>400000.0</v>
      </c>
      <c r="G2617" s="4">
        <v>44239.0</v>
      </c>
      <c r="H2617" s="4">
        <f>IFERROR(__xludf.DUMMYFUNCTION("DATE(INDEX(SPLIT(G2617,""/""),,3),INDEX(SPLIT(G2617,""/""),,2),INDEX(SPLIT(G2617,""/""),,1))"),44532.0)</f>
        <v>44532</v>
      </c>
      <c r="I2617" s="1" t="s">
        <v>317</v>
      </c>
      <c r="J2617" s="4">
        <f>IFERROR(__xludf.DUMMYFUNCTION("DATE(INDEX(SPLIT(I2617,""/""),,3),INDEX(SPLIT(I2617,""/""),,2),INDEX(SPLIT(I2617,""/""),,1))"),44862.0)</f>
        <v>44862</v>
      </c>
      <c r="L2617" s="1">
        <v>0.0</v>
      </c>
      <c r="M2617" s="1" t="s">
        <v>2032</v>
      </c>
      <c r="N2617" s="1"/>
      <c r="O2617" s="1" t="s">
        <v>30</v>
      </c>
      <c r="P2617" s="1" t="s">
        <v>31</v>
      </c>
      <c r="Q2617" s="1" t="s">
        <v>71</v>
      </c>
      <c r="R2617" s="1" t="s">
        <v>71</v>
      </c>
      <c r="S2617" s="1" t="s">
        <v>72</v>
      </c>
      <c r="T2617" s="1" t="s">
        <v>73</v>
      </c>
      <c r="U2617" s="1">
        <v>1.00929557E8</v>
      </c>
      <c r="X2617" s="1" t="s">
        <v>74</v>
      </c>
      <c r="Y2617" s="1" t="s">
        <v>8015</v>
      </c>
      <c r="Z2617" s="1" t="s">
        <v>206</v>
      </c>
    </row>
    <row r="2618" hidden="1">
      <c r="A2618" s="1" t="s">
        <v>8016</v>
      </c>
      <c r="B2618" s="1" t="s">
        <v>1131</v>
      </c>
      <c r="C2618" s="1" t="s">
        <v>8017</v>
      </c>
      <c r="D2618" s="1" t="s">
        <v>122</v>
      </c>
      <c r="E2618" s="1" t="s">
        <v>28</v>
      </c>
      <c r="F2618" s="2">
        <v>400000.0</v>
      </c>
      <c r="G2618" s="4">
        <v>44239.0</v>
      </c>
      <c r="H2618" s="4">
        <f>IFERROR(__xludf.DUMMYFUNCTION("DATE(INDEX(SPLIT(G2618,""/""),,3),INDEX(SPLIT(G2618,""/""),,2),INDEX(SPLIT(G2618,""/""),,1))"),44532.0)</f>
        <v>44532</v>
      </c>
      <c r="I2618" s="1" t="s">
        <v>1361</v>
      </c>
      <c r="J2618" s="4">
        <f>IFERROR(__xludf.DUMMYFUNCTION("DATE(INDEX(SPLIT(I2618,""/""),,3),INDEX(SPLIT(I2618,""/""),,2),INDEX(SPLIT(I2618,""/""),,1))"),44827.0)</f>
        <v>44827</v>
      </c>
      <c r="L2618" s="1">
        <v>0.0</v>
      </c>
      <c r="M2618" s="1" t="s">
        <v>2032</v>
      </c>
      <c r="N2618" s="1"/>
      <c r="O2618" s="1" t="s">
        <v>30</v>
      </c>
      <c r="P2618" s="1" t="s">
        <v>31</v>
      </c>
      <c r="Q2618" s="1" t="s">
        <v>71</v>
      </c>
      <c r="R2618" s="1" t="s">
        <v>71</v>
      </c>
      <c r="S2618" s="1" t="s">
        <v>72</v>
      </c>
      <c r="T2618" s="1" t="s">
        <v>73</v>
      </c>
      <c r="U2618" s="1">
        <v>1.00929557E8</v>
      </c>
      <c r="X2618" s="1" t="s">
        <v>74</v>
      </c>
      <c r="Y2618" s="1" t="s">
        <v>8015</v>
      </c>
      <c r="Z2618" s="1" t="s">
        <v>206</v>
      </c>
    </row>
    <row r="2619" hidden="1">
      <c r="A2619" s="1" t="s">
        <v>8018</v>
      </c>
      <c r="B2619" s="1" t="s">
        <v>8019</v>
      </c>
      <c r="C2619" s="1" t="s">
        <v>8020</v>
      </c>
      <c r="D2619" s="1" t="s">
        <v>78</v>
      </c>
      <c r="E2619" s="1" t="s">
        <v>28</v>
      </c>
      <c r="F2619" s="2">
        <v>400000.0</v>
      </c>
      <c r="G2619" s="1" t="s">
        <v>330</v>
      </c>
      <c r="H2619" s="4">
        <f>IFERROR(__xludf.DUMMYFUNCTION("DATE(INDEX(SPLIT(G2619,""/""),,3),INDEX(SPLIT(G2619,""/""),,2),INDEX(SPLIT(G2619,""/""),,1))"),44728.0)</f>
        <v>44728</v>
      </c>
      <c r="I2619" s="4">
        <v>44689.0</v>
      </c>
      <c r="J2619" s="4">
        <f>IFERROR(__xludf.DUMMYFUNCTION("DATE(INDEX(SPLIT(I2619,""/""),,3),INDEX(SPLIT(I2619,""/""),,2),INDEX(SPLIT(I2619,""/""),,1))"),44778.0)</f>
        <v>44778</v>
      </c>
      <c r="L2619" s="1">
        <v>0.0</v>
      </c>
      <c r="M2619" s="1" t="s">
        <v>180</v>
      </c>
      <c r="N2619" s="1"/>
      <c r="O2619" s="1" t="s">
        <v>30</v>
      </c>
      <c r="P2619" s="1" t="s">
        <v>31</v>
      </c>
      <c r="Q2619" s="1" t="s">
        <v>53</v>
      </c>
      <c r="R2619" s="1" t="s">
        <v>53</v>
      </c>
      <c r="S2619" s="1" t="s">
        <v>54</v>
      </c>
      <c r="U2619" s="1">
        <v>1.00650619E8</v>
      </c>
      <c r="X2619" s="1" t="s">
        <v>74</v>
      </c>
      <c r="Y2619" s="1" t="s">
        <v>8021</v>
      </c>
      <c r="Z2619" s="1" t="s">
        <v>37</v>
      </c>
    </row>
    <row r="2620" hidden="1">
      <c r="A2620" s="1" t="s">
        <v>8022</v>
      </c>
      <c r="B2620" s="1" t="s">
        <v>8023</v>
      </c>
      <c r="C2620" s="1" t="s">
        <v>8024</v>
      </c>
      <c r="D2620" s="1" t="s">
        <v>78</v>
      </c>
      <c r="E2620" s="1" t="s">
        <v>28</v>
      </c>
      <c r="F2620" s="2">
        <v>400000.0</v>
      </c>
      <c r="G2620" s="1" t="s">
        <v>4162</v>
      </c>
      <c r="H2620" s="4">
        <f>IFERROR(__xludf.DUMMYFUNCTION("DATE(INDEX(SPLIT(G2620,""/""),,3),INDEX(SPLIT(G2620,""/""),,2),INDEX(SPLIT(G2620,""/""),,1))"),43813.0)</f>
        <v>43813</v>
      </c>
      <c r="I2620" s="1" t="s">
        <v>42</v>
      </c>
      <c r="J2620" s="4">
        <f>IFERROR(__xludf.DUMMYFUNCTION("DATE(INDEX(SPLIT(I2620,""/""),,3),INDEX(SPLIT(I2620,""/""),,2),INDEX(SPLIT(I2620,""/""),,1))"),44926.0)</f>
        <v>44926</v>
      </c>
      <c r="L2620" s="1">
        <v>0.0</v>
      </c>
      <c r="M2620" s="1" t="s">
        <v>979</v>
      </c>
      <c r="N2620" s="1"/>
      <c r="O2620" s="1" t="s">
        <v>30</v>
      </c>
      <c r="P2620" s="1" t="s">
        <v>31</v>
      </c>
      <c r="Q2620" s="1" t="s">
        <v>235</v>
      </c>
      <c r="R2620" s="1" t="s">
        <v>235</v>
      </c>
      <c r="S2620" s="1" t="s">
        <v>236</v>
      </c>
      <c r="T2620" s="1" t="s">
        <v>438</v>
      </c>
      <c r="U2620" s="1">
        <v>1.00647262E8</v>
      </c>
      <c r="X2620" s="1" t="s">
        <v>88</v>
      </c>
      <c r="Y2620" s="1" t="s">
        <v>1582</v>
      </c>
      <c r="Z2620" s="1" t="s">
        <v>37</v>
      </c>
    </row>
    <row r="2621" hidden="1">
      <c r="A2621" s="1" t="s">
        <v>8025</v>
      </c>
      <c r="B2621" s="1" t="s">
        <v>7889</v>
      </c>
      <c r="C2621" s="1" t="s">
        <v>8026</v>
      </c>
      <c r="D2621" s="1" t="s">
        <v>122</v>
      </c>
      <c r="E2621" s="1" t="s">
        <v>28</v>
      </c>
      <c r="F2621" s="2">
        <v>400000.0</v>
      </c>
      <c r="G2621" s="4">
        <v>44511.0</v>
      </c>
      <c r="H2621" s="4">
        <f>IFERROR(__xludf.DUMMYFUNCTION("DATE(INDEX(SPLIT(G2621,""/""),,3),INDEX(SPLIT(G2621,""/""),,2),INDEX(SPLIT(G2621,""/""),,1))"),44511.0)</f>
        <v>44511</v>
      </c>
      <c r="I2621" s="1" t="s">
        <v>109</v>
      </c>
      <c r="J2621" s="4">
        <f>IFERROR(__xludf.DUMMYFUNCTION("DATE(INDEX(SPLIT(I2621,""/""),,3),INDEX(SPLIT(I2621,""/""),,2),INDEX(SPLIT(I2621,""/""),,1))"),44834.0)</f>
        <v>44834</v>
      </c>
      <c r="L2621" s="1">
        <v>0.0</v>
      </c>
      <c r="M2621" s="1" t="s">
        <v>929</v>
      </c>
      <c r="N2621" s="1"/>
      <c r="O2621" s="1" t="s">
        <v>30</v>
      </c>
      <c r="P2621" s="1" t="s">
        <v>31</v>
      </c>
      <c r="Q2621" s="1" t="s">
        <v>71</v>
      </c>
      <c r="R2621" s="1" t="s">
        <v>71</v>
      </c>
      <c r="S2621" s="1" t="s">
        <v>72</v>
      </c>
      <c r="T2621" s="1" t="s">
        <v>73</v>
      </c>
      <c r="U2621" s="1">
        <v>1.00649698E8</v>
      </c>
      <c r="Y2621" s="1" t="s">
        <v>929</v>
      </c>
      <c r="Z2621" s="1" t="s">
        <v>37</v>
      </c>
    </row>
    <row r="2622" hidden="1">
      <c r="A2622" s="1" t="s">
        <v>8027</v>
      </c>
      <c r="B2622" s="1" t="s">
        <v>427</v>
      </c>
      <c r="C2622" s="1" t="s">
        <v>8028</v>
      </c>
      <c r="D2622" s="1" t="s">
        <v>78</v>
      </c>
      <c r="E2622" s="1" t="s">
        <v>28</v>
      </c>
      <c r="F2622" s="2">
        <v>400000.0</v>
      </c>
      <c r="G2622" s="1" t="s">
        <v>2791</v>
      </c>
      <c r="H2622" s="4">
        <f>IFERROR(__xludf.DUMMYFUNCTION("DATE(INDEX(SPLIT(G2622,""/""),,3),INDEX(SPLIT(G2622,""/""),,2),INDEX(SPLIT(G2622,""/""),,1))"),44494.0)</f>
        <v>44494</v>
      </c>
      <c r="I2622" s="1" t="s">
        <v>109</v>
      </c>
      <c r="J2622" s="4">
        <f>IFERROR(__xludf.DUMMYFUNCTION("DATE(INDEX(SPLIT(I2622,""/""),,3),INDEX(SPLIT(I2622,""/""),,2),INDEX(SPLIT(I2622,""/""),,1))"),44834.0)</f>
        <v>44834</v>
      </c>
      <c r="L2622" s="1">
        <v>0.0</v>
      </c>
      <c r="M2622" s="1" t="s">
        <v>863</v>
      </c>
      <c r="N2622" s="1"/>
      <c r="O2622" s="1" t="s">
        <v>30</v>
      </c>
      <c r="P2622" s="1" t="s">
        <v>31</v>
      </c>
      <c r="Q2622" s="1" t="s">
        <v>32</v>
      </c>
      <c r="R2622" s="1" t="s">
        <v>32</v>
      </c>
      <c r="S2622" s="1" t="s">
        <v>33</v>
      </c>
      <c r="T2622" s="1" t="s">
        <v>402</v>
      </c>
      <c r="U2622" s="1">
        <v>1.00650568E8</v>
      </c>
      <c r="X2622" s="1" t="s">
        <v>125</v>
      </c>
      <c r="Y2622" s="1" t="s">
        <v>432</v>
      </c>
      <c r="Z2622" s="1" t="s">
        <v>37</v>
      </c>
    </row>
    <row r="2623">
      <c r="A2623" s="1" t="s">
        <v>8029</v>
      </c>
      <c r="B2623" s="1" t="s">
        <v>8030</v>
      </c>
      <c r="C2623" s="1" t="s">
        <v>8031</v>
      </c>
      <c r="D2623" s="1" t="s">
        <v>68</v>
      </c>
      <c r="E2623" s="1" t="s">
        <v>28</v>
      </c>
      <c r="F2623" s="2">
        <v>400000.0</v>
      </c>
      <c r="G2623" s="1" t="s">
        <v>354</v>
      </c>
      <c r="H2623" s="4">
        <f>IFERROR(__xludf.DUMMYFUNCTION("DATE(INDEX(SPLIT(G2623,""/""),,3),INDEX(SPLIT(G2623,""/""),,2),INDEX(SPLIT(G2623,""/""),,1))"),44673.0)</f>
        <v>44673</v>
      </c>
      <c r="I2623" s="1" t="s">
        <v>1521</v>
      </c>
      <c r="J2623" s="4">
        <f>IFERROR(__xludf.DUMMYFUNCTION("DATE(INDEX(SPLIT(I2623,""/""),,3),INDEX(SPLIT(I2623,""/""),,2),INDEX(SPLIT(I2623,""/""),,1))"),44756.0)</f>
        <v>44756</v>
      </c>
      <c r="L2623" s="1">
        <v>0.0</v>
      </c>
      <c r="M2623" s="1" t="s">
        <v>303</v>
      </c>
      <c r="N2623" s="1"/>
      <c r="O2623" s="1" t="s">
        <v>30</v>
      </c>
      <c r="P2623" s="1" t="s">
        <v>31</v>
      </c>
      <c r="Q2623" s="1" t="s">
        <v>95</v>
      </c>
      <c r="R2623" s="1" t="s">
        <v>95</v>
      </c>
      <c r="S2623" s="1" t="s">
        <v>96</v>
      </c>
      <c r="T2623" s="1" t="s">
        <v>304</v>
      </c>
      <c r="U2623" s="1">
        <v>1.00623914E8</v>
      </c>
      <c r="X2623" s="1" t="s">
        <v>63</v>
      </c>
      <c r="Y2623" s="1" t="s">
        <v>8032</v>
      </c>
      <c r="Z2623" s="1" t="s">
        <v>37</v>
      </c>
    </row>
    <row r="2624" hidden="1">
      <c r="A2624" s="1" t="s">
        <v>8033</v>
      </c>
      <c r="B2624" s="1" t="s">
        <v>434</v>
      </c>
      <c r="C2624" s="1" t="s">
        <v>8034</v>
      </c>
      <c r="D2624" s="1" t="s">
        <v>78</v>
      </c>
      <c r="E2624" s="1" t="s">
        <v>28</v>
      </c>
      <c r="F2624" s="2">
        <v>400000.0</v>
      </c>
      <c r="G2624" s="4">
        <v>44208.0</v>
      </c>
      <c r="H2624" s="4">
        <f>IFERROR(__xludf.DUMMYFUNCTION("DATE(INDEX(SPLIT(G2624,""/""),,3),INDEX(SPLIT(G2624,""/""),,2),INDEX(SPLIT(G2624,""/""),,1))"),44531.0)</f>
        <v>44531</v>
      </c>
      <c r="I2624" s="1" t="s">
        <v>109</v>
      </c>
      <c r="J2624" s="4">
        <f>IFERROR(__xludf.DUMMYFUNCTION("DATE(INDEX(SPLIT(I2624,""/""),,3),INDEX(SPLIT(I2624,""/""),,2),INDEX(SPLIT(I2624,""/""),,1))"),44834.0)</f>
        <v>44834</v>
      </c>
      <c r="L2624" s="1">
        <v>0.0</v>
      </c>
      <c r="M2624" s="1" t="s">
        <v>2787</v>
      </c>
      <c r="N2624" s="1"/>
      <c r="O2624" s="1" t="s">
        <v>30</v>
      </c>
      <c r="P2624" s="1" t="s">
        <v>31</v>
      </c>
      <c r="Q2624" s="1" t="s">
        <v>157</v>
      </c>
      <c r="R2624" s="1" t="s">
        <v>157</v>
      </c>
      <c r="S2624" s="1" t="s">
        <v>158</v>
      </c>
      <c r="T2624" s="1" t="s">
        <v>442</v>
      </c>
      <c r="U2624" s="1">
        <v>1.00708984E8</v>
      </c>
      <c r="X2624" s="1" t="s">
        <v>88</v>
      </c>
      <c r="Y2624" s="1" t="s">
        <v>8035</v>
      </c>
      <c r="Z2624" s="1" t="s">
        <v>37</v>
      </c>
    </row>
    <row r="2625" hidden="1">
      <c r="A2625" s="1" t="s">
        <v>8036</v>
      </c>
      <c r="B2625" s="1" t="s">
        <v>7123</v>
      </c>
      <c r="C2625" s="1" t="s">
        <v>8037</v>
      </c>
      <c r="D2625" s="1" t="s">
        <v>27</v>
      </c>
      <c r="E2625" s="1" t="s">
        <v>28</v>
      </c>
      <c r="F2625" s="2">
        <v>400000.0</v>
      </c>
      <c r="G2625" s="4">
        <v>44563.0</v>
      </c>
      <c r="H2625" s="4">
        <f>IFERROR(__xludf.DUMMYFUNCTION("DATE(INDEX(SPLIT(G2625,""/""),,3),INDEX(SPLIT(G2625,""/""),,2),INDEX(SPLIT(G2625,""/""),,1))"),44593.0)</f>
        <v>44593</v>
      </c>
      <c r="I2625" s="1" t="s">
        <v>130</v>
      </c>
      <c r="J2625" s="4">
        <f>IFERROR(__xludf.DUMMYFUNCTION("DATE(INDEX(SPLIT(I2625,""/""),,3),INDEX(SPLIT(I2625,""/""),,2),INDEX(SPLIT(I2625,""/""),,1))"),44804.0)</f>
        <v>44804</v>
      </c>
      <c r="L2625" s="1">
        <v>0.0</v>
      </c>
      <c r="M2625" s="1" t="s">
        <v>2551</v>
      </c>
      <c r="N2625" s="1"/>
      <c r="O2625" s="1" t="s">
        <v>30</v>
      </c>
      <c r="P2625" s="1" t="s">
        <v>31</v>
      </c>
      <c r="Q2625" s="1" t="s">
        <v>95</v>
      </c>
      <c r="R2625" s="1" t="s">
        <v>95</v>
      </c>
      <c r="S2625" s="1" t="s">
        <v>96</v>
      </c>
      <c r="T2625" s="1" t="s">
        <v>111</v>
      </c>
      <c r="U2625" s="1">
        <v>1.00660092E8</v>
      </c>
      <c r="X2625" s="1" t="s">
        <v>254</v>
      </c>
      <c r="Y2625" s="1" t="s">
        <v>2081</v>
      </c>
      <c r="Z2625" s="1" t="s">
        <v>37</v>
      </c>
    </row>
    <row r="2626" hidden="1">
      <c r="A2626" s="1" t="s">
        <v>8038</v>
      </c>
      <c r="B2626" s="1" t="s">
        <v>3374</v>
      </c>
      <c r="C2626" s="1" t="s">
        <v>8039</v>
      </c>
      <c r="D2626" s="1" t="s">
        <v>27</v>
      </c>
      <c r="E2626" s="1" t="s">
        <v>28</v>
      </c>
      <c r="F2626" s="2">
        <v>400000.0</v>
      </c>
      <c r="G2626" s="1" t="s">
        <v>1438</v>
      </c>
      <c r="H2626" s="4">
        <f>IFERROR(__xludf.DUMMYFUNCTION("DATE(INDEX(SPLIT(G2626,""/""),,3),INDEX(SPLIT(G2626,""/""),,2),INDEX(SPLIT(G2626,""/""),,1))"),44708.0)</f>
        <v>44708</v>
      </c>
      <c r="I2626" s="1" t="s">
        <v>203</v>
      </c>
      <c r="J2626" s="4">
        <f>IFERROR(__xludf.DUMMYFUNCTION("DATE(INDEX(SPLIT(I2626,""/""),,3),INDEX(SPLIT(I2626,""/""),,2),INDEX(SPLIT(I2626,""/""),,1))"),44925.0)</f>
        <v>44925</v>
      </c>
      <c r="L2626" s="1">
        <v>0.0</v>
      </c>
      <c r="M2626" s="1" t="s">
        <v>3376</v>
      </c>
      <c r="N2626" s="1"/>
      <c r="O2626" s="1" t="s">
        <v>30</v>
      </c>
      <c r="P2626" s="1" t="s">
        <v>31</v>
      </c>
      <c r="Q2626" s="1" t="s">
        <v>32</v>
      </c>
      <c r="R2626" s="1" t="s">
        <v>32</v>
      </c>
      <c r="S2626" s="1" t="s">
        <v>33</v>
      </c>
      <c r="T2626" s="1" t="s">
        <v>103</v>
      </c>
      <c r="U2626" s="1">
        <v>1.00597272E8</v>
      </c>
      <c r="X2626" s="1" t="s">
        <v>410</v>
      </c>
      <c r="Y2626" s="1" t="s">
        <v>8040</v>
      </c>
      <c r="Z2626" s="1" t="s">
        <v>206</v>
      </c>
    </row>
    <row r="2627" hidden="1">
      <c r="A2627" s="1" t="s">
        <v>8041</v>
      </c>
      <c r="B2627" s="1" t="s">
        <v>806</v>
      </c>
      <c r="C2627" s="1" t="s">
        <v>3405</v>
      </c>
      <c r="D2627" s="1" t="s">
        <v>27</v>
      </c>
      <c r="E2627" s="1" t="s">
        <v>28</v>
      </c>
      <c r="F2627" s="2">
        <v>400000.0</v>
      </c>
      <c r="G2627" s="1" t="s">
        <v>5065</v>
      </c>
      <c r="H2627" s="4">
        <f>IFERROR(__xludf.DUMMYFUNCTION("DATE(INDEX(SPLIT(G2627,""/""),,3),INDEX(SPLIT(G2627,""/""),,2),INDEX(SPLIT(G2627,""/""),,1))"),44008.0)</f>
        <v>44008</v>
      </c>
      <c r="I2627" s="1" t="s">
        <v>1909</v>
      </c>
      <c r="J2627" s="4">
        <f>IFERROR(__xludf.DUMMYFUNCTION("DATE(INDEX(SPLIT(I2627,""/""),,3),INDEX(SPLIT(I2627,""/""),,2),INDEX(SPLIT(I2627,""/""),,1))"),44883.0)</f>
        <v>44883</v>
      </c>
      <c r="L2627" s="1">
        <v>0.0</v>
      </c>
      <c r="M2627" s="1" t="s">
        <v>3408</v>
      </c>
      <c r="N2627" s="1"/>
      <c r="O2627" s="1" t="s">
        <v>30</v>
      </c>
      <c r="P2627" s="1" t="s">
        <v>31</v>
      </c>
      <c r="Q2627" s="1" t="s">
        <v>95</v>
      </c>
      <c r="R2627" s="1" t="s">
        <v>95</v>
      </c>
      <c r="S2627" s="1" t="s">
        <v>96</v>
      </c>
      <c r="T2627" s="1" t="s">
        <v>3409</v>
      </c>
      <c r="U2627" s="1">
        <v>1.00953783E8</v>
      </c>
      <c r="X2627" s="1" t="s">
        <v>117</v>
      </c>
      <c r="Y2627" s="1" t="s">
        <v>2689</v>
      </c>
      <c r="Z2627" s="1" t="s">
        <v>527</v>
      </c>
    </row>
    <row r="2628" hidden="1">
      <c r="A2628" s="1" t="s">
        <v>8042</v>
      </c>
      <c r="B2628" s="1" t="s">
        <v>373</v>
      </c>
      <c r="C2628" s="1" t="s">
        <v>588</v>
      </c>
      <c r="D2628" s="1" t="s">
        <v>122</v>
      </c>
      <c r="E2628" s="1" t="s">
        <v>28</v>
      </c>
      <c r="F2628" s="2">
        <v>400000.0</v>
      </c>
      <c r="G2628" s="1" t="s">
        <v>298</v>
      </c>
      <c r="H2628" s="4">
        <f>IFERROR(__xludf.DUMMYFUNCTION("DATE(INDEX(SPLIT(G2628,""/""),,3),INDEX(SPLIT(G2628,""/""),,2),INDEX(SPLIT(G2628,""/""),,1))"),44762.0)</f>
        <v>44762</v>
      </c>
      <c r="I2628" s="4">
        <v>44570.0</v>
      </c>
      <c r="J2628" s="4">
        <f>IFERROR(__xludf.DUMMYFUNCTION("DATE(INDEX(SPLIT(I2628,""/""),,3),INDEX(SPLIT(I2628,""/""),,2),INDEX(SPLIT(I2628,""/""),,1))"),44805.0)</f>
        <v>44805</v>
      </c>
      <c r="L2628" s="1">
        <v>0.0</v>
      </c>
      <c r="M2628" s="1" t="s">
        <v>587</v>
      </c>
      <c r="N2628" s="1"/>
      <c r="O2628" s="1" t="s">
        <v>30</v>
      </c>
      <c r="P2628" s="1" t="s">
        <v>31</v>
      </c>
      <c r="Q2628" s="1" t="s">
        <v>157</v>
      </c>
      <c r="R2628" s="1" t="s">
        <v>157</v>
      </c>
      <c r="S2628" s="1" t="s">
        <v>158</v>
      </c>
      <c r="T2628" s="1" t="s">
        <v>159</v>
      </c>
      <c r="U2628" s="1">
        <v>1.00700761E8</v>
      </c>
      <c r="X2628" s="1" t="s">
        <v>125</v>
      </c>
      <c r="Y2628" s="1" t="s">
        <v>5978</v>
      </c>
      <c r="Z2628" s="1" t="s">
        <v>37</v>
      </c>
    </row>
    <row r="2629" hidden="1">
      <c r="A2629" s="1" t="s">
        <v>8043</v>
      </c>
      <c r="B2629" s="1" t="s">
        <v>2453</v>
      </c>
      <c r="C2629" s="1" t="s">
        <v>8044</v>
      </c>
      <c r="D2629" s="1" t="s">
        <v>27</v>
      </c>
      <c r="E2629" s="1" t="s">
        <v>28</v>
      </c>
      <c r="F2629" s="2">
        <v>400000.0</v>
      </c>
      <c r="G2629" s="1" t="s">
        <v>1218</v>
      </c>
      <c r="H2629" s="4">
        <f>IFERROR(__xludf.DUMMYFUNCTION("DATE(INDEX(SPLIT(G2629,""/""),,3),INDEX(SPLIT(G2629,""/""),,2),INDEX(SPLIT(G2629,""/""),,1))"),44427.0)</f>
        <v>44427</v>
      </c>
      <c r="I2629" s="1" t="s">
        <v>109</v>
      </c>
      <c r="J2629" s="4">
        <f>IFERROR(__xludf.DUMMYFUNCTION("DATE(INDEX(SPLIT(I2629,""/""),,3),INDEX(SPLIT(I2629,""/""),,2),INDEX(SPLIT(I2629,""/""),,1))"),44834.0)</f>
        <v>44834</v>
      </c>
      <c r="L2629" s="1">
        <v>0.0</v>
      </c>
      <c r="M2629" s="1" t="s">
        <v>8045</v>
      </c>
      <c r="N2629" s="1"/>
      <c r="O2629" s="1" t="s">
        <v>30</v>
      </c>
      <c r="P2629" s="1" t="s">
        <v>31</v>
      </c>
      <c r="Q2629" s="1" t="s">
        <v>53</v>
      </c>
      <c r="R2629" s="1" t="s">
        <v>53</v>
      </c>
      <c r="S2629" s="1" t="s">
        <v>54</v>
      </c>
      <c r="T2629" s="1" t="s">
        <v>2372</v>
      </c>
      <c r="U2629" s="1">
        <v>1.00650967E8</v>
      </c>
      <c r="X2629" s="1" t="s">
        <v>239</v>
      </c>
      <c r="Y2629" s="1" t="s">
        <v>3167</v>
      </c>
      <c r="Z2629" s="1" t="s">
        <v>37</v>
      </c>
    </row>
    <row r="2630" hidden="1">
      <c r="A2630" s="1" t="s">
        <v>8046</v>
      </c>
      <c r="B2630" s="1" t="s">
        <v>4662</v>
      </c>
      <c r="C2630" s="1" t="s">
        <v>8047</v>
      </c>
      <c r="D2630" s="1" t="s">
        <v>78</v>
      </c>
      <c r="E2630" s="1" t="s">
        <v>28</v>
      </c>
      <c r="F2630" s="2">
        <v>400000.0</v>
      </c>
      <c r="G2630" s="4">
        <v>44472.0</v>
      </c>
      <c r="H2630" s="4">
        <f>IFERROR(__xludf.DUMMYFUNCTION("DATE(INDEX(SPLIT(G2630,""/""),,3),INDEX(SPLIT(G2630,""/""),,2),INDEX(SPLIT(G2630,""/""),,1))"),44265.0)</f>
        <v>44265</v>
      </c>
      <c r="I2630" s="1" t="s">
        <v>281</v>
      </c>
      <c r="J2630" s="4">
        <f>IFERROR(__xludf.DUMMYFUNCTION("DATE(INDEX(SPLIT(I2630,""/""),,3),INDEX(SPLIT(I2630,""/""),,2),INDEX(SPLIT(I2630,""/""),,1))"),44865.0)</f>
        <v>44865</v>
      </c>
      <c r="L2630" s="1">
        <v>0.0</v>
      </c>
      <c r="M2630" s="1" t="s">
        <v>1685</v>
      </c>
      <c r="N2630" s="1"/>
      <c r="O2630" s="1" t="s">
        <v>30</v>
      </c>
      <c r="P2630" s="1" t="s">
        <v>31</v>
      </c>
      <c r="Q2630" s="1" t="s">
        <v>228</v>
      </c>
      <c r="R2630" s="1" t="s">
        <v>228</v>
      </c>
      <c r="S2630" s="1" t="s">
        <v>229</v>
      </c>
      <c r="T2630" s="1" t="s">
        <v>505</v>
      </c>
      <c r="U2630" s="1">
        <v>1.00612055E8</v>
      </c>
      <c r="X2630" s="1" t="s">
        <v>98</v>
      </c>
      <c r="Y2630" s="1" t="s">
        <v>1685</v>
      </c>
      <c r="Z2630" s="1" t="s">
        <v>37</v>
      </c>
    </row>
    <row r="2631">
      <c r="A2631" s="1" t="s">
        <v>8048</v>
      </c>
      <c r="B2631" s="1" t="s">
        <v>1371</v>
      </c>
      <c r="C2631" s="1" t="s">
        <v>8049</v>
      </c>
      <c r="D2631" s="1" t="s">
        <v>122</v>
      </c>
      <c r="E2631" s="1" t="s">
        <v>28</v>
      </c>
      <c r="F2631" s="2">
        <v>400000.0</v>
      </c>
      <c r="G2631" s="1" t="s">
        <v>1288</v>
      </c>
      <c r="H2631" s="4">
        <f>IFERROR(__xludf.DUMMYFUNCTION("DATE(INDEX(SPLIT(G2631,""/""),,3),INDEX(SPLIT(G2631,""/""),,2),INDEX(SPLIT(G2631,""/""),,1))"),44707.0)</f>
        <v>44707</v>
      </c>
      <c r="I2631" s="4">
        <v>44568.0</v>
      </c>
      <c r="J2631" s="4">
        <f>IFERROR(__xludf.DUMMYFUNCTION("DATE(INDEX(SPLIT(I2631,""/""),,3),INDEX(SPLIT(I2631,""/""),,2),INDEX(SPLIT(I2631,""/""),,1))"),44743.0)</f>
        <v>44743</v>
      </c>
      <c r="L2631" s="1">
        <v>0.0</v>
      </c>
      <c r="M2631" s="1" t="s">
        <v>4129</v>
      </c>
      <c r="N2631" s="1"/>
      <c r="O2631" s="1" t="s">
        <v>30</v>
      </c>
      <c r="P2631" s="1" t="s">
        <v>31</v>
      </c>
      <c r="Q2631" s="1" t="s">
        <v>228</v>
      </c>
      <c r="R2631" s="1" t="s">
        <v>228</v>
      </c>
      <c r="S2631" s="1" t="s">
        <v>229</v>
      </c>
      <c r="T2631" s="1" t="s">
        <v>640</v>
      </c>
      <c r="U2631" s="1">
        <v>1.00599268E8</v>
      </c>
      <c r="X2631" s="1" t="s">
        <v>63</v>
      </c>
      <c r="Y2631" s="1" t="s">
        <v>8050</v>
      </c>
      <c r="Z2631" s="1" t="s">
        <v>37</v>
      </c>
    </row>
    <row r="2632">
      <c r="A2632" s="1" t="s">
        <v>8051</v>
      </c>
      <c r="B2632" s="1" t="s">
        <v>3673</v>
      </c>
      <c r="C2632" s="1" t="s">
        <v>8052</v>
      </c>
      <c r="D2632" s="1" t="s">
        <v>27</v>
      </c>
      <c r="E2632" s="1" t="s">
        <v>28</v>
      </c>
      <c r="F2632" s="2">
        <v>400000.0</v>
      </c>
      <c r="G2632" s="4">
        <v>44867.0</v>
      </c>
      <c r="H2632" s="4">
        <f>IFERROR(__xludf.DUMMYFUNCTION("DATE(INDEX(SPLIT(G2632,""/""),,3),INDEX(SPLIT(G2632,""/""),,2),INDEX(SPLIT(G2632,""/""),,1))"),44603.0)</f>
        <v>44603</v>
      </c>
      <c r="I2632" s="1" t="s">
        <v>2300</v>
      </c>
      <c r="J2632" s="4">
        <f>IFERROR(__xludf.DUMMYFUNCTION("DATE(INDEX(SPLIT(I2632,""/""),,3),INDEX(SPLIT(I2632,""/""),,2),INDEX(SPLIT(I2632,""/""),,1))"),44712.0)</f>
        <v>44712</v>
      </c>
      <c r="L2632" s="1">
        <v>0.0</v>
      </c>
      <c r="M2632" s="1" t="s">
        <v>8053</v>
      </c>
      <c r="N2632" s="1"/>
      <c r="O2632" s="1" t="s">
        <v>30</v>
      </c>
      <c r="P2632" s="1" t="s">
        <v>31</v>
      </c>
      <c r="Q2632" s="1" t="s">
        <v>1320</v>
      </c>
      <c r="R2632" s="1" t="s">
        <v>1320</v>
      </c>
      <c r="S2632" s="1" t="s">
        <v>33</v>
      </c>
      <c r="U2632" s="1">
        <v>1.00613849E8</v>
      </c>
      <c r="X2632" s="1" t="s">
        <v>125</v>
      </c>
      <c r="Y2632" s="1" t="s">
        <v>8054</v>
      </c>
      <c r="Z2632" s="1" t="s">
        <v>37</v>
      </c>
    </row>
    <row r="2633" hidden="1">
      <c r="A2633" s="1" t="s">
        <v>8055</v>
      </c>
      <c r="B2633" s="1" t="s">
        <v>139</v>
      </c>
      <c r="C2633" s="1" t="s">
        <v>8056</v>
      </c>
      <c r="D2633" s="1" t="s">
        <v>78</v>
      </c>
      <c r="E2633" s="1" t="s">
        <v>28</v>
      </c>
      <c r="F2633" s="2">
        <v>400000.0</v>
      </c>
      <c r="G2633" s="4">
        <v>44623.0</v>
      </c>
      <c r="H2633" s="4">
        <f>IFERROR(__xludf.DUMMYFUNCTION("DATE(INDEX(SPLIT(G2633,""/""),,3),INDEX(SPLIT(G2633,""/""),,2),INDEX(SPLIT(G2633,""/""),,1))"),44623.0)</f>
        <v>44623</v>
      </c>
      <c r="I2633" s="4">
        <v>44569.0</v>
      </c>
      <c r="J2633" s="4">
        <f>IFERROR(__xludf.DUMMYFUNCTION("DATE(INDEX(SPLIT(I2633,""/""),,3),INDEX(SPLIT(I2633,""/""),,2),INDEX(SPLIT(I2633,""/""),,1))"),44774.0)</f>
        <v>44774</v>
      </c>
      <c r="L2633" s="1">
        <v>0.0</v>
      </c>
      <c r="M2633" s="1" t="s">
        <v>4432</v>
      </c>
      <c r="N2633" s="1"/>
      <c r="O2633" s="1" t="s">
        <v>30</v>
      </c>
      <c r="P2633" s="1" t="s">
        <v>31</v>
      </c>
      <c r="Q2633" s="1" t="s">
        <v>32</v>
      </c>
      <c r="R2633" s="1" t="s">
        <v>32</v>
      </c>
      <c r="S2633" s="1" t="s">
        <v>33</v>
      </c>
      <c r="U2633" s="1">
        <v>1.00584558E8</v>
      </c>
      <c r="X2633" s="1" t="s">
        <v>81</v>
      </c>
      <c r="Y2633" s="1" t="s">
        <v>142</v>
      </c>
      <c r="Z2633" s="1" t="s">
        <v>37</v>
      </c>
    </row>
    <row r="2634">
      <c r="A2634" s="1" t="s">
        <v>8057</v>
      </c>
      <c r="B2634" s="1" t="s">
        <v>6763</v>
      </c>
      <c r="C2634" s="1" t="s">
        <v>8058</v>
      </c>
      <c r="D2634" s="1" t="s">
        <v>122</v>
      </c>
      <c r="E2634" s="1" t="s">
        <v>28</v>
      </c>
      <c r="F2634" s="2">
        <v>400000.0</v>
      </c>
      <c r="G2634" s="1" t="s">
        <v>3245</v>
      </c>
      <c r="H2634" s="4">
        <f>IFERROR(__xludf.DUMMYFUNCTION("DATE(INDEX(SPLIT(G2634,""/""),,3),INDEX(SPLIT(G2634,""/""),,2),INDEX(SPLIT(G2634,""/""),,1))"),44452.0)</f>
        <v>44452</v>
      </c>
      <c r="I2634" s="4">
        <v>44872.0</v>
      </c>
      <c r="J2634" s="4">
        <f>IFERROR(__xludf.DUMMYFUNCTION("DATE(INDEX(SPLIT(I2634,""/""),,3),INDEX(SPLIT(I2634,""/""),,2),INDEX(SPLIT(I2634,""/""),,1))"),44753.0)</f>
        <v>44753</v>
      </c>
      <c r="L2634" s="1">
        <v>0.0</v>
      </c>
      <c r="M2634" s="1" t="s">
        <v>1422</v>
      </c>
      <c r="N2634" s="1"/>
      <c r="O2634" s="1" t="s">
        <v>30</v>
      </c>
      <c r="P2634" s="1" t="s">
        <v>31</v>
      </c>
      <c r="Q2634" s="1" t="s">
        <v>157</v>
      </c>
      <c r="R2634" s="1" t="s">
        <v>157</v>
      </c>
      <c r="S2634" s="1" t="s">
        <v>158</v>
      </c>
      <c r="T2634" s="1" t="s">
        <v>159</v>
      </c>
      <c r="U2634" s="1">
        <v>1.00869794E8</v>
      </c>
      <c r="X2634" s="1" t="s">
        <v>46</v>
      </c>
      <c r="Y2634" s="1" t="s">
        <v>1422</v>
      </c>
      <c r="Z2634" s="1" t="s">
        <v>37</v>
      </c>
    </row>
    <row r="2635" hidden="1">
      <c r="A2635" s="1" t="s">
        <v>8059</v>
      </c>
      <c r="B2635" s="1" t="s">
        <v>1144</v>
      </c>
      <c r="C2635" s="1" t="s">
        <v>8060</v>
      </c>
      <c r="D2635" s="1" t="s">
        <v>78</v>
      </c>
      <c r="E2635" s="1" t="s">
        <v>28</v>
      </c>
      <c r="F2635" s="2">
        <v>400000.0</v>
      </c>
      <c r="G2635" s="4">
        <v>44902.0</v>
      </c>
      <c r="H2635" s="4">
        <f>IFERROR(__xludf.DUMMYFUNCTION("DATE(INDEX(SPLIT(G2635,""/""),,3),INDEX(SPLIT(G2635,""/""),,2),INDEX(SPLIT(G2635,""/""),,1))"),44754.0)</f>
        <v>44754</v>
      </c>
      <c r="I2635" s="4">
        <v>44570.0</v>
      </c>
      <c r="J2635" s="4">
        <f>IFERROR(__xludf.DUMMYFUNCTION("DATE(INDEX(SPLIT(I2635,""/""),,3),INDEX(SPLIT(I2635,""/""),,2),INDEX(SPLIT(I2635,""/""),,1))"),44805.0)</f>
        <v>44805</v>
      </c>
      <c r="L2635" s="1">
        <v>0.0</v>
      </c>
      <c r="M2635" s="1" t="s">
        <v>1146</v>
      </c>
      <c r="N2635" s="1"/>
      <c r="O2635" s="1" t="s">
        <v>30</v>
      </c>
      <c r="P2635" s="1" t="s">
        <v>31</v>
      </c>
      <c r="Q2635" s="1" t="s">
        <v>228</v>
      </c>
      <c r="R2635" s="1" t="s">
        <v>228</v>
      </c>
      <c r="S2635" s="1" t="s">
        <v>229</v>
      </c>
      <c r="T2635" s="1" t="s">
        <v>640</v>
      </c>
      <c r="U2635" s="1">
        <v>1.0061139E8</v>
      </c>
      <c r="X2635" s="1" t="s">
        <v>63</v>
      </c>
      <c r="Y2635" s="1" t="s">
        <v>8061</v>
      </c>
      <c r="Z2635" s="1" t="s">
        <v>37</v>
      </c>
    </row>
    <row r="2636" hidden="1">
      <c r="A2636" s="1" t="s">
        <v>8062</v>
      </c>
      <c r="B2636" s="1" t="s">
        <v>612</v>
      </c>
      <c r="C2636" s="1" t="s">
        <v>8063</v>
      </c>
      <c r="D2636" s="1" t="s">
        <v>78</v>
      </c>
      <c r="E2636" s="1" t="s">
        <v>28</v>
      </c>
      <c r="F2636" s="2">
        <v>400000.0</v>
      </c>
      <c r="G2636" s="1" t="s">
        <v>154</v>
      </c>
      <c r="H2636" s="4">
        <f>IFERROR(__xludf.DUMMYFUNCTION("DATE(INDEX(SPLIT(G2636,""/""),,3),INDEX(SPLIT(G2636,""/""),,2),INDEX(SPLIT(G2636,""/""),,1))"),44670.0)</f>
        <v>44670</v>
      </c>
      <c r="I2636" s="1" t="s">
        <v>85</v>
      </c>
      <c r="J2636" s="4">
        <f>IFERROR(__xludf.DUMMYFUNCTION("DATE(INDEX(SPLIT(I2636,""/""),,3),INDEX(SPLIT(I2636,""/""),,2),INDEX(SPLIT(I2636,""/""),,1))"),44799.0)</f>
        <v>44799</v>
      </c>
      <c r="L2636" s="1">
        <v>0.0</v>
      </c>
      <c r="M2636" s="1" t="s">
        <v>1514</v>
      </c>
      <c r="N2636" s="1"/>
      <c r="O2636" s="1" t="s">
        <v>30</v>
      </c>
      <c r="P2636" s="1" t="s">
        <v>31</v>
      </c>
      <c r="Q2636" s="1" t="s">
        <v>71</v>
      </c>
      <c r="R2636" s="1" t="s">
        <v>71</v>
      </c>
      <c r="S2636" s="1" t="s">
        <v>72</v>
      </c>
      <c r="T2636" s="1" t="s">
        <v>615</v>
      </c>
      <c r="U2636" s="1">
        <v>1.006324E8</v>
      </c>
      <c r="X2636" s="1" t="s">
        <v>490</v>
      </c>
      <c r="Y2636" s="1" t="s">
        <v>1514</v>
      </c>
      <c r="Z2636" s="1" t="s">
        <v>37</v>
      </c>
    </row>
    <row r="2637" hidden="1">
      <c r="A2637" s="1" t="s">
        <v>8064</v>
      </c>
      <c r="B2637" s="1" t="s">
        <v>5586</v>
      </c>
      <c r="C2637" s="1" t="s">
        <v>8065</v>
      </c>
      <c r="D2637" s="1" t="s">
        <v>78</v>
      </c>
      <c r="E2637" s="1" t="s">
        <v>28</v>
      </c>
      <c r="F2637" s="2">
        <v>400000.0</v>
      </c>
      <c r="G2637" s="1" t="s">
        <v>600</v>
      </c>
      <c r="H2637" s="4">
        <f>IFERROR(__xludf.DUMMYFUNCTION("DATE(INDEX(SPLIT(G2637,""/""),,3),INDEX(SPLIT(G2637,""/""),,2),INDEX(SPLIT(G2637,""/""),,1))"),44665.0)</f>
        <v>44665</v>
      </c>
      <c r="I2637" s="1" t="s">
        <v>109</v>
      </c>
      <c r="J2637" s="4">
        <f>IFERROR(__xludf.DUMMYFUNCTION("DATE(INDEX(SPLIT(I2637,""/""),,3),INDEX(SPLIT(I2637,""/""),,2),INDEX(SPLIT(I2637,""/""),,1))"),44834.0)</f>
        <v>44834</v>
      </c>
      <c r="L2637" s="1">
        <v>0.0</v>
      </c>
      <c r="M2637" s="1" t="s">
        <v>5588</v>
      </c>
      <c r="N2637" s="1"/>
      <c r="O2637" s="1" t="s">
        <v>30</v>
      </c>
      <c r="P2637" s="1" t="s">
        <v>31</v>
      </c>
      <c r="Q2637" s="1" t="s">
        <v>1320</v>
      </c>
      <c r="R2637" s="1" t="s">
        <v>1320</v>
      </c>
      <c r="S2637" s="1" t="s">
        <v>54</v>
      </c>
      <c r="U2637" s="1">
        <v>1.00625588E8</v>
      </c>
      <c r="X2637" s="1" t="s">
        <v>289</v>
      </c>
      <c r="Y2637" s="1" t="s">
        <v>5588</v>
      </c>
      <c r="Z2637" s="1" t="s">
        <v>37</v>
      </c>
    </row>
    <row r="2638">
      <c r="A2638" s="1" t="s">
        <v>8066</v>
      </c>
      <c r="B2638" s="1" t="s">
        <v>2159</v>
      </c>
      <c r="C2638" s="1" t="s">
        <v>8067</v>
      </c>
      <c r="D2638" s="1" t="s">
        <v>68</v>
      </c>
      <c r="E2638" s="1" t="s">
        <v>28</v>
      </c>
      <c r="F2638" s="2">
        <v>400000.0</v>
      </c>
      <c r="G2638" s="1" t="s">
        <v>1467</v>
      </c>
      <c r="H2638" s="4">
        <f>IFERROR(__xludf.DUMMYFUNCTION("DATE(INDEX(SPLIT(G2638,""/""),,3),INDEX(SPLIT(G2638,""/""),,2),INDEX(SPLIT(G2638,""/""),,1))"),44396.0)</f>
        <v>44396</v>
      </c>
      <c r="I2638" s="1" t="s">
        <v>226</v>
      </c>
      <c r="J2638" s="4">
        <f>IFERROR(__xludf.DUMMYFUNCTION("DATE(INDEX(SPLIT(I2638,""/""),,3),INDEX(SPLIT(I2638,""/""),,2),INDEX(SPLIT(I2638,""/""),,1))"),44771.0)</f>
        <v>44771</v>
      </c>
      <c r="L2638" s="1">
        <v>0.0</v>
      </c>
      <c r="M2638" s="1" t="s">
        <v>823</v>
      </c>
      <c r="N2638" s="1"/>
      <c r="O2638" s="1" t="s">
        <v>30</v>
      </c>
      <c r="P2638" s="1" t="s">
        <v>31</v>
      </c>
      <c r="Q2638" s="1" t="s">
        <v>95</v>
      </c>
      <c r="R2638" s="1" t="s">
        <v>95</v>
      </c>
      <c r="S2638" s="1" t="s">
        <v>96</v>
      </c>
      <c r="T2638" s="1" t="s">
        <v>489</v>
      </c>
      <c r="U2638" s="1">
        <v>1.00629729E8</v>
      </c>
      <c r="X2638" s="1" t="s">
        <v>74</v>
      </c>
      <c r="Y2638" s="1" t="s">
        <v>823</v>
      </c>
      <c r="Z2638" s="1" t="s">
        <v>37</v>
      </c>
    </row>
    <row r="2639" hidden="1">
      <c r="A2639" s="1" t="s">
        <v>8068</v>
      </c>
      <c r="B2639" s="1" t="s">
        <v>1371</v>
      </c>
      <c r="C2639" s="1" t="s">
        <v>8069</v>
      </c>
      <c r="D2639" s="1" t="s">
        <v>78</v>
      </c>
      <c r="E2639" s="1" t="s">
        <v>28</v>
      </c>
      <c r="F2639" s="2">
        <v>400000.0</v>
      </c>
      <c r="G2639" s="1" t="s">
        <v>382</v>
      </c>
      <c r="H2639" s="4">
        <f>IFERROR(__xludf.DUMMYFUNCTION("DATE(INDEX(SPLIT(G2639,""/""),,3),INDEX(SPLIT(G2639,""/""),,2),INDEX(SPLIT(G2639,""/""),,1))"),44758.0)</f>
        <v>44758</v>
      </c>
      <c r="I2639" s="1" t="s">
        <v>109</v>
      </c>
      <c r="J2639" s="4">
        <f>IFERROR(__xludf.DUMMYFUNCTION("DATE(INDEX(SPLIT(I2639,""/""),,3),INDEX(SPLIT(I2639,""/""),,2),INDEX(SPLIT(I2639,""/""),,1))"),44834.0)</f>
        <v>44834</v>
      </c>
      <c r="L2639" s="1">
        <v>0.0</v>
      </c>
      <c r="M2639" s="1" t="s">
        <v>787</v>
      </c>
      <c r="N2639" s="1"/>
      <c r="O2639" s="1" t="s">
        <v>30</v>
      </c>
      <c r="P2639" s="1" t="s">
        <v>31</v>
      </c>
      <c r="Q2639" s="1" t="s">
        <v>53</v>
      </c>
      <c r="R2639" s="1" t="s">
        <v>53</v>
      </c>
      <c r="S2639" s="1" t="s">
        <v>54</v>
      </c>
      <c r="U2639" s="1">
        <v>1.00610205E8</v>
      </c>
      <c r="X2639" s="1" t="s">
        <v>63</v>
      </c>
      <c r="Y2639" s="1" t="s">
        <v>787</v>
      </c>
      <c r="Z2639" s="1" t="s">
        <v>37</v>
      </c>
    </row>
    <row r="2640" hidden="1">
      <c r="A2640" s="1" t="s">
        <v>8070</v>
      </c>
      <c r="B2640" s="1" t="s">
        <v>7123</v>
      </c>
      <c r="C2640" s="1" t="s">
        <v>8071</v>
      </c>
      <c r="D2640" s="1" t="s">
        <v>27</v>
      </c>
      <c r="E2640" s="1" t="s">
        <v>28</v>
      </c>
      <c r="F2640" s="2">
        <v>400000.0</v>
      </c>
      <c r="G2640" s="1" t="s">
        <v>382</v>
      </c>
      <c r="H2640" s="4">
        <f>IFERROR(__xludf.DUMMYFUNCTION("DATE(INDEX(SPLIT(G2640,""/""),,3),INDEX(SPLIT(G2640,""/""),,2),INDEX(SPLIT(G2640,""/""),,1))"),44758.0)</f>
        <v>44758</v>
      </c>
      <c r="I2640" s="1" t="s">
        <v>317</v>
      </c>
      <c r="J2640" s="4">
        <f>IFERROR(__xludf.DUMMYFUNCTION("DATE(INDEX(SPLIT(I2640,""/""),,3),INDEX(SPLIT(I2640,""/""),,2),INDEX(SPLIT(I2640,""/""),,1))"),44862.0)</f>
        <v>44862</v>
      </c>
      <c r="L2640" s="1">
        <v>0.0</v>
      </c>
      <c r="M2640" s="1" t="s">
        <v>787</v>
      </c>
      <c r="N2640" s="1"/>
      <c r="O2640" s="1" t="s">
        <v>30</v>
      </c>
      <c r="P2640" s="1" t="s">
        <v>31</v>
      </c>
      <c r="Q2640" s="1" t="s">
        <v>53</v>
      </c>
      <c r="R2640" s="1" t="s">
        <v>53</v>
      </c>
      <c r="S2640" s="1" t="s">
        <v>54</v>
      </c>
      <c r="U2640" s="1">
        <v>1.00610205E8</v>
      </c>
      <c r="X2640" s="1" t="s">
        <v>254</v>
      </c>
      <c r="Y2640" s="1" t="s">
        <v>787</v>
      </c>
      <c r="Z2640" s="1" t="s">
        <v>37</v>
      </c>
    </row>
    <row r="2641" hidden="1">
      <c r="A2641" s="1" t="s">
        <v>8072</v>
      </c>
      <c r="B2641" s="1" t="s">
        <v>8073</v>
      </c>
      <c r="C2641" s="1" t="s">
        <v>8074</v>
      </c>
      <c r="D2641" s="1" t="s">
        <v>27</v>
      </c>
      <c r="E2641" s="1" t="s">
        <v>28</v>
      </c>
      <c r="F2641" s="2">
        <v>400000.0</v>
      </c>
      <c r="G2641" s="1" t="s">
        <v>382</v>
      </c>
      <c r="H2641" s="4">
        <f>IFERROR(__xludf.DUMMYFUNCTION("DATE(INDEX(SPLIT(G2641,""/""),,3),INDEX(SPLIT(G2641,""/""),,2),INDEX(SPLIT(G2641,""/""),,1))"),44758.0)</f>
        <v>44758</v>
      </c>
      <c r="I2641" s="1" t="s">
        <v>317</v>
      </c>
      <c r="J2641" s="4">
        <f>IFERROR(__xludf.DUMMYFUNCTION("DATE(INDEX(SPLIT(I2641,""/""),,3),INDEX(SPLIT(I2641,""/""),,2),INDEX(SPLIT(I2641,""/""),,1))"),44862.0)</f>
        <v>44862</v>
      </c>
      <c r="L2641" s="1">
        <v>0.0</v>
      </c>
      <c r="M2641" s="1" t="s">
        <v>787</v>
      </c>
      <c r="N2641" s="1"/>
      <c r="O2641" s="1" t="s">
        <v>30</v>
      </c>
      <c r="P2641" s="1" t="s">
        <v>31</v>
      </c>
      <c r="Q2641" s="1" t="s">
        <v>53</v>
      </c>
      <c r="R2641" s="1" t="s">
        <v>53</v>
      </c>
      <c r="S2641" s="1" t="s">
        <v>54</v>
      </c>
      <c r="T2641" s="1" t="s">
        <v>8075</v>
      </c>
      <c r="U2641" s="1">
        <v>1.00610205E8</v>
      </c>
      <c r="Y2641" s="1" t="s">
        <v>787</v>
      </c>
      <c r="Z2641" s="1" t="s">
        <v>37</v>
      </c>
    </row>
    <row r="2642" hidden="1">
      <c r="A2642" s="1" t="s">
        <v>8076</v>
      </c>
      <c r="B2642" s="1" t="s">
        <v>8077</v>
      </c>
      <c r="C2642" s="1" t="s">
        <v>8078</v>
      </c>
      <c r="D2642" s="1" t="s">
        <v>27</v>
      </c>
      <c r="E2642" s="1" t="s">
        <v>28</v>
      </c>
      <c r="F2642" s="2">
        <v>400000.0</v>
      </c>
      <c r="G2642" s="1" t="s">
        <v>185</v>
      </c>
      <c r="H2642" s="4">
        <f>IFERROR(__xludf.DUMMYFUNCTION("DATE(INDEX(SPLIT(G2642,""/""),,3),INDEX(SPLIT(G2642,""/""),,2),INDEX(SPLIT(G2642,""/""),,1))"),44741.0)</f>
        <v>44741</v>
      </c>
      <c r="I2642" s="1" t="s">
        <v>109</v>
      </c>
      <c r="J2642" s="4">
        <f>IFERROR(__xludf.DUMMYFUNCTION("DATE(INDEX(SPLIT(I2642,""/""),,3),INDEX(SPLIT(I2642,""/""),,2),INDEX(SPLIT(I2642,""/""),,1))"),44834.0)</f>
        <v>44834</v>
      </c>
      <c r="L2642" s="1">
        <v>0.0</v>
      </c>
      <c r="M2642" s="1" t="s">
        <v>3042</v>
      </c>
      <c r="N2642" s="1"/>
      <c r="O2642" s="1" t="s">
        <v>30</v>
      </c>
      <c r="P2642" s="1" t="s">
        <v>31</v>
      </c>
      <c r="Q2642" s="1" t="s">
        <v>157</v>
      </c>
      <c r="R2642" s="1" t="s">
        <v>157</v>
      </c>
      <c r="S2642" s="1" t="s">
        <v>158</v>
      </c>
      <c r="U2642" s="1">
        <v>1.00649928E8</v>
      </c>
      <c r="X2642" s="1" t="s">
        <v>125</v>
      </c>
      <c r="Y2642" s="1" t="s">
        <v>3386</v>
      </c>
      <c r="Z2642" s="1" t="s">
        <v>37</v>
      </c>
    </row>
    <row r="2643" hidden="1">
      <c r="A2643" s="1" t="s">
        <v>8079</v>
      </c>
      <c r="B2643" s="1" t="s">
        <v>2131</v>
      </c>
      <c r="C2643" s="1" t="s">
        <v>8080</v>
      </c>
      <c r="D2643" s="1" t="s">
        <v>27</v>
      </c>
      <c r="E2643" s="1" t="s">
        <v>28</v>
      </c>
      <c r="F2643" s="2">
        <v>400000.0</v>
      </c>
      <c r="G2643" s="1" t="s">
        <v>551</v>
      </c>
      <c r="H2643" s="4">
        <f>IFERROR(__xludf.DUMMYFUNCTION("DATE(INDEX(SPLIT(G2643,""/""),,3),INDEX(SPLIT(G2643,""/""),,2),INDEX(SPLIT(G2643,""/""),,1))"),44701.0)</f>
        <v>44701</v>
      </c>
      <c r="I2643" s="1" t="s">
        <v>281</v>
      </c>
      <c r="J2643" s="4">
        <f>IFERROR(__xludf.DUMMYFUNCTION("DATE(INDEX(SPLIT(I2643,""/""),,3),INDEX(SPLIT(I2643,""/""),,2),INDEX(SPLIT(I2643,""/""),,1))"),44865.0)</f>
        <v>44865</v>
      </c>
      <c r="L2643" s="1">
        <v>0.0</v>
      </c>
      <c r="M2643" s="1" t="s">
        <v>8081</v>
      </c>
      <c r="N2643" s="1"/>
      <c r="O2643" s="1" t="s">
        <v>30</v>
      </c>
      <c r="P2643" s="1" t="s">
        <v>31</v>
      </c>
      <c r="Q2643" s="1" t="s">
        <v>228</v>
      </c>
      <c r="R2643" s="1" t="s">
        <v>228</v>
      </c>
      <c r="S2643" s="1" t="s">
        <v>229</v>
      </c>
      <c r="T2643" s="1" t="s">
        <v>2372</v>
      </c>
      <c r="U2643" s="1">
        <v>1.01154613E8</v>
      </c>
      <c r="X2643" s="1" t="s">
        <v>239</v>
      </c>
      <c r="Y2643" s="1" t="s">
        <v>3167</v>
      </c>
      <c r="Z2643" s="1" t="s">
        <v>37</v>
      </c>
    </row>
    <row r="2644" hidden="1">
      <c r="A2644" s="1" t="s">
        <v>8082</v>
      </c>
      <c r="B2644" s="1" t="s">
        <v>2131</v>
      </c>
      <c r="C2644" s="1" t="s">
        <v>8083</v>
      </c>
      <c r="D2644" s="1" t="s">
        <v>27</v>
      </c>
      <c r="E2644" s="1" t="s">
        <v>28</v>
      </c>
      <c r="F2644" s="2">
        <v>400000.0</v>
      </c>
      <c r="G2644" s="1" t="s">
        <v>551</v>
      </c>
      <c r="H2644" s="4">
        <f>IFERROR(__xludf.DUMMYFUNCTION("DATE(INDEX(SPLIT(G2644,""/""),,3),INDEX(SPLIT(G2644,""/""),,2),INDEX(SPLIT(G2644,""/""),,1))"),44701.0)</f>
        <v>44701</v>
      </c>
      <c r="I2644" s="1" t="s">
        <v>281</v>
      </c>
      <c r="J2644" s="4">
        <f>IFERROR(__xludf.DUMMYFUNCTION("DATE(INDEX(SPLIT(I2644,""/""),,3),INDEX(SPLIT(I2644,""/""),,2),INDEX(SPLIT(I2644,""/""),,1))"),44865.0)</f>
        <v>44865</v>
      </c>
      <c r="L2644" s="1">
        <v>0.0</v>
      </c>
      <c r="M2644" s="1" t="s">
        <v>6527</v>
      </c>
      <c r="N2644" s="1"/>
      <c r="O2644" s="1" t="s">
        <v>30</v>
      </c>
      <c r="P2644" s="1" t="s">
        <v>31</v>
      </c>
      <c r="Q2644" s="1" t="s">
        <v>53</v>
      </c>
      <c r="R2644" s="1" t="s">
        <v>53</v>
      </c>
      <c r="S2644" s="1" t="s">
        <v>54</v>
      </c>
      <c r="T2644" s="1" t="s">
        <v>2372</v>
      </c>
      <c r="U2644" s="1">
        <v>1.00983419E8</v>
      </c>
      <c r="X2644" s="1" t="s">
        <v>239</v>
      </c>
      <c r="Y2644" s="1" t="s">
        <v>3167</v>
      </c>
      <c r="Z2644" s="1" t="s">
        <v>37</v>
      </c>
    </row>
    <row r="2645" hidden="1">
      <c r="A2645" s="1" t="s">
        <v>8084</v>
      </c>
      <c r="B2645" s="1" t="s">
        <v>2131</v>
      </c>
      <c r="C2645" s="1" t="s">
        <v>8085</v>
      </c>
      <c r="D2645" s="1" t="s">
        <v>27</v>
      </c>
      <c r="E2645" s="1" t="s">
        <v>28</v>
      </c>
      <c r="F2645" s="2">
        <v>400000.0</v>
      </c>
      <c r="G2645" s="1" t="s">
        <v>551</v>
      </c>
      <c r="H2645" s="4">
        <f>IFERROR(__xludf.DUMMYFUNCTION("DATE(INDEX(SPLIT(G2645,""/""),,3),INDEX(SPLIT(G2645,""/""),,2),INDEX(SPLIT(G2645,""/""),,1))"),44701.0)</f>
        <v>44701</v>
      </c>
      <c r="I2645" s="1" t="s">
        <v>281</v>
      </c>
      <c r="J2645" s="4">
        <f>IFERROR(__xludf.DUMMYFUNCTION("DATE(INDEX(SPLIT(I2645,""/""),,3),INDEX(SPLIT(I2645,""/""),,2),INDEX(SPLIT(I2645,""/""),,1))"),44865.0)</f>
        <v>44865</v>
      </c>
      <c r="L2645" s="1">
        <v>0.0</v>
      </c>
      <c r="M2645" s="1" t="s">
        <v>4534</v>
      </c>
      <c r="N2645" s="1"/>
      <c r="O2645" s="1" t="s">
        <v>30</v>
      </c>
      <c r="P2645" s="1" t="s">
        <v>31</v>
      </c>
      <c r="Q2645" s="1" t="s">
        <v>228</v>
      </c>
      <c r="R2645" s="1" t="s">
        <v>228</v>
      </c>
      <c r="S2645" s="1" t="s">
        <v>229</v>
      </c>
      <c r="T2645" s="1" t="s">
        <v>2372</v>
      </c>
      <c r="U2645" s="1">
        <v>1.0065605E8</v>
      </c>
      <c r="X2645" s="1" t="s">
        <v>239</v>
      </c>
      <c r="Y2645" s="1" t="s">
        <v>3167</v>
      </c>
      <c r="Z2645" s="1" t="s">
        <v>37</v>
      </c>
    </row>
    <row r="2646" hidden="1">
      <c r="A2646" s="1" t="s">
        <v>8086</v>
      </c>
      <c r="B2646" s="1" t="s">
        <v>2131</v>
      </c>
      <c r="C2646" s="1" t="s">
        <v>8087</v>
      </c>
      <c r="D2646" s="1" t="s">
        <v>27</v>
      </c>
      <c r="E2646" s="1" t="s">
        <v>28</v>
      </c>
      <c r="F2646" s="2">
        <v>400000.0</v>
      </c>
      <c r="G2646" s="1" t="s">
        <v>551</v>
      </c>
      <c r="H2646" s="4">
        <f>IFERROR(__xludf.DUMMYFUNCTION("DATE(INDEX(SPLIT(G2646,""/""),,3),INDEX(SPLIT(G2646,""/""),,2),INDEX(SPLIT(G2646,""/""),,1))"),44701.0)</f>
        <v>44701</v>
      </c>
      <c r="I2646" s="1" t="s">
        <v>281</v>
      </c>
      <c r="J2646" s="4">
        <f>IFERROR(__xludf.DUMMYFUNCTION("DATE(INDEX(SPLIT(I2646,""/""),,3),INDEX(SPLIT(I2646,""/""),,2),INDEX(SPLIT(I2646,""/""),,1))"),44865.0)</f>
        <v>44865</v>
      </c>
      <c r="L2646" s="1">
        <v>0.0</v>
      </c>
      <c r="M2646" s="1" t="s">
        <v>8088</v>
      </c>
      <c r="N2646" s="1"/>
      <c r="O2646" s="1" t="s">
        <v>30</v>
      </c>
      <c r="P2646" s="1" t="s">
        <v>31</v>
      </c>
      <c r="Q2646" s="1" t="s">
        <v>228</v>
      </c>
      <c r="R2646" s="1" t="s">
        <v>228</v>
      </c>
      <c r="S2646" s="1" t="s">
        <v>229</v>
      </c>
      <c r="T2646" s="1" t="s">
        <v>2372</v>
      </c>
      <c r="U2646" s="1">
        <v>1.00882877E8</v>
      </c>
      <c r="X2646" s="1" t="s">
        <v>239</v>
      </c>
      <c r="Y2646" s="1" t="s">
        <v>3167</v>
      </c>
      <c r="Z2646" s="1" t="s">
        <v>206</v>
      </c>
    </row>
    <row r="2647" hidden="1">
      <c r="A2647" s="1" t="s">
        <v>8089</v>
      </c>
      <c r="B2647" s="1" t="s">
        <v>1070</v>
      </c>
      <c r="C2647" s="1" t="s">
        <v>8090</v>
      </c>
      <c r="D2647" s="1" t="s">
        <v>27</v>
      </c>
      <c r="E2647" s="1" t="s">
        <v>28</v>
      </c>
      <c r="F2647" s="2">
        <v>400000.0</v>
      </c>
      <c r="G2647" s="1" t="s">
        <v>50</v>
      </c>
      <c r="H2647" s="4">
        <f>IFERROR(__xludf.DUMMYFUNCTION("DATE(INDEX(SPLIT(G2647,""/""),,3),INDEX(SPLIT(G2647,""/""),,2),INDEX(SPLIT(G2647,""/""),,1))"),44547.0)</f>
        <v>44547</v>
      </c>
      <c r="I2647" s="1" t="s">
        <v>203</v>
      </c>
      <c r="J2647" s="4">
        <f>IFERROR(__xludf.DUMMYFUNCTION("DATE(INDEX(SPLIT(I2647,""/""),,3),INDEX(SPLIT(I2647,""/""),,2),INDEX(SPLIT(I2647,""/""),,1))"),44925.0)</f>
        <v>44925</v>
      </c>
      <c r="L2647" s="1">
        <v>0.0</v>
      </c>
      <c r="M2647" s="1" t="s">
        <v>8091</v>
      </c>
      <c r="N2647" s="1"/>
      <c r="O2647" s="1" t="s">
        <v>30</v>
      </c>
      <c r="P2647" s="1" t="s">
        <v>31</v>
      </c>
      <c r="Q2647" s="1" t="s">
        <v>32</v>
      </c>
      <c r="R2647" s="1" t="s">
        <v>32</v>
      </c>
      <c r="S2647" s="1" t="s">
        <v>33</v>
      </c>
      <c r="U2647" s="1">
        <v>1.00690563E8</v>
      </c>
      <c r="X2647" s="1" t="s">
        <v>305</v>
      </c>
      <c r="Y2647" s="1" t="s">
        <v>8091</v>
      </c>
      <c r="Z2647" s="1" t="s">
        <v>4777</v>
      </c>
    </row>
    <row r="2648" hidden="1">
      <c r="A2648" s="1" t="s">
        <v>8092</v>
      </c>
      <c r="B2648" s="1" t="s">
        <v>1542</v>
      </c>
      <c r="C2648" s="1" t="s">
        <v>8093</v>
      </c>
      <c r="D2648" s="1" t="s">
        <v>78</v>
      </c>
      <c r="E2648" s="1" t="s">
        <v>28</v>
      </c>
      <c r="F2648" s="2">
        <v>400000.0</v>
      </c>
      <c r="G2648" s="1" t="s">
        <v>1259</v>
      </c>
      <c r="H2648" s="4">
        <f>IFERROR(__xludf.DUMMYFUNCTION("DATE(INDEX(SPLIT(G2648,""/""),,3),INDEX(SPLIT(G2648,""/""),,2),INDEX(SPLIT(G2648,""/""),,1))"),44763.0)</f>
        <v>44763</v>
      </c>
      <c r="I2648" s="1" t="s">
        <v>281</v>
      </c>
      <c r="J2648" s="4">
        <f>IFERROR(__xludf.DUMMYFUNCTION("DATE(INDEX(SPLIT(I2648,""/""),,3),INDEX(SPLIT(I2648,""/""),,2),INDEX(SPLIT(I2648,""/""),,1))"),44865.0)</f>
        <v>44865</v>
      </c>
      <c r="L2648" s="1">
        <v>0.0</v>
      </c>
      <c r="M2648" s="1" t="s">
        <v>1088</v>
      </c>
      <c r="N2648" s="1"/>
      <c r="O2648" s="1" t="s">
        <v>30</v>
      </c>
      <c r="P2648" s="1" t="s">
        <v>31</v>
      </c>
      <c r="Q2648" s="1" t="s">
        <v>71</v>
      </c>
      <c r="R2648" s="1" t="s">
        <v>71</v>
      </c>
      <c r="S2648" s="1" t="s">
        <v>72</v>
      </c>
      <c r="T2648" s="1" t="s">
        <v>136</v>
      </c>
      <c r="U2648" s="1">
        <v>1.0090037E8</v>
      </c>
      <c r="X2648" s="1" t="s">
        <v>74</v>
      </c>
      <c r="Y2648" s="1" t="s">
        <v>1088</v>
      </c>
      <c r="Z2648" s="1" t="s">
        <v>37</v>
      </c>
    </row>
    <row r="2649" hidden="1">
      <c r="A2649" s="1" t="s">
        <v>8094</v>
      </c>
      <c r="B2649" s="1" t="s">
        <v>630</v>
      </c>
      <c r="C2649" s="1" t="s">
        <v>8095</v>
      </c>
      <c r="D2649" s="1" t="s">
        <v>78</v>
      </c>
      <c r="E2649" s="1" t="s">
        <v>28</v>
      </c>
      <c r="F2649" s="2">
        <v>400000.0</v>
      </c>
      <c r="G2649" s="4">
        <v>44717.0</v>
      </c>
      <c r="H2649" s="4">
        <f>IFERROR(__xludf.DUMMYFUNCTION("DATE(INDEX(SPLIT(G2649,""/""),,3),INDEX(SPLIT(G2649,""/""),,2),INDEX(SPLIT(G2649,""/""),,1))"),44687.0)</f>
        <v>44687</v>
      </c>
      <c r="I2649" s="1" t="s">
        <v>85</v>
      </c>
      <c r="J2649" s="4">
        <f>IFERROR(__xludf.DUMMYFUNCTION("DATE(INDEX(SPLIT(I2649,""/""),,3),INDEX(SPLIT(I2649,""/""),,2),INDEX(SPLIT(I2649,""/""),,1))"),44799.0)</f>
        <v>44799</v>
      </c>
      <c r="L2649" s="1">
        <v>0.0</v>
      </c>
      <c r="M2649" s="1" t="s">
        <v>7598</v>
      </c>
      <c r="N2649" s="1"/>
      <c r="O2649" s="1" t="s">
        <v>30</v>
      </c>
      <c r="P2649" s="1" t="s">
        <v>31</v>
      </c>
      <c r="Q2649" s="1" t="s">
        <v>32</v>
      </c>
      <c r="R2649" s="1" t="s">
        <v>32</v>
      </c>
      <c r="S2649" s="1" t="s">
        <v>33</v>
      </c>
      <c r="T2649" s="1" t="s">
        <v>1386</v>
      </c>
      <c r="U2649" s="1">
        <v>1.00644939E8</v>
      </c>
      <c r="X2649" s="1" t="s">
        <v>490</v>
      </c>
      <c r="Y2649" s="1" t="s">
        <v>4699</v>
      </c>
      <c r="Z2649" s="1" t="s">
        <v>37</v>
      </c>
    </row>
    <row r="2650" hidden="1">
      <c r="A2650" s="1" t="s">
        <v>8096</v>
      </c>
      <c r="B2650" s="1" t="s">
        <v>3040</v>
      </c>
      <c r="C2650" s="1" t="s">
        <v>8097</v>
      </c>
      <c r="D2650" s="1" t="s">
        <v>78</v>
      </c>
      <c r="E2650" s="1" t="s">
        <v>28</v>
      </c>
      <c r="F2650" s="2">
        <v>400000.0</v>
      </c>
      <c r="G2650" s="1" t="s">
        <v>1259</v>
      </c>
      <c r="H2650" s="4">
        <f>IFERROR(__xludf.DUMMYFUNCTION("DATE(INDEX(SPLIT(G2650,""/""),,3),INDEX(SPLIT(G2650,""/""),,2),INDEX(SPLIT(G2650,""/""),,1))"),44763.0)</f>
        <v>44763</v>
      </c>
      <c r="I2650" s="4">
        <v>44903.0</v>
      </c>
      <c r="J2650" s="4">
        <f>IFERROR(__xludf.DUMMYFUNCTION("DATE(INDEX(SPLIT(I2650,""/""),,3),INDEX(SPLIT(I2650,""/""),,2),INDEX(SPLIT(I2650,""/""),,1))"),44785.0)</f>
        <v>44785</v>
      </c>
      <c r="L2650" s="1">
        <v>0.0</v>
      </c>
      <c r="M2650" s="1" t="s">
        <v>2757</v>
      </c>
      <c r="N2650" s="1"/>
      <c r="O2650" s="1" t="s">
        <v>30</v>
      </c>
      <c r="P2650" s="1" t="s">
        <v>31</v>
      </c>
      <c r="Q2650" s="1" t="s">
        <v>32</v>
      </c>
      <c r="R2650" s="1" t="s">
        <v>32</v>
      </c>
      <c r="S2650" s="1" t="s">
        <v>33</v>
      </c>
      <c r="U2650" s="1">
        <v>1.00893232E8</v>
      </c>
      <c r="X2650" s="1" t="s">
        <v>125</v>
      </c>
      <c r="Y2650" s="1" t="s">
        <v>2757</v>
      </c>
      <c r="Z2650" s="1" t="s">
        <v>37</v>
      </c>
    </row>
    <row r="2651">
      <c r="A2651" s="1" t="s">
        <v>8098</v>
      </c>
      <c r="B2651" s="1" t="s">
        <v>3278</v>
      </c>
      <c r="C2651" s="1" t="s">
        <v>8099</v>
      </c>
      <c r="D2651" s="1" t="s">
        <v>78</v>
      </c>
      <c r="E2651" s="1" t="s">
        <v>28</v>
      </c>
      <c r="F2651" s="2">
        <v>400000.0</v>
      </c>
      <c r="G2651" s="1" t="s">
        <v>1128</v>
      </c>
      <c r="H2651" s="4">
        <f>IFERROR(__xludf.DUMMYFUNCTION("DATE(INDEX(SPLIT(G2651,""/""),,3),INDEX(SPLIT(G2651,""/""),,2),INDEX(SPLIT(G2651,""/""),,1))"),44737.0)</f>
        <v>44737</v>
      </c>
      <c r="I2651" s="1" t="s">
        <v>226</v>
      </c>
      <c r="J2651" s="4">
        <f>IFERROR(__xludf.DUMMYFUNCTION("DATE(INDEX(SPLIT(I2651,""/""),,3),INDEX(SPLIT(I2651,""/""),,2),INDEX(SPLIT(I2651,""/""),,1))"),44771.0)</f>
        <v>44771</v>
      </c>
      <c r="L2651" s="1">
        <v>0.0</v>
      </c>
      <c r="M2651" s="1" t="s">
        <v>1723</v>
      </c>
      <c r="N2651" s="1"/>
      <c r="O2651" s="1" t="s">
        <v>30</v>
      </c>
      <c r="P2651" s="1" t="s">
        <v>31</v>
      </c>
      <c r="Q2651" s="1" t="s">
        <v>157</v>
      </c>
      <c r="R2651" s="1" t="s">
        <v>157</v>
      </c>
      <c r="S2651" s="1" t="s">
        <v>158</v>
      </c>
      <c r="U2651" s="1">
        <v>1.00654085E8</v>
      </c>
      <c r="X2651" s="1" t="s">
        <v>74</v>
      </c>
      <c r="Y2651" s="1" t="s">
        <v>5552</v>
      </c>
      <c r="Z2651" s="1" t="s">
        <v>37</v>
      </c>
    </row>
    <row r="2652">
      <c r="A2652" s="1" t="s">
        <v>8100</v>
      </c>
      <c r="B2652" s="1" t="s">
        <v>1070</v>
      </c>
      <c r="C2652" s="1" t="s">
        <v>8101</v>
      </c>
      <c r="D2652" s="1" t="s">
        <v>78</v>
      </c>
      <c r="E2652" s="1" t="s">
        <v>28</v>
      </c>
      <c r="F2652" s="2">
        <v>400000.0</v>
      </c>
      <c r="G2652" s="4">
        <v>44748.0</v>
      </c>
      <c r="H2652" s="4">
        <f>IFERROR(__xludf.DUMMYFUNCTION("DATE(INDEX(SPLIT(G2652,""/""),,3),INDEX(SPLIT(G2652,""/""),,2),INDEX(SPLIT(G2652,""/""),,1))"),44719.0)</f>
        <v>44719</v>
      </c>
      <c r="I2652" s="1" t="s">
        <v>226</v>
      </c>
      <c r="J2652" s="4">
        <f>IFERROR(__xludf.DUMMYFUNCTION("DATE(INDEX(SPLIT(I2652,""/""),,3),INDEX(SPLIT(I2652,""/""),,2),INDEX(SPLIT(I2652,""/""),,1))"),44771.0)</f>
        <v>44771</v>
      </c>
      <c r="L2652" s="1">
        <v>0.0</v>
      </c>
      <c r="M2652" s="1" t="s">
        <v>1072</v>
      </c>
      <c r="N2652" s="1"/>
      <c r="O2652" s="1" t="s">
        <v>30</v>
      </c>
      <c r="P2652" s="1" t="s">
        <v>31</v>
      </c>
      <c r="Q2652" s="1" t="s">
        <v>157</v>
      </c>
      <c r="R2652" s="1" t="s">
        <v>157</v>
      </c>
      <c r="S2652" s="1" t="s">
        <v>158</v>
      </c>
      <c r="T2652" s="1" t="s">
        <v>571</v>
      </c>
      <c r="U2652" s="1">
        <v>1.00594872E8</v>
      </c>
      <c r="X2652" s="1" t="s">
        <v>305</v>
      </c>
      <c r="Y2652" s="1" t="s">
        <v>1072</v>
      </c>
      <c r="Z2652" s="1" t="s">
        <v>37</v>
      </c>
    </row>
    <row r="2653" hidden="1">
      <c r="A2653" s="1" t="s">
        <v>8102</v>
      </c>
      <c r="B2653" s="1" t="s">
        <v>1463</v>
      </c>
      <c r="C2653" s="1" t="s">
        <v>8103</v>
      </c>
      <c r="D2653" s="1" t="s">
        <v>78</v>
      </c>
      <c r="E2653" s="1" t="s">
        <v>28</v>
      </c>
      <c r="F2653" s="2">
        <v>400000.0</v>
      </c>
      <c r="G2653" s="1" t="s">
        <v>568</v>
      </c>
      <c r="H2653" s="4">
        <f>IFERROR(__xludf.DUMMYFUNCTION("DATE(INDEX(SPLIT(G2653,""/""),,3),INDEX(SPLIT(G2653,""/""),,2),INDEX(SPLIT(G2653,""/""),,1))"),44587.0)</f>
        <v>44587</v>
      </c>
      <c r="I2653" s="1" t="s">
        <v>42</v>
      </c>
      <c r="J2653" s="4">
        <f>IFERROR(__xludf.DUMMYFUNCTION("DATE(INDEX(SPLIT(I2653,""/""),,3),INDEX(SPLIT(I2653,""/""),,2),INDEX(SPLIT(I2653,""/""),,1))"),44926.0)</f>
        <v>44926</v>
      </c>
      <c r="L2653" s="1">
        <v>0.0</v>
      </c>
      <c r="M2653" s="1" t="s">
        <v>979</v>
      </c>
      <c r="N2653" s="1"/>
      <c r="O2653" s="1" t="s">
        <v>30</v>
      </c>
      <c r="P2653" s="1" t="s">
        <v>31</v>
      </c>
      <c r="Q2653" s="1" t="s">
        <v>235</v>
      </c>
      <c r="R2653" s="1" t="s">
        <v>235</v>
      </c>
      <c r="S2653" s="1" t="s">
        <v>236</v>
      </c>
      <c r="T2653" s="1" t="s">
        <v>438</v>
      </c>
      <c r="U2653" s="1">
        <v>1.00647262E8</v>
      </c>
      <c r="X2653" s="1" t="s">
        <v>88</v>
      </c>
      <c r="Y2653" s="1" t="s">
        <v>1582</v>
      </c>
      <c r="Z2653" s="1" t="s">
        <v>37</v>
      </c>
    </row>
    <row r="2654">
      <c r="A2654" s="1" t="s">
        <v>8104</v>
      </c>
      <c r="B2654" s="1" t="s">
        <v>39</v>
      </c>
      <c r="C2654" s="1" t="s">
        <v>8105</v>
      </c>
      <c r="D2654" s="1" t="s">
        <v>122</v>
      </c>
      <c r="E2654" s="1" t="s">
        <v>28</v>
      </c>
      <c r="F2654" s="2">
        <v>400000.0</v>
      </c>
      <c r="G2654" s="1" t="s">
        <v>394</v>
      </c>
      <c r="H2654" s="4">
        <f>IFERROR(__xludf.DUMMYFUNCTION("DATE(INDEX(SPLIT(G2654,""/""),,3),INDEX(SPLIT(G2654,""/""),,2),INDEX(SPLIT(G2654,""/""),,1))"),44677.0)</f>
        <v>44677</v>
      </c>
      <c r="I2654" s="1" t="s">
        <v>69</v>
      </c>
      <c r="J2654" s="4">
        <f>IFERROR(__xludf.DUMMYFUNCTION("DATE(INDEX(SPLIT(I2654,""/""),,3),INDEX(SPLIT(I2654,""/""),,2),INDEX(SPLIT(I2654,""/""),,1))"),44773.0)</f>
        <v>44773</v>
      </c>
      <c r="L2654" s="1">
        <v>0.0</v>
      </c>
      <c r="M2654" s="1" t="s">
        <v>5636</v>
      </c>
      <c r="N2654" s="1"/>
      <c r="O2654" s="1" t="s">
        <v>30</v>
      </c>
      <c r="P2654" s="1" t="s">
        <v>31</v>
      </c>
      <c r="Q2654" s="1" t="s">
        <v>228</v>
      </c>
      <c r="R2654" s="1" t="s">
        <v>228</v>
      </c>
      <c r="S2654" s="1" t="s">
        <v>229</v>
      </c>
      <c r="T2654" s="1" t="s">
        <v>513</v>
      </c>
      <c r="U2654" s="1">
        <v>1.00605581E8</v>
      </c>
      <c r="X2654" s="1" t="s">
        <v>46</v>
      </c>
      <c r="Y2654" s="1" t="s">
        <v>5636</v>
      </c>
      <c r="Z2654" s="1" t="s">
        <v>37</v>
      </c>
    </row>
    <row r="2655" hidden="1">
      <c r="A2655" s="1" t="s">
        <v>8106</v>
      </c>
      <c r="B2655" s="1" t="s">
        <v>8107</v>
      </c>
      <c r="C2655" s="1" t="s">
        <v>8108</v>
      </c>
      <c r="D2655" s="1" t="s">
        <v>78</v>
      </c>
      <c r="E2655" s="1" t="s">
        <v>28</v>
      </c>
      <c r="F2655" s="2">
        <v>400000.0</v>
      </c>
      <c r="G2655" s="1" t="s">
        <v>185</v>
      </c>
      <c r="H2655" s="4">
        <f>IFERROR(__xludf.DUMMYFUNCTION("DATE(INDEX(SPLIT(G2655,""/""),,3),INDEX(SPLIT(G2655,""/""),,2),INDEX(SPLIT(G2655,""/""),,1))"),44741.0)</f>
        <v>44741</v>
      </c>
      <c r="I2655" s="1" t="s">
        <v>130</v>
      </c>
      <c r="J2655" s="4">
        <f>IFERROR(__xludf.DUMMYFUNCTION("DATE(INDEX(SPLIT(I2655,""/""),,3),INDEX(SPLIT(I2655,""/""),,2),INDEX(SPLIT(I2655,""/""),,1))"),44804.0)</f>
        <v>44804</v>
      </c>
      <c r="L2655" s="1">
        <v>0.0</v>
      </c>
      <c r="M2655" s="1" t="s">
        <v>7998</v>
      </c>
      <c r="N2655" s="1"/>
      <c r="O2655" s="1" t="s">
        <v>30</v>
      </c>
      <c r="P2655" s="1" t="s">
        <v>31</v>
      </c>
      <c r="Q2655" s="1" t="s">
        <v>157</v>
      </c>
      <c r="R2655" s="1" t="s">
        <v>157</v>
      </c>
      <c r="S2655" s="1" t="s">
        <v>158</v>
      </c>
      <c r="U2655" s="1">
        <v>1.01237665E8</v>
      </c>
      <c r="X2655" s="1" t="s">
        <v>375</v>
      </c>
      <c r="Y2655" s="1" t="s">
        <v>6229</v>
      </c>
      <c r="Z2655" s="1" t="s">
        <v>37</v>
      </c>
    </row>
    <row r="2656">
      <c r="A2656" s="1" t="s">
        <v>8109</v>
      </c>
      <c r="B2656" s="1" t="s">
        <v>8110</v>
      </c>
      <c r="C2656" s="1" t="s">
        <v>8111</v>
      </c>
      <c r="D2656" s="1" t="s">
        <v>78</v>
      </c>
      <c r="E2656" s="1" t="s">
        <v>28</v>
      </c>
      <c r="F2656" s="2">
        <v>400000.0</v>
      </c>
      <c r="G2656" s="1" t="s">
        <v>1154</v>
      </c>
      <c r="H2656" s="4">
        <f>IFERROR(__xludf.DUMMYFUNCTION("DATE(INDEX(SPLIT(G2656,""/""),,3),INDEX(SPLIT(G2656,""/""),,2),INDEX(SPLIT(G2656,""/""),,1))"),44735.0)</f>
        <v>44735</v>
      </c>
      <c r="I2656" s="1" t="s">
        <v>226</v>
      </c>
      <c r="J2656" s="4">
        <f>IFERROR(__xludf.DUMMYFUNCTION("DATE(INDEX(SPLIT(I2656,""/""),,3),INDEX(SPLIT(I2656,""/""),,2),INDEX(SPLIT(I2656,""/""),,1))"),44771.0)</f>
        <v>44771</v>
      </c>
      <c r="L2656" s="1">
        <v>0.0</v>
      </c>
      <c r="M2656" s="1" t="s">
        <v>8112</v>
      </c>
      <c r="N2656" s="1"/>
      <c r="O2656" s="1" t="s">
        <v>30</v>
      </c>
      <c r="P2656" s="1" t="s">
        <v>31</v>
      </c>
      <c r="Q2656" s="1" t="s">
        <v>188</v>
      </c>
      <c r="R2656" s="1" t="s">
        <v>188</v>
      </c>
      <c r="S2656" s="1" t="s">
        <v>189</v>
      </c>
      <c r="U2656" s="1">
        <v>1.00653704E8</v>
      </c>
      <c r="X2656" s="1" t="s">
        <v>63</v>
      </c>
      <c r="Y2656" s="1" t="s">
        <v>8113</v>
      </c>
      <c r="Z2656" s="1" t="s">
        <v>37</v>
      </c>
    </row>
    <row r="2657" hidden="1">
      <c r="A2657" s="1" t="s">
        <v>8114</v>
      </c>
      <c r="B2657" s="1" t="s">
        <v>2895</v>
      </c>
      <c r="C2657" s="1" t="s">
        <v>8115</v>
      </c>
      <c r="D2657" s="1" t="s">
        <v>27</v>
      </c>
      <c r="E2657" s="1" t="s">
        <v>28</v>
      </c>
      <c r="F2657" s="2">
        <v>400000.0</v>
      </c>
      <c r="G2657" s="4">
        <v>43989.0</v>
      </c>
      <c r="H2657" s="4">
        <f>IFERROR(__xludf.DUMMYFUNCTION("DATE(INDEX(SPLIT(G2657,""/""),,3),INDEX(SPLIT(G2657,""/""),,2),INDEX(SPLIT(G2657,""/""),,1))"),44018.0)</f>
        <v>44018</v>
      </c>
      <c r="I2657" s="1" t="s">
        <v>134</v>
      </c>
      <c r="J2657" s="4">
        <f>IFERROR(__xludf.DUMMYFUNCTION("DATE(INDEX(SPLIT(I2657,""/""),,3),INDEX(SPLIT(I2657,""/""),,2),INDEX(SPLIT(I2657,""/""),,1))"),44792.0)</f>
        <v>44792</v>
      </c>
      <c r="L2657" s="1">
        <v>0.0</v>
      </c>
      <c r="M2657" s="1" t="s">
        <v>318</v>
      </c>
      <c r="N2657" s="1"/>
      <c r="O2657" s="1" t="s">
        <v>30</v>
      </c>
      <c r="P2657" s="1" t="s">
        <v>31</v>
      </c>
      <c r="Q2657" s="1" t="s">
        <v>71</v>
      </c>
      <c r="R2657" s="1" t="s">
        <v>71</v>
      </c>
      <c r="S2657" s="1" t="s">
        <v>72</v>
      </c>
      <c r="T2657" s="1" t="s">
        <v>73</v>
      </c>
      <c r="U2657" s="1">
        <v>1.00654705E8</v>
      </c>
      <c r="X2657" s="1" t="s">
        <v>74</v>
      </c>
      <c r="Y2657" s="1" t="s">
        <v>318</v>
      </c>
      <c r="Z2657" s="1" t="s">
        <v>37</v>
      </c>
    </row>
    <row r="2658" hidden="1">
      <c r="A2658" s="1" t="s">
        <v>8116</v>
      </c>
      <c r="B2658" s="1" t="s">
        <v>4209</v>
      </c>
      <c r="C2658" s="1" t="s">
        <v>8117</v>
      </c>
      <c r="D2658" s="1" t="s">
        <v>78</v>
      </c>
      <c r="E2658" s="1" t="s">
        <v>28</v>
      </c>
      <c r="F2658" s="2">
        <v>400000.0</v>
      </c>
      <c r="G2658" s="1" t="s">
        <v>298</v>
      </c>
      <c r="H2658" s="4">
        <f>IFERROR(__xludf.DUMMYFUNCTION("DATE(INDEX(SPLIT(G2658,""/""),,3),INDEX(SPLIT(G2658,""/""),,2),INDEX(SPLIT(G2658,""/""),,1))"),44762.0)</f>
        <v>44762</v>
      </c>
      <c r="I2658" s="1" t="s">
        <v>203</v>
      </c>
      <c r="J2658" s="4">
        <f>IFERROR(__xludf.DUMMYFUNCTION("DATE(INDEX(SPLIT(I2658,""/""),,3),INDEX(SPLIT(I2658,""/""),,2),INDEX(SPLIT(I2658,""/""),,1))"),44925.0)</f>
        <v>44925</v>
      </c>
      <c r="L2658" s="1">
        <v>0.0</v>
      </c>
      <c r="M2658" s="1" t="s">
        <v>4134</v>
      </c>
      <c r="N2658" s="1"/>
      <c r="O2658" s="1" t="s">
        <v>30</v>
      </c>
      <c r="P2658" s="1" t="s">
        <v>31</v>
      </c>
      <c r="Q2658" s="1" t="s">
        <v>53</v>
      </c>
      <c r="R2658" s="1" t="s">
        <v>53</v>
      </c>
      <c r="S2658" s="1" t="s">
        <v>54</v>
      </c>
      <c r="U2658" s="1">
        <v>1.00652666E8</v>
      </c>
      <c r="X2658" s="1" t="s">
        <v>63</v>
      </c>
      <c r="Y2658" s="1" t="s">
        <v>8118</v>
      </c>
      <c r="Z2658" s="1" t="s">
        <v>37</v>
      </c>
    </row>
    <row r="2659">
      <c r="A2659" s="1" t="s">
        <v>8119</v>
      </c>
      <c r="B2659" s="1" t="s">
        <v>4383</v>
      </c>
      <c r="C2659" s="1" t="s">
        <v>8120</v>
      </c>
      <c r="D2659" s="1" t="s">
        <v>68</v>
      </c>
      <c r="E2659" s="1" t="s">
        <v>28</v>
      </c>
      <c r="F2659" s="2">
        <v>400000.0</v>
      </c>
      <c r="G2659" s="4">
        <v>44298.0</v>
      </c>
      <c r="H2659" s="4">
        <f>IFERROR(__xludf.DUMMYFUNCTION("DATE(INDEX(SPLIT(G2659,""/""),,3),INDEX(SPLIT(G2659,""/""),,2),INDEX(SPLIT(G2659,""/""),,1))"),44534.0)</f>
        <v>44534</v>
      </c>
      <c r="I2659" s="1" t="s">
        <v>226</v>
      </c>
      <c r="J2659" s="4">
        <f>IFERROR(__xludf.DUMMYFUNCTION("DATE(INDEX(SPLIT(I2659,""/""),,3),INDEX(SPLIT(I2659,""/""),,2),INDEX(SPLIT(I2659,""/""),,1))"),44771.0)</f>
        <v>44771</v>
      </c>
      <c r="L2659" s="1">
        <v>0.0</v>
      </c>
      <c r="M2659" s="1" t="s">
        <v>2551</v>
      </c>
      <c r="N2659" s="1"/>
      <c r="O2659" s="1" t="s">
        <v>30</v>
      </c>
      <c r="P2659" s="1" t="s">
        <v>31</v>
      </c>
      <c r="Q2659" s="1" t="s">
        <v>95</v>
      </c>
      <c r="R2659" s="1" t="s">
        <v>95</v>
      </c>
      <c r="S2659" s="1" t="s">
        <v>96</v>
      </c>
      <c r="T2659" s="1" t="s">
        <v>111</v>
      </c>
      <c r="U2659" s="1">
        <v>1.00660092E8</v>
      </c>
      <c r="X2659" s="1" t="s">
        <v>46</v>
      </c>
      <c r="Y2659" s="1" t="s">
        <v>2552</v>
      </c>
      <c r="Z2659" s="1" t="s">
        <v>37</v>
      </c>
    </row>
    <row r="2660">
      <c r="A2660" s="1" t="s">
        <v>8121</v>
      </c>
      <c r="B2660" s="1" t="s">
        <v>2735</v>
      </c>
      <c r="C2660" s="1" t="s">
        <v>8122</v>
      </c>
      <c r="D2660" s="1" t="s">
        <v>78</v>
      </c>
      <c r="E2660" s="1" t="s">
        <v>28</v>
      </c>
      <c r="F2660" s="2">
        <v>400000.0</v>
      </c>
      <c r="G2660" s="1" t="s">
        <v>2077</v>
      </c>
      <c r="H2660" s="4">
        <f>IFERROR(__xludf.DUMMYFUNCTION("DATE(INDEX(SPLIT(G2660,""/""),,3),INDEX(SPLIT(G2660,""/""),,2),INDEX(SPLIT(G2660,""/""),,1))"),44700.0)</f>
        <v>44700</v>
      </c>
      <c r="I2660" s="1" t="s">
        <v>226</v>
      </c>
      <c r="J2660" s="4">
        <f>IFERROR(__xludf.DUMMYFUNCTION("DATE(INDEX(SPLIT(I2660,""/""),,3),INDEX(SPLIT(I2660,""/""),,2),INDEX(SPLIT(I2660,""/""),,1))"),44771.0)</f>
        <v>44771</v>
      </c>
      <c r="L2660" s="1">
        <v>0.0</v>
      </c>
      <c r="M2660" s="1" t="s">
        <v>570</v>
      </c>
      <c r="N2660" s="1"/>
      <c r="O2660" s="1" t="s">
        <v>30</v>
      </c>
      <c r="P2660" s="1" t="s">
        <v>31</v>
      </c>
      <c r="Q2660" s="1" t="s">
        <v>157</v>
      </c>
      <c r="R2660" s="1" t="s">
        <v>157</v>
      </c>
      <c r="S2660" s="1" t="s">
        <v>158</v>
      </c>
      <c r="T2660" s="1" t="s">
        <v>571</v>
      </c>
      <c r="U2660" s="1">
        <v>1.00586314E8</v>
      </c>
      <c r="X2660" s="1" t="s">
        <v>490</v>
      </c>
      <c r="Y2660" s="1" t="s">
        <v>5186</v>
      </c>
      <c r="Z2660" s="1" t="s">
        <v>37</v>
      </c>
    </row>
    <row r="2661" hidden="1">
      <c r="A2661" s="1" t="s">
        <v>8123</v>
      </c>
      <c r="B2661" s="1" t="s">
        <v>948</v>
      </c>
      <c r="C2661" s="1" t="s">
        <v>8124</v>
      </c>
      <c r="D2661" s="1" t="s">
        <v>78</v>
      </c>
      <c r="E2661" s="1" t="s">
        <v>28</v>
      </c>
      <c r="F2661" s="2">
        <v>400000.0</v>
      </c>
      <c r="G2661" s="4">
        <v>44657.0</v>
      </c>
      <c r="H2661" s="4">
        <f>IFERROR(__xludf.DUMMYFUNCTION("DATE(INDEX(SPLIT(G2661,""/""),,3),INDEX(SPLIT(G2661,""/""),,2),INDEX(SPLIT(G2661,""/""),,1))"),44716.0)</f>
        <v>44716</v>
      </c>
      <c r="I2661" s="1" t="s">
        <v>130</v>
      </c>
      <c r="J2661" s="4">
        <f>IFERROR(__xludf.DUMMYFUNCTION("DATE(INDEX(SPLIT(I2661,""/""),,3),INDEX(SPLIT(I2661,""/""),,2),INDEX(SPLIT(I2661,""/""),,1))"),44804.0)</f>
        <v>44804</v>
      </c>
      <c r="L2661" s="1">
        <v>0.0</v>
      </c>
      <c r="M2661" s="1" t="s">
        <v>5020</v>
      </c>
      <c r="N2661" s="1"/>
      <c r="O2661" s="1" t="s">
        <v>30</v>
      </c>
      <c r="P2661" s="1" t="s">
        <v>31</v>
      </c>
      <c r="Q2661" s="1" t="s">
        <v>157</v>
      </c>
      <c r="R2661" s="1" t="s">
        <v>157</v>
      </c>
      <c r="S2661" s="1" t="s">
        <v>158</v>
      </c>
      <c r="U2661" s="1">
        <v>1.0064746E8</v>
      </c>
      <c r="X2661" s="1" t="s">
        <v>74</v>
      </c>
      <c r="Y2661" s="1" t="s">
        <v>8125</v>
      </c>
      <c r="Z2661" s="1" t="s">
        <v>37</v>
      </c>
    </row>
    <row r="2662">
      <c r="A2662" s="1" t="s">
        <v>8126</v>
      </c>
      <c r="B2662" s="1" t="s">
        <v>4421</v>
      </c>
      <c r="C2662" s="1" t="s">
        <v>8127</v>
      </c>
      <c r="D2662" s="1" t="s">
        <v>122</v>
      </c>
      <c r="E2662" s="1" t="s">
        <v>28</v>
      </c>
      <c r="F2662" s="2">
        <v>400000.0</v>
      </c>
      <c r="G2662" s="4">
        <v>44746.0</v>
      </c>
      <c r="H2662" s="4">
        <f>IFERROR(__xludf.DUMMYFUNCTION("DATE(INDEX(SPLIT(G2662,""/""),,3),INDEX(SPLIT(G2662,""/""),,2),INDEX(SPLIT(G2662,""/""),,1))"),44658.0)</f>
        <v>44658</v>
      </c>
      <c r="I2662" s="1" t="s">
        <v>1244</v>
      </c>
      <c r="J2662" s="4">
        <f>IFERROR(__xludf.DUMMYFUNCTION("DATE(INDEX(SPLIT(I2662,""/""),,3),INDEX(SPLIT(I2662,""/""),,2),INDEX(SPLIT(I2662,""/""),,1))"),44742.0)</f>
        <v>44742</v>
      </c>
      <c r="L2662" s="1">
        <v>0.0</v>
      </c>
      <c r="M2662" s="1" t="s">
        <v>819</v>
      </c>
      <c r="N2662" s="1"/>
      <c r="O2662" s="1" t="s">
        <v>30</v>
      </c>
      <c r="P2662" s="1" t="s">
        <v>31</v>
      </c>
      <c r="Q2662" s="1" t="s">
        <v>53</v>
      </c>
      <c r="R2662" s="1" t="s">
        <v>53</v>
      </c>
      <c r="S2662" s="1" t="s">
        <v>54</v>
      </c>
      <c r="T2662" s="1" t="s">
        <v>634</v>
      </c>
      <c r="U2662" s="1">
        <v>1.00661738E8</v>
      </c>
      <c r="X2662" s="1" t="s">
        <v>490</v>
      </c>
      <c r="Y2662" s="1" t="s">
        <v>3788</v>
      </c>
      <c r="Z2662" s="1" t="s">
        <v>37</v>
      </c>
    </row>
    <row r="2663">
      <c r="A2663" s="1" t="s">
        <v>8128</v>
      </c>
      <c r="B2663" s="1" t="s">
        <v>645</v>
      </c>
      <c r="C2663" s="1" t="s">
        <v>8129</v>
      </c>
      <c r="D2663" s="1" t="s">
        <v>68</v>
      </c>
      <c r="E2663" s="1" t="s">
        <v>28</v>
      </c>
      <c r="F2663" s="2">
        <v>400000.0</v>
      </c>
      <c r="G2663" s="1" t="s">
        <v>2077</v>
      </c>
      <c r="H2663" s="4">
        <f>IFERROR(__xludf.DUMMYFUNCTION("DATE(INDEX(SPLIT(G2663,""/""),,3),INDEX(SPLIT(G2663,""/""),,2),INDEX(SPLIT(G2663,""/""),,1))"),44700.0)</f>
        <v>44700</v>
      </c>
      <c r="I2663" s="1" t="s">
        <v>518</v>
      </c>
      <c r="J2663" s="4">
        <f>IFERROR(__xludf.DUMMYFUNCTION("DATE(INDEX(SPLIT(I2663,""/""),,3),INDEX(SPLIT(I2663,""/""),,2),INDEX(SPLIT(I2663,""/""),,1))"),44757.0)</f>
        <v>44757</v>
      </c>
      <c r="L2663" s="1">
        <v>0.0</v>
      </c>
      <c r="M2663" s="1" t="s">
        <v>8130</v>
      </c>
      <c r="N2663" s="1"/>
      <c r="O2663" s="1" t="s">
        <v>30</v>
      </c>
      <c r="P2663" s="1" t="s">
        <v>31</v>
      </c>
      <c r="Q2663" s="1" t="s">
        <v>228</v>
      </c>
      <c r="R2663" s="1" t="s">
        <v>228</v>
      </c>
      <c r="S2663" s="1" t="s">
        <v>229</v>
      </c>
      <c r="T2663" s="1" t="s">
        <v>1558</v>
      </c>
      <c r="U2663" s="1">
        <v>1.0060809E8</v>
      </c>
      <c r="X2663" s="1" t="s">
        <v>239</v>
      </c>
      <c r="Y2663" s="1" t="s">
        <v>8131</v>
      </c>
      <c r="Z2663" s="1" t="s">
        <v>206</v>
      </c>
    </row>
    <row r="2664" hidden="1">
      <c r="A2664" s="1" t="s">
        <v>8132</v>
      </c>
      <c r="B2664" s="1" t="s">
        <v>612</v>
      </c>
      <c r="C2664" s="1" t="s">
        <v>8133</v>
      </c>
      <c r="D2664" s="1" t="s">
        <v>68</v>
      </c>
      <c r="E2664" s="1" t="s">
        <v>28</v>
      </c>
      <c r="F2664" s="2">
        <v>400000.0</v>
      </c>
      <c r="G2664" s="4">
        <v>44625.0</v>
      </c>
      <c r="H2664" s="4">
        <f>IFERROR(__xludf.DUMMYFUNCTION("DATE(INDEX(SPLIT(G2664,""/""),,3),INDEX(SPLIT(G2664,""/""),,2),INDEX(SPLIT(G2664,""/""),,1))"),44684.0)</f>
        <v>44684</v>
      </c>
      <c r="I2664" s="1" t="s">
        <v>85</v>
      </c>
      <c r="J2664" s="4">
        <f>IFERROR(__xludf.DUMMYFUNCTION("DATE(INDEX(SPLIT(I2664,""/""),,3),INDEX(SPLIT(I2664,""/""),,2),INDEX(SPLIT(I2664,""/""),,1))"),44799.0)</f>
        <v>44799</v>
      </c>
      <c r="L2664" s="1">
        <v>0.0</v>
      </c>
      <c r="M2664" s="1" t="s">
        <v>7054</v>
      </c>
      <c r="N2664" s="1"/>
      <c r="O2664" s="1" t="s">
        <v>30</v>
      </c>
      <c r="P2664" s="1" t="s">
        <v>31</v>
      </c>
      <c r="Q2664" s="1" t="s">
        <v>157</v>
      </c>
      <c r="R2664" s="1" t="s">
        <v>157</v>
      </c>
      <c r="S2664" s="1" t="s">
        <v>158</v>
      </c>
      <c r="T2664" s="1" t="s">
        <v>159</v>
      </c>
      <c r="U2664" s="1">
        <v>1.00648324E8</v>
      </c>
      <c r="X2664" s="1" t="s">
        <v>490</v>
      </c>
      <c r="Y2664" s="1" t="s">
        <v>8134</v>
      </c>
      <c r="Z2664" s="1" t="s">
        <v>37</v>
      </c>
    </row>
    <row r="2665" hidden="1">
      <c r="A2665" s="1" t="s">
        <v>8135</v>
      </c>
      <c r="B2665" s="1" t="s">
        <v>2131</v>
      </c>
      <c r="C2665" s="1" t="s">
        <v>8136</v>
      </c>
      <c r="D2665" s="1" t="s">
        <v>27</v>
      </c>
      <c r="E2665" s="1" t="s">
        <v>28</v>
      </c>
      <c r="F2665" s="2">
        <v>400000.0</v>
      </c>
      <c r="G2665" s="4">
        <v>44471.0</v>
      </c>
      <c r="H2665" s="4">
        <f>IFERROR(__xludf.DUMMYFUNCTION("DATE(INDEX(SPLIT(G2665,""/""),,3),INDEX(SPLIT(G2665,""/""),,2),INDEX(SPLIT(G2665,""/""),,1))"),44237.0)</f>
        <v>44237</v>
      </c>
      <c r="I2665" s="1" t="s">
        <v>652</v>
      </c>
      <c r="J2665" s="4">
        <f>IFERROR(__xludf.DUMMYFUNCTION("DATE(INDEX(SPLIT(I2665,""/""),,3),INDEX(SPLIT(I2665,""/""),,2),INDEX(SPLIT(I2665,""/""),,1))"),44863.0)</f>
        <v>44863</v>
      </c>
      <c r="L2665" s="1">
        <v>0.0</v>
      </c>
      <c r="M2665" s="1" t="s">
        <v>3580</v>
      </c>
      <c r="N2665" s="1"/>
      <c r="O2665" s="1" t="s">
        <v>30</v>
      </c>
      <c r="P2665" s="1" t="s">
        <v>31</v>
      </c>
      <c r="Q2665" s="1" t="s">
        <v>157</v>
      </c>
      <c r="R2665" s="1" t="s">
        <v>157</v>
      </c>
      <c r="S2665" s="1" t="s">
        <v>158</v>
      </c>
      <c r="T2665" s="1" t="s">
        <v>237</v>
      </c>
      <c r="U2665" s="1">
        <v>1.00956516E8</v>
      </c>
      <c r="X2665" s="1" t="s">
        <v>239</v>
      </c>
      <c r="Y2665" s="1" t="s">
        <v>3167</v>
      </c>
      <c r="Z2665" s="1" t="s">
        <v>37</v>
      </c>
    </row>
    <row r="2666" hidden="1">
      <c r="A2666" s="1" t="s">
        <v>8137</v>
      </c>
      <c r="B2666" s="1" t="s">
        <v>1050</v>
      </c>
      <c r="C2666" s="1" t="s">
        <v>8138</v>
      </c>
      <c r="D2666" s="1" t="s">
        <v>27</v>
      </c>
      <c r="E2666" s="1" t="s">
        <v>28</v>
      </c>
      <c r="F2666" s="2">
        <v>400000.0</v>
      </c>
      <c r="G2666" s="4">
        <v>44266.0</v>
      </c>
      <c r="H2666" s="4">
        <f>IFERROR(__xludf.DUMMYFUNCTION("DATE(INDEX(SPLIT(G2666,""/""),,3),INDEX(SPLIT(G2666,""/""),,2),INDEX(SPLIT(G2666,""/""),,1))"),44503.0)</f>
        <v>44503</v>
      </c>
      <c r="I2666" s="1" t="s">
        <v>487</v>
      </c>
      <c r="J2666" s="4">
        <f>IFERROR(__xludf.DUMMYFUNCTION("DATE(INDEX(SPLIT(I2666,""/""),,3),INDEX(SPLIT(I2666,""/""),,2),INDEX(SPLIT(I2666,""/""),,1))"),44855.0)</f>
        <v>44855</v>
      </c>
      <c r="L2666" s="1">
        <v>0.0</v>
      </c>
      <c r="M2666" s="1" t="s">
        <v>1052</v>
      </c>
      <c r="N2666" s="1"/>
      <c r="O2666" s="1" t="s">
        <v>30</v>
      </c>
      <c r="P2666" s="1" t="s">
        <v>31</v>
      </c>
      <c r="Q2666" s="1" t="s">
        <v>235</v>
      </c>
      <c r="R2666" s="1" t="s">
        <v>235</v>
      </c>
      <c r="S2666" s="1" t="s">
        <v>236</v>
      </c>
      <c r="T2666" s="1" t="s">
        <v>237</v>
      </c>
      <c r="U2666" s="1">
        <v>1.00650344E8</v>
      </c>
      <c r="X2666" s="1" t="s">
        <v>239</v>
      </c>
      <c r="Y2666" s="1" t="s">
        <v>4986</v>
      </c>
      <c r="Z2666" s="1" t="s">
        <v>37</v>
      </c>
    </row>
    <row r="2667">
      <c r="A2667" s="1" t="s">
        <v>8139</v>
      </c>
      <c r="B2667" s="1" t="s">
        <v>8140</v>
      </c>
      <c r="C2667" s="1" t="s">
        <v>8141</v>
      </c>
      <c r="D2667" s="1" t="s">
        <v>27</v>
      </c>
      <c r="E2667" s="1" t="s">
        <v>28</v>
      </c>
      <c r="F2667" s="2">
        <v>400000.0</v>
      </c>
      <c r="G2667" s="4">
        <v>44597.0</v>
      </c>
      <c r="H2667" s="4">
        <f>IFERROR(__xludf.DUMMYFUNCTION("DATE(INDEX(SPLIT(G2667,""/""),,3),INDEX(SPLIT(G2667,""/""),,2),INDEX(SPLIT(G2667,""/""),,1))"),44683.0)</f>
        <v>44683</v>
      </c>
      <c r="I2667" s="1" t="s">
        <v>226</v>
      </c>
      <c r="J2667" s="4">
        <f>IFERROR(__xludf.DUMMYFUNCTION("DATE(INDEX(SPLIT(I2667,""/""),,3),INDEX(SPLIT(I2667,""/""),,2),INDEX(SPLIT(I2667,""/""),,1))"),44771.0)</f>
        <v>44771</v>
      </c>
      <c r="L2667" s="1">
        <v>0.0</v>
      </c>
      <c r="M2667" s="1" t="s">
        <v>3854</v>
      </c>
      <c r="N2667" s="1"/>
      <c r="O2667" s="1" t="s">
        <v>30</v>
      </c>
      <c r="P2667" s="1" t="s">
        <v>31</v>
      </c>
      <c r="Q2667" s="1" t="s">
        <v>71</v>
      </c>
      <c r="R2667" s="1" t="s">
        <v>71</v>
      </c>
      <c r="S2667" s="1" t="s">
        <v>72</v>
      </c>
      <c r="T2667" s="1" t="s">
        <v>136</v>
      </c>
      <c r="U2667" s="1">
        <v>1.00603613E8</v>
      </c>
      <c r="V2667" s="1" t="s">
        <v>8142</v>
      </c>
      <c r="W2667" s="1" t="s">
        <v>45</v>
      </c>
      <c r="X2667" s="1" t="s">
        <v>74</v>
      </c>
      <c r="Y2667" s="1" t="s">
        <v>4864</v>
      </c>
      <c r="Z2667" s="1" t="s">
        <v>37</v>
      </c>
    </row>
    <row r="2668" hidden="1">
      <c r="A2668" s="1" t="s">
        <v>8143</v>
      </c>
      <c r="B2668" s="1" t="s">
        <v>8144</v>
      </c>
      <c r="C2668" s="1" t="s">
        <v>8145</v>
      </c>
      <c r="D2668" s="1" t="s">
        <v>27</v>
      </c>
      <c r="E2668" s="1" t="s">
        <v>28</v>
      </c>
      <c r="F2668" s="2">
        <v>400000.0</v>
      </c>
      <c r="G2668" s="4">
        <v>44836.0</v>
      </c>
      <c r="H2668" s="4">
        <f>IFERROR(__xludf.DUMMYFUNCTION("DATE(INDEX(SPLIT(G2668,""/""),,3),INDEX(SPLIT(G2668,""/""),,2),INDEX(SPLIT(G2668,""/""),,1))"),44602.0)</f>
        <v>44602</v>
      </c>
      <c r="I2668" s="4">
        <v>44816.0</v>
      </c>
      <c r="J2668" s="4">
        <f>IFERROR(__xludf.DUMMYFUNCTION("DATE(INDEX(SPLIT(I2668,""/""),,3),INDEX(SPLIT(I2668,""/""),,2),INDEX(SPLIT(I2668,""/""),,1))"),44904.0)</f>
        <v>44904</v>
      </c>
      <c r="L2668" s="1">
        <v>0.0</v>
      </c>
      <c r="M2668" s="1" t="s">
        <v>979</v>
      </c>
      <c r="N2668" s="1"/>
      <c r="O2668" s="1" t="s">
        <v>30</v>
      </c>
      <c r="P2668" s="1" t="s">
        <v>31</v>
      </c>
      <c r="Q2668" s="1" t="s">
        <v>235</v>
      </c>
      <c r="R2668" s="1" t="s">
        <v>235</v>
      </c>
      <c r="S2668" s="1" t="s">
        <v>236</v>
      </c>
      <c r="T2668" s="1" t="s">
        <v>438</v>
      </c>
      <c r="U2668" s="1">
        <v>1.00647262E8</v>
      </c>
      <c r="X2668" s="1" t="s">
        <v>88</v>
      </c>
      <c r="Y2668" s="1" t="s">
        <v>979</v>
      </c>
      <c r="Z2668" s="1" t="s">
        <v>37</v>
      </c>
    </row>
    <row r="2669" hidden="1">
      <c r="A2669" s="1" t="s">
        <v>8146</v>
      </c>
      <c r="B2669" s="1" t="s">
        <v>3930</v>
      </c>
      <c r="C2669" s="1" t="s">
        <v>8147</v>
      </c>
      <c r="D2669" s="1" t="s">
        <v>122</v>
      </c>
      <c r="E2669" s="1" t="s">
        <v>28</v>
      </c>
      <c r="F2669" s="2">
        <v>398000.0</v>
      </c>
      <c r="G2669" s="4">
        <v>44626.0</v>
      </c>
      <c r="H2669" s="4">
        <f>IFERROR(__xludf.DUMMYFUNCTION("DATE(INDEX(SPLIT(G2669,""/""),,3),INDEX(SPLIT(G2669,""/""),,2),INDEX(SPLIT(G2669,""/""),,1))"),44715.0)</f>
        <v>44715</v>
      </c>
      <c r="I2669" s="4">
        <v>44903.0</v>
      </c>
      <c r="J2669" s="4">
        <f>IFERROR(__xludf.DUMMYFUNCTION("DATE(INDEX(SPLIT(I2669,""/""),,3),INDEX(SPLIT(I2669,""/""),,2),INDEX(SPLIT(I2669,""/""),,1))"),44785.0)</f>
        <v>44785</v>
      </c>
      <c r="L2669" s="1">
        <v>0.0</v>
      </c>
      <c r="M2669" s="1" t="s">
        <v>2247</v>
      </c>
      <c r="N2669" s="1"/>
      <c r="O2669" s="1" t="s">
        <v>30</v>
      </c>
      <c r="P2669" s="1" t="s">
        <v>31</v>
      </c>
      <c r="Q2669" s="1" t="s">
        <v>32</v>
      </c>
      <c r="R2669" s="1" t="s">
        <v>32</v>
      </c>
      <c r="S2669" s="1" t="s">
        <v>33</v>
      </c>
      <c r="T2669" s="1" t="s">
        <v>402</v>
      </c>
      <c r="U2669" s="1">
        <v>1.01076271E8</v>
      </c>
      <c r="Y2669" s="1" t="s">
        <v>3080</v>
      </c>
      <c r="Z2669" s="1" t="s">
        <v>206</v>
      </c>
    </row>
    <row r="2670" hidden="1">
      <c r="A2670" s="1" t="s">
        <v>8148</v>
      </c>
      <c r="B2670" s="1" t="s">
        <v>8149</v>
      </c>
      <c r="C2670" s="1" t="s">
        <v>8150</v>
      </c>
      <c r="D2670" s="1" t="s">
        <v>122</v>
      </c>
      <c r="E2670" s="1" t="s">
        <v>28</v>
      </c>
      <c r="F2670" s="2">
        <v>396960.0</v>
      </c>
      <c r="G2670" s="1" t="s">
        <v>3972</v>
      </c>
      <c r="H2670" s="4">
        <f>IFERROR(__xludf.DUMMYFUNCTION("DATE(INDEX(SPLIT(G2670,""/""),,3),INDEX(SPLIT(G2670,""/""),,2),INDEX(SPLIT(G2670,""/""),,1))"),44637.0)</f>
        <v>44637</v>
      </c>
      <c r="I2670" s="1" t="s">
        <v>130</v>
      </c>
      <c r="J2670" s="4">
        <f>IFERROR(__xludf.DUMMYFUNCTION("DATE(INDEX(SPLIT(I2670,""/""),,3),INDEX(SPLIT(I2670,""/""),,2),INDEX(SPLIT(I2670,""/""),,1))"),44804.0)</f>
        <v>44804</v>
      </c>
      <c r="L2670" s="1">
        <v>0.0</v>
      </c>
      <c r="M2670" s="1" t="s">
        <v>752</v>
      </c>
      <c r="N2670" s="1"/>
      <c r="O2670" s="1" t="s">
        <v>30</v>
      </c>
      <c r="P2670" s="1" t="s">
        <v>31</v>
      </c>
      <c r="Q2670" s="1" t="s">
        <v>235</v>
      </c>
      <c r="R2670" s="1" t="s">
        <v>235</v>
      </c>
      <c r="S2670" s="1" t="s">
        <v>236</v>
      </c>
      <c r="T2670" s="1" t="s">
        <v>753</v>
      </c>
      <c r="U2670" s="1">
        <v>1.00899005E8</v>
      </c>
      <c r="X2670" s="1" t="s">
        <v>88</v>
      </c>
      <c r="Y2670" s="1" t="s">
        <v>754</v>
      </c>
      <c r="Z2670" s="1" t="s">
        <v>37</v>
      </c>
    </row>
    <row r="2671" hidden="1">
      <c r="A2671" s="1" t="s">
        <v>8151</v>
      </c>
      <c r="B2671" s="1" t="s">
        <v>66</v>
      </c>
      <c r="C2671" s="1" t="s">
        <v>8152</v>
      </c>
      <c r="D2671" s="1" t="s">
        <v>122</v>
      </c>
      <c r="E2671" s="1" t="s">
        <v>28</v>
      </c>
      <c r="F2671" s="2">
        <v>396000.0</v>
      </c>
      <c r="G2671" s="1" t="s">
        <v>818</v>
      </c>
      <c r="H2671" s="4">
        <f>IFERROR(__xludf.DUMMYFUNCTION("DATE(INDEX(SPLIT(G2671,""/""),,3),INDEX(SPLIT(G2671,""/""),,2),INDEX(SPLIT(G2671,""/""),,1))"),44553.0)</f>
        <v>44553</v>
      </c>
      <c r="I2671" s="1" t="s">
        <v>1799</v>
      </c>
      <c r="J2671" s="4">
        <f>IFERROR(__xludf.DUMMYFUNCTION("DATE(INDEX(SPLIT(I2671,""/""),,3),INDEX(SPLIT(I2671,""/""),,2),INDEX(SPLIT(I2671,""/""),,1))"),44788.0)</f>
        <v>44788</v>
      </c>
      <c r="L2671" s="1">
        <v>0.0</v>
      </c>
      <c r="M2671" s="1" t="s">
        <v>3663</v>
      </c>
      <c r="N2671" s="1"/>
      <c r="O2671" s="1" t="s">
        <v>30</v>
      </c>
      <c r="P2671" s="1" t="s">
        <v>31</v>
      </c>
      <c r="Q2671" s="1" t="s">
        <v>95</v>
      </c>
      <c r="R2671" s="1" t="s">
        <v>95</v>
      </c>
      <c r="S2671" s="1" t="s">
        <v>96</v>
      </c>
      <c r="T2671" s="1" t="s">
        <v>489</v>
      </c>
      <c r="U2671" s="1">
        <v>1.00620159E8</v>
      </c>
      <c r="X2671" s="1" t="s">
        <v>74</v>
      </c>
      <c r="Y2671" s="1" t="s">
        <v>8153</v>
      </c>
      <c r="Z2671" s="1" t="s">
        <v>37</v>
      </c>
    </row>
    <row r="2672">
      <c r="A2672" s="1" t="s">
        <v>8154</v>
      </c>
      <c r="B2672" s="1" t="s">
        <v>2145</v>
      </c>
      <c r="C2672" s="1" t="s">
        <v>3335</v>
      </c>
      <c r="D2672" s="1" t="s">
        <v>122</v>
      </c>
      <c r="E2672" s="1" t="s">
        <v>28</v>
      </c>
      <c r="F2672" s="2">
        <v>395000.0</v>
      </c>
      <c r="G2672" s="1" t="s">
        <v>779</v>
      </c>
      <c r="H2672" s="4">
        <f>IFERROR(__xludf.DUMMYFUNCTION("DATE(INDEX(SPLIT(G2672,""/""),,3),INDEX(SPLIT(G2672,""/""),,2),INDEX(SPLIT(G2672,""/""),,1))"),44734.0)</f>
        <v>44734</v>
      </c>
      <c r="I2672" s="1" t="s">
        <v>226</v>
      </c>
      <c r="J2672" s="4">
        <f>IFERROR(__xludf.DUMMYFUNCTION("DATE(INDEX(SPLIT(I2672,""/""),,3),INDEX(SPLIT(I2672,""/""),,2),INDEX(SPLIT(I2672,""/""),,1))"),44771.0)</f>
        <v>44771</v>
      </c>
      <c r="L2672" s="1">
        <v>0.0</v>
      </c>
      <c r="M2672" s="1" t="s">
        <v>2147</v>
      </c>
      <c r="N2672" s="1"/>
      <c r="O2672" s="1" t="s">
        <v>30</v>
      </c>
      <c r="P2672" s="1" t="s">
        <v>31</v>
      </c>
      <c r="Q2672" s="1" t="s">
        <v>235</v>
      </c>
      <c r="R2672" s="1" t="s">
        <v>235</v>
      </c>
      <c r="S2672" s="1" t="s">
        <v>236</v>
      </c>
      <c r="T2672" s="1" t="s">
        <v>237</v>
      </c>
      <c r="U2672" s="1">
        <v>1.00647935E8</v>
      </c>
      <c r="W2672" s="1" t="s">
        <v>56</v>
      </c>
      <c r="X2672" s="1" t="s">
        <v>239</v>
      </c>
      <c r="Y2672" s="1" t="s">
        <v>2147</v>
      </c>
      <c r="Z2672" s="1" t="s">
        <v>37</v>
      </c>
    </row>
    <row r="2673">
      <c r="A2673" s="1" t="s">
        <v>8155</v>
      </c>
      <c r="B2673" s="1" t="s">
        <v>8156</v>
      </c>
      <c r="C2673" s="1" t="s">
        <v>8157</v>
      </c>
      <c r="D2673" s="1" t="s">
        <v>122</v>
      </c>
      <c r="E2673" s="1" t="s">
        <v>28</v>
      </c>
      <c r="F2673" s="2">
        <v>395000.0</v>
      </c>
      <c r="G2673" s="1" t="s">
        <v>271</v>
      </c>
      <c r="H2673" s="4">
        <f>IFERROR(__xludf.DUMMYFUNCTION("DATE(INDEX(SPLIT(G2673,""/""),,3),INDEX(SPLIT(G2673,""/""),,2),INDEX(SPLIT(G2673,""/""),,1))"),44680.0)</f>
        <v>44680</v>
      </c>
      <c r="I2673" s="1" t="s">
        <v>226</v>
      </c>
      <c r="J2673" s="4">
        <f>IFERROR(__xludf.DUMMYFUNCTION("DATE(INDEX(SPLIT(I2673,""/""),,3),INDEX(SPLIT(I2673,""/""),,2),INDEX(SPLIT(I2673,""/""),,1))"),44771.0)</f>
        <v>44771</v>
      </c>
      <c r="L2673" s="1">
        <v>0.0</v>
      </c>
      <c r="M2673" s="1" t="s">
        <v>3116</v>
      </c>
      <c r="N2673" s="1"/>
      <c r="O2673" s="1" t="s">
        <v>30</v>
      </c>
      <c r="P2673" s="1" t="s">
        <v>31</v>
      </c>
      <c r="Q2673" s="1" t="s">
        <v>157</v>
      </c>
      <c r="R2673" s="1" t="s">
        <v>157</v>
      </c>
      <c r="S2673" s="1" t="s">
        <v>158</v>
      </c>
      <c r="U2673" s="1">
        <v>1.00574828E8</v>
      </c>
      <c r="X2673" s="1" t="s">
        <v>63</v>
      </c>
      <c r="Y2673" s="1" t="s">
        <v>3117</v>
      </c>
      <c r="Z2673" s="1" t="s">
        <v>37</v>
      </c>
    </row>
    <row r="2674">
      <c r="A2674" s="1" t="s">
        <v>8158</v>
      </c>
      <c r="B2674" s="1" t="s">
        <v>5325</v>
      </c>
      <c r="C2674" s="1" t="s">
        <v>8159</v>
      </c>
      <c r="D2674" s="1" t="s">
        <v>68</v>
      </c>
      <c r="E2674" s="1" t="s">
        <v>28</v>
      </c>
      <c r="F2674" s="2">
        <v>395000.0</v>
      </c>
      <c r="G2674" s="1" t="s">
        <v>862</v>
      </c>
      <c r="H2674" s="4">
        <f>IFERROR(__xludf.DUMMYFUNCTION("DATE(INDEX(SPLIT(G2674,""/""),,3),INDEX(SPLIT(G2674,""/""),,2),INDEX(SPLIT(G2674,""/""),,1))"),44699.0)</f>
        <v>44699</v>
      </c>
      <c r="I2674" s="1" t="s">
        <v>8160</v>
      </c>
      <c r="J2674" s="4">
        <f>IFERROR(__xludf.DUMMYFUNCTION("DATE(INDEX(SPLIT(I2674,""/""),,3),INDEX(SPLIT(I2674,""/""),,2),INDEX(SPLIT(I2674,""/""),,1))"),44768.0)</f>
        <v>44768</v>
      </c>
      <c r="L2674" s="1">
        <v>0.0</v>
      </c>
      <c r="M2674" s="1" t="s">
        <v>2724</v>
      </c>
      <c r="N2674" s="1"/>
      <c r="O2674" s="1" t="s">
        <v>30</v>
      </c>
      <c r="P2674" s="1" t="s">
        <v>31</v>
      </c>
      <c r="Q2674" s="1" t="s">
        <v>32</v>
      </c>
      <c r="R2674" s="1" t="s">
        <v>32</v>
      </c>
      <c r="S2674" s="1" t="s">
        <v>33</v>
      </c>
      <c r="T2674" s="1" t="s">
        <v>1195</v>
      </c>
      <c r="U2674" s="1">
        <v>1.00606975E8</v>
      </c>
      <c r="X2674" s="1" t="s">
        <v>490</v>
      </c>
      <c r="Y2674" s="1" t="s">
        <v>2765</v>
      </c>
      <c r="Z2674" s="1" t="s">
        <v>37</v>
      </c>
    </row>
    <row r="2675" hidden="1">
      <c r="A2675" s="1" t="s">
        <v>8161</v>
      </c>
      <c r="B2675" s="1" t="s">
        <v>8162</v>
      </c>
      <c r="C2675" s="1" t="s">
        <v>8163</v>
      </c>
      <c r="D2675" s="1" t="s">
        <v>27</v>
      </c>
      <c r="E2675" s="1" t="s">
        <v>28</v>
      </c>
      <c r="F2675" s="2">
        <v>390625.0</v>
      </c>
      <c r="G2675" s="1" t="s">
        <v>108</v>
      </c>
      <c r="H2675" s="4">
        <f>IFERROR(__xludf.DUMMYFUNCTION("DATE(INDEX(SPLIT(G2675,""/""),,3),INDEX(SPLIT(G2675,""/""),,2),INDEX(SPLIT(G2675,""/""),,1))"),44725.0)</f>
        <v>44725</v>
      </c>
      <c r="I2675" s="1" t="s">
        <v>42</v>
      </c>
      <c r="J2675" s="4">
        <f>IFERROR(__xludf.DUMMYFUNCTION("DATE(INDEX(SPLIT(I2675,""/""),,3),INDEX(SPLIT(I2675,""/""),,2),INDEX(SPLIT(I2675,""/""),,1))"),44926.0)</f>
        <v>44926</v>
      </c>
      <c r="L2675" s="1">
        <v>0.0</v>
      </c>
      <c r="M2675" s="1" t="s">
        <v>52</v>
      </c>
      <c r="N2675" s="1"/>
      <c r="O2675" s="1" t="s">
        <v>30</v>
      </c>
      <c r="P2675" s="1" t="s">
        <v>31</v>
      </c>
      <c r="Q2675" s="1" t="s">
        <v>53</v>
      </c>
      <c r="R2675" s="1" t="s">
        <v>53</v>
      </c>
      <c r="S2675" s="1" t="s">
        <v>54</v>
      </c>
      <c r="T2675" s="1" t="s">
        <v>103</v>
      </c>
      <c r="U2675" s="1">
        <v>1.01059432E8</v>
      </c>
      <c r="X2675" s="1" t="s">
        <v>312</v>
      </c>
      <c r="Y2675" s="1" t="s">
        <v>52</v>
      </c>
      <c r="Z2675" s="1" t="s">
        <v>37</v>
      </c>
    </row>
    <row r="2676" hidden="1">
      <c r="A2676" s="1" t="s">
        <v>8164</v>
      </c>
      <c r="B2676" s="1" t="s">
        <v>8162</v>
      </c>
      <c r="C2676" s="1" t="s">
        <v>8165</v>
      </c>
      <c r="D2676" s="1" t="s">
        <v>27</v>
      </c>
      <c r="E2676" s="1" t="s">
        <v>28</v>
      </c>
      <c r="F2676" s="2">
        <v>390625.0</v>
      </c>
      <c r="G2676" s="1" t="s">
        <v>108</v>
      </c>
      <c r="H2676" s="4">
        <f>IFERROR(__xludf.DUMMYFUNCTION("DATE(INDEX(SPLIT(G2676,""/""),,3),INDEX(SPLIT(G2676,""/""),,2),INDEX(SPLIT(G2676,""/""),,1))"),44725.0)</f>
        <v>44725</v>
      </c>
      <c r="I2676" s="1" t="s">
        <v>1269</v>
      </c>
      <c r="J2676" s="4">
        <f>IFERROR(__xludf.DUMMYFUNCTION("DATE(INDEX(SPLIT(I2676,""/""),,3),INDEX(SPLIT(I2676,""/""),,2),INDEX(SPLIT(I2676,""/""),,1))"),45000.0)</f>
        <v>45000</v>
      </c>
      <c r="L2676" s="1">
        <v>0.0</v>
      </c>
      <c r="M2676" s="1" t="s">
        <v>52</v>
      </c>
      <c r="N2676" s="1"/>
      <c r="O2676" s="1" t="s">
        <v>30</v>
      </c>
      <c r="P2676" s="1" t="s">
        <v>31</v>
      </c>
      <c r="Q2676" s="1" t="s">
        <v>53</v>
      </c>
      <c r="R2676" s="1" t="s">
        <v>53</v>
      </c>
      <c r="S2676" s="1" t="s">
        <v>54</v>
      </c>
      <c r="T2676" s="1" t="s">
        <v>103</v>
      </c>
      <c r="U2676" s="1">
        <v>1.01059432E8</v>
      </c>
      <c r="X2676" s="1" t="s">
        <v>312</v>
      </c>
      <c r="Y2676" s="1" t="s">
        <v>52</v>
      </c>
      <c r="Z2676" s="1" t="s">
        <v>37</v>
      </c>
    </row>
    <row r="2677" hidden="1">
      <c r="A2677" s="1" t="s">
        <v>8166</v>
      </c>
      <c r="B2677" s="1" t="s">
        <v>8167</v>
      </c>
      <c r="C2677" s="1" t="s">
        <v>8168</v>
      </c>
      <c r="D2677" s="1" t="s">
        <v>122</v>
      </c>
      <c r="E2677" s="1" t="s">
        <v>28</v>
      </c>
      <c r="F2677" s="2">
        <v>390279.0</v>
      </c>
      <c r="G2677" s="1" t="s">
        <v>1058</v>
      </c>
      <c r="H2677" s="4">
        <f>IFERROR(__xludf.DUMMYFUNCTION("DATE(INDEX(SPLIT(G2677,""/""),,3),INDEX(SPLIT(G2677,""/""),,2),INDEX(SPLIT(G2677,""/""),,1))"),44733.0)</f>
        <v>44733</v>
      </c>
      <c r="I2677" s="1" t="s">
        <v>425</v>
      </c>
      <c r="J2677" s="4">
        <f>IFERROR(__xludf.DUMMYFUNCTION("DATE(INDEX(SPLIT(I2677,""/""),,3),INDEX(SPLIT(I2677,""/""),,2),INDEX(SPLIT(I2677,""/""),,1))"),44911.0)</f>
        <v>44911</v>
      </c>
      <c r="L2677" s="1">
        <v>0.0</v>
      </c>
      <c r="M2677" s="1" t="s">
        <v>5693</v>
      </c>
      <c r="N2677" s="1"/>
      <c r="O2677" s="1" t="s">
        <v>30</v>
      </c>
      <c r="P2677" s="1" t="s">
        <v>31</v>
      </c>
      <c r="Q2677" s="1" t="s">
        <v>228</v>
      </c>
      <c r="R2677" s="1" t="s">
        <v>228</v>
      </c>
      <c r="S2677" s="1" t="s">
        <v>229</v>
      </c>
      <c r="U2677" s="1">
        <v>1.00640945E8</v>
      </c>
      <c r="X2677" s="1" t="s">
        <v>375</v>
      </c>
      <c r="Y2677" s="1" t="s">
        <v>8169</v>
      </c>
      <c r="Z2677" s="1" t="s">
        <v>37</v>
      </c>
    </row>
    <row r="2678">
      <c r="A2678" s="1" t="s">
        <v>8170</v>
      </c>
      <c r="B2678" s="1" t="s">
        <v>470</v>
      </c>
      <c r="C2678" s="1" t="s">
        <v>8171</v>
      </c>
      <c r="D2678" s="1" t="s">
        <v>78</v>
      </c>
      <c r="E2678" s="1" t="s">
        <v>28</v>
      </c>
      <c r="F2678" s="2">
        <v>390000.0</v>
      </c>
      <c r="G2678" s="4">
        <v>44565.0</v>
      </c>
      <c r="H2678" s="4">
        <f>IFERROR(__xludf.DUMMYFUNCTION("DATE(INDEX(SPLIT(G2678,""/""),,3),INDEX(SPLIT(G2678,""/""),,2),INDEX(SPLIT(G2678,""/""),,1))"),44652.0)</f>
        <v>44652</v>
      </c>
      <c r="I2678" s="4">
        <v>44872.0</v>
      </c>
      <c r="J2678" s="4">
        <f>IFERROR(__xludf.DUMMYFUNCTION("DATE(INDEX(SPLIT(I2678,""/""),,3),INDEX(SPLIT(I2678,""/""),,2),INDEX(SPLIT(I2678,""/""),,1))"),44753.0)</f>
        <v>44753</v>
      </c>
      <c r="L2678" s="1">
        <v>0.0</v>
      </c>
      <c r="M2678" s="1" t="s">
        <v>4117</v>
      </c>
      <c r="N2678" s="1"/>
      <c r="O2678" s="1" t="s">
        <v>30</v>
      </c>
      <c r="P2678" s="1" t="s">
        <v>31</v>
      </c>
      <c r="Q2678" s="1" t="s">
        <v>95</v>
      </c>
      <c r="R2678" s="1" t="s">
        <v>95</v>
      </c>
      <c r="S2678" s="1" t="s">
        <v>96</v>
      </c>
      <c r="T2678" s="1" t="s">
        <v>111</v>
      </c>
      <c r="U2678" s="1">
        <v>1.00658777E8</v>
      </c>
      <c r="X2678" s="1" t="s">
        <v>254</v>
      </c>
      <c r="Y2678" s="1" t="s">
        <v>5355</v>
      </c>
      <c r="Z2678" s="1" t="s">
        <v>206</v>
      </c>
    </row>
    <row r="2679" hidden="1">
      <c r="A2679" s="1" t="s">
        <v>8172</v>
      </c>
      <c r="B2679" s="1" t="s">
        <v>4496</v>
      </c>
      <c r="C2679" s="1" t="s">
        <v>8173</v>
      </c>
      <c r="D2679" s="1" t="s">
        <v>122</v>
      </c>
      <c r="E2679" s="1" t="s">
        <v>28</v>
      </c>
      <c r="F2679" s="2">
        <v>390000.0</v>
      </c>
      <c r="G2679" s="1" t="s">
        <v>4402</v>
      </c>
      <c r="H2679" s="4">
        <f>IFERROR(__xludf.DUMMYFUNCTION("DATE(INDEX(SPLIT(G2679,""/""),,3),INDEX(SPLIT(G2679,""/""),,2),INDEX(SPLIT(G2679,""/""),,1))"),44390.0)</f>
        <v>44390</v>
      </c>
      <c r="I2679" s="1" t="s">
        <v>1097</v>
      </c>
      <c r="J2679" s="4">
        <f>IFERROR(__xludf.DUMMYFUNCTION("DATE(INDEX(SPLIT(I2679,""/""),,3),INDEX(SPLIT(I2679,""/""),,2),INDEX(SPLIT(I2679,""/""),,1))"),45107.0)</f>
        <v>45107</v>
      </c>
      <c r="L2679" s="1">
        <v>0.0</v>
      </c>
      <c r="M2679" s="1" t="s">
        <v>3123</v>
      </c>
      <c r="N2679" s="1"/>
      <c r="O2679" s="1" t="s">
        <v>30</v>
      </c>
      <c r="P2679" s="1" t="s">
        <v>31</v>
      </c>
      <c r="Q2679" s="1" t="s">
        <v>157</v>
      </c>
      <c r="R2679" s="1" t="s">
        <v>157</v>
      </c>
      <c r="S2679" s="1" t="s">
        <v>158</v>
      </c>
      <c r="T2679" s="1" t="s">
        <v>442</v>
      </c>
      <c r="U2679" s="1">
        <v>1.00875111E8</v>
      </c>
      <c r="V2679" s="1" t="s">
        <v>8174</v>
      </c>
      <c r="W2679" s="1" t="s">
        <v>45</v>
      </c>
      <c r="X2679" s="1" t="s">
        <v>88</v>
      </c>
      <c r="Y2679" s="1" t="s">
        <v>3124</v>
      </c>
      <c r="Z2679" s="1" t="s">
        <v>37</v>
      </c>
    </row>
    <row r="2680" hidden="1">
      <c r="A2680" s="1" t="s">
        <v>8175</v>
      </c>
      <c r="B2680" s="1" t="s">
        <v>39</v>
      </c>
      <c r="C2680" s="1" t="s">
        <v>8176</v>
      </c>
      <c r="D2680" s="1" t="s">
        <v>122</v>
      </c>
      <c r="E2680" s="1" t="s">
        <v>28</v>
      </c>
      <c r="F2680" s="2">
        <v>385048.0</v>
      </c>
      <c r="G2680" s="1" t="s">
        <v>164</v>
      </c>
      <c r="H2680" s="4">
        <f>IFERROR(__xludf.DUMMYFUNCTION("DATE(INDEX(SPLIT(G2680,""/""),,3),INDEX(SPLIT(G2680,""/""),,2),INDEX(SPLIT(G2680,""/""),,1))"),44706.0)</f>
        <v>44706</v>
      </c>
      <c r="I2680" s="4">
        <v>44569.0</v>
      </c>
      <c r="J2680" s="4">
        <f>IFERROR(__xludf.DUMMYFUNCTION("DATE(INDEX(SPLIT(I2680,""/""),,3),INDEX(SPLIT(I2680,""/""),,2),INDEX(SPLIT(I2680,""/""),,1))"),44774.0)</f>
        <v>44774</v>
      </c>
      <c r="L2680" s="1">
        <v>0.0</v>
      </c>
      <c r="M2680" s="1" t="s">
        <v>1439</v>
      </c>
      <c r="N2680" s="1"/>
      <c r="O2680" s="1" t="s">
        <v>30</v>
      </c>
      <c r="P2680" s="1" t="s">
        <v>31</v>
      </c>
      <c r="Q2680" s="1" t="s">
        <v>32</v>
      </c>
      <c r="R2680" s="1" t="s">
        <v>32</v>
      </c>
      <c r="S2680" s="1" t="s">
        <v>33</v>
      </c>
      <c r="T2680" s="1" t="s">
        <v>103</v>
      </c>
      <c r="U2680" s="1">
        <v>1.00585872E8</v>
      </c>
      <c r="X2680" s="1" t="s">
        <v>46</v>
      </c>
      <c r="Y2680" s="1" t="s">
        <v>1439</v>
      </c>
      <c r="Z2680" s="1" t="s">
        <v>37</v>
      </c>
    </row>
    <row r="2681">
      <c r="A2681" s="1" t="s">
        <v>8177</v>
      </c>
      <c r="B2681" s="1" t="s">
        <v>1216</v>
      </c>
      <c r="C2681" s="1" t="s">
        <v>8178</v>
      </c>
      <c r="D2681" s="1" t="s">
        <v>68</v>
      </c>
      <c r="E2681" s="1" t="s">
        <v>28</v>
      </c>
      <c r="F2681" s="2">
        <v>385000.0</v>
      </c>
      <c r="G2681" s="1" t="s">
        <v>2116</v>
      </c>
      <c r="H2681" s="4">
        <f>IFERROR(__xludf.DUMMYFUNCTION("DATE(INDEX(SPLIT(G2681,""/""),,3),INDEX(SPLIT(G2681,""/""),,2),INDEX(SPLIT(G2681,""/""),,1))"),44620.0)</f>
        <v>44620</v>
      </c>
      <c r="I2681" s="1" t="s">
        <v>226</v>
      </c>
      <c r="J2681" s="4">
        <f>IFERROR(__xludf.DUMMYFUNCTION("DATE(INDEX(SPLIT(I2681,""/""),,3),INDEX(SPLIT(I2681,""/""),,2),INDEX(SPLIT(I2681,""/""),,1))"),44771.0)</f>
        <v>44771</v>
      </c>
      <c r="L2681" s="1">
        <v>0.0</v>
      </c>
      <c r="M2681" s="1" t="s">
        <v>4297</v>
      </c>
      <c r="N2681" s="1"/>
      <c r="O2681" s="1" t="s">
        <v>30</v>
      </c>
      <c r="P2681" s="1" t="s">
        <v>31</v>
      </c>
      <c r="Q2681" s="1" t="s">
        <v>235</v>
      </c>
      <c r="R2681" s="1" t="s">
        <v>235</v>
      </c>
      <c r="S2681" s="1" t="s">
        <v>236</v>
      </c>
      <c r="T2681" s="1" t="s">
        <v>438</v>
      </c>
      <c r="U2681" s="1">
        <v>1.00622174E8</v>
      </c>
      <c r="X2681" s="1" t="s">
        <v>88</v>
      </c>
      <c r="Y2681" s="1" t="s">
        <v>4297</v>
      </c>
      <c r="Z2681" s="1" t="s">
        <v>37</v>
      </c>
    </row>
    <row r="2682">
      <c r="A2682" s="1" t="s">
        <v>8179</v>
      </c>
      <c r="B2682" s="1" t="s">
        <v>4013</v>
      </c>
      <c r="C2682" s="1" t="s">
        <v>8180</v>
      </c>
      <c r="D2682" s="1" t="s">
        <v>78</v>
      </c>
      <c r="E2682" s="1" t="s">
        <v>28</v>
      </c>
      <c r="F2682" s="2">
        <v>385000.0</v>
      </c>
      <c r="G2682" s="1" t="s">
        <v>321</v>
      </c>
      <c r="H2682" s="4">
        <f>IFERROR(__xludf.DUMMYFUNCTION("DATE(INDEX(SPLIT(G2682,""/""),,3),INDEX(SPLIT(G2682,""/""),,2),INDEX(SPLIT(G2682,""/""),,1))"),44586.0)</f>
        <v>44586</v>
      </c>
      <c r="I2682" s="1" t="s">
        <v>226</v>
      </c>
      <c r="J2682" s="4">
        <f>IFERROR(__xludf.DUMMYFUNCTION("DATE(INDEX(SPLIT(I2682,""/""),,3),INDEX(SPLIT(I2682,""/""),,2),INDEX(SPLIT(I2682,""/""),,1))"),44771.0)</f>
        <v>44771</v>
      </c>
      <c r="L2682" s="1">
        <v>0.0</v>
      </c>
      <c r="M2682" s="1" t="s">
        <v>4016</v>
      </c>
      <c r="N2682" s="1"/>
      <c r="O2682" s="1" t="s">
        <v>30</v>
      </c>
      <c r="P2682" s="1" t="s">
        <v>31</v>
      </c>
      <c r="Q2682" s="1" t="s">
        <v>95</v>
      </c>
      <c r="R2682" s="1" t="s">
        <v>95</v>
      </c>
      <c r="S2682" s="1" t="s">
        <v>96</v>
      </c>
      <c r="T2682" s="1" t="s">
        <v>97</v>
      </c>
      <c r="U2682" s="1">
        <v>1.00628223E8</v>
      </c>
      <c r="X2682" s="1" t="s">
        <v>190</v>
      </c>
      <c r="Y2682" s="1" t="s">
        <v>7313</v>
      </c>
      <c r="Z2682" s="1" t="s">
        <v>206</v>
      </c>
    </row>
    <row r="2683">
      <c r="A2683" s="1" t="s">
        <v>8181</v>
      </c>
      <c r="B2683" s="1" t="s">
        <v>2283</v>
      </c>
      <c r="C2683" s="1" t="s">
        <v>8182</v>
      </c>
      <c r="D2683" s="1" t="s">
        <v>27</v>
      </c>
      <c r="E2683" s="1" t="s">
        <v>28</v>
      </c>
      <c r="F2683" s="2">
        <v>380000.0</v>
      </c>
      <c r="G2683" s="1" t="s">
        <v>1058</v>
      </c>
      <c r="H2683" s="4">
        <f>IFERROR(__xludf.DUMMYFUNCTION("DATE(INDEX(SPLIT(G2683,""/""),,3),INDEX(SPLIT(G2683,""/""),,2),INDEX(SPLIT(G2683,""/""),,1))"),44733.0)</f>
        <v>44733</v>
      </c>
      <c r="I2683" s="1" t="s">
        <v>226</v>
      </c>
      <c r="J2683" s="4">
        <f>IFERROR(__xludf.DUMMYFUNCTION("DATE(INDEX(SPLIT(I2683,""/""),,3),INDEX(SPLIT(I2683,""/""),,2),INDEX(SPLIT(I2683,""/""),,1))"),44771.0)</f>
        <v>44771</v>
      </c>
      <c r="L2683" s="1">
        <v>0.0</v>
      </c>
      <c r="M2683" s="1" t="s">
        <v>4460</v>
      </c>
      <c r="N2683" s="1"/>
      <c r="O2683" s="1" t="s">
        <v>30</v>
      </c>
      <c r="P2683" s="1" t="s">
        <v>31</v>
      </c>
      <c r="Q2683" s="1" t="s">
        <v>188</v>
      </c>
      <c r="R2683" s="1" t="s">
        <v>188</v>
      </c>
      <c r="S2683" s="1" t="s">
        <v>189</v>
      </c>
      <c r="T2683" s="1" t="s">
        <v>537</v>
      </c>
      <c r="U2683" s="1">
        <v>1.00632514E8</v>
      </c>
      <c r="X2683" s="1" t="s">
        <v>490</v>
      </c>
      <c r="Y2683" s="1" t="s">
        <v>1060</v>
      </c>
      <c r="Z2683" s="1" t="s">
        <v>37</v>
      </c>
    </row>
    <row r="2684">
      <c r="A2684" s="1" t="s">
        <v>8183</v>
      </c>
      <c r="B2684" s="1" t="s">
        <v>8184</v>
      </c>
      <c r="C2684" s="1" t="s">
        <v>8185</v>
      </c>
      <c r="D2684" s="1" t="s">
        <v>122</v>
      </c>
      <c r="E2684" s="1" t="s">
        <v>28</v>
      </c>
      <c r="F2684" s="2">
        <v>380000.0</v>
      </c>
      <c r="G2684" s="4">
        <v>44902.0</v>
      </c>
      <c r="H2684" s="4">
        <f>IFERROR(__xludf.DUMMYFUNCTION("DATE(INDEX(SPLIT(G2684,""/""),,3),INDEX(SPLIT(G2684,""/""),,2),INDEX(SPLIT(G2684,""/""),,1))"),44754.0)</f>
        <v>44754</v>
      </c>
      <c r="I2684" s="1" t="s">
        <v>226</v>
      </c>
      <c r="J2684" s="4">
        <f>IFERROR(__xludf.DUMMYFUNCTION("DATE(INDEX(SPLIT(I2684,""/""),,3),INDEX(SPLIT(I2684,""/""),,2),INDEX(SPLIT(I2684,""/""),,1))"),44771.0)</f>
        <v>44771</v>
      </c>
      <c r="L2684" s="1">
        <v>0.0</v>
      </c>
      <c r="M2684" s="1" t="s">
        <v>3187</v>
      </c>
      <c r="N2684" s="1"/>
      <c r="O2684" s="1" t="s">
        <v>30</v>
      </c>
      <c r="P2684" s="1" t="s">
        <v>31</v>
      </c>
      <c r="Q2684" s="1" t="s">
        <v>228</v>
      </c>
      <c r="R2684" s="1" t="s">
        <v>228</v>
      </c>
      <c r="S2684" s="1" t="s">
        <v>229</v>
      </c>
      <c r="T2684" s="1" t="s">
        <v>640</v>
      </c>
      <c r="U2684" s="1">
        <v>1.00638978E8</v>
      </c>
      <c r="X2684" s="1" t="s">
        <v>125</v>
      </c>
      <c r="Y2684" s="1" t="s">
        <v>3187</v>
      </c>
      <c r="Z2684" s="1" t="s">
        <v>37</v>
      </c>
    </row>
    <row r="2685" hidden="1">
      <c r="A2685" s="1" t="s">
        <v>8186</v>
      </c>
      <c r="B2685" s="1" t="s">
        <v>1712</v>
      </c>
      <c r="C2685" s="1" t="s">
        <v>8187</v>
      </c>
      <c r="D2685" s="1" t="s">
        <v>122</v>
      </c>
      <c r="E2685" s="1" t="s">
        <v>28</v>
      </c>
      <c r="F2685" s="2">
        <v>380000.0</v>
      </c>
      <c r="G2685" s="1" t="s">
        <v>1288</v>
      </c>
      <c r="H2685" s="4">
        <f>IFERROR(__xludf.DUMMYFUNCTION("DATE(INDEX(SPLIT(G2685,""/""),,3),INDEX(SPLIT(G2685,""/""),,2),INDEX(SPLIT(G2685,""/""),,1))"),44707.0)</f>
        <v>44707</v>
      </c>
      <c r="I2685" s="1" t="s">
        <v>2380</v>
      </c>
      <c r="J2685" s="4">
        <f>IFERROR(__xludf.DUMMYFUNCTION("DATE(INDEX(SPLIT(I2685,""/""),,3),INDEX(SPLIT(I2685,""/""),,2),INDEX(SPLIT(I2685,""/""),,1))"),45291.0)</f>
        <v>45291</v>
      </c>
      <c r="L2685" s="1">
        <v>0.0</v>
      </c>
      <c r="M2685" s="1" t="s">
        <v>441</v>
      </c>
      <c r="N2685" s="1"/>
      <c r="O2685" s="1" t="s">
        <v>30</v>
      </c>
      <c r="P2685" s="1" t="s">
        <v>31</v>
      </c>
      <c r="Q2685" s="1" t="s">
        <v>157</v>
      </c>
      <c r="R2685" s="1" t="s">
        <v>157</v>
      </c>
      <c r="S2685" s="1" t="s">
        <v>158</v>
      </c>
      <c r="T2685" s="1" t="s">
        <v>442</v>
      </c>
      <c r="U2685" s="1">
        <v>1.00581784E8</v>
      </c>
      <c r="X2685" s="1" t="s">
        <v>125</v>
      </c>
      <c r="Y2685" s="1" t="s">
        <v>8188</v>
      </c>
      <c r="Z2685" s="1" t="s">
        <v>37</v>
      </c>
    </row>
    <row r="2686" hidden="1">
      <c r="A2686" s="1" t="s">
        <v>8189</v>
      </c>
      <c r="B2686" s="1" t="s">
        <v>8190</v>
      </c>
      <c r="C2686" s="1" t="s">
        <v>8191</v>
      </c>
      <c r="D2686" s="1" t="s">
        <v>122</v>
      </c>
      <c r="E2686" s="1" t="s">
        <v>28</v>
      </c>
      <c r="F2686" s="2">
        <v>380000.0</v>
      </c>
      <c r="G2686" s="1" t="s">
        <v>8192</v>
      </c>
      <c r="H2686" s="4">
        <f>IFERROR(__xludf.DUMMYFUNCTION("DATE(INDEX(SPLIT(G2686,""/""),,3),INDEX(SPLIT(G2686,""/""),,2),INDEX(SPLIT(G2686,""/""),,1))"),44032.0)</f>
        <v>44032</v>
      </c>
      <c r="I2686" s="1" t="s">
        <v>8193</v>
      </c>
      <c r="J2686" s="4">
        <f>IFERROR(__xludf.DUMMYFUNCTION("DATE(INDEX(SPLIT(I2686,""/""),,3),INDEX(SPLIT(I2686,""/""),,2),INDEX(SPLIT(I2686,""/""),,1))"),45504.0)</f>
        <v>45504</v>
      </c>
      <c r="L2686" s="1">
        <v>0.0</v>
      </c>
      <c r="M2686" s="1" t="s">
        <v>211</v>
      </c>
      <c r="N2686" s="1"/>
      <c r="O2686" s="1" t="s">
        <v>30</v>
      </c>
      <c r="P2686" s="1" t="s">
        <v>31</v>
      </c>
      <c r="Q2686" s="1" t="s">
        <v>71</v>
      </c>
      <c r="R2686" s="1" t="s">
        <v>71</v>
      </c>
      <c r="S2686" s="1" t="s">
        <v>72</v>
      </c>
      <c r="T2686" s="1" t="s">
        <v>136</v>
      </c>
      <c r="U2686" s="1">
        <v>1.00590896E8</v>
      </c>
      <c r="X2686" s="1" t="s">
        <v>74</v>
      </c>
      <c r="Y2686" s="1" t="s">
        <v>2058</v>
      </c>
      <c r="Z2686" s="1" t="s">
        <v>37</v>
      </c>
    </row>
    <row r="2687" hidden="1">
      <c r="A2687" s="1" t="s">
        <v>8194</v>
      </c>
      <c r="B2687" s="1" t="s">
        <v>3591</v>
      </c>
      <c r="C2687" s="1" t="s">
        <v>8195</v>
      </c>
      <c r="D2687" s="1" t="s">
        <v>27</v>
      </c>
      <c r="E2687" s="1" t="s">
        <v>28</v>
      </c>
      <c r="F2687" s="2">
        <v>379766.0</v>
      </c>
      <c r="G2687" s="4">
        <v>44442.0</v>
      </c>
      <c r="H2687" s="4">
        <f>IFERROR(__xludf.DUMMYFUNCTION("DATE(INDEX(SPLIT(G2687,""/""),,3),INDEX(SPLIT(G2687,""/""),,2),INDEX(SPLIT(G2687,""/""),,1))"),44264.0)</f>
        <v>44264</v>
      </c>
      <c r="I2687" s="1" t="s">
        <v>8196</v>
      </c>
      <c r="J2687" s="4">
        <f>IFERROR(__xludf.DUMMYFUNCTION("DATE(INDEX(SPLIT(I2687,""/""),,3),INDEX(SPLIT(I2687,""/""),,2),INDEX(SPLIT(I2687,""/""),,1))"),45350.0)</f>
        <v>45350</v>
      </c>
      <c r="L2687" s="1">
        <v>0.0</v>
      </c>
      <c r="M2687" s="1" t="s">
        <v>4738</v>
      </c>
      <c r="N2687" s="1"/>
      <c r="O2687" s="1" t="s">
        <v>30</v>
      </c>
      <c r="P2687" s="1" t="s">
        <v>31</v>
      </c>
      <c r="Q2687" s="1" t="s">
        <v>228</v>
      </c>
      <c r="R2687" s="1" t="s">
        <v>228</v>
      </c>
      <c r="S2687" s="1" t="s">
        <v>229</v>
      </c>
      <c r="T2687" s="1" t="s">
        <v>513</v>
      </c>
      <c r="U2687" s="1">
        <v>1.00888587E8</v>
      </c>
      <c r="W2687" s="1" t="s">
        <v>2556</v>
      </c>
      <c r="X2687" s="1" t="s">
        <v>74</v>
      </c>
      <c r="Y2687" s="1" t="s">
        <v>5688</v>
      </c>
      <c r="Z2687" s="1" t="s">
        <v>206</v>
      </c>
    </row>
    <row r="2688" hidden="1">
      <c r="A2688" s="1" t="s">
        <v>8197</v>
      </c>
      <c r="B2688" s="1" t="s">
        <v>3591</v>
      </c>
      <c r="C2688" s="1" t="s">
        <v>8198</v>
      </c>
      <c r="D2688" s="1" t="s">
        <v>27</v>
      </c>
      <c r="E2688" s="1" t="s">
        <v>28</v>
      </c>
      <c r="F2688" s="2">
        <v>379766.0</v>
      </c>
      <c r="G2688" s="4">
        <v>44442.0</v>
      </c>
      <c r="H2688" s="4">
        <f>IFERROR(__xludf.DUMMYFUNCTION("DATE(INDEX(SPLIT(G2688,""/""),,3),INDEX(SPLIT(G2688,""/""),,2),INDEX(SPLIT(G2688,""/""),,1))"),44264.0)</f>
        <v>44264</v>
      </c>
      <c r="I2688" s="1" t="s">
        <v>430</v>
      </c>
      <c r="J2688" s="4">
        <f>IFERROR(__xludf.DUMMYFUNCTION("DATE(INDEX(SPLIT(I2688,""/""),,3),INDEX(SPLIT(I2688,""/""),,2),INDEX(SPLIT(I2688,""/""),,1))"),44985.0)</f>
        <v>44985</v>
      </c>
      <c r="L2688" s="1">
        <v>0.0</v>
      </c>
      <c r="M2688" s="1" t="s">
        <v>4738</v>
      </c>
      <c r="N2688" s="1"/>
      <c r="O2688" s="1" t="s">
        <v>30</v>
      </c>
      <c r="P2688" s="1" t="s">
        <v>31</v>
      </c>
      <c r="Q2688" s="1" t="s">
        <v>228</v>
      </c>
      <c r="R2688" s="1" t="s">
        <v>228</v>
      </c>
      <c r="S2688" s="1" t="s">
        <v>229</v>
      </c>
      <c r="T2688" s="1" t="s">
        <v>513</v>
      </c>
      <c r="U2688" s="1">
        <v>1.00888587E8</v>
      </c>
      <c r="W2688" s="1" t="s">
        <v>2556</v>
      </c>
      <c r="X2688" s="1" t="s">
        <v>74</v>
      </c>
      <c r="Y2688" s="1" t="s">
        <v>5688</v>
      </c>
      <c r="Z2688" s="1" t="s">
        <v>206</v>
      </c>
    </row>
    <row r="2689" hidden="1">
      <c r="A2689" s="1" t="s">
        <v>8199</v>
      </c>
      <c r="B2689" s="1" t="s">
        <v>8200</v>
      </c>
      <c r="C2689" s="1" t="s">
        <v>8201</v>
      </c>
      <c r="D2689" s="1" t="s">
        <v>122</v>
      </c>
      <c r="E2689" s="1" t="s">
        <v>28</v>
      </c>
      <c r="F2689" s="2">
        <v>378000.0</v>
      </c>
      <c r="G2689" s="1" t="s">
        <v>429</v>
      </c>
      <c r="H2689" s="4">
        <f>IFERROR(__xludf.DUMMYFUNCTION("DATE(INDEX(SPLIT(G2689,""/""),,3),INDEX(SPLIT(G2689,""/""),,2),INDEX(SPLIT(G2689,""/""),,1))"),44739.0)</f>
        <v>44739</v>
      </c>
      <c r="I2689" s="1" t="s">
        <v>109</v>
      </c>
      <c r="J2689" s="4">
        <f>IFERROR(__xludf.DUMMYFUNCTION("DATE(INDEX(SPLIT(I2689,""/""),,3),INDEX(SPLIT(I2689,""/""),,2),INDEX(SPLIT(I2689,""/""),,1))"),44834.0)</f>
        <v>44834</v>
      </c>
      <c r="L2689" s="1">
        <v>0.0</v>
      </c>
      <c r="M2689" s="1" t="s">
        <v>787</v>
      </c>
      <c r="N2689" s="1"/>
      <c r="O2689" s="1" t="s">
        <v>30</v>
      </c>
      <c r="P2689" s="1" t="s">
        <v>31</v>
      </c>
      <c r="Q2689" s="1" t="s">
        <v>53</v>
      </c>
      <c r="R2689" s="1" t="s">
        <v>53</v>
      </c>
      <c r="S2689" s="1" t="s">
        <v>54</v>
      </c>
      <c r="T2689" s="1" t="s">
        <v>197</v>
      </c>
      <c r="U2689" s="1">
        <v>1.00610205E8</v>
      </c>
      <c r="X2689" s="1" t="s">
        <v>63</v>
      </c>
      <c r="Y2689" s="1" t="s">
        <v>8202</v>
      </c>
      <c r="Z2689" s="1" t="s">
        <v>37</v>
      </c>
    </row>
    <row r="2690" hidden="1">
      <c r="A2690" s="1" t="s">
        <v>8203</v>
      </c>
      <c r="B2690" s="1" t="s">
        <v>932</v>
      </c>
      <c r="C2690" s="1" t="s">
        <v>8204</v>
      </c>
      <c r="D2690" s="1" t="s">
        <v>78</v>
      </c>
      <c r="E2690" s="1" t="s">
        <v>28</v>
      </c>
      <c r="F2690" s="2">
        <v>375000.0</v>
      </c>
      <c r="G2690" s="1" t="s">
        <v>164</v>
      </c>
      <c r="H2690" s="4">
        <f>IFERROR(__xludf.DUMMYFUNCTION("DATE(INDEX(SPLIT(G2690,""/""),,3),INDEX(SPLIT(G2690,""/""),,2),INDEX(SPLIT(G2690,""/""),,1))"),44706.0)</f>
        <v>44706</v>
      </c>
      <c r="I2690" s="4">
        <v>44569.0</v>
      </c>
      <c r="J2690" s="4">
        <f>IFERROR(__xludf.DUMMYFUNCTION("DATE(INDEX(SPLIT(I2690,""/""),,3),INDEX(SPLIT(I2690,""/""),,2),INDEX(SPLIT(I2690,""/""),,1))"),44774.0)</f>
        <v>44774</v>
      </c>
      <c r="L2690" s="1">
        <v>0.0</v>
      </c>
      <c r="M2690" s="1" t="s">
        <v>5497</v>
      </c>
      <c r="N2690" s="1"/>
      <c r="O2690" s="1" t="s">
        <v>30</v>
      </c>
      <c r="P2690" s="1" t="s">
        <v>31</v>
      </c>
      <c r="Q2690" s="1" t="s">
        <v>71</v>
      </c>
      <c r="R2690" s="1" t="s">
        <v>71</v>
      </c>
      <c r="S2690" s="1" t="s">
        <v>72</v>
      </c>
      <c r="T2690" s="1" t="s">
        <v>73</v>
      </c>
      <c r="U2690" s="1">
        <v>1.01088146E8</v>
      </c>
      <c r="X2690" s="1" t="s">
        <v>74</v>
      </c>
      <c r="Y2690" s="1" t="s">
        <v>2623</v>
      </c>
      <c r="Z2690" s="1" t="s">
        <v>37</v>
      </c>
    </row>
    <row r="2691" hidden="1">
      <c r="A2691" s="1" t="s">
        <v>8205</v>
      </c>
      <c r="B2691" s="1" t="s">
        <v>8206</v>
      </c>
      <c r="C2691" s="1" t="s">
        <v>8207</v>
      </c>
      <c r="D2691" s="1" t="s">
        <v>78</v>
      </c>
      <c r="E2691" s="1" t="s">
        <v>28</v>
      </c>
      <c r="F2691" s="2">
        <v>375000.0</v>
      </c>
      <c r="G2691" s="4">
        <v>44236.0</v>
      </c>
      <c r="H2691" s="4">
        <f>IFERROR(__xludf.DUMMYFUNCTION("DATE(INDEX(SPLIT(G2691,""/""),,3),INDEX(SPLIT(G2691,""/""),,2),INDEX(SPLIT(G2691,""/""),,1))"),44441.0)</f>
        <v>44441</v>
      </c>
      <c r="I2691" s="1" t="s">
        <v>8208</v>
      </c>
      <c r="J2691" s="4">
        <f>IFERROR(__xludf.DUMMYFUNCTION("DATE(INDEX(SPLIT(I2691,""/""),,3),INDEX(SPLIT(I2691,""/""),,2),INDEX(SPLIT(I2691,""/""),,1))"),44852.0)</f>
        <v>44852</v>
      </c>
      <c r="L2691" s="1">
        <v>0.0</v>
      </c>
      <c r="M2691" s="1" t="s">
        <v>2237</v>
      </c>
      <c r="N2691" s="1"/>
      <c r="O2691" s="1" t="s">
        <v>30</v>
      </c>
      <c r="P2691" s="1" t="s">
        <v>31</v>
      </c>
      <c r="Q2691" s="1" t="s">
        <v>32</v>
      </c>
      <c r="R2691" s="1" t="s">
        <v>32</v>
      </c>
      <c r="S2691" s="1" t="s">
        <v>33</v>
      </c>
      <c r="T2691" s="1" t="s">
        <v>103</v>
      </c>
      <c r="U2691" s="1">
        <v>1.00611284E8</v>
      </c>
      <c r="Y2691" s="1" t="s">
        <v>6677</v>
      </c>
      <c r="Z2691" s="1" t="s">
        <v>37</v>
      </c>
    </row>
    <row r="2692">
      <c r="A2692" s="1" t="s">
        <v>8209</v>
      </c>
      <c r="B2692" s="1" t="s">
        <v>546</v>
      </c>
      <c r="C2692" s="1" t="s">
        <v>8210</v>
      </c>
      <c r="D2692" s="1" t="s">
        <v>78</v>
      </c>
      <c r="E2692" s="1" t="s">
        <v>28</v>
      </c>
      <c r="F2692" s="2">
        <v>375000.0</v>
      </c>
      <c r="G2692" s="1" t="s">
        <v>108</v>
      </c>
      <c r="H2692" s="4">
        <f>IFERROR(__xludf.DUMMYFUNCTION("DATE(INDEX(SPLIT(G2692,""/""),,3),INDEX(SPLIT(G2692,""/""),,2),INDEX(SPLIT(G2692,""/""),,1))"),44725.0)</f>
        <v>44725</v>
      </c>
      <c r="I2692" s="1" t="s">
        <v>518</v>
      </c>
      <c r="J2692" s="4">
        <f>IFERROR(__xludf.DUMMYFUNCTION("DATE(INDEX(SPLIT(I2692,""/""),,3),INDEX(SPLIT(I2692,""/""),,2),INDEX(SPLIT(I2692,""/""),,1))"),44757.0)</f>
        <v>44757</v>
      </c>
      <c r="L2692" s="1">
        <v>0.0</v>
      </c>
      <c r="M2692" s="1" t="s">
        <v>951</v>
      </c>
      <c r="N2692" s="1"/>
      <c r="O2692" s="1" t="s">
        <v>30</v>
      </c>
      <c r="P2692" s="1" t="s">
        <v>31</v>
      </c>
      <c r="Q2692" s="1" t="s">
        <v>157</v>
      </c>
      <c r="R2692" s="1" t="s">
        <v>157</v>
      </c>
      <c r="S2692" s="1" t="s">
        <v>158</v>
      </c>
      <c r="T2692" s="1" t="s">
        <v>73</v>
      </c>
      <c r="U2692" s="1">
        <v>1.00653269E8</v>
      </c>
      <c r="V2692" s="1" t="s">
        <v>8211</v>
      </c>
      <c r="W2692" s="1" t="s">
        <v>717</v>
      </c>
      <c r="X2692" s="1" t="s">
        <v>74</v>
      </c>
      <c r="Y2692" s="1" t="s">
        <v>2198</v>
      </c>
      <c r="Z2692" s="1" t="s">
        <v>37</v>
      </c>
    </row>
    <row r="2693" hidden="1">
      <c r="A2693" s="1" t="s">
        <v>8212</v>
      </c>
      <c r="B2693" s="1" t="s">
        <v>5989</v>
      </c>
      <c r="C2693" s="1" t="s">
        <v>8213</v>
      </c>
      <c r="D2693" s="1" t="s">
        <v>78</v>
      </c>
      <c r="E2693" s="1" t="s">
        <v>28</v>
      </c>
      <c r="F2693" s="2">
        <v>375000.0</v>
      </c>
      <c r="G2693" s="1" t="s">
        <v>298</v>
      </c>
      <c r="H2693" s="4">
        <f>IFERROR(__xludf.DUMMYFUNCTION("DATE(INDEX(SPLIT(G2693,""/""),,3),INDEX(SPLIT(G2693,""/""),,2),INDEX(SPLIT(G2693,""/""),,1))"),44762.0)</f>
        <v>44762</v>
      </c>
      <c r="I2693" s="4">
        <v>44569.0</v>
      </c>
      <c r="J2693" s="4">
        <f>IFERROR(__xludf.DUMMYFUNCTION("DATE(INDEX(SPLIT(I2693,""/""),,3),INDEX(SPLIT(I2693,""/""),,2),INDEX(SPLIT(I2693,""/""),,1))"),44774.0)</f>
        <v>44774</v>
      </c>
      <c r="L2693" s="1">
        <v>0.0</v>
      </c>
      <c r="M2693" s="1" t="s">
        <v>3873</v>
      </c>
      <c r="N2693" s="1"/>
      <c r="O2693" s="1" t="s">
        <v>30</v>
      </c>
      <c r="P2693" s="1" t="s">
        <v>31</v>
      </c>
      <c r="Q2693" s="1" t="s">
        <v>53</v>
      </c>
      <c r="R2693" s="1" t="s">
        <v>53</v>
      </c>
      <c r="S2693" s="1" t="s">
        <v>54</v>
      </c>
      <c r="T2693" s="1" t="s">
        <v>1386</v>
      </c>
      <c r="U2693" s="1">
        <v>1.01213659E8</v>
      </c>
      <c r="X2693" s="1" t="s">
        <v>490</v>
      </c>
      <c r="Y2693" s="1" t="s">
        <v>8214</v>
      </c>
      <c r="Z2693" s="1" t="s">
        <v>206</v>
      </c>
    </row>
    <row r="2694" hidden="1">
      <c r="A2694" s="1" t="s">
        <v>8215</v>
      </c>
      <c r="B2694" s="1" t="s">
        <v>8216</v>
      </c>
      <c r="C2694" s="1" t="s">
        <v>8217</v>
      </c>
      <c r="D2694" s="1" t="s">
        <v>122</v>
      </c>
      <c r="E2694" s="1" t="s">
        <v>28</v>
      </c>
      <c r="F2694" s="2">
        <v>375000.0</v>
      </c>
      <c r="G2694" s="1" t="s">
        <v>286</v>
      </c>
      <c r="H2694" s="4">
        <f>IFERROR(__xludf.DUMMYFUNCTION("DATE(INDEX(SPLIT(G2694,""/""),,3),INDEX(SPLIT(G2694,""/""),,2),INDEX(SPLIT(G2694,""/""),,1))"),44609.0)</f>
        <v>44609</v>
      </c>
      <c r="I2694" s="1" t="s">
        <v>130</v>
      </c>
      <c r="J2694" s="4">
        <f>IFERROR(__xludf.DUMMYFUNCTION("DATE(INDEX(SPLIT(I2694,""/""),,3),INDEX(SPLIT(I2694,""/""),,2),INDEX(SPLIT(I2694,""/""),,1))"),44804.0)</f>
        <v>44804</v>
      </c>
      <c r="L2694" s="1">
        <v>0.0</v>
      </c>
      <c r="M2694" s="1" t="s">
        <v>2277</v>
      </c>
      <c r="N2694" s="1"/>
      <c r="O2694" s="1" t="s">
        <v>30</v>
      </c>
      <c r="P2694" s="1" t="s">
        <v>31</v>
      </c>
      <c r="Q2694" s="1" t="s">
        <v>71</v>
      </c>
      <c r="R2694" s="1" t="s">
        <v>71</v>
      </c>
      <c r="S2694" s="1" t="s">
        <v>72</v>
      </c>
      <c r="T2694" s="1" t="s">
        <v>136</v>
      </c>
      <c r="U2694" s="1">
        <v>1.00619607E8</v>
      </c>
      <c r="X2694" s="1" t="s">
        <v>74</v>
      </c>
      <c r="Y2694" s="1" t="s">
        <v>2277</v>
      </c>
      <c r="Z2694" s="1" t="s">
        <v>37</v>
      </c>
    </row>
    <row r="2695" hidden="1">
      <c r="A2695" s="1" t="s">
        <v>8218</v>
      </c>
      <c r="B2695" s="1" t="s">
        <v>8219</v>
      </c>
      <c r="C2695" s="1" t="s">
        <v>8220</v>
      </c>
      <c r="D2695" s="1" t="s">
        <v>78</v>
      </c>
      <c r="E2695" s="1" t="s">
        <v>28</v>
      </c>
      <c r="F2695" s="2">
        <v>375000.0</v>
      </c>
      <c r="G2695" s="1" t="s">
        <v>3458</v>
      </c>
      <c r="H2695" s="4">
        <f>IFERROR(__xludf.DUMMYFUNCTION("DATE(INDEX(SPLIT(G2695,""/""),,3),INDEX(SPLIT(G2695,""/""),,2),INDEX(SPLIT(G2695,""/""),,1))"),44548.0)</f>
        <v>44548</v>
      </c>
      <c r="I2695" s="1" t="s">
        <v>134</v>
      </c>
      <c r="J2695" s="4">
        <f>IFERROR(__xludf.DUMMYFUNCTION("DATE(INDEX(SPLIT(I2695,""/""),,3),INDEX(SPLIT(I2695,""/""),,2),INDEX(SPLIT(I2695,""/""),,1))"),44792.0)</f>
        <v>44792</v>
      </c>
      <c r="L2695" s="1">
        <v>0.0</v>
      </c>
      <c r="M2695" s="1" t="s">
        <v>3448</v>
      </c>
      <c r="N2695" s="1"/>
      <c r="O2695" s="1" t="s">
        <v>30</v>
      </c>
      <c r="P2695" s="1" t="s">
        <v>31</v>
      </c>
      <c r="Q2695" s="1" t="s">
        <v>53</v>
      </c>
      <c r="R2695" s="1" t="s">
        <v>53</v>
      </c>
      <c r="S2695" s="1" t="s">
        <v>54</v>
      </c>
      <c r="T2695" s="1" t="s">
        <v>197</v>
      </c>
      <c r="U2695" s="1">
        <v>1.00652316E8</v>
      </c>
      <c r="Y2695" s="1" t="s">
        <v>3345</v>
      </c>
      <c r="Z2695" s="1" t="s">
        <v>37</v>
      </c>
    </row>
    <row r="2696" hidden="1">
      <c r="A2696" s="1" t="s">
        <v>8221</v>
      </c>
      <c r="B2696" s="1" t="s">
        <v>777</v>
      </c>
      <c r="C2696" s="1" t="s">
        <v>8222</v>
      </c>
      <c r="D2696" s="1" t="s">
        <v>78</v>
      </c>
      <c r="E2696" s="1" t="s">
        <v>28</v>
      </c>
      <c r="F2696" s="2">
        <v>375000.0</v>
      </c>
      <c r="G2696" s="1" t="s">
        <v>4346</v>
      </c>
      <c r="H2696" s="4">
        <f>IFERROR(__xludf.DUMMYFUNCTION("DATE(INDEX(SPLIT(G2696,""/""),,3),INDEX(SPLIT(G2696,""/""),,2),INDEX(SPLIT(G2696,""/""),,1))"),44765.0)</f>
        <v>44765</v>
      </c>
      <c r="I2696" s="1" t="s">
        <v>4464</v>
      </c>
      <c r="J2696" s="4">
        <f>IFERROR(__xludf.DUMMYFUNCTION("DATE(INDEX(SPLIT(I2696,""/""),,3),INDEX(SPLIT(I2696,""/""),,2),INDEX(SPLIT(I2696,""/""),,1))"),44849.0)</f>
        <v>44849</v>
      </c>
      <c r="L2696" s="1">
        <v>0.0</v>
      </c>
      <c r="M2696" s="1" t="s">
        <v>3112</v>
      </c>
      <c r="N2696" s="1"/>
      <c r="O2696" s="1" t="s">
        <v>30</v>
      </c>
      <c r="P2696" s="1" t="s">
        <v>31</v>
      </c>
      <c r="Q2696" s="1" t="s">
        <v>157</v>
      </c>
      <c r="R2696" s="1" t="s">
        <v>157</v>
      </c>
      <c r="S2696" s="1" t="s">
        <v>158</v>
      </c>
      <c r="T2696" s="1" t="s">
        <v>442</v>
      </c>
      <c r="U2696" s="1">
        <v>1.01141463E8</v>
      </c>
      <c r="X2696" s="1" t="s">
        <v>781</v>
      </c>
      <c r="Y2696" s="1" t="s">
        <v>8223</v>
      </c>
      <c r="Z2696" s="1" t="s">
        <v>37</v>
      </c>
    </row>
    <row r="2697">
      <c r="A2697" s="1" t="s">
        <v>8224</v>
      </c>
      <c r="B2697" s="1" t="s">
        <v>1108</v>
      </c>
      <c r="C2697" s="1" t="s">
        <v>8225</v>
      </c>
      <c r="D2697" s="1" t="s">
        <v>78</v>
      </c>
      <c r="E2697" s="1" t="s">
        <v>28</v>
      </c>
      <c r="F2697" s="2">
        <v>375000.0</v>
      </c>
      <c r="G2697" s="4">
        <v>43688.0</v>
      </c>
      <c r="H2697" s="4">
        <f>IFERROR(__xludf.DUMMYFUNCTION("DATE(INDEX(SPLIT(G2697,""/""),,3),INDEX(SPLIT(G2697,""/""),,2),INDEX(SPLIT(G2697,""/""),,1))"),43777.0)</f>
        <v>43777</v>
      </c>
      <c r="I2697" s="1" t="s">
        <v>69</v>
      </c>
      <c r="J2697" s="4">
        <f>IFERROR(__xludf.DUMMYFUNCTION("DATE(INDEX(SPLIT(I2697,""/""),,3),INDEX(SPLIT(I2697,""/""),,2),INDEX(SPLIT(I2697,""/""),,1))"),44773.0)</f>
        <v>44773</v>
      </c>
      <c r="L2697" s="1">
        <v>0.0</v>
      </c>
      <c r="M2697" s="1" t="s">
        <v>808</v>
      </c>
      <c r="N2697" s="1"/>
      <c r="O2697" s="1" t="s">
        <v>30</v>
      </c>
      <c r="P2697" s="1" t="s">
        <v>31</v>
      </c>
      <c r="Q2697" s="1" t="s">
        <v>228</v>
      </c>
      <c r="R2697" s="1" t="s">
        <v>228</v>
      </c>
      <c r="S2697" s="1" t="s">
        <v>229</v>
      </c>
      <c r="T2697" s="1" t="s">
        <v>505</v>
      </c>
      <c r="U2697" s="1">
        <v>1.00609871E8</v>
      </c>
      <c r="X2697" s="1" t="s">
        <v>289</v>
      </c>
      <c r="Y2697" s="1" t="s">
        <v>8226</v>
      </c>
      <c r="Z2697" s="1" t="s">
        <v>37</v>
      </c>
    </row>
    <row r="2698" hidden="1">
      <c r="A2698" s="1" t="s">
        <v>8227</v>
      </c>
      <c r="B2698" s="1" t="s">
        <v>3673</v>
      </c>
      <c r="C2698" s="1" t="s">
        <v>8228</v>
      </c>
      <c r="D2698" s="1" t="s">
        <v>68</v>
      </c>
      <c r="E2698" s="1" t="s">
        <v>28</v>
      </c>
      <c r="F2698" s="2">
        <v>375000.0</v>
      </c>
      <c r="G2698" s="1" t="s">
        <v>3853</v>
      </c>
      <c r="H2698" s="4">
        <f>IFERROR(__xludf.DUMMYFUNCTION("DATE(INDEX(SPLIT(G2698,""/""),,3),INDEX(SPLIT(G2698,""/""),,2),INDEX(SPLIT(G2698,""/""),,1))"),44679.0)</f>
        <v>44679</v>
      </c>
      <c r="I2698" s="1" t="s">
        <v>1799</v>
      </c>
      <c r="J2698" s="4">
        <f>IFERROR(__xludf.DUMMYFUNCTION("DATE(INDEX(SPLIT(I2698,""/""),,3),INDEX(SPLIT(I2698,""/""),,2),INDEX(SPLIT(I2698,""/""),,1))"),44788.0)</f>
        <v>44788</v>
      </c>
      <c r="L2698" s="1">
        <v>0.0</v>
      </c>
      <c r="M2698" s="1" t="s">
        <v>3794</v>
      </c>
      <c r="N2698" s="1"/>
      <c r="O2698" s="1" t="s">
        <v>30</v>
      </c>
      <c r="P2698" s="1" t="s">
        <v>31</v>
      </c>
      <c r="Q2698" s="1" t="s">
        <v>32</v>
      </c>
      <c r="R2698" s="1" t="s">
        <v>32</v>
      </c>
      <c r="S2698" s="1" t="s">
        <v>33</v>
      </c>
      <c r="U2698" s="1">
        <v>1.00658994E8</v>
      </c>
      <c r="X2698" s="1" t="s">
        <v>490</v>
      </c>
      <c r="Y2698" s="1" t="s">
        <v>8229</v>
      </c>
      <c r="Z2698" s="1" t="s">
        <v>206</v>
      </c>
    </row>
    <row r="2699" hidden="1">
      <c r="A2699" s="1" t="s">
        <v>8230</v>
      </c>
      <c r="B2699" s="1" t="s">
        <v>8231</v>
      </c>
      <c r="C2699" s="1" t="s">
        <v>8232</v>
      </c>
      <c r="D2699" s="1" t="s">
        <v>122</v>
      </c>
      <c r="E2699" s="1" t="s">
        <v>28</v>
      </c>
      <c r="F2699" s="2">
        <v>375000.0</v>
      </c>
      <c r="G2699" s="1" t="s">
        <v>1581</v>
      </c>
      <c r="H2699" s="4">
        <f>IFERROR(__xludf.DUMMYFUNCTION("DATE(INDEX(SPLIT(G2699,""/""),,3),INDEX(SPLIT(G2699,""/""),,2),INDEX(SPLIT(G2699,""/""),,1))"),44453.0)</f>
        <v>44453</v>
      </c>
      <c r="I2699" s="4">
        <v>44604.0</v>
      </c>
      <c r="J2699" s="4">
        <f>IFERROR(__xludf.DUMMYFUNCTION("DATE(INDEX(SPLIT(I2699,""/""),,3),INDEX(SPLIT(I2699,""/""),,2),INDEX(SPLIT(I2699,""/""),,1))"),44897.0)</f>
        <v>44897</v>
      </c>
      <c r="L2699" s="1">
        <v>0.0</v>
      </c>
      <c r="M2699" s="1" t="s">
        <v>4111</v>
      </c>
      <c r="N2699" s="1"/>
      <c r="O2699" s="1" t="s">
        <v>30</v>
      </c>
      <c r="P2699" s="1" t="s">
        <v>31</v>
      </c>
      <c r="Q2699" s="1" t="s">
        <v>32</v>
      </c>
      <c r="R2699" s="1" t="s">
        <v>32</v>
      </c>
      <c r="S2699" s="1" t="s">
        <v>33</v>
      </c>
      <c r="T2699" s="1" t="s">
        <v>402</v>
      </c>
      <c r="U2699" s="1">
        <v>1.00586786E8</v>
      </c>
      <c r="X2699" s="1" t="s">
        <v>781</v>
      </c>
      <c r="Y2699" s="1" t="s">
        <v>2843</v>
      </c>
      <c r="Z2699" s="1" t="s">
        <v>37</v>
      </c>
    </row>
    <row r="2700" hidden="1">
      <c r="A2700" s="1" t="s">
        <v>8233</v>
      </c>
      <c r="B2700" s="1" t="s">
        <v>6007</v>
      </c>
      <c r="C2700" s="1" t="s">
        <v>8234</v>
      </c>
      <c r="D2700" s="1" t="s">
        <v>122</v>
      </c>
      <c r="E2700" s="1" t="s">
        <v>28</v>
      </c>
      <c r="F2700" s="2">
        <v>375000.0</v>
      </c>
      <c r="G2700" s="4">
        <v>44686.0</v>
      </c>
      <c r="H2700" s="4">
        <f>IFERROR(__xludf.DUMMYFUNCTION("DATE(INDEX(SPLIT(G2700,""/""),,3),INDEX(SPLIT(G2700,""/""),,2),INDEX(SPLIT(G2700,""/""),,1))"),44686.0)</f>
        <v>44686</v>
      </c>
      <c r="I2700" s="1" t="s">
        <v>1799</v>
      </c>
      <c r="J2700" s="4">
        <f>IFERROR(__xludf.DUMMYFUNCTION("DATE(INDEX(SPLIT(I2700,""/""),,3),INDEX(SPLIT(I2700,""/""),,2),INDEX(SPLIT(I2700,""/""),,1))"),44788.0)</f>
        <v>44788</v>
      </c>
      <c r="L2700" s="1">
        <v>0.0</v>
      </c>
      <c r="M2700" s="1" t="s">
        <v>8235</v>
      </c>
      <c r="N2700" s="1"/>
      <c r="O2700" s="1" t="s">
        <v>30</v>
      </c>
      <c r="P2700" s="1" t="s">
        <v>31</v>
      </c>
      <c r="Q2700" s="1" t="s">
        <v>228</v>
      </c>
      <c r="R2700" s="1" t="s">
        <v>228</v>
      </c>
      <c r="S2700" s="1" t="s">
        <v>229</v>
      </c>
      <c r="T2700" s="1" t="s">
        <v>345</v>
      </c>
      <c r="U2700" s="1">
        <v>1.00882152E8</v>
      </c>
      <c r="X2700" s="1" t="s">
        <v>239</v>
      </c>
      <c r="Y2700" s="1" t="s">
        <v>8235</v>
      </c>
      <c r="Z2700" s="1" t="s">
        <v>206</v>
      </c>
    </row>
    <row r="2701" hidden="1">
      <c r="A2701" s="1" t="s">
        <v>8236</v>
      </c>
      <c r="B2701" s="1" t="s">
        <v>1371</v>
      </c>
      <c r="C2701" s="1" t="s">
        <v>8237</v>
      </c>
      <c r="D2701" s="1" t="s">
        <v>78</v>
      </c>
      <c r="E2701" s="1" t="s">
        <v>28</v>
      </c>
      <c r="F2701" s="2">
        <v>375000.0</v>
      </c>
      <c r="G2701" s="1" t="s">
        <v>935</v>
      </c>
      <c r="H2701" s="4">
        <f>IFERROR(__xludf.DUMMYFUNCTION("DATE(INDEX(SPLIT(G2701,""/""),,3),INDEX(SPLIT(G2701,""/""),,2),INDEX(SPLIT(G2701,""/""),,1))"),44764.0)</f>
        <v>44764</v>
      </c>
      <c r="I2701" s="1" t="s">
        <v>109</v>
      </c>
      <c r="J2701" s="4">
        <f>IFERROR(__xludf.DUMMYFUNCTION("DATE(INDEX(SPLIT(I2701,""/""),,3),INDEX(SPLIT(I2701,""/""),,2),INDEX(SPLIT(I2701,""/""),,1))"),44834.0)</f>
        <v>44834</v>
      </c>
      <c r="L2701" s="1">
        <v>0.0</v>
      </c>
      <c r="M2701" s="1" t="s">
        <v>1484</v>
      </c>
      <c r="N2701" s="1"/>
      <c r="O2701" s="1" t="s">
        <v>30</v>
      </c>
      <c r="P2701" s="1" t="s">
        <v>31</v>
      </c>
      <c r="Q2701" s="1" t="s">
        <v>95</v>
      </c>
      <c r="R2701" s="1" t="s">
        <v>95</v>
      </c>
      <c r="S2701" s="1" t="s">
        <v>96</v>
      </c>
      <c r="T2701" s="1" t="s">
        <v>2990</v>
      </c>
      <c r="U2701" s="1">
        <v>1.00585718E8</v>
      </c>
      <c r="X2701" s="1" t="s">
        <v>63</v>
      </c>
      <c r="Y2701" s="1" t="s">
        <v>3541</v>
      </c>
      <c r="Z2701" s="1" t="s">
        <v>37</v>
      </c>
    </row>
    <row r="2702" hidden="1">
      <c r="A2702" s="1" t="s">
        <v>8238</v>
      </c>
      <c r="B2702" s="1" t="s">
        <v>4911</v>
      </c>
      <c r="C2702" s="1" t="s">
        <v>8239</v>
      </c>
      <c r="D2702" s="1" t="s">
        <v>27</v>
      </c>
      <c r="E2702" s="1" t="s">
        <v>28</v>
      </c>
      <c r="F2702" s="2">
        <v>375000.0</v>
      </c>
      <c r="G2702" s="4">
        <v>44206.0</v>
      </c>
      <c r="H2702" s="4">
        <f>IFERROR(__xludf.DUMMYFUNCTION("DATE(INDEX(SPLIT(G2702,""/""),,3),INDEX(SPLIT(G2702,""/""),,2),INDEX(SPLIT(G2702,""/""),,1))"),44470.0)</f>
        <v>44470</v>
      </c>
      <c r="I2702" s="1" t="s">
        <v>130</v>
      </c>
      <c r="J2702" s="4">
        <f>IFERROR(__xludf.DUMMYFUNCTION("DATE(INDEX(SPLIT(I2702,""/""),,3),INDEX(SPLIT(I2702,""/""),,2),INDEX(SPLIT(I2702,""/""),,1))"),44804.0)</f>
        <v>44804</v>
      </c>
      <c r="L2702" s="1">
        <v>0.0</v>
      </c>
      <c r="M2702" s="1" t="s">
        <v>3503</v>
      </c>
      <c r="N2702" s="1"/>
      <c r="O2702" s="1" t="s">
        <v>30</v>
      </c>
      <c r="P2702" s="1" t="s">
        <v>31</v>
      </c>
      <c r="Q2702" s="1" t="s">
        <v>95</v>
      </c>
      <c r="R2702" s="1" t="s">
        <v>95</v>
      </c>
      <c r="S2702" s="1" t="s">
        <v>96</v>
      </c>
      <c r="T2702" s="1" t="s">
        <v>489</v>
      </c>
      <c r="U2702" s="1">
        <v>1.00625578E8</v>
      </c>
      <c r="X2702" s="1" t="s">
        <v>490</v>
      </c>
      <c r="Y2702" s="1" t="s">
        <v>2835</v>
      </c>
      <c r="Z2702" s="1" t="s">
        <v>37</v>
      </c>
    </row>
    <row r="2703">
      <c r="A2703" s="1" t="s">
        <v>8240</v>
      </c>
      <c r="B2703" s="1" t="s">
        <v>6007</v>
      </c>
      <c r="C2703" s="1" t="s">
        <v>8241</v>
      </c>
      <c r="D2703" s="1" t="s">
        <v>68</v>
      </c>
      <c r="E2703" s="1" t="s">
        <v>28</v>
      </c>
      <c r="F2703" s="2">
        <v>375000.0</v>
      </c>
      <c r="G2703" s="1" t="s">
        <v>233</v>
      </c>
      <c r="H2703" s="4">
        <f>IFERROR(__xludf.DUMMYFUNCTION("DATE(INDEX(SPLIT(G2703,""/""),,3),INDEX(SPLIT(G2703,""/""),,2),INDEX(SPLIT(G2703,""/""),,1))"),44729.0)</f>
        <v>44729</v>
      </c>
      <c r="I2703" s="1" t="s">
        <v>935</v>
      </c>
      <c r="J2703" s="4">
        <f>IFERROR(__xludf.DUMMYFUNCTION("DATE(INDEX(SPLIT(I2703,""/""),,3),INDEX(SPLIT(I2703,""/""),,2),INDEX(SPLIT(I2703,""/""),,1))"),44764.0)</f>
        <v>44764</v>
      </c>
      <c r="L2703" s="1">
        <v>0.0</v>
      </c>
      <c r="M2703" s="1" t="s">
        <v>8242</v>
      </c>
      <c r="N2703" s="1"/>
      <c r="O2703" s="1" t="s">
        <v>30</v>
      </c>
      <c r="P2703" s="1" t="s">
        <v>31</v>
      </c>
      <c r="Q2703" s="1" t="s">
        <v>53</v>
      </c>
      <c r="R2703" s="1" t="s">
        <v>53</v>
      </c>
      <c r="S2703" s="1" t="s">
        <v>54</v>
      </c>
      <c r="U2703" s="1">
        <v>1.0060202E8</v>
      </c>
      <c r="X2703" s="1" t="s">
        <v>239</v>
      </c>
      <c r="Y2703" s="1" t="s">
        <v>8243</v>
      </c>
      <c r="Z2703" s="1" t="s">
        <v>37</v>
      </c>
    </row>
    <row r="2704" hidden="1">
      <c r="A2704" s="1" t="s">
        <v>8244</v>
      </c>
      <c r="B2704" s="1" t="s">
        <v>3681</v>
      </c>
      <c r="C2704" s="1" t="s">
        <v>8245</v>
      </c>
      <c r="D2704" s="1" t="s">
        <v>122</v>
      </c>
      <c r="E2704" s="1" t="s">
        <v>28</v>
      </c>
      <c r="F2704" s="2">
        <v>375000.0</v>
      </c>
      <c r="G2704" s="4">
        <v>44653.0</v>
      </c>
      <c r="H2704" s="4">
        <f>IFERROR(__xludf.DUMMYFUNCTION("DATE(INDEX(SPLIT(G2704,""/""),,3),INDEX(SPLIT(G2704,""/""),,2),INDEX(SPLIT(G2704,""/""),,1))"),44596.0)</f>
        <v>44596</v>
      </c>
      <c r="I2704" s="1" t="s">
        <v>109</v>
      </c>
      <c r="J2704" s="4">
        <f>IFERROR(__xludf.DUMMYFUNCTION("DATE(INDEX(SPLIT(I2704,""/""),,3),INDEX(SPLIT(I2704,""/""),,2),INDEX(SPLIT(I2704,""/""),,1))"),44834.0)</f>
        <v>44834</v>
      </c>
      <c r="L2704" s="1">
        <v>0.0</v>
      </c>
      <c r="M2704" s="1" t="s">
        <v>1565</v>
      </c>
      <c r="N2704" s="1"/>
      <c r="O2704" s="1" t="s">
        <v>30</v>
      </c>
      <c r="P2704" s="1" t="s">
        <v>31</v>
      </c>
      <c r="Q2704" s="1" t="s">
        <v>157</v>
      </c>
      <c r="R2704" s="1" t="s">
        <v>157</v>
      </c>
      <c r="S2704" s="1" t="s">
        <v>158</v>
      </c>
      <c r="T2704" s="1" t="s">
        <v>442</v>
      </c>
      <c r="U2704" s="1">
        <v>1.00646908E8</v>
      </c>
      <c r="X2704" s="1" t="s">
        <v>781</v>
      </c>
      <c r="Y2704" s="1" t="s">
        <v>3223</v>
      </c>
      <c r="Z2704" s="1" t="s">
        <v>37</v>
      </c>
    </row>
    <row r="2705">
      <c r="A2705" s="1" t="s">
        <v>8246</v>
      </c>
      <c r="B2705" s="1" t="s">
        <v>7034</v>
      </c>
      <c r="C2705" s="1" t="s">
        <v>8247</v>
      </c>
      <c r="D2705" s="1" t="s">
        <v>78</v>
      </c>
      <c r="E2705" s="1" t="s">
        <v>28</v>
      </c>
      <c r="F2705" s="2">
        <v>375000.0</v>
      </c>
      <c r="G2705" s="1" t="s">
        <v>298</v>
      </c>
      <c r="H2705" s="4">
        <f>IFERROR(__xludf.DUMMYFUNCTION("DATE(INDEX(SPLIT(G2705,""/""),,3),INDEX(SPLIT(G2705,""/""),,2),INDEX(SPLIT(G2705,""/""),,1))"),44762.0)</f>
        <v>44762</v>
      </c>
      <c r="I2705" s="1" t="s">
        <v>226</v>
      </c>
      <c r="J2705" s="4">
        <f>IFERROR(__xludf.DUMMYFUNCTION("DATE(INDEX(SPLIT(I2705,""/""),,3),INDEX(SPLIT(I2705,""/""),,2),INDEX(SPLIT(I2705,""/""),,1))"),44771.0)</f>
        <v>44771</v>
      </c>
      <c r="L2705" s="1">
        <v>0.0</v>
      </c>
      <c r="M2705" s="1" t="s">
        <v>1610</v>
      </c>
      <c r="N2705" s="1"/>
      <c r="O2705" s="1" t="s">
        <v>30</v>
      </c>
      <c r="P2705" s="1" t="s">
        <v>31</v>
      </c>
      <c r="Q2705" s="1" t="s">
        <v>53</v>
      </c>
      <c r="R2705" s="1" t="s">
        <v>53</v>
      </c>
      <c r="S2705" s="1" t="s">
        <v>54</v>
      </c>
      <c r="T2705" s="1" t="s">
        <v>1386</v>
      </c>
      <c r="U2705" s="1">
        <v>1.01141441E8</v>
      </c>
      <c r="X2705" s="1" t="s">
        <v>81</v>
      </c>
      <c r="Y2705" s="1" t="s">
        <v>8214</v>
      </c>
      <c r="Z2705" s="1" t="s">
        <v>37</v>
      </c>
    </row>
    <row r="2706">
      <c r="A2706" s="1" t="s">
        <v>8248</v>
      </c>
      <c r="B2706" s="1" t="s">
        <v>2889</v>
      </c>
      <c r="C2706" s="1" t="s">
        <v>8249</v>
      </c>
      <c r="D2706" s="1" t="s">
        <v>122</v>
      </c>
      <c r="E2706" s="1" t="s">
        <v>28</v>
      </c>
      <c r="F2706" s="2">
        <v>375000.0</v>
      </c>
      <c r="G2706" s="4">
        <v>44718.0</v>
      </c>
      <c r="H2706" s="4">
        <f>IFERROR(__xludf.DUMMYFUNCTION("DATE(INDEX(SPLIT(G2706,""/""),,3),INDEX(SPLIT(G2706,""/""),,2),INDEX(SPLIT(G2706,""/""),,1))"),44718.0)</f>
        <v>44718</v>
      </c>
      <c r="I2706" s="1" t="s">
        <v>226</v>
      </c>
      <c r="J2706" s="4">
        <f>IFERROR(__xludf.DUMMYFUNCTION("DATE(INDEX(SPLIT(I2706,""/""),,3),INDEX(SPLIT(I2706,""/""),,2),INDEX(SPLIT(I2706,""/""),,1))"),44771.0)</f>
        <v>44771</v>
      </c>
      <c r="L2706" s="1">
        <v>0.0</v>
      </c>
      <c r="M2706" s="1" t="s">
        <v>2546</v>
      </c>
      <c r="N2706" s="1"/>
      <c r="O2706" s="1" t="s">
        <v>30</v>
      </c>
      <c r="P2706" s="1" t="s">
        <v>31</v>
      </c>
      <c r="Q2706" s="1" t="s">
        <v>228</v>
      </c>
      <c r="R2706" s="1" t="s">
        <v>228</v>
      </c>
      <c r="S2706" s="1" t="s">
        <v>229</v>
      </c>
      <c r="T2706" s="1" t="s">
        <v>505</v>
      </c>
      <c r="U2706" s="1">
        <v>1.00892076E8</v>
      </c>
      <c r="X2706" s="1" t="s">
        <v>74</v>
      </c>
      <c r="Y2706" s="1" t="s">
        <v>7664</v>
      </c>
      <c r="Z2706" s="1" t="s">
        <v>37</v>
      </c>
    </row>
    <row r="2707">
      <c r="A2707" s="1" t="s">
        <v>8250</v>
      </c>
      <c r="B2707" s="1" t="s">
        <v>39</v>
      </c>
      <c r="C2707" s="1" t="s">
        <v>8251</v>
      </c>
      <c r="D2707" s="1" t="s">
        <v>27</v>
      </c>
      <c r="E2707" s="1" t="s">
        <v>28</v>
      </c>
      <c r="F2707" s="2">
        <v>373855.07</v>
      </c>
      <c r="G2707" s="4">
        <v>44208.0</v>
      </c>
      <c r="H2707" s="4">
        <f>IFERROR(__xludf.DUMMYFUNCTION("DATE(INDEX(SPLIT(G2707,""/""),,3),INDEX(SPLIT(G2707,""/""),,2),INDEX(SPLIT(G2707,""/""),,1))"),44531.0)</f>
        <v>44531</v>
      </c>
      <c r="I2707" s="1" t="s">
        <v>1244</v>
      </c>
      <c r="J2707" s="4">
        <f>IFERROR(__xludf.DUMMYFUNCTION("DATE(INDEX(SPLIT(I2707,""/""),,3),INDEX(SPLIT(I2707,""/""),,2),INDEX(SPLIT(I2707,""/""),,1))"),44742.0)</f>
        <v>44742</v>
      </c>
      <c r="L2707" s="1">
        <v>0.0</v>
      </c>
      <c r="M2707" s="1" t="s">
        <v>3617</v>
      </c>
      <c r="N2707" s="1"/>
      <c r="O2707" s="1" t="s">
        <v>30</v>
      </c>
      <c r="P2707" s="1" t="s">
        <v>31</v>
      </c>
      <c r="Q2707" s="1" t="s">
        <v>53</v>
      </c>
      <c r="R2707" s="1" t="s">
        <v>53</v>
      </c>
      <c r="S2707" s="1" t="s">
        <v>54</v>
      </c>
      <c r="T2707" s="1" t="s">
        <v>634</v>
      </c>
      <c r="U2707" s="1">
        <v>1.00568413E8</v>
      </c>
      <c r="X2707" s="1" t="s">
        <v>490</v>
      </c>
      <c r="Y2707" s="1" t="s">
        <v>8252</v>
      </c>
      <c r="Z2707" s="1" t="s">
        <v>37</v>
      </c>
    </row>
    <row r="2708" hidden="1">
      <c r="A2708" s="1" t="s">
        <v>8253</v>
      </c>
      <c r="B2708" s="1" t="s">
        <v>8254</v>
      </c>
      <c r="C2708" s="1" t="s">
        <v>8255</v>
      </c>
      <c r="D2708" s="1" t="s">
        <v>78</v>
      </c>
      <c r="E2708" s="1" t="s">
        <v>28</v>
      </c>
      <c r="F2708" s="2">
        <v>370000.0</v>
      </c>
      <c r="G2708" s="1" t="s">
        <v>3467</v>
      </c>
      <c r="H2708" s="4">
        <f>IFERROR(__xludf.DUMMYFUNCTION("DATE(INDEX(SPLIT(G2708,""/""),,3),INDEX(SPLIT(G2708,""/""),,2),INDEX(SPLIT(G2708,""/""),,1))"),44615.0)</f>
        <v>44615</v>
      </c>
      <c r="I2708" s="1" t="s">
        <v>130</v>
      </c>
      <c r="J2708" s="4">
        <f>IFERROR(__xludf.DUMMYFUNCTION("DATE(INDEX(SPLIT(I2708,""/""),,3),INDEX(SPLIT(I2708,""/""),,2),INDEX(SPLIT(I2708,""/""),,1))"),44804.0)</f>
        <v>44804</v>
      </c>
      <c r="L2708" s="1">
        <v>0.0</v>
      </c>
      <c r="M2708" s="1" t="s">
        <v>504</v>
      </c>
      <c r="N2708" s="1"/>
      <c r="O2708" s="1" t="s">
        <v>30</v>
      </c>
      <c r="P2708" s="1" t="s">
        <v>31</v>
      </c>
      <c r="Q2708" s="1" t="s">
        <v>228</v>
      </c>
      <c r="R2708" s="1" t="s">
        <v>228</v>
      </c>
      <c r="S2708" s="1" t="s">
        <v>229</v>
      </c>
      <c r="T2708" s="1" t="s">
        <v>640</v>
      </c>
      <c r="U2708" s="1">
        <v>1.00901211E8</v>
      </c>
      <c r="X2708" s="1" t="s">
        <v>468</v>
      </c>
      <c r="Y2708" s="1" t="s">
        <v>8256</v>
      </c>
      <c r="Z2708" s="1" t="s">
        <v>37</v>
      </c>
    </row>
    <row r="2709" hidden="1">
      <c r="A2709" s="1" t="s">
        <v>8257</v>
      </c>
      <c r="B2709" s="1" t="s">
        <v>427</v>
      </c>
      <c r="C2709" s="1" t="s">
        <v>8258</v>
      </c>
      <c r="D2709" s="1" t="s">
        <v>122</v>
      </c>
      <c r="E2709" s="1" t="s">
        <v>28</v>
      </c>
      <c r="F2709" s="2">
        <v>365000.0</v>
      </c>
      <c r="G2709" s="4">
        <v>44384.0</v>
      </c>
      <c r="H2709" s="4">
        <f>IFERROR(__xludf.DUMMYFUNCTION("DATE(INDEX(SPLIT(G2709,""/""),,3),INDEX(SPLIT(G2709,""/""),,2),INDEX(SPLIT(G2709,""/""),,1))"),44384.0)</f>
        <v>44384</v>
      </c>
      <c r="I2709" s="1" t="s">
        <v>1495</v>
      </c>
      <c r="J2709" s="4">
        <f>IFERROR(__xludf.DUMMYFUNCTION("DATE(INDEX(SPLIT(I2709,""/""),,3),INDEX(SPLIT(I2709,""/""),,2),INDEX(SPLIT(I2709,""/""),,1))"),44864.0)</f>
        <v>44864</v>
      </c>
      <c r="L2709" s="1">
        <v>0.0</v>
      </c>
      <c r="M2709" s="1" t="s">
        <v>780</v>
      </c>
      <c r="N2709" s="1"/>
      <c r="O2709" s="1" t="s">
        <v>30</v>
      </c>
      <c r="P2709" s="1" t="s">
        <v>31</v>
      </c>
      <c r="Q2709" s="1" t="s">
        <v>157</v>
      </c>
      <c r="R2709" s="1" t="s">
        <v>157</v>
      </c>
      <c r="S2709" s="1" t="s">
        <v>158</v>
      </c>
      <c r="T2709" s="1" t="s">
        <v>442</v>
      </c>
      <c r="U2709" s="1">
        <v>1.00654914E8</v>
      </c>
      <c r="X2709" s="1" t="s">
        <v>125</v>
      </c>
      <c r="Y2709" s="1" t="s">
        <v>3520</v>
      </c>
      <c r="Z2709" s="1" t="s">
        <v>37</v>
      </c>
    </row>
    <row r="2710" hidden="1">
      <c r="A2710" s="1" t="s">
        <v>8259</v>
      </c>
      <c r="B2710" s="1" t="s">
        <v>8260</v>
      </c>
      <c r="C2710" s="1" t="s">
        <v>8261</v>
      </c>
      <c r="D2710" s="1" t="s">
        <v>27</v>
      </c>
      <c r="E2710" s="1" t="s">
        <v>28</v>
      </c>
      <c r="F2710" s="2">
        <v>365000.0</v>
      </c>
      <c r="G2710" s="4">
        <v>44540.0</v>
      </c>
      <c r="H2710" s="4">
        <f>IFERROR(__xludf.DUMMYFUNCTION("DATE(INDEX(SPLIT(G2710,""/""),,3),INDEX(SPLIT(G2710,""/""),,2),INDEX(SPLIT(G2710,""/""),,1))"),44481.0)</f>
        <v>44481</v>
      </c>
      <c r="I2710" s="1" t="s">
        <v>425</v>
      </c>
      <c r="J2710" s="4">
        <f>IFERROR(__xludf.DUMMYFUNCTION("DATE(INDEX(SPLIT(I2710,""/""),,3),INDEX(SPLIT(I2710,""/""),,2),INDEX(SPLIT(I2710,""/""),,1))"),44911.0)</f>
        <v>44911</v>
      </c>
      <c r="L2710" s="1">
        <v>0.0</v>
      </c>
      <c r="M2710" s="1" t="s">
        <v>653</v>
      </c>
      <c r="N2710" s="1"/>
      <c r="O2710" s="1" t="s">
        <v>30</v>
      </c>
      <c r="P2710" s="1" t="s">
        <v>31</v>
      </c>
      <c r="Q2710" s="1" t="s">
        <v>157</v>
      </c>
      <c r="R2710" s="1" t="s">
        <v>157</v>
      </c>
      <c r="S2710" s="1" t="s">
        <v>158</v>
      </c>
      <c r="T2710" s="1" t="s">
        <v>442</v>
      </c>
      <c r="U2710" s="1">
        <v>1.00591141E8</v>
      </c>
      <c r="X2710" s="1" t="s">
        <v>63</v>
      </c>
      <c r="Y2710" s="1" t="s">
        <v>3880</v>
      </c>
      <c r="Z2710" s="1" t="s">
        <v>37</v>
      </c>
    </row>
    <row r="2711" hidden="1">
      <c r="A2711" s="1" t="s">
        <v>8262</v>
      </c>
      <c r="B2711" s="1" t="s">
        <v>1479</v>
      </c>
      <c r="C2711" s="1" t="s">
        <v>8263</v>
      </c>
      <c r="D2711" s="1" t="s">
        <v>122</v>
      </c>
      <c r="E2711" s="1" t="s">
        <v>28</v>
      </c>
      <c r="F2711" s="2">
        <v>365000.0</v>
      </c>
      <c r="G2711" s="4">
        <v>44779.0</v>
      </c>
      <c r="H2711" s="4">
        <f>IFERROR(__xludf.DUMMYFUNCTION("DATE(INDEX(SPLIT(G2711,""/""),,3),INDEX(SPLIT(G2711,""/""),,2),INDEX(SPLIT(G2711,""/""),,1))"),44720.0)</f>
        <v>44720</v>
      </c>
      <c r="I2711" s="4">
        <v>44813.0</v>
      </c>
      <c r="J2711" s="4">
        <f>IFERROR(__xludf.DUMMYFUNCTION("DATE(INDEX(SPLIT(I2711,""/""),,3),INDEX(SPLIT(I2711,""/""),,2),INDEX(SPLIT(I2711,""/""),,1))"),44813.0)</f>
        <v>44813</v>
      </c>
      <c r="L2711" s="1">
        <v>0.0</v>
      </c>
      <c r="M2711" s="1" t="s">
        <v>5555</v>
      </c>
      <c r="N2711" s="1"/>
      <c r="O2711" s="1" t="s">
        <v>30</v>
      </c>
      <c r="P2711" s="1" t="s">
        <v>31</v>
      </c>
      <c r="Q2711" s="1" t="s">
        <v>228</v>
      </c>
      <c r="R2711" s="1" t="s">
        <v>228</v>
      </c>
      <c r="S2711" s="1" t="s">
        <v>229</v>
      </c>
      <c r="U2711" s="1">
        <v>1.00611354E8</v>
      </c>
      <c r="X2711" s="1" t="s">
        <v>305</v>
      </c>
      <c r="Y2711" s="1" t="s">
        <v>8264</v>
      </c>
      <c r="Z2711" s="1" t="s">
        <v>37</v>
      </c>
    </row>
    <row r="2712" hidden="1">
      <c r="A2712" s="1" t="s">
        <v>8265</v>
      </c>
      <c r="B2712" s="1" t="s">
        <v>341</v>
      </c>
      <c r="C2712" s="1" t="s">
        <v>8266</v>
      </c>
      <c r="D2712" s="1" t="s">
        <v>78</v>
      </c>
      <c r="E2712" s="1" t="s">
        <v>28</v>
      </c>
      <c r="F2712" s="2">
        <v>365000.0</v>
      </c>
      <c r="G2712" s="4">
        <v>44871.0</v>
      </c>
      <c r="H2712" s="4">
        <f>IFERROR(__xludf.DUMMYFUNCTION("DATE(INDEX(SPLIT(G2712,""/""),,3),INDEX(SPLIT(G2712,""/""),,2),INDEX(SPLIT(G2712,""/""),,1))"),44723.0)</f>
        <v>44723</v>
      </c>
      <c r="I2712" s="4">
        <v>44601.0</v>
      </c>
      <c r="J2712" s="4">
        <f>IFERROR(__xludf.DUMMYFUNCTION("DATE(INDEX(SPLIT(I2712,""/""),,3),INDEX(SPLIT(I2712,""/""),,2),INDEX(SPLIT(I2712,""/""),,1))"),44806.0)</f>
        <v>44806</v>
      </c>
      <c r="L2712" s="1">
        <v>0.0</v>
      </c>
      <c r="M2712" s="1" t="s">
        <v>3580</v>
      </c>
      <c r="N2712" s="1"/>
      <c r="O2712" s="1" t="s">
        <v>30</v>
      </c>
      <c r="P2712" s="1" t="s">
        <v>31</v>
      </c>
      <c r="Q2712" s="1" t="s">
        <v>157</v>
      </c>
      <c r="R2712" s="1" t="s">
        <v>157</v>
      </c>
      <c r="S2712" s="1" t="s">
        <v>158</v>
      </c>
      <c r="U2712" s="1">
        <v>1.00956516E8</v>
      </c>
      <c r="X2712" s="1" t="s">
        <v>239</v>
      </c>
      <c r="Y2712" s="1" t="s">
        <v>4960</v>
      </c>
      <c r="Z2712" s="1" t="s">
        <v>37</v>
      </c>
    </row>
    <row r="2713" hidden="1">
      <c r="A2713" s="1" t="s">
        <v>8267</v>
      </c>
      <c r="B2713" s="1" t="s">
        <v>8268</v>
      </c>
      <c r="C2713" s="1" t="s">
        <v>8269</v>
      </c>
      <c r="D2713" s="1" t="s">
        <v>27</v>
      </c>
      <c r="E2713" s="1" t="s">
        <v>28</v>
      </c>
      <c r="F2713" s="2">
        <v>365000.0</v>
      </c>
      <c r="G2713" s="1" t="s">
        <v>1551</v>
      </c>
      <c r="H2713" s="4">
        <f>IFERROR(__xludf.DUMMYFUNCTION("DATE(INDEX(SPLIT(G2713,""/""),,3),INDEX(SPLIT(G2713,""/""),,2),INDEX(SPLIT(G2713,""/""),,1))"),44618.0)</f>
        <v>44618</v>
      </c>
      <c r="I2713" s="1" t="s">
        <v>109</v>
      </c>
      <c r="J2713" s="4">
        <f>IFERROR(__xludf.DUMMYFUNCTION("DATE(INDEX(SPLIT(I2713,""/""),,3),INDEX(SPLIT(I2713,""/""),,2),INDEX(SPLIT(I2713,""/""),,1))"),44834.0)</f>
        <v>44834</v>
      </c>
      <c r="L2713" s="1">
        <v>0.0</v>
      </c>
      <c r="M2713" s="1" t="s">
        <v>406</v>
      </c>
      <c r="N2713" s="1"/>
      <c r="O2713" s="1" t="s">
        <v>30</v>
      </c>
      <c r="P2713" s="1" t="s">
        <v>31</v>
      </c>
      <c r="Q2713" s="1" t="s">
        <v>32</v>
      </c>
      <c r="R2713" s="1" t="s">
        <v>32</v>
      </c>
      <c r="S2713" s="1" t="s">
        <v>33</v>
      </c>
      <c r="T2713" s="1" t="s">
        <v>402</v>
      </c>
      <c r="U2713" s="1">
        <v>1.00642129E8</v>
      </c>
      <c r="V2713" s="1" t="s">
        <v>8270</v>
      </c>
      <c r="W2713" s="1" t="s">
        <v>45</v>
      </c>
      <c r="X2713" s="1" t="s">
        <v>312</v>
      </c>
      <c r="Y2713" s="1" t="s">
        <v>4657</v>
      </c>
      <c r="Z2713" s="1" t="s">
        <v>37</v>
      </c>
    </row>
    <row r="2714" hidden="1">
      <c r="A2714" s="1" t="s">
        <v>8271</v>
      </c>
      <c r="B2714" s="1" t="s">
        <v>2135</v>
      </c>
      <c r="C2714" s="1" t="s">
        <v>8272</v>
      </c>
      <c r="D2714" s="1" t="s">
        <v>122</v>
      </c>
      <c r="E2714" s="1" t="s">
        <v>28</v>
      </c>
      <c r="F2714" s="2">
        <v>365000.0</v>
      </c>
      <c r="G2714" s="4">
        <v>44839.0</v>
      </c>
      <c r="H2714" s="4">
        <f>IFERROR(__xludf.DUMMYFUNCTION("DATE(INDEX(SPLIT(G2714,""/""),,3),INDEX(SPLIT(G2714,""/""),,2),INDEX(SPLIT(G2714,""/""),,1))"),44691.0)</f>
        <v>44691</v>
      </c>
      <c r="I2714" s="1" t="s">
        <v>109</v>
      </c>
      <c r="J2714" s="4">
        <f>IFERROR(__xludf.DUMMYFUNCTION("DATE(INDEX(SPLIT(I2714,""/""),,3),INDEX(SPLIT(I2714,""/""),,2),INDEX(SPLIT(I2714,""/""),,1))"),44834.0)</f>
        <v>44834</v>
      </c>
      <c r="L2714" s="1">
        <v>0.0</v>
      </c>
      <c r="M2714" s="1" t="s">
        <v>3742</v>
      </c>
      <c r="N2714" s="1"/>
      <c r="O2714" s="1" t="s">
        <v>30</v>
      </c>
      <c r="P2714" s="1" t="s">
        <v>31</v>
      </c>
      <c r="Q2714" s="1" t="s">
        <v>95</v>
      </c>
      <c r="R2714" s="1" t="s">
        <v>95</v>
      </c>
      <c r="S2714" s="1" t="s">
        <v>96</v>
      </c>
      <c r="T2714" s="1" t="s">
        <v>311</v>
      </c>
      <c r="U2714" s="1">
        <v>1.00592784E8</v>
      </c>
      <c r="X2714" s="1" t="s">
        <v>361</v>
      </c>
      <c r="Y2714" s="1" t="s">
        <v>2138</v>
      </c>
      <c r="Z2714" s="1" t="s">
        <v>37</v>
      </c>
    </row>
    <row r="2715" hidden="1">
      <c r="A2715" s="1" t="s">
        <v>8273</v>
      </c>
      <c r="B2715" s="1" t="s">
        <v>1090</v>
      </c>
      <c r="C2715" s="1" t="s">
        <v>8274</v>
      </c>
      <c r="D2715" s="1" t="s">
        <v>122</v>
      </c>
      <c r="E2715" s="1" t="s">
        <v>28</v>
      </c>
      <c r="F2715" s="2">
        <v>365000.0</v>
      </c>
      <c r="G2715" s="1" t="s">
        <v>8275</v>
      </c>
      <c r="H2715" s="4">
        <f>IFERROR(__xludf.DUMMYFUNCTION("DATE(INDEX(SPLIT(G2715,""/""),,3),INDEX(SPLIT(G2715,""/""),,2),INDEX(SPLIT(G2715,""/""),,1))"),43598.0)</f>
        <v>43598</v>
      </c>
      <c r="I2715" s="1" t="s">
        <v>1097</v>
      </c>
      <c r="J2715" s="4">
        <f>IFERROR(__xludf.DUMMYFUNCTION("DATE(INDEX(SPLIT(I2715,""/""),,3),INDEX(SPLIT(I2715,""/""),,2),INDEX(SPLIT(I2715,""/""),,1))"),45107.0)</f>
        <v>45107</v>
      </c>
      <c r="L2715" s="1">
        <v>0.0</v>
      </c>
      <c r="M2715" s="1" t="s">
        <v>211</v>
      </c>
      <c r="N2715" s="1"/>
      <c r="O2715" s="1" t="s">
        <v>30</v>
      </c>
      <c r="P2715" s="1" t="s">
        <v>31</v>
      </c>
      <c r="Q2715" s="1" t="s">
        <v>71</v>
      </c>
      <c r="R2715" s="1" t="s">
        <v>71</v>
      </c>
      <c r="S2715" s="1" t="s">
        <v>72</v>
      </c>
      <c r="T2715" s="1" t="s">
        <v>136</v>
      </c>
      <c r="U2715" s="1">
        <v>1.00590896E8</v>
      </c>
      <c r="X2715" s="1" t="s">
        <v>74</v>
      </c>
      <c r="Y2715" s="1" t="s">
        <v>3650</v>
      </c>
      <c r="Z2715" s="1" t="s">
        <v>37</v>
      </c>
    </row>
    <row r="2716">
      <c r="A2716" s="1" t="s">
        <v>8276</v>
      </c>
      <c r="B2716" s="1" t="s">
        <v>1748</v>
      </c>
      <c r="C2716" s="1" t="s">
        <v>8277</v>
      </c>
      <c r="D2716" s="1" t="s">
        <v>78</v>
      </c>
      <c r="E2716" s="1" t="s">
        <v>28</v>
      </c>
      <c r="F2716" s="2">
        <v>364000.0</v>
      </c>
      <c r="G2716" s="4">
        <v>44807.0</v>
      </c>
      <c r="H2716" s="4">
        <f>IFERROR(__xludf.DUMMYFUNCTION("DATE(INDEX(SPLIT(G2716,""/""),,3),INDEX(SPLIT(G2716,""/""),,2),INDEX(SPLIT(G2716,""/""),,1))"),44629.0)</f>
        <v>44629</v>
      </c>
      <c r="I2716" s="1" t="s">
        <v>1141</v>
      </c>
      <c r="J2716" s="4">
        <f>IFERROR(__xludf.DUMMYFUNCTION("DATE(INDEX(SPLIT(I2716,""/""),,3),INDEX(SPLIT(I2716,""/""),,2),INDEX(SPLIT(I2716,""/""),,1))"),44767.0)</f>
        <v>44767</v>
      </c>
      <c r="L2716" s="1">
        <v>0.0</v>
      </c>
      <c r="M2716" s="1" t="s">
        <v>5684</v>
      </c>
      <c r="N2716" s="1"/>
      <c r="O2716" s="1" t="s">
        <v>30</v>
      </c>
      <c r="P2716" s="1" t="s">
        <v>31</v>
      </c>
      <c r="Q2716" s="1" t="s">
        <v>53</v>
      </c>
      <c r="R2716" s="1" t="s">
        <v>53</v>
      </c>
      <c r="S2716" s="1" t="s">
        <v>54</v>
      </c>
      <c r="T2716" s="1" t="s">
        <v>87</v>
      </c>
      <c r="U2716" s="1">
        <v>1.00649463E8</v>
      </c>
      <c r="X2716" s="1" t="s">
        <v>88</v>
      </c>
      <c r="Y2716" s="1" t="s">
        <v>8278</v>
      </c>
      <c r="Z2716" s="1" t="s">
        <v>37</v>
      </c>
    </row>
    <row r="2717" hidden="1">
      <c r="A2717" s="1" t="s">
        <v>8279</v>
      </c>
      <c r="B2717" s="1" t="s">
        <v>8280</v>
      </c>
      <c r="C2717" s="1" t="s">
        <v>8281</v>
      </c>
      <c r="D2717" s="1" t="s">
        <v>68</v>
      </c>
      <c r="E2717" s="1" t="s">
        <v>28</v>
      </c>
      <c r="F2717" s="2">
        <v>360000.0</v>
      </c>
      <c r="G2717" s="1" t="s">
        <v>298</v>
      </c>
      <c r="H2717" s="4">
        <f>IFERROR(__xludf.DUMMYFUNCTION("DATE(INDEX(SPLIT(G2717,""/""),,3),INDEX(SPLIT(G2717,""/""),,2),INDEX(SPLIT(G2717,""/""),,1))"),44762.0)</f>
        <v>44762</v>
      </c>
      <c r="I2717" s="1" t="s">
        <v>85</v>
      </c>
      <c r="J2717" s="4">
        <f>IFERROR(__xludf.DUMMYFUNCTION("DATE(INDEX(SPLIT(I2717,""/""),,3),INDEX(SPLIT(I2717,""/""),,2),INDEX(SPLIT(I2717,""/""),,1))"),44799.0)</f>
        <v>44799</v>
      </c>
      <c r="L2717" s="1">
        <v>0.0</v>
      </c>
      <c r="M2717" s="1" t="s">
        <v>8282</v>
      </c>
      <c r="N2717" s="1"/>
      <c r="O2717" s="1" t="s">
        <v>30</v>
      </c>
      <c r="P2717" s="1" t="s">
        <v>31</v>
      </c>
      <c r="Q2717" s="1" t="s">
        <v>188</v>
      </c>
      <c r="R2717" s="1" t="s">
        <v>188</v>
      </c>
      <c r="S2717" s="1" t="s">
        <v>189</v>
      </c>
      <c r="U2717" s="1">
        <v>1.00636647E8</v>
      </c>
      <c r="X2717" s="1" t="s">
        <v>490</v>
      </c>
      <c r="Y2717" s="1" t="s">
        <v>8283</v>
      </c>
      <c r="Z2717" s="1" t="s">
        <v>37</v>
      </c>
    </row>
    <row r="2718">
      <c r="A2718" s="1" t="s">
        <v>8284</v>
      </c>
      <c r="B2718" s="1" t="s">
        <v>8149</v>
      </c>
      <c r="C2718" s="1" t="s">
        <v>8285</v>
      </c>
      <c r="D2718" s="1" t="s">
        <v>78</v>
      </c>
      <c r="E2718" s="1" t="s">
        <v>28</v>
      </c>
      <c r="F2718" s="2">
        <v>360000.0</v>
      </c>
      <c r="G2718" s="1" t="s">
        <v>518</v>
      </c>
      <c r="H2718" s="4">
        <f>IFERROR(__xludf.DUMMYFUNCTION("DATE(INDEX(SPLIT(G2718,""/""),,3),INDEX(SPLIT(G2718,""/""),,2),INDEX(SPLIT(G2718,""/""),,1))"),44757.0)</f>
        <v>44757</v>
      </c>
      <c r="I2718" s="1" t="s">
        <v>226</v>
      </c>
      <c r="J2718" s="4">
        <f>IFERROR(__xludf.DUMMYFUNCTION("DATE(INDEX(SPLIT(I2718,""/""),,3),INDEX(SPLIT(I2718,""/""),,2),INDEX(SPLIT(I2718,""/""),,1))"),44771.0)</f>
        <v>44771</v>
      </c>
      <c r="L2718" s="1">
        <v>0.0</v>
      </c>
      <c r="M2718" s="1" t="s">
        <v>752</v>
      </c>
      <c r="N2718" s="1"/>
      <c r="O2718" s="1" t="s">
        <v>30</v>
      </c>
      <c r="P2718" s="1" t="s">
        <v>31</v>
      </c>
      <c r="Q2718" s="1" t="s">
        <v>235</v>
      </c>
      <c r="R2718" s="1" t="s">
        <v>235</v>
      </c>
      <c r="S2718" s="1" t="s">
        <v>236</v>
      </c>
      <c r="T2718" s="1" t="s">
        <v>753</v>
      </c>
      <c r="U2718" s="1">
        <v>1.00899005E8</v>
      </c>
      <c r="X2718" s="1" t="s">
        <v>88</v>
      </c>
      <c r="Y2718" s="1" t="s">
        <v>754</v>
      </c>
      <c r="Z2718" s="1" t="s">
        <v>37</v>
      </c>
    </row>
    <row r="2719">
      <c r="A2719" s="1" t="s">
        <v>8286</v>
      </c>
      <c r="B2719" s="1" t="s">
        <v>816</v>
      </c>
      <c r="C2719" s="1" t="s">
        <v>8287</v>
      </c>
      <c r="D2719" s="1" t="s">
        <v>27</v>
      </c>
      <c r="E2719" s="1" t="s">
        <v>28</v>
      </c>
      <c r="F2719" s="2">
        <v>360000.0</v>
      </c>
      <c r="G2719" s="4">
        <v>44777.0</v>
      </c>
      <c r="H2719" s="4">
        <f>IFERROR(__xludf.DUMMYFUNCTION("DATE(INDEX(SPLIT(G2719,""/""),,3),INDEX(SPLIT(G2719,""/""),,2),INDEX(SPLIT(G2719,""/""),,1))"),44659.0)</f>
        <v>44659</v>
      </c>
      <c r="I2719" s="1" t="s">
        <v>1244</v>
      </c>
      <c r="J2719" s="4">
        <f>IFERROR(__xludf.DUMMYFUNCTION("DATE(INDEX(SPLIT(I2719,""/""),,3),INDEX(SPLIT(I2719,""/""),,2),INDEX(SPLIT(I2719,""/""),,1))"),44742.0)</f>
        <v>44742</v>
      </c>
      <c r="L2719" s="1">
        <v>0.0</v>
      </c>
      <c r="M2719" s="1" t="s">
        <v>819</v>
      </c>
      <c r="N2719" s="1"/>
      <c r="O2719" s="1" t="s">
        <v>30</v>
      </c>
      <c r="P2719" s="1" t="s">
        <v>31</v>
      </c>
      <c r="Q2719" s="1" t="s">
        <v>53</v>
      </c>
      <c r="R2719" s="1" t="s">
        <v>53</v>
      </c>
      <c r="S2719" s="1" t="s">
        <v>54</v>
      </c>
      <c r="T2719" s="1" t="s">
        <v>634</v>
      </c>
      <c r="U2719" s="1">
        <v>1.00661738E8</v>
      </c>
      <c r="X2719" s="1" t="s">
        <v>490</v>
      </c>
      <c r="Y2719" s="1" t="s">
        <v>2119</v>
      </c>
      <c r="Z2719" s="1" t="s">
        <v>37</v>
      </c>
    </row>
    <row r="2720" hidden="1">
      <c r="A2720" s="1" t="s">
        <v>8288</v>
      </c>
      <c r="B2720" s="1" t="s">
        <v>8289</v>
      </c>
      <c r="C2720" s="1" t="s">
        <v>8290</v>
      </c>
      <c r="D2720" s="1" t="s">
        <v>27</v>
      </c>
      <c r="E2720" s="1" t="s">
        <v>28</v>
      </c>
      <c r="F2720" s="2">
        <v>360000.0</v>
      </c>
      <c r="G2720" s="1" t="s">
        <v>41</v>
      </c>
      <c r="H2720" s="4">
        <f>IFERROR(__xludf.DUMMYFUNCTION("DATE(INDEX(SPLIT(G2720,""/""),,3),INDEX(SPLIT(G2720,""/""),,2),INDEX(SPLIT(G2720,""/""),,1))"),44607.0)</f>
        <v>44607</v>
      </c>
      <c r="I2720" s="4">
        <v>44573.0</v>
      </c>
      <c r="J2720" s="4">
        <f>IFERROR(__xludf.DUMMYFUNCTION("DATE(INDEX(SPLIT(I2720,""/""),,3),INDEX(SPLIT(I2720,""/""),,2),INDEX(SPLIT(I2720,""/""),,1))"),44896.0)</f>
        <v>44896</v>
      </c>
      <c r="L2720" s="1">
        <v>0.0</v>
      </c>
      <c r="M2720" s="1" t="s">
        <v>1385</v>
      </c>
      <c r="N2720" s="1"/>
      <c r="O2720" s="1" t="s">
        <v>30</v>
      </c>
      <c r="P2720" s="1" t="s">
        <v>31</v>
      </c>
      <c r="Q2720" s="1" t="s">
        <v>235</v>
      </c>
      <c r="R2720" s="1" t="s">
        <v>235</v>
      </c>
      <c r="S2720" s="1" t="s">
        <v>236</v>
      </c>
      <c r="T2720" s="1" t="s">
        <v>1386</v>
      </c>
      <c r="U2720" s="1">
        <v>1.00594397E8</v>
      </c>
      <c r="X2720" s="1" t="s">
        <v>239</v>
      </c>
      <c r="Y2720" s="1" t="s">
        <v>1387</v>
      </c>
      <c r="Z2720" s="1" t="s">
        <v>37</v>
      </c>
    </row>
    <row r="2721" hidden="1">
      <c r="A2721" s="1" t="s">
        <v>8291</v>
      </c>
      <c r="B2721" s="1" t="s">
        <v>3655</v>
      </c>
      <c r="C2721" s="1" t="s">
        <v>8292</v>
      </c>
      <c r="D2721" s="1" t="s">
        <v>27</v>
      </c>
      <c r="E2721" s="1" t="s">
        <v>28</v>
      </c>
      <c r="F2721" s="2">
        <v>360000.0</v>
      </c>
      <c r="G2721" s="1" t="s">
        <v>2329</v>
      </c>
      <c r="H2721" s="4">
        <f>IFERROR(__xludf.DUMMYFUNCTION("DATE(INDEX(SPLIT(G2721,""/""),,3),INDEX(SPLIT(G2721,""/""),,2),INDEX(SPLIT(G2721,""/""),,1))"),44732.0)</f>
        <v>44732</v>
      </c>
      <c r="I2721" s="1" t="s">
        <v>1909</v>
      </c>
      <c r="J2721" s="4">
        <f>IFERROR(__xludf.DUMMYFUNCTION("DATE(INDEX(SPLIT(I2721,""/""),,3),INDEX(SPLIT(I2721,""/""),,2),INDEX(SPLIT(I2721,""/""),,1))"),44883.0)</f>
        <v>44883</v>
      </c>
      <c r="L2721" s="1">
        <v>0.0</v>
      </c>
      <c r="M2721" s="1" t="s">
        <v>6735</v>
      </c>
      <c r="N2721" s="1"/>
      <c r="O2721" s="1" t="s">
        <v>30</v>
      </c>
      <c r="P2721" s="1" t="s">
        <v>31</v>
      </c>
      <c r="Q2721" s="1" t="s">
        <v>235</v>
      </c>
      <c r="R2721" s="1" t="s">
        <v>235</v>
      </c>
      <c r="S2721" s="1" t="s">
        <v>236</v>
      </c>
      <c r="T2721" s="1" t="s">
        <v>438</v>
      </c>
      <c r="U2721" s="1">
        <v>1.00911004E8</v>
      </c>
      <c r="X2721" s="1" t="s">
        <v>88</v>
      </c>
      <c r="Y2721" s="1" t="s">
        <v>8293</v>
      </c>
      <c r="Z2721" s="1" t="s">
        <v>37</v>
      </c>
    </row>
    <row r="2722">
      <c r="A2722" s="1" t="s">
        <v>8294</v>
      </c>
      <c r="B2722" s="1" t="s">
        <v>516</v>
      </c>
      <c r="C2722" s="1" t="s">
        <v>8295</v>
      </c>
      <c r="D2722" s="1" t="s">
        <v>78</v>
      </c>
      <c r="E2722" s="1" t="s">
        <v>28</v>
      </c>
      <c r="F2722" s="2">
        <v>360000.0</v>
      </c>
      <c r="G2722" s="1" t="s">
        <v>1716</v>
      </c>
      <c r="H2722" s="4">
        <f>IFERROR(__xludf.DUMMYFUNCTION("DATE(INDEX(SPLIT(G2722,""/""),,3),INDEX(SPLIT(G2722,""/""),,2),INDEX(SPLIT(G2722,""/""),,1))"),44619.0)</f>
        <v>44619</v>
      </c>
      <c r="I2722" s="1" t="s">
        <v>503</v>
      </c>
      <c r="J2722" s="4">
        <f>IFERROR(__xludf.DUMMYFUNCTION("DATE(INDEX(SPLIT(I2722,""/""),,3),INDEX(SPLIT(I2722,""/""),,2),INDEX(SPLIT(I2722,""/""),,1))"),44736.0)</f>
        <v>44736</v>
      </c>
      <c r="K2722" s="1" t="s">
        <v>8296</v>
      </c>
      <c r="L2722" s="1">
        <v>0.0</v>
      </c>
      <c r="M2722" s="1" t="s">
        <v>7498</v>
      </c>
      <c r="N2722" s="1"/>
      <c r="O2722" s="1" t="s">
        <v>30</v>
      </c>
      <c r="P2722" s="1" t="s">
        <v>31</v>
      </c>
      <c r="Q2722" s="1" t="s">
        <v>235</v>
      </c>
      <c r="R2722" s="1" t="s">
        <v>235</v>
      </c>
      <c r="S2722" s="1" t="s">
        <v>236</v>
      </c>
      <c r="U2722" s="1">
        <v>1.01093101E8</v>
      </c>
      <c r="X2722" s="1" t="s">
        <v>781</v>
      </c>
      <c r="Y2722" s="1" t="s">
        <v>7498</v>
      </c>
      <c r="Z2722" s="1" t="s">
        <v>206</v>
      </c>
    </row>
    <row r="2723">
      <c r="A2723" s="1" t="s">
        <v>8297</v>
      </c>
      <c r="B2723" s="1" t="s">
        <v>8298</v>
      </c>
      <c r="C2723" s="1" t="s">
        <v>8299</v>
      </c>
      <c r="D2723" s="1" t="s">
        <v>78</v>
      </c>
      <c r="E2723" s="1" t="s">
        <v>28</v>
      </c>
      <c r="F2723" s="2">
        <v>360000.0</v>
      </c>
      <c r="G2723" s="4">
        <v>44355.0</v>
      </c>
      <c r="H2723" s="4">
        <f>IFERROR(__xludf.DUMMYFUNCTION("DATE(INDEX(SPLIT(G2723,""/""),,3),INDEX(SPLIT(G2723,""/""),,2),INDEX(SPLIT(G2723,""/""),,1))"),44414.0)</f>
        <v>44414</v>
      </c>
      <c r="I2723" s="4">
        <v>44568.0</v>
      </c>
      <c r="J2723" s="4">
        <f>IFERROR(__xludf.DUMMYFUNCTION("DATE(INDEX(SPLIT(I2723,""/""),,3),INDEX(SPLIT(I2723,""/""),,2),INDEX(SPLIT(I2723,""/""),,1))"),44743.0)</f>
        <v>44743</v>
      </c>
      <c r="L2723" s="1">
        <v>0.0</v>
      </c>
      <c r="M2723" s="1" t="s">
        <v>4742</v>
      </c>
      <c r="N2723" s="1"/>
      <c r="O2723" s="1" t="s">
        <v>30</v>
      </c>
      <c r="P2723" s="1" t="s">
        <v>31</v>
      </c>
      <c r="Q2723" s="1" t="s">
        <v>228</v>
      </c>
      <c r="R2723" s="1" t="s">
        <v>228</v>
      </c>
      <c r="S2723" s="1" t="s">
        <v>229</v>
      </c>
      <c r="T2723" s="1" t="s">
        <v>513</v>
      </c>
      <c r="U2723" s="1">
        <v>1.01059844E8</v>
      </c>
      <c r="X2723" s="1" t="s">
        <v>239</v>
      </c>
      <c r="Y2723" s="1" t="s">
        <v>4742</v>
      </c>
      <c r="Z2723" s="1" t="s">
        <v>206</v>
      </c>
    </row>
    <row r="2724" hidden="1">
      <c r="A2724" s="1" t="s">
        <v>8300</v>
      </c>
      <c r="B2724" s="1" t="s">
        <v>8301</v>
      </c>
      <c r="C2724" s="1" t="s">
        <v>8302</v>
      </c>
      <c r="D2724" s="1" t="s">
        <v>27</v>
      </c>
      <c r="E2724" s="1" t="s">
        <v>28</v>
      </c>
      <c r="F2724" s="2">
        <v>356100.0</v>
      </c>
      <c r="G2724" s="1" t="s">
        <v>418</v>
      </c>
      <c r="H2724" s="4">
        <f>IFERROR(__xludf.DUMMYFUNCTION("DATE(INDEX(SPLIT(G2724,""/""),,3),INDEX(SPLIT(G2724,""/""),,2),INDEX(SPLIT(G2724,""/""),,1))"),44755.0)</f>
        <v>44755</v>
      </c>
      <c r="I2724" s="1" t="s">
        <v>430</v>
      </c>
      <c r="J2724" s="4">
        <f>IFERROR(__xludf.DUMMYFUNCTION("DATE(INDEX(SPLIT(I2724,""/""),,3),INDEX(SPLIT(I2724,""/""),,2),INDEX(SPLIT(I2724,""/""),,1))"),44985.0)</f>
        <v>44985</v>
      </c>
      <c r="L2724" s="1">
        <v>0.0</v>
      </c>
      <c r="M2724" s="1" t="s">
        <v>4735</v>
      </c>
      <c r="N2724" s="1"/>
      <c r="O2724" s="1" t="s">
        <v>30</v>
      </c>
      <c r="P2724" s="1" t="s">
        <v>31</v>
      </c>
      <c r="Q2724" s="1" t="s">
        <v>71</v>
      </c>
      <c r="R2724" s="1" t="s">
        <v>71</v>
      </c>
      <c r="S2724" s="1" t="s">
        <v>72</v>
      </c>
      <c r="T2724" s="1" t="s">
        <v>136</v>
      </c>
      <c r="U2724" s="1">
        <v>1.00609615E8</v>
      </c>
      <c r="X2724" s="1" t="s">
        <v>74</v>
      </c>
      <c r="Y2724" s="1" t="s">
        <v>2593</v>
      </c>
      <c r="Z2724" s="1" t="s">
        <v>206</v>
      </c>
    </row>
    <row r="2725">
      <c r="A2725" s="1" t="s">
        <v>8303</v>
      </c>
      <c r="B2725" s="1" t="s">
        <v>1748</v>
      </c>
      <c r="C2725" s="1" t="s">
        <v>8304</v>
      </c>
      <c r="D2725" s="1" t="s">
        <v>78</v>
      </c>
      <c r="E2725" s="1" t="s">
        <v>28</v>
      </c>
      <c r="F2725" s="2">
        <v>355000.0</v>
      </c>
      <c r="G2725" s="1" t="s">
        <v>298</v>
      </c>
      <c r="H2725" s="4">
        <f>IFERROR(__xludf.DUMMYFUNCTION("DATE(INDEX(SPLIT(G2725,""/""),,3),INDEX(SPLIT(G2725,""/""),,2),INDEX(SPLIT(G2725,""/""),,1))"),44762.0)</f>
        <v>44762</v>
      </c>
      <c r="I2725" s="1" t="s">
        <v>935</v>
      </c>
      <c r="J2725" s="4">
        <f>IFERROR(__xludf.DUMMYFUNCTION("DATE(INDEX(SPLIT(I2725,""/""),,3),INDEX(SPLIT(I2725,""/""),,2),INDEX(SPLIT(I2725,""/""),,1))"),44764.0)</f>
        <v>44764</v>
      </c>
      <c r="K2725" s="1" t="s">
        <v>8305</v>
      </c>
      <c r="L2725" s="1">
        <v>0.0</v>
      </c>
      <c r="M2725" s="1" t="s">
        <v>4919</v>
      </c>
      <c r="N2725" s="1"/>
      <c r="O2725" s="1" t="s">
        <v>30</v>
      </c>
      <c r="P2725" s="1" t="s">
        <v>31</v>
      </c>
      <c r="Q2725" s="1" t="s">
        <v>235</v>
      </c>
      <c r="R2725" s="1" t="s">
        <v>235</v>
      </c>
      <c r="S2725" s="1" t="s">
        <v>236</v>
      </c>
      <c r="T2725" s="1" t="s">
        <v>1349</v>
      </c>
      <c r="U2725" s="1">
        <v>1.00646809E8</v>
      </c>
      <c r="X2725" s="1" t="s">
        <v>88</v>
      </c>
      <c r="Y2725" s="1" t="s">
        <v>8306</v>
      </c>
      <c r="Z2725" s="1" t="s">
        <v>37</v>
      </c>
    </row>
    <row r="2726" hidden="1">
      <c r="A2726" s="1" t="s">
        <v>8307</v>
      </c>
      <c r="B2726" s="1" t="s">
        <v>5851</v>
      </c>
      <c r="C2726" s="1" t="s">
        <v>8308</v>
      </c>
      <c r="D2726" s="1" t="s">
        <v>27</v>
      </c>
      <c r="E2726" s="1" t="s">
        <v>28</v>
      </c>
      <c r="F2726" s="2">
        <v>353700.0</v>
      </c>
      <c r="G2726" s="1" t="s">
        <v>418</v>
      </c>
      <c r="H2726" s="4">
        <f>IFERROR(__xludf.DUMMYFUNCTION("DATE(INDEX(SPLIT(G2726,""/""),,3),INDEX(SPLIT(G2726,""/""),,2),INDEX(SPLIT(G2726,""/""),,1))"),44755.0)</f>
        <v>44755</v>
      </c>
      <c r="I2726" s="1" t="s">
        <v>102</v>
      </c>
      <c r="J2726" s="4">
        <f>IFERROR(__xludf.DUMMYFUNCTION("DATE(INDEX(SPLIT(I2726,""/""),,3),INDEX(SPLIT(I2726,""/""),,2),INDEX(SPLIT(I2726,""/""),,1))"),45046.0)</f>
        <v>45046</v>
      </c>
      <c r="L2726" s="1">
        <v>0.0</v>
      </c>
      <c r="M2726" s="1" t="s">
        <v>2592</v>
      </c>
      <c r="N2726" s="1"/>
      <c r="O2726" s="1" t="s">
        <v>30</v>
      </c>
      <c r="P2726" s="1" t="s">
        <v>31</v>
      </c>
      <c r="Q2726" s="1" t="s">
        <v>71</v>
      </c>
      <c r="R2726" s="1" t="s">
        <v>71</v>
      </c>
      <c r="S2726" s="1" t="s">
        <v>72</v>
      </c>
      <c r="T2726" s="1" t="s">
        <v>136</v>
      </c>
      <c r="U2726" s="1">
        <v>1.00586452E8</v>
      </c>
      <c r="X2726" s="1" t="s">
        <v>74</v>
      </c>
      <c r="Y2726" s="1" t="s">
        <v>2593</v>
      </c>
      <c r="Z2726" s="1" t="s">
        <v>37</v>
      </c>
    </row>
    <row r="2727">
      <c r="A2727" s="1" t="s">
        <v>8309</v>
      </c>
      <c r="B2727" s="1" t="s">
        <v>8310</v>
      </c>
      <c r="C2727" s="1" t="s">
        <v>8311</v>
      </c>
      <c r="D2727" s="1" t="s">
        <v>27</v>
      </c>
      <c r="E2727" s="1" t="s">
        <v>28</v>
      </c>
      <c r="F2727" s="2">
        <v>351123.6</v>
      </c>
      <c r="G2727" s="4">
        <v>44656.0</v>
      </c>
      <c r="H2727" s="4">
        <f>IFERROR(__xludf.DUMMYFUNCTION("DATE(INDEX(SPLIT(G2727,""/""),,3),INDEX(SPLIT(G2727,""/""),,2),INDEX(SPLIT(G2727,""/""),,1))"),44685.0)</f>
        <v>44685</v>
      </c>
      <c r="I2727" s="1" t="s">
        <v>2300</v>
      </c>
      <c r="J2727" s="4">
        <f>IFERROR(__xludf.DUMMYFUNCTION("DATE(INDEX(SPLIT(I2727,""/""),,3),INDEX(SPLIT(I2727,""/""),,2),INDEX(SPLIT(I2727,""/""),,1))"),44712.0)</f>
        <v>44712</v>
      </c>
      <c r="L2727" s="1">
        <v>0.0</v>
      </c>
      <c r="M2727" s="1" t="s">
        <v>1319</v>
      </c>
      <c r="N2727" s="1"/>
      <c r="O2727" s="1" t="s">
        <v>30</v>
      </c>
      <c r="P2727" s="1" t="s">
        <v>31</v>
      </c>
      <c r="Q2727" s="1" t="s">
        <v>1320</v>
      </c>
      <c r="R2727" s="1" t="s">
        <v>1320</v>
      </c>
      <c r="S2727" s="1" t="s">
        <v>96</v>
      </c>
      <c r="U2727" s="1">
        <v>1.0065052E8</v>
      </c>
      <c r="X2727" s="1" t="s">
        <v>74</v>
      </c>
      <c r="Y2727" s="1" t="s">
        <v>1319</v>
      </c>
      <c r="Z2727" s="1" t="s">
        <v>37</v>
      </c>
    </row>
    <row r="2728" hidden="1">
      <c r="A2728" s="1" t="s">
        <v>8312</v>
      </c>
      <c r="B2728" s="1" t="s">
        <v>8313</v>
      </c>
      <c r="C2728" s="1" t="s">
        <v>8314</v>
      </c>
      <c r="D2728" s="1" t="s">
        <v>78</v>
      </c>
      <c r="E2728" s="1" t="s">
        <v>28</v>
      </c>
      <c r="F2728" s="2">
        <v>350000.0</v>
      </c>
      <c r="G2728" s="1" t="s">
        <v>472</v>
      </c>
      <c r="H2728" s="4">
        <f>IFERROR(__xludf.DUMMYFUNCTION("DATE(INDEX(SPLIT(G2728,""/""),,3),INDEX(SPLIT(G2728,""/""),,2),INDEX(SPLIT(G2728,""/""),,1))"),44760.0)</f>
        <v>44760</v>
      </c>
      <c r="I2728" s="4">
        <v>44689.0</v>
      </c>
      <c r="J2728" s="4">
        <f>IFERROR(__xludf.DUMMYFUNCTION("DATE(INDEX(SPLIT(I2728,""/""),,3),INDEX(SPLIT(I2728,""/""),,2),INDEX(SPLIT(I2728,""/""),,1))"),44778.0)</f>
        <v>44778</v>
      </c>
      <c r="L2728" s="1">
        <v>0.0</v>
      </c>
      <c r="M2728" s="1" t="s">
        <v>8315</v>
      </c>
      <c r="N2728" s="1"/>
      <c r="O2728" s="1" t="s">
        <v>30</v>
      </c>
      <c r="P2728" s="1" t="s">
        <v>31</v>
      </c>
      <c r="Q2728" s="1" t="s">
        <v>95</v>
      </c>
      <c r="R2728" s="1" t="s">
        <v>95</v>
      </c>
      <c r="S2728" s="1" t="s">
        <v>96</v>
      </c>
      <c r="T2728" s="1" t="s">
        <v>97</v>
      </c>
      <c r="U2728" s="1">
        <v>1.00625107E8</v>
      </c>
      <c r="X2728" s="1" t="s">
        <v>117</v>
      </c>
      <c r="Y2728" s="1" t="s">
        <v>8316</v>
      </c>
      <c r="Z2728" s="1" t="s">
        <v>206</v>
      </c>
    </row>
    <row r="2729" hidden="1">
      <c r="A2729" s="1" t="s">
        <v>8317</v>
      </c>
      <c r="B2729" s="1" t="s">
        <v>450</v>
      </c>
      <c r="C2729" s="1" t="s">
        <v>8318</v>
      </c>
      <c r="D2729" s="1" t="s">
        <v>78</v>
      </c>
      <c r="E2729" s="1" t="s">
        <v>28</v>
      </c>
      <c r="F2729" s="2">
        <v>350000.0</v>
      </c>
      <c r="G2729" s="4">
        <v>44777.0</v>
      </c>
      <c r="H2729" s="4">
        <f>IFERROR(__xludf.DUMMYFUNCTION("DATE(INDEX(SPLIT(G2729,""/""),,3),INDEX(SPLIT(G2729,""/""),,2),INDEX(SPLIT(G2729,""/""),,1))"),44659.0)</f>
        <v>44659</v>
      </c>
      <c r="I2729" s="1" t="s">
        <v>109</v>
      </c>
      <c r="J2729" s="4">
        <f>IFERROR(__xludf.DUMMYFUNCTION("DATE(INDEX(SPLIT(I2729,""/""),,3),INDEX(SPLIT(I2729,""/""),,2),INDEX(SPLIT(I2729,""/""),,1))"),44834.0)</f>
        <v>44834</v>
      </c>
      <c r="L2729" s="1">
        <v>0.0</v>
      </c>
      <c r="M2729" s="1" t="s">
        <v>1027</v>
      </c>
      <c r="N2729" s="1"/>
      <c r="O2729" s="1" t="s">
        <v>30</v>
      </c>
      <c r="P2729" s="1" t="s">
        <v>31</v>
      </c>
      <c r="Q2729" s="1" t="s">
        <v>53</v>
      </c>
      <c r="R2729" s="1" t="s">
        <v>53</v>
      </c>
      <c r="S2729" s="1" t="s">
        <v>54</v>
      </c>
      <c r="U2729" s="1">
        <v>1.00879751E8</v>
      </c>
      <c r="X2729" s="1" t="s">
        <v>74</v>
      </c>
      <c r="Y2729" s="1" t="s">
        <v>5435</v>
      </c>
      <c r="Z2729" s="1" t="s">
        <v>37</v>
      </c>
    </row>
    <row r="2730" hidden="1">
      <c r="A2730" s="1" t="s">
        <v>8319</v>
      </c>
      <c r="B2730" s="1" t="s">
        <v>8320</v>
      </c>
      <c r="C2730" s="1" t="s">
        <v>8321</v>
      </c>
      <c r="D2730" s="1" t="s">
        <v>78</v>
      </c>
      <c r="E2730" s="1" t="s">
        <v>28</v>
      </c>
      <c r="F2730" s="2">
        <v>350000.0</v>
      </c>
      <c r="G2730" s="1" t="s">
        <v>2673</v>
      </c>
      <c r="H2730" s="4">
        <f>IFERROR(__xludf.DUMMYFUNCTION("DATE(INDEX(SPLIT(G2730,""/""),,3),INDEX(SPLIT(G2730,""/""),,2),INDEX(SPLIT(G2730,""/""),,1))"),43760.0)</f>
        <v>43760</v>
      </c>
      <c r="I2730" s="1" t="s">
        <v>42</v>
      </c>
      <c r="J2730" s="4">
        <f>IFERROR(__xludf.DUMMYFUNCTION("DATE(INDEX(SPLIT(I2730,""/""),,3),INDEX(SPLIT(I2730,""/""),,2),INDEX(SPLIT(I2730,""/""),,1))"),44926.0)</f>
        <v>44926</v>
      </c>
      <c r="L2730" s="1">
        <v>0.0</v>
      </c>
      <c r="M2730" s="1" t="s">
        <v>1582</v>
      </c>
      <c r="N2730" s="1"/>
      <c r="O2730" s="1" t="s">
        <v>30</v>
      </c>
      <c r="P2730" s="1" t="s">
        <v>31</v>
      </c>
      <c r="Q2730" s="1" t="s">
        <v>235</v>
      </c>
      <c r="R2730" s="1" t="s">
        <v>235</v>
      </c>
      <c r="S2730" s="1" t="s">
        <v>236</v>
      </c>
      <c r="T2730" s="1" t="s">
        <v>438</v>
      </c>
      <c r="U2730" s="1">
        <v>1.00639226E8</v>
      </c>
      <c r="X2730" s="1" t="s">
        <v>88</v>
      </c>
      <c r="Y2730" s="1" t="s">
        <v>1582</v>
      </c>
      <c r="Z2730" s="1" t="s">
        <v>527</v>
      </c>
    </row>
    <row r="2731" hidden="1">
      <c r="A2731" s="1" t="s">
        <v>8322</v>
      </c>
      <c r="B2731" s="1" t="s">
        <v>1506</v>
      </c>
      <c r="C2731" s="1" t="s">
        <v>8323</v>
      </c>
      <c r="D2731" s="1" t="s">
        <v>27</v>
      </c>
      <c r="E2731" s="1" t="s">
        <v>28</v>
      </c>
      <c r="F2731" s="2">
        <v>350000.0</v>
      </c>
      <c r="G2731" s="4">
        <v>44567.0</v>
      </c>
      <c r="H2731" s="4">
        <f>IFERROR(__xludf.DUMMYFUNCTION("DATE(INDEX(SPLIT(G2731,""/""),,3),INDEX(SPLIT(G2731,""/""),,2),INDEX(SPLIT(G2731,""/""),,1))"),44713.0)</f>
        <v>44713</v>
      </c>
      <c r="I2731" s="1" t="s">
        <v>85</v>
      </c>
      <c r="J2731" s="4">
        <f>IFERROR(__xludf.DUMMYFUNCTION("DATE(INDEX(SPLIT(I2731,""/""),,3),INDEX(SPLIT(I2731,""/""),,2),INDEX(SPLIT(I2731,""/""),,1))"),44799.0)</f>
        <v>44799</v>
      </c>
      <c r="L2731" s="1">
        <v>0.0</v>
      </c>
      <c r="M2731" s="1" t="s">
        <v>6495</v>
      </c>
      <c r="N2731" s="1"/>
      <c r="O2731" s="1" t="s">
        <v>30</v>
      </c>
      <c r="P2731" s="1" t="s">
        <v>31</v>
      </c>
      <c r="Q2731" s="1" t="s">
        <v>32</v>
      </c>
      <c r="R2731" s="1" t="s">
        <v>32</v>
      </c>
      <c r="S2731" s="1" t="s">
        <v>33</v>
      </c>
      <c r="U2731" s="1">
        <v>1.01131118E8</v>
      </c>
      <c r="X2731" s="1" t="s">
        <v>35</v>
      </c>
      <c r="Y2731" s="1" t="s">
        <v>4982</v>
      </c>
      <c r="Z2731" s="1" t="s">
        <v>37</v>
      </c>
    </row>
    <row r="2732" hidden="1">
      <c r="A2732" s="1" t="s">
        <v>8324</v>
      </c>
      <c r="B2732" s="1" t="s">
        <v>1144</v>
      </c>
      <c r="C2732" s="1" t="s">
        <v>8325</v>
      </c>
      <c r="D2732" s="1" t="s">
        <v>78</v>
      </c>
      <c r="E2732" s="1" t="s">
        <v>28</v>
      </c>
      <c r="F2732" s="2">
        <v>350000.0</v>
      </c>
      <c r="G2732" s="1" t="s">
        <v>779</v>
      </c>
      <c r="H2732" s="4">
        <f>IFERROR(__xludf.DUMMYFUNCTION("DATE(INDEX(SPLIT(G2732,""/""),,3),INDEX(SPLIT(G2732,""/""),,2),INDEX(SPLIT(G2732,""/""),,1))"),44734.0)</f>
        <v>44734</v>
      </c>
      <c r="I2732" s="1" t="s">
        <v>130</v>
      </c>
      <c r="J2732" s="4">
        <f>IFERROR(__xludf.DUMMYFUNCTION("DATE(INDEX(SPLIT(I2732,""/""),,3),INDEX(SPLIT(I2732,""/""),,2),INDEX(SPLIT(I2732,""/""),,1))"),44804.0)</f>
        <v>44804</v>
      </c>
      <c r="L2732" s="1">
        <v>0.0</v>
      </c>
      <c r="M2732" s="1" t="s">
        <v>653</v>
      </c>
      <c r="N2732" s="1"/>
      <c r="O2732" s="1" t="s">
        <v>30</v>
      </c>
      <c r="P2732" s="1" t="s">
        <v>31</v>
      </c>
      <c r="Q2732" s="1" t="s">
        <v>157</v>
      </c>
      <c r="R2732" s="1" t="s">
        <v>157</v>
      </c>
      <c r="S2732" s="1" t="s">
        <v>158</v>
      </c>
      <c r="U2732" s="1">
        <v>1.00591141E8</v>
      </c>
      <c r="X2732" s="1" t="s">
        <v>63</v>
      </c>
      <c r="Y2732" s="1" t="s">
        <v>6229</v>
      </c>
      <c r="Z2732" s="1" t="s">
        <v>37</v>
      </c>
    </row>
    <row r="2733">
      <c r="A2733" s="1" t="s">
        <v>8326</v>
      </c>
      <c r="B2733" s="1" t="s">
        <v>6711</v>
      </c>
      <c r="C2733" s="1" t="s">
        <v>8327</v>
      </c>
      <c r="D2733" s="1" t="s">
        <v>27</v>
      </c>
      <c r="E2733" s="1" t="s">
        <v>28</v>
      </c>
      <c r="F2733" s="2">
        <v>350000.0</v>
      </c>
      <c r="G2733" s="4">
        <v>44478.0</v>
      </c>
      <c r="H2733" s="4">
        <f>IFERROR(__xludf.DUMMYFUNCTION("DATE(INDEX(SPLIT(G2733,""/""),,3),INDEX(SPLIT(G2733,""/""),,2),INDEX(SPLIT(G2733,""/""),,1))"),44449.0)</f>
        <v>44449</v>
      </c>
      <c r="I2733" s="1" t="s">
        <v>69</v>
      </c>
      <c r="J2733" s="4">
        <f>IFERROR(__xludf.DUMMYFUNCTION("DATE(INDEX(SPLIT(I2733,""/""),,3),INDEX(SPLIT(I2733,""/""),,2),INDEX(SPLIT(I2733,""/""),,1))"),44773.0)</f>
        <v>44773</v>
      </c>
      <c r="L2733" s="1">
        <v>0.0</v>
      </c>
      <c r="M2733" s="1" t="s">
        <v>3187</v>
      </c>
      <c r="N2733" s="1"/>
      <c r="O2733" s="1" t="s">
        <v>30</v>
      </c>
      <c r="P2733" s="1" t="s">
        <v>31</v>
      </c>
      <c r="Q2733" s="1" t="s">
        <v>228</v>
      </c>
      <c r="R2733" s="1" t="s">
        <v>228</v>
      </c>
      <c r="S2733" s="1" t="s">
        <v>229</v>
      </c>
      <c r="T2733" s="1" t="s">
        <v>80</v>
      </c>
      <c r="U2733" s="1">
        <v>1.00638978E8</v>
      </c>
      <c r="X2733" s="1" t="s">
        <v>781</v>
      </c>
      <c r="Y2733" s="1" t="s">
        <v>173</v>
      </c>
      <c r="Z2733" s="1" t="s">
        <v>37</v>
      </c>
    </row>
    <row r="2734">
      <c r="A2734" s="1" t="s">
        <v>8328</v>
      </c>
      <c r="B2734" s="1" t="s">
        <v>8329</v>
      </c>
      <c r="C2734" s="1" t="s">
        <v>8330</v>
      </c>
      <c r="D2734" s="1" t="s">
        <v>27</v>
      </c>
      <c r="E2734" s="1" t="s">
        <v>28</v>
      </c>
      <c r="F2734" s="2">
        <v>350000.0</v>
      </c>
      <c r="G2734" s="1" t="s">
        <v>359</v>
      </c>
      <c r="H2734" s="4">
        <f>IFERROR(__xludf.DUMMYFUNCTION("DATE(INDEX(SPLIT(G2734,""/""),,3),INDEX(SPLIT(G2734,""/""),,2),INDEX(SPLIT(G2734,""/""),,1))"),44740.0)</f>
        <v>44740</v>
      </c>
      <c r="I2734" s="1" t="s">
        <v>226</v>
      </c>
      <c r="J2734" s="4">
        <f>IFERROR(__xludf.DUMMYFUNCTION("DATE(INDEX(SPLIT(I2734,""/""),,3),INDEX(SPLIT(I2734,""/""),,2),INDEX(SPLIT(I2734,""/""),,1))"),44771.0)</f>
        <v>44771</v>
      </c>
      <c r="L2734" s="1">
        <v>0.0</v>
      </c>
      <c r="M2734" s="1" t="s">
        <v>2535</v>
      </c>
      <c r="N2734" s="1"/>
      <c r="O2734" s="1" t="s">
        <v>30</v>
      </c>
      <c r="P2734" s="1" t="s">
        <v>31</v>
      </c>
      <c r="Q2734" s="1" t="s">
        <v>188</v>
      </c>
      <c r="R2734" s="1" t="s">
        <v>188</v>
      </c>
      <c r="S2734" s="1" t="s">
        <v>189</v>
      </c>
      <c r="U2734" s="1">
        <v>1.00603236E8</v>
      </c>
      <c r="X2734" s="1" t="s">
        <v>254</v>
      </c>
      <c r="Y2734" s="1" t="s">
        <v>2535</v>
      </c>
      <c r="Z2734" s="1" t="s">
        <v>37</v>
      </c>
    </row>
    <row r="2735" hidden="1">
      <c r="A2735" s="1" t="s">
        <v>8331</v>
      </c>
      <c r="B2735" s="1" t="s">
        <v>1634</v>
      </c>
      <c r="C2735" s="1" t="s">
        <v>8332</v>
      </c>
      <c r="D2735" s="1" t="s">
        <v>78</v>
      </c>
      <c r="E2735" s="1" t="s">
        <v>28</v>
      </c>
      <c r="F2735" s="2">
        <v>350000.0</v>
      </c>
      <c r="G2735" s="4">
        <v>44418.0</v>
      </c>
      <c r="H2735" s="4">
        <f>IFERROR(__xludf.DUMMYFUNCTION("DATE(INDEX(SPLIT(G2735,""/""),,3),INDEX(SPLIT(G2735,""/""),,2),INDEX(SPLIT(G2735,""/""),,1))"),44477.0)</f>
        <v>44477</v>
      </c>
      <c r="I2735" s="1" t="s">
        <v>109</v>
      </c>
      <c r="J2735" s="4">
        <f>IFERROR(__xludf.DUMMYFUNCTION("DATE(INDEX(SPLIT(I2735,""/""),,3),INDEX(SPLIT(I2735,""/""),,2),INDEX(SPLIT(I2735,""/""),,1))"),44834.0)</f>
        <v>44834</v>
      </c>
      <c r="L2735" s="1">
        <v>0.0</v>
      </c>
      <c r="M2735" s="1" t="s">
        <v>898</v>
      </c>
      <c r="N2735" s="1"/>
      <c r="O2735" s="1" t="s">
        <v>30</v>
      </c>
      <c r="P2735" s="1" t="s">
        <v>31</v>
      </c>
      <c r="Q2735" s="1" t="s">
        <v>71</v>
      </c>
      <c r="R2735" s="1" t="s">
        <v>71</v>
      </c>
      <c r="S2735" s="1" t="s">
        <v>72</v>
      </c>
      <c r="T2735" s="1" t="s">
        <v>615</v>
      </c>
      <c r="U2735" s="1">
        <v>1.00589481E8</v>
      </c>
      <c r="X2735" s="1" t="s">
        <v>490</v>
      </c>
      <c r="Y2735" s="1" t="s">
        <v>898</v>
      </c>
      <c r="Z2735" s="1" t="s">
        <v>37</v>
      </c>
    </row>
    <row r="2736" hidden="1">
      <c r="A2736" s="1" t="s">
        <v>8333</v>
      </c>
      <c r="B2736" s="1" t="s">
        <v>8334</v>
      </c>
      <c r="C2736" s="1" t="s">
        <v>8335</v>
      </c>
      <c r="D2736" s="1" t="s">
        <v>122</v>
      </c>
      <c r="E2736" s="1" t="s">
        <v>28</v>
      </c>
      <c r="F2736" s="2">
        <v>350000.0</v>
      </c>
      <c r="G2736" s="1" t="s">
        <v>298</v>
      </c>
      <c r="H2736" s="4">
        <f>IFERROR(__xludf.DUMMYFUNCTION("DATE(INDEX(SPLIT(G2736,""/""),,3),INDEX(SPLIT(G2736,""/""),,2),INDEX(SPLIT(G2736,""/""),,1))"),44762.0)</f>
        <v>44762</v>
      </c>
      <c r="I2736" s="4">
        <v>44601.0</v>
      </c>
      <c r="J2736" s="4">
        <f>IFERROR(__xludf.DUMMYFUNCTION("DATE(INDEX(SPLIT(I2736,""/""),,3),INDEX(SPLIT(I2736,""/""),,2),INDEX(SPLIT(I2736,""/""),,1))"),44806.0)</f>
        <v>44806</v>
      </c>
      <c r="L2736" s="1">
        <v>0.0</v>
      </c>
      <c r="M2736" s="1" t="s">
        <v>3617</v>
      </c>
      <c r="N2736" s="1"/>
      <c r="O2736" s="1" t="s">
        <v>30</v>
      </c>
      <c r="P2736" s="1" t="s">
        <v>31</v>
      </c>
      <c r="Q2736" s="1" t="s">
        <v>53</v>
      </c>
      <c r="R2736" s="1" t="s">
        <v>53</v>
      </c>
      <c r="S2736" s="1" t="s">
        <v>54</v>
      </c>
      <c r="T2736" s="1" t="s">
        <v>634</v>
      </c>
      <c r="U2736" s="1">
        <v>1.00568413E8</v>
      </c>
      <c r="X2736" s="1" t="s">
        <v>490</v>
      </c>
      <c r="Y2736" s="1" t="s">
        <v>3617</v>
      </c>
      <c r="Z2736" s="1" t="s">
        <v>37</v>
      </c>
    </row>
    <row r="2737">
      <c r="A2737" s="1" t="s">
        <v>8336</v>
      </c>
      <c r="B2737" s="1" t="s">
        <v>806</v>
      </c>
      <c r="C2737" s="1" t="s">
        <v>8337</v>
      </c>
      <c r="D2737" s="1" t="s">
        <v>78</v>
      </c>
      <c r="E2737" s="1" t="s">
        <v>28</v>
      </c>
      <c r="F2737" s="2">
        <v>350000.0</v>
      </c>
      <c r="G2737" s="1" t="s">
        <v>8338</v>
      </c>
      <c r="H2737" s="4">
        <f>IFERROR(__xludf.DUMMYFUNCTION("DATE(INDEX(SPLIT(G2737,""/""),,3),INDEX(SPLIT(G2737,""/""),,2),INDEX(SPLIT(G2737,""/""),,1))"),44099.0)</f>
        <v>44099</v>
      </c>
      <c r="I2737" s="1" t="s">
        <v>226</v>
      </c>
      <c r="J2737" s="4">
        <f>IFERROR(__xludf.DUMMYFUNCTION("DATE(INDEX(SPLIT(I2737,""/""),,3),INDEX(SPLIT(I2737,""/""),,2),INDEX(SPLIT(I2737,""/""),,1))"),44771.0)</f>
        <v>44771</v>
      </c>
      <c r="K2737" s="1" t="s">
        <v>8339</v>
      </c>
      <c r="L2737" s="1">
        <v>0.0</v>
      </c>
      <c r="M2737" s="1" t="s">
        <v>4849</v>
      </c>
      <c r="N2737" s="1"/>
      <c r="O2737" s="1" t="s">
        <v>30</v>
      </c>
      <c r="P2737" s="1" t="s">
        <v>31</v>
      </c>
      <c r="Q2737" s="1" t="s">
        <v>157</v>
      </c>
      <c r="R2737" s="1" t="s">
        <v>157</v>
      </c>
      <c r="S2737" s="1" t="s">
        <v>158</v>
      </c>
      <c r="T2737" s="1" t="s">
        <v>442</v>
      </c>
      <c r="U2737" s="1">
        <v>1.00620934E8</v>
      </c>
      <c r="X2737" s="1" t="s">
        <v>117</v>
      </c>
      <c r="Y2737" s="1" t="s">
        <v>8340</v>
      </c>
      <c r="Z2737" s="1" t="s">
        <v>37</v>
      </c>
    </row>
    <row r="2738" hidden="1">
      <c r="A2738" s="1" t="s">
        <v>8341</v>
      </c>
      <c r="B2738" s="1" t="s">
        <v>1692</v>
      </c>
      <c r="C2738" s="1" t="s">
        <v>8342</v>
      </c>
      <c r="D2738" s="1" t="s">
        <v>68</v>
      </c>
      <c r="E2738" s="1" t="s">
        <v>28</v>
      </c>
      <c r="F2738" s="2">
        <v>350000.0</v>
      </c>
      <c r="G2738" s="1" t="s">
        <v>50</v>
      </c>
      <c r="H2738" s="4">
        <f>IFERROR(__xludf.DUMMYFUNCTION("DATE(INDEX(SPLIT(G2738,""/""),,3),INDEX(SPLIT(G2738,""/""),,2),INDEX(SPLIT(G2738,""/""),,1))"),44547.0)</f>
        <v>44547</v>
      </c>
      <c r="I2738" s="1" t="s">
        <v>109</v>
      </c>
      <c r="J2738" s="4">
        <f>IFERROR(__xludf.DUMMYFUNCTION("DATE(INDEX(SPLIT(I2738,""/""),,3),INDEX(SPLIT(I2738,""/""),,2),INDEX(SPLIT(I2738,""/""),,1))"),44834.0)</f>
        <v>44834</v>
      </c>
      <c r="L2738" s="1">
        <v>0.0</v>
      </c>
      <c r="M2738" s="1" t="s">
        <v>6798</v>
      </c>
      <c r="N2738" s="1"/>
      <c r="O2738" s="1" t="s">
        <v>30</v>
      </c>
      <c r="P2738" s="1" t="s">
        <v>31</v>
      </c>
      <c r="Q2738" s="1" t="s">
        <v>235</v>
      </c>
      <c r="R2738" s="1" t="s">
        <v>235</v>
      </c>
      <c r="S2738" s="1" t="s">
        <v>236</v>
      </c>
      <c r="T2738" s="1" t="s">
        <v>438</v>
      </c>
      <c r="U2738" s="1">
        <v>1.00975161E8</v>
      </c>
      <c r="X2738" s="1" t="s">
        <v>88</v>
      </c>
      <c r="Y2738" s="1" t="s">
        <v>979</v>
      </c>
      <c r="Z2738" s="1" t="s">
        <v>37</v>
      </c>
    </row>
    <row r="2739" hidden="1">
      <c r="A2739" s="1" t="s">
        <v>8343</v>
      </c>
      <c r="B2739" s="1" t="s">
        <v>1152</v>
      </c>
      <c r="C2739" s="1" t="s">
        <v>8344</v>
      </c>
      <c r="D2739" s="1" t="s">
        <v>27</v>
      </c>
      <c r="E2739" s="1" t="s">
        <v>28</v>
      </c>
      <c r="F2739" s="2">
        <v>350000.0</v>
      </c>
      <c r="G2739" s="1" t="s">
        <v>1044</v>
      </c>
      <c r="H2739" s="4">
        <f>IFERROR(__xludf.DUMMYFUNCTION("DATE(INDEX(SPLIT(G2739,""/""),,3),INDEX(SPLIT(G2739,""/""),,2),INDEX(SPLIT(G2739,""/""),,1))"),44588.0)</f>
        <v>44588</v>
      </c>
      <c r="I2739" s="1" t="s">
        <v>7282</v>
      </c>
      <c r="J2739" s="4">
        <f>IFERROR(__xludf.DUMMYFUNCTION("DATE(INDEX(SPLIT(I2739,""/""),,3),INDEX(SPLIT(I2739,""/""),,2),INDEX(SPLIT(I2739,""/""),,1))"),44798.0)</f>
        <v>44798</v>
      </c>
      <c r="L2739" s="1">
        <v>0.0</v>
      </c>
      <c r="M2739" s="1" t="s">
        <v>770</v>
      </c>
      <c r="N2739" s="1"/>
      <c r="O2739" s="1" t="s">
        <v>30</v>
      </c>
      <c r="P2739" s="1" t="s">
        <v>31</v>
      </c>
      <c r="Q2739" s="1" t="s">
        <v>157</v>
      </c>
      <c r="R2739" s="1" t="s">
        <v>157</v>
      </c>
      <c r="S2739" s="1" t="s">
        <v>158</v>
      </c>
      <c r="T2739" s="1" t="s">
        <v>442</v>
      </c>
      <c r="U2739" s="1">
        <v>1.00623421E8</v>
      </c>
      <c r="X2739" s="1" t="s">
        <v>125</v>
      </c>
      <c r="Y2739" s="1" t="s">
        <v>5027</v>
      </c>
      <c r="Z2739" s="1" t="s">
        <v>37</v>
      </c>
    </row>
    <row r="2740" hidden="1">
      <c r="A2740" s="1" t="s">
        <v>8345</v>
      </c>
      <c r="B2740" s="1" t="s">
        <v>4747</v>
      </c>
      <c r="C2740" s="1" t="s">
        <v>8346</v>
      </c>
      <c r="D2740" s="1" t="s">
        <v>27</v>
      </c>
      <c r="E2740" s="1" t="s">
        <v>28</v>
      </c>
      <c r="F2740" s="2">
        <v>350000.0</v>
      </c>
      <c r="G2740" s="1" t="s">
        <v>354</v>
      </c>
      <c r="H2740" s="4">
        <f>IFERROR(__xludf.DUMMYFUNCTION("DATE(INDEX(SPLIT(G2740,""/""),,3),INDEX(SPLIT(G2740,""/""),,2),INDEX(SPLIT(G2740,""/""),,1))"),44673.0)</f>
        <v>44673</v>
      </c>
      <c r="I2740" s="1" t="s">
        <v>85</v>
      </c>
      <c r="J2740" s="4">
        <f>IFERROR(__xludf.DUMMYFUNCTION("DATE(INDEX(SPLIT(I2740,""/""),,3),INDEX(SPLIT(I2740,""/""),,2),INDEX(SPLIT(I2740,""/""),,1))"),44799.0)</f>
        <v>44799</v>
      </c>
      <c r="L2740" s="1">
        <v>0.0</v>
      </c>
      <c r="M2740" s="1" t="s">
        <v>4323</v>
      </c>
      <c r="N2740" s="1"/>
      <c r="O2740" s="1" t="s">
        <v>30</v>
      </c>
      <c r="P2740" s="1" t="s">
        <v>31</v>
      </c>
      <c r="Q2740" s="1" t="s">
        <v>157</v>
      </c>
      <c r="R2740" s="1" t="s">
        <v>157</v>
      </c>
      <c r="S2740" s="1" t="s">
        <v>158</v>
      </c>
      <c r="U2740" s="1">
        <v>1.00607244E8</v>
      </c>
      <c r="X2740" s="1" t="s">
        <v>305</v>
      </c>
      <c r="Y2740" s="1" t="s">
        <v>8347</v>
      </c>
      <c r="Z2740" s="1" t="s">
        <v>37</v>
      </c>
    </row>
    <row r="2741">
      <c r="A2741" s="1" t="s">
        <v>8348</v>
      </c>
      <c r="B2741" s="1" t="s">
        <v>8349</v>
      </c>
      <c r="C2741" s="1" t="s">
        <v>8350</v>
      </c>
      <c r="D2741" s="1" t="s">
        <v>68</v>
      </c>
      <c r="E2741" s="1" t="s">
        <v>28</v>
      </c>
      <c r="F2741" s="2">
        <v>350000.0</v>
      </c>
      <c r="G2741" s="1" t="s">
        <v>3595</v>
      </c>
      <c r="H2741" s="4">
        <f>IFERROR(__xludf.DUMMYFUNCTION("DATE(INDEX(SPLIT(G2741,""/""),,3),INDEX(SPLIT(G2741,""/""),,2),INDEX(SPLIT(G2741,""/""),,1))"),44460.0)</f>
        <v>44460</v>
      </c>
      <c r="I2741" s="1" t="s">
        <v>503</v>
      </c>
      <c r="J2741" s="4">
        <f>IFERROR(__xludf.DUMMYFUNCTION("DATE(INDEX(SPLIT(I2741,""/""),,3),INDEX(SPLIT(I2741,""/""),,2),INDEX(SPLIT(I2741,""/""),,1))"),44736.0)</f>
        <v>44736</v>
      </c>
      <c r="L2741" s="1">
        <v>0.0</v>
      </c>
      <c r="M2741" s="1" t="s">
        <v>1303</v>
      </c>
      <c r="N2741" s="1"/>
      <c r="O2741" s="1" t="s">
        <v>30</v>
      </c>
      <c r="P2741" s="1" t="s">
        <v>31</v>
      </c>
      <c r="Q2741" s="1" t="s">
        <v>235</v>
      </c>
      <c r="R2741" s="1" t="s">
        <v>235</v>
      </c>
      <c r="S2741" s="1" t="s">
        <v>236</v>
      </c>
      <c r="T2741" s="1" t="s">
        <v>438</v>
      </c>
      <c r="U2741" s="1">
        <v>1.00609073E8</v>
      </c>
      <c r="X2741" s="1" t="s">
        <v>88</v>
      </c>
      <c r="Y2741" s="1" t="s">
        <v>8351</v>
      </c>
      <c r="Z2741" s="1" t="s">
        <v>37</v>
      </c>
    </row>
    <row r="2742" hidden="1">
      <c r="A2742" s="1" t="s">
        <v>8352</v>
      </c>
      <c r="B2742" s="1" t="s">
        <v>7988</v>
      </c>
      <c r="C2742" s="1" t="s">
        <v>8353</v>
      </c>
      <c r="D2742" s="1" t="s">
        <v>122</v>
      </c>
      <c r="E2742" s="1" t="s">
        <v>28</v>
      </c>
      <c r="F2742" s="2">
        <v>350000.0</v>
      </c>
      <c r="G2742" s="4">
        <v>44563.0</v>
      </c>
      <c r="H2742" s="4">
        <f>IFERROR(__xludf.DUMMYFUNCTION("DATE(INDEX(SPLIT(G2742,""/""),,3),INDEX(SPLIT(G2742,""/""),,2),INDEX(SPLIT(G2742,""/""),,1))"),44593.0)</f>
        <v>44593</v>
      </c>
      <c r="I2742" s="1" t="s">
        <v>109</v>
      </c>
      <c r="J2742" s="4">
        <f>IFERROR(__xludf.DUMMYFUNCTION("DATE(INDEX(SPLIT(I2742,""/""),,3),INDEX(SPLIT(I2742,""/""),,2),INDEX(SPLIT(I2742,""/""),,1))"),44834.0)</f>
        <v>44834</v>
      </c>
      <c r="L2742" s="1">
        <v>0.0</v>
      </c>
      <c r="M2742" s="1" t="s">
        <v>8088</v>
      </c>
      <c r="N2742" s="1"/>
      <c r="O2742" s="1" t="s">
        <v>30</v>
      </c>
      <c r="P2742" s="1" t="s">
        <v>31</v>
      </c>
      <c r="Q2742" s="1" t="s">
        <v>228</v>
      </c>
      <c r="R2742" s="1" t="s">
        <v>228</v>
      </c>
      <c r="S2742" s="1" t="s">
        <v>229</v>
      </c>
      <c r="T2742" s="1" t="s">
        <v>640</v>
      </c>
      <c r="U2742" s="1">
        <v>1.00882877E8</v>
      </c>
      <c r="X2742" s="1" t="s">
        <v>117</v>
      </c>
      <c r="Y2742" s="1" t="s">
        <v>8354</v>
      </c>
      <c r="Z2742" s="1" t="s">
        <v>206</v>
      </c>
    </row>
    <row r="2743" hidden="1">
      <c r="A2743" s="1" t="s">
        <v>8355</v>
      </c>
      <c r="B2743" s="1" t="s">
        <v>4572</v>
      </c>
      <c r="C2743" s="1" t="s">
        <v>8356</v>
      </c>
      <c r="D2743" s="1" t="s">
        <v>122</v>
      </c>
      <c r="E2743" s="1" t="s">
        <v>28</v>
      </c>
      <c r="F2743" s="2">
        <v>350000.0</v>
      </c>
      <c r="G2743" s="4">
        <v>44412.0</v>
      </c>
      <c r="H2743" s="4">
        <f>IFERROR(__xludf.DUMMYFUNCTION("DATE(INDEX(SPLIT(G2743,""/""),,3),INDEX(SPLIT(G2743,""/""),,2),INDEX(SPLIT(G2743,""/""),,1))"),44294.0)</f>
        <v>44294</v>
      </c>
      <c r="I2743" s="1" t="s">
        <v>317</v>
      </c>
      <c r="J2743" s="4">
        <f>IFERROR(__xludf.DUMMYFUNCTION("DATE(INDEX(SPLIT(I2743,""/""),,3),INDEX(SPLIT(I2743,""/""),,2),INDEX(SPLIT(I2743,""/""),,1))"),44862.0)</f>
        <v>44862</v>
      </c>
      <c r="L2743" s="1">
        <v>0.0</v>
      </c>
      <c r="M2743" s="1" t="s">
        <v>8088</v>
      </c>
      <c r="N2743" s="1"/>
      <c r="O2743" s="1" t="s">
        <v>30</v>
      </c>
      <c r="P2743" s="1" t="s">
        <v>31</v>
      </c>
      <c r="Q2743" s="1" t="s">
        <v>228</v>
      </c>
      <c r="R2743" s="1" t="s">
        <v>228</v>
      </c>
      <c r="S2743" s="1" t="s">
        <v>229</v>
      </c>
      <c r="T2743" s="1" t="s">
        <v>640</v>
      </c>
      <c r="U2743" s="1">
        <v>1.00882877E8</v>
      </c>
      <c r="X2743" s="1" t="s">
        <v>88</v>
      </c>
      <c r="Y2743" s="1" t="s">
        <v>8088</v>
      </c>
      <c r="Z2743" s="1" t="s">
        <v>206</v>
      </c>
    </row>
    <row r="2744">
      <c r="A2744" s="1" t="s">
        <v>8357</v>
      </c>
      <c r="B2744" s="1" t="s">
        <v>612</v>
      </c>
      <c r="C2744" s="1" t="s">
        <v>8358</v>
      </c>
      <c r="D2744" s="1" t="s">
        <v>78</v>
      </c>
      <c r="E2744" s="1" t="s">
        <v>28</v>
      </c>
      <c r="F2744" s="2">
        <v>350000.0</v>
      </c>
      <c r="G2744" s="1" t="s">
        <v>185</v>
      </c>
      <c r="H2744" s="4">
        <f>IFERROR(__xludf.DUMMYFUNCTION("DATE(INDEX(SPLIT(G2744,""/""),,3),INDEX(SPLIT(G2744,""/""),,2),INDEX(SPLIT(G2744,""/""),,1))"),44741.0)</f>
        <v>44741</v>
      </c>
      <c r="I2744" s="1" t="s">
        <v>518</v>
      </c>
      <c r="J2744" s="4">
        <f>IFERROR(__xludf.DUMMYFUNCTION("DATE(INDEX(SPLIT(I2744,""/""),,3),INDEX(SPLIT(I2744,""/""),,2),INDEX(SPLIT(I2744,""/""),,1))"),44757.0)</f>
        <v>44757</v>
      </c>
      <c r="L2744" s="1">
        <v>0.0</v>
      </c>
      <c r="M2744" s="1" t="s">
        <v>614</v>
      </c>
      <c r="N2744" s="1"/>
      <c r="O2744" s="1" t="s">
        <v>30</v>
      </c>
      <c r="P2744" s="1" t="s">
        <v>31</v>
      </c>
      <c r="Q2744" s="1" t="s">
        <v>71</v>
      </c>
      <c r="R2744" s="1" t="s">
        <v>71</v>
      </c>
      <c r="S2744" s="1" t="s">
        <v>72</v>
      </c>
      <c r="U2744" s="1">
        <v>1.00869732E8</v>
      </c>
      <c r="X2744" s="1" t="s">
        <v>490</v>
      </c>
      <c r="Y2744" s="1" t="s">
        <v>3252</v>
      </c>
      <c r="Z2744" s="1" t="s">
        <v>37</v>
      </c>
    </row>
    <row r="2745" hidden="1">
      <c r="A2745" s="1" t="s">
        <v>8359</v>
      </c>
      <c r="B2745" s="1" t="s">
        <v>8360</v>
      </c>
      <c r="C2745" s="1" t="s">
        <v>8361</v>
      </c>
      <c r="D2745" s="1" t="s">
        <v>27</v>
      </c>
      <c r="E2745" s="1" t="s">
        <v>28</v>
      </c>
      <c r="F2745" s="2">
        <v>350000.0</v>
      </c>
      <c r="G2745" s="1" t="s">
        <v>8362</v>
      </c>
      <c r="H2745" s="4">
        <f>IFERROR(__xludf.DUMMYFUNCTION("DATE(INDEX(SPLIT(G2745,""/""),,3),INDEX(SPLIT(G2745,""/""),,2),INDEX(SPLIT(G2745,""/""),,1))"),44071.0)</f>
        <v>44071</v>
      </c>
      <c r="I2745" s="1" t="s">
        <v>1097</v>
      </c>
      <c r="J2745" s="4">
        <f>IFERROR(__xludf.DUMMYFUNCTION("DATE(INDEX(SPLIT(I2745,""/""),,3),INDEX(SPLIT(I2745,""/""),,2),INDEX(SPLIT(I2745,""/""),,1))"),45107.0)</f>
        <v>45107</v>
      </c>
      <c r="L2745" s="1">
        <v>0.0</v>
      </c>
      <c r="M2745" s="1" t="s">
        <v>211</v>
      </c>
      <c r="N2745" s="1"/>
      <c r="O2745" s="1" t="s">
        <v>30</v>
      </c>
      <c r="P2745" s="1" t="s">
        <v>31</v>
      </c>
      <c r="Q2745" s="1" t="s">
        <v>71</v>
      </c>
      <c r="R2745" s="1" t="s">
        <v>71</v>
      </c>
      <c r="S2745" s="1" t="s">
        <v>72</v>
      </c>
      <c r="T2745" s="1" t="s">
        <v>136</v>
      </c>
      <c r="U2745" s="1">
        <v>1.00590896E8</v>
      </c>
      <c r="X2745" s="1" t="s">
        <v>74</v>
      </c>
      <c r="Y2745" s="1" t="s">
        <v>2593</v>
      </c>
      <c r="Z2745" s="1" t="s">
        <v>37</v>
      </c>
    </row>
    <row r="2746" hidden="1">
      <c r="A2746" s="1" t="s">
        <v>8363</v>
      </c>
      <c r="B2746" s="1" t="s">
        <v>612</v>
      </c>
      <c r="C2746" s="1" t="s">
        <v>8364</v>
      </c>
      <c r="D2746" s="1" t="s">
        <v>27</v>
      </c>
      <c r="E2746" s="1" t="s">
        <v>28</v>
      </c>
      <c r="F2746" s="2">
        <v>350000.0</v>
      </c>
      <c r="G2746" s="1" t="s">
        <v>1244</v>
      </c>
      <c r="H2746" s="4">
        <f>IFERROR(__xludf.DUMMYFUNCTION("DATE(INDEX(SPLIT(G2746,""/""),,3),INDEX(SPLIT(G2746,""/""),,2),INDEX(SPLIT(G2746,""/""),,1))"),44742.0)</f>
        <v>44742</v>
      </c>
      <c r="I2746" s="1" t="s">
        <v>130</v>
      </c>
      <c r="J2746" s="4">
        <f>IFERROR(__xludf.DUMMYFUNCTION("DATE(INDEX(SPLIT(I2746,""/""),,3),INDEX(SPLIT(I2746,""/""),,2),INDEX(SPLIT(I2746,""/""),,1))"),44804.0)</f>
        <v>44804</v>
      </c>
      <c r="L2746" s="1">
        <v>0.0</v>
      </c>
      <c r="M2746" s="1" t="s">
        <v>614</v>
      </c>
      <c r="N2746" s="1"/>
      <c r="O2746" s="1" t="s">
        <v>30</v>
      </c>
      <c r="P2746" s="1" t="s">
        <v>31</v>
      </c>
      <c r="Q2746" s="1" t="s">
        <v>71</v>
      </c>
      <c r="R2746" s="1" t="s">
        <v>71</v>
      </c>
      <c r="S2746" s="1" t="s">
        <v>72</v>
      </c>
      <c r="U2746" s="1">
        <v>1.00869732E8</v>
      </c>
      <c r="X2746" s="1" t="s">
        <v>490</v>
      </c>
      <c r="Y2746" s="1" t="s">
        <v>8365</v>
      </c>
      <c r="Z2746" s="1" t="s">
        <v>37</v>
      </c>
    </row>
    <row r="2747" hidden="1">
      <c r="A2747" s="1" t="s">
        <v>8366</v>
      </c>
      <c r="B2747" s="1" t="s">
        <v>612</v>
      </c>
      <c r="C2747" s="1" t="s">
        <v>8367</v>
      </c>
      <c r="D2747" s="1" t="s">
        <v>27</v>
      </c>
      <c r="E2747" s="1" t="s">
        <v>28</v>
      </c>
      <c r="F2747" s="2">
        <v>350000.0</v>
      </c>
      <c r="G2747" s="1" t="s">
        <v>1244</v>
      </c>
      <c r="H2747" s="4">
        <f>IFERROR(__xludf.DUMMYFUNCTION("DATE(INDEX(SPLIT(G2747,""/""),,3),INDEX(SPLIT(G2747,""/""),,2),INDEX(SPLIT(G2747,""/""),,1))"),44742.0)</f>
        <v>44742</v>
      </c>
      <c r="I2747" s="1" t="s">
        <v>130</v>
      </c>
      <c r="J2747" s="4">
        <f>IFERROR(__xludf.DUMMYFUNCTION("DATE(INDEX(SPLIT(I2747,""/""),,3),INDEX(SPLIT(I2747,""/""),,2),INDEX(SPLIT(I2747,""/""),,1))"),44804.0)</f>
        <v>44804</v>
      </c>
      <c r="L2747" s="1">
        <v>0.0</v>
      </c>
      <c r="M2747" s="1" t="s">
        <v>614</v>
      </c>
      <c r="N2747" s="1"/>
      <c r="O2747" s="1" t="s">
        <v>30</v>
      </c>
      <c r="P2747" s="1" t="s">
        <v>31</v>
      </c>
      <c r="Q2747" s="1" t="s">
        <v>71</v>
      </c>
      <c r="R2747" s="1" t="s">
        <v>71</v>
      </c>
      <c r="S2747" s="1" t="s">
        <v>72</v>
      </c>
      <c r="U2747" s="1">
        <v>1.00869732E8</v>
      </c>
      <c r="X2747" s="1" t="s">
        <v>490</v>
      </c>
      <c r="Y2747" s="1" t="s">
        <v>8365</v>
      </c>
      <c r="Z2747" s="1" t="s">
        <v>37</v>
      </c>
    </row>
    <row r="2748" hidden="1">
      <c r="A2748" s="1" t="s">
        <v>8368</v>
      </c>
      <c r="B2748" s="1" t="s">
        <v>1070</v>
      </c>
      <c r="C2748" s="1" t="s">
        <v>8369</v>
      </c>
      <c r="D2748" s="1" t="s">
        <v>78</v>
      </c>
      <c r="E2748" s="1" t="s">
        <v>28</v>
      </c>
      <c r="F2748" s="2">
        <v>350000.0</v>
      </c>
      <c r="G2748" s="4">
        <v>44206.0</v>
      </c>
      <c r="H2748" s="4">
        <f>IFERROR(__xludf.DUMMYFUNCTION("DATE(INDEX(SPLIT(G2748,""/""),,3),INDEX(SPLIT(G2748,""/""),,2),INDEX(SPLIT(G2748,""/""),,1))"),44470.0)</f>
        <v>44470</v>
      </c>
      <c r="I2748" s="1" t="s">
        <v>4464</v>
      </c>
      <c r="J2748" s="4">
        <f>IFERROR(__xludf.DUMMYFUNCTION("DATE(INDEX(SPLIT(I2748,""/""),,3),INDEX(SPLIT(I2748,""/""),,2),INDEX(SPLIT(I2748,""/""),,1))"),44849.0)</f>
        <v>44849</v>
      </c>
      <c r="L2748" s="1">
        <v>0.0</v>
      </c>
      <c r="M2748" s="1" t="s">
        <v>1072</v>
      </c>
      <c r="N2748" s="1"/>
      <c r="O2748" s="1" t="s">
        <v>30</v>
      </c>
      <c r="P2748" s="1" t="s">
        <v>31</v>
      </c>
      <c r="Q2748" s="1" t="s">
        <v>157</v>
      </c>
      <c r="R2748" s="1" t="s">
        <v>157</v>
      </c>
      <c r="S2748" s="1" t="s">
        <v>158</v>
      </c>
      <c r="T2748" s="1" t="s">
        <v>571</v>
      </c>
      <c r="U2748" s="1">
        <v>1.00594872E8</v>
      </c>
      <c r="X2748" s="1" t="s">
        <v>305</v>
      </c>
      <c r="Y2748" s="1" t="s">
        <v>1072</v>
      </c>
      <c r="Z2748" s="1" t="s">
        <v>37</v>
      </c>
    </row>
    <row r="2749">
      <c r="A2749" s="1" t="s">
        <v>8370</v>
      </c>
      <c r="B2749" s="1" t="s">
        <v>106</v>
      </c>
      <c r="C2749" s="1" t="s">
        <v>8371</v>
      </c>
      <c r="D2749" s="1" t="s">
        <v>78</v>
      </c>
      <c r="E2749" s="1" t="s">
        <v>28</v>
      </c>
      <c r="F2749" s="2">
        <v>350000.0</v>
      </c>
      <c r="G2749" s="1" t="s">
        <v>1259</v>
      </c>
      <c r="H2749" s="4">
        <f>IFERROR(__xludf.DUMMYFUNCTION("DATE(INDEX(SPLIT(G2749,""/""),,3),INDEX(SPLIT(G2749,""/""),,2),INDEX(SPLIT(G2749,""/""),,1))"),44763.0)</f>
        <v>44763</v>
      </c>
      <c r="I2749" s="1" t="s">
        <v>226</v>
      </c>
      <c r="J2749" s="4">
        <f>IFERROR(__xludf.DUMMYFUNCTION("DATE(INDEX(SPLIT(I2749,""/""),,3),INDEX(SPLIT(I2749,""/""),,2),INDEX(SPLIT(I2749,""/""),,1))"),44771.0)</f>
        <v>44771</v>
      </c>
      <c r="L2749" s="1">
        <v>0.0</v>
      </c>
      <c r="M2749" s="1" t="s">
        <v>8372</v>
      </c>
      <c r="N2749" s="1"/>
      <c r="O2749" s="1" t="s">
        <v>30</v>
      </c>
      <c r="P2749" s="1" t="s">
        <v>31</v>
      </c>
      <c r="Q2749" s="1" t="s">
        <v>95</v>
      </c>
      <c r="R2749" s="1" t="s">
        <v>95</v>
      </c>
      <c r="S2749" s="1" t="s">
        <v>96</v>
      </c>
      <c r="U2749" s="1">
        <v>1.00590541E8</v>
      </c>
      <c r="X2749" s="1" t="s">
        <v>63</v>
      </c>
      <c r="Y2749" s="1" t="s">
        <v>8373</v>
      </c>
      <c r="Z2749" s="1" t="s">
        <v>527</v>
      </c>
    </row>
    <row r="2750">
      <c r="A2750" s="1" t="s">
        <v>8374</v>
      </c>
      <c r="B2750" s="1" t="s">
        <v>816</v>
      </c>
      <c r="C2750" s="1" t="s">
        <v>8375</v>
      </c>
      <c r="D2750" s="1" t="s">
        <v>27</v>
      </c>
      <c r="E2750" s="1" t="s">
        <v>28</v>
      </c>
      <c r="F2750" s="2">
        <v>350000.0</v>
      </c>
      <c r="G2750" s="4">
        <v>44718.0</v>
      </c>
      <c r="H2750" s="4">
        <f>IFERROR(__xludf.DUMMYFUNCTION("DATE(INDEX(SPLIT(G2750,""/""),,3),INDEX(SPLIT(G2750,""/""),,2),INDEX(SPLIT(G2750,""/""),,1))"),44718.0)</f>
        <v>44718</v>
      </c>
      <c r="I2750" s="1" t="s">
        <v>518</v>
      </c>
      <c r="J2750" s="4">
        <f>IFERROR(__xludf.DUMMYFUNCTION("DATE(INDEX(SPLIT(I2750,""/""),,3),INDEX(SPLIT(I2750,""/""),,2),INDEX(SPLIT(I2750,""/""),,1))"),44757.0)</f>
        <v>44757</v>
      </c>
      <c r="L2750" s="1">
        <v>0.0</v>
      </c>
      <c r="M2750" s="1" t="s">
        <v>819</v>
      </c>
      <c r="N2750" s="1"/>
      <c r="O2750" s="1" t="s">
        <v>30</v>
      </c>
      <c r="P2750" s="1" t="s">
        <v>31</v>
      </c>
      <c r="Q2750" s="1" t="s">
        <v>53</v>
      </c>
      <c r="R2750" s="1" t="s">
        <v>53</v>
      </c>
      <c r="S2750" s="1" t="s">
        <v>54</v>
      </c>
      <c r="T2750" s="1" t="s">
        <v>634</v>
      </c>
      <c r="U2750" s="1">
        <v>1.00661738E8</v>
      </c>
      <c r="X2750" s="1" t="s">
        <v>490</v>
      </c>
      <c r="Y2750" s="1" t="s">
        <v>2119</v>
      </c>
      <c r="Z2750" s="1" t="s">
        <v>37</v>
      </c>
    </row>
    <row r="2751" hidden="1">
      <c r="A2751" s="1" t="s">
        <v>8376</v>
      </c>
      <c r="B2751" s="1" t="s">
        <v>8377</v>
      </c>
      <c r="C2751" s="1" t="s">
        <v>8378</v>
      </c>
      <c r="D2751" s="1" t="s">
        <v>122</v>
      </c>
      <c r="E2751" s="1" t="s">
        <v>28</v>
      </c>
      <c r="F2751" s="2">
        <v>350000.0</v>
      </c>
      <c r="G2751" s="4">
        <v>44327.0</v>
      </c>
      <c r="H2751" s="4">
        <f>IFERROR(__xludf.DUMMYFUNCTION("DATE(INDEX(SPLIT(G2751,""/""),,3),INDEX(SPLIT(G2751,""/""),,2),INDEX(SPLIT(G2751,""/""),,1))"),44505.0)</f>
        <v>44505</v>
      </c>
      <c r="I2751" s="1" t="s">
        <v>1909</v>
      </c>
      <c r="J2751" s="4">
        <f>IFERROR(__xludf.DUMMYFUNCTION("DATE(INDEX(SPLIT(I2751,""/""),,3),INDEX(SPLIT(I2751,""/""),,2),INDEX(SPLIT(I2751,""/""),,1))"),44883.0)</f>
        <v>44883</v>
      </c>
      <c r="L2751" s="1">
        <v>0.0</v>
      </c>
      <c r="M2751" s="1" t="s">
        <v>1723</v>
      </c>
      <c r="N2751" s="1"/>
      <c r="O2751" s="1" t="s">
        <v>30</v>
      </c>
      <c r="P2751" s="1" t="s">
        <v>31</v>
      </c>
      <c r="Q2751" s="1" t="s">
        <v>157</v>
      </c>
      <c r="R2751" s="1" t="s">
        <v>157</v>
      </c>
      <c r="S2751" s="1" t="s">
        <v>158</v>
      </c>
      <c r="T2751" s="1" t="s">
        <v>159</v>
      </c>
      <c r="U2751" s="1">
        <v>1.00654085E8</v>
      </c>
      <c r="X2751" s="1" t="s">
        <v>74</v>
      </c>
      <c r="Y2751" s="1" t="s">
        <v>4761</v>
      </c>
      <c r="Z2751" s="1" t="s">
        <v>37</v>
      </c>
    </row>
    <row r="2752">
      <c r="A2752" s="1" t="s">
        <v>8379</v>
      </c>
      <c r="B2752" s="1" t="s">
        <v>4090</v>
      </c>
      <c r="C2752" s="1" t="s">
        <v>8380</v>
      </c>
      <c r="D2752" s="1" t="s">
        <v>68</v>
      </c>
      <c r="E2752" s="1" t="s">
        <v>28</v>
      </c>
      <c r="F2752" s="2">
        <v>350000.0</v>
      </c>
      <c r="G2752" s="1" t="s">
        <v>50</v>
      </c>
      <c r="H2752" s="4">
        <f>IFERROR(__xludf.DUMMYFUNCTION("DATE(INDEX(SPLIT(G2752,""/""),,3),INDEX(SPLIT(G2752,""/""),,2),INDEX(SPLIT(G2752,""/""),,1))"),44547.0)</f>
        <v>44547</v>
      </c>
      <c r="I2752" s="1" t="s">
        <v>233</v>
      </c>
      <c r="J2752" s="4">
        <f>IFERROR(__xludf.DUMMYFUNCTION("DATE(INDEX(SPLIT(I2752,""/""),,3),INDEX(SPLIT(I2752,""/""),,2),INDEX(SPLIT(I2752,""/""),,1))"),44729.0)</f>
        <v>44729</v>
      </c>
      <c r="L2752" s="1">
        <v>0.0</v>
      </c>
      <c r="M2752" s="1" t="s">
        <v>6691</v>
      </c>
      <c r="N2752" s="1"/>
      <c r="O2752" s="1" t="s">
        <v>30</v>
      </c>
      <c r="P2752" s="1" t="s">
        <v>31</v>
      </c>
      <c r="Q2752" s="1" t="s">
        <v>95</v>
      </c>
      <c r="R2752" s="1" t="s">
        <v>95</v>
      </c>
      <c r="S2752" s="1" t="s">
        <v>96</v>
      </c>
      <c r="U2752" s="1">
        <v>1.00694651E8</v>
      </c>
      <c r="X2752" s="1" t="s">
        <v>190</v>
      </c>
      <c r="Y2752" s="1" t="s">
        <v>8381</v>
      </c>
      <c r="Z2752" s="1" t="s">
        <v>37</v>
      </c>
    </row>
    <row r="2753" hidden="1">
      <c r="A2753" s="1" t="s">
        <v>8382</v>
      </c>
      <c r="B2753" s="1" t="s">
        <v>1144</v>
      </c>
      <c r="C2753" s="1" t="s">
        <v>8383</v>
      </c>
      <c r="D2753" s="1" t="s">
        <v>78</v>
      </c>
      <c r="E2753" s="1" t="s">
        <v>28</v>
      </c>
      <c r="F2753" s="2">
        <v>350000.0</v>
      </c>
      <c r="G2753" s="1" t="s">
        <v>359</v>
      </c>
      <c r="H2753" s="4">
        <f>IFERROR(__xludf.DUMMYFUNCTION("DATE(INDEX(SPLIT(G2753,""/""),,3),INDEX(SPLIT(G2753,""/""),,2),INDEX(SPLIT(G2753,""/""),,1))"),44740.0)</f>
        <v>44740</v>
      </c>
      <c r="I2753" s="4">
        <v>44752.0</v>
      </c>
      <c r="J2753" s="4">
        <f>IFERROR(__xludf.DUMMYFUNCTION("DATE(INDEX(SPLIT(I2753,""/""),,3),INDEX(SPLIT(I2753,""/""),,2),INDEX(SPLIT(I2753,""/""),,1))"),44841.0)</f>
        <v>44841</v>
      </c>
      <c r="L2753" s="1">
        <v>0.0</v>
      </c>
      <c r="M2753" s="1" t="s">
        <v>2614</v>
      </c>
      <c r="N2753" s="1"/>
      <c r="O2753" s="1" t="s">
        <v>30</v>
      </c>
      <c r="P2753" s="1" t="s">
        <v>31</v>
      </c>
      <c r="Q2753" s="1" t="s">
        <v>53</v>
      </c>
      <c r="R2753" s="1" t="s">
        <v>53</v>
      </c>
      <c r="S2753" s="1" t="s">
        <v>54</v>
      </c>
      <c r="U2753" s="1">
        <v>1.00592932E8</v>
      </c>
      <c r="X2753" s="1" t="s">
        <v>63</v>
      </c>
      <c r="Y2753" s="1" t="s">
        <v>8384</v>
      </c>
      <c r="Z2753" s="1" t="s">
        <v>37</v>
      </c>
    </row>
    <row r="2754" hidden="1">
      <c r="A2754" s="1" t="s">
        <v>8385</v>
      </c>
      <c r="B2754" s="1" t="s">
        <v>4884</v>
      </c>
      <c r="C2754" s="1" t="s">
        <v>8386</v>
      </c>
      <c r="D2754" s="1" t="s">
        <v>27</v>
      </c>
      <c r="E2754" s="1" t="s">
        <v>28</v>
      </c>
      <c r="F2754" s="2">
        <v>350000.0</v>
      </c>
      <c r="G2754" s="4">
        <v>44257.0</v>
      </c>
      <c r="H2754" s="4">
        <f>IFERROR(__xludf.DUMMYFUNCTION("DATE(INDEX(SPLIT(G2754,""/""),,3),INDEX(SPLIT(G2754,""/""),,2),INDEX(SPLIT(G2754,""/""),,1))"),44230.0)</f>
        <v>44230</v>
      </c>
      <c r="I2754" s="1" t="s">
        <v>6544</v>
      </c>
      <c r="J2754" s="4">
        <f>IFERROR(__xludf.DUMMYFUNCTION("DATE(INDEX(SPLIT(I2754,""/""),,3),INDEX(SPLIT(I2754,""/""),,2),INDEX(SPLIT(I2754,""/""),,1))"),44939.0)</f>
        <v>44939</v>
      </c>
      <c r="L2754" s="1">
        <v>0.0</v>
      </c>
      <c r="M2754" s="1" t="s">
        <v>318</v>
      </c>
      <c r="N2754" s="1"/>
      <c r="O2754" s="1" t="s">
        <v>30</v>
      </c>
      <c r="P2754" s="1" t="s">
        <v>31</v>
      </c>
      <c r="Q2754" s="1" t="s">
        <v>71</v>
      </c>
      <c r="R2754" s="1" t="s">
        <v>71</v>
      </c>
      <c r="S2754" s="1" t="s">
        <v>72</v>
      </c>
      <c r="T2754" s="1" t="s">
        <v>73</v>
      </c>
      <c r="U2754" s="1">
        <v>1.00654705E8</v>
      </c>
      <c r="X2754" s="1" t="s">
        <v>74</v>
      </c>
      <c r="Y2754" s="1" t="s">
        <v>318</v>
      </c>
      <c r="Z2754" s="1" t="s">
        <v>37</v>
      </c>
    </row>
    <row r="2755" hidden="1">
      <c r="A2755" s="1" t="s">
        <v>8387</v>
      </c>
      <c r="B2755" s="1" t="s">
        <v>2735</v>
      </c>
      <c r="C2755" s="1" t="s">
        <v>8388</v>
      </c>
      <c r="D2755" s="1" t="s">
        <v>78</v>
      </c>
      <c r="E2755" s="1" t="s">
        <v>28</v>
      </c>
      <c r="F2755" s="2">
        <v>350000.0</v>
      </c>
      <c r="G2755" s="1" t="s">
        <v>5115</v>
      </c>
      <c r="H2755" s="4">
        <f>IFERROR(__xludf.DUMMYFUNCTION("DATE(INDEX(SPLIT(G2755,""/""),,3),INDEX(SPLIT(G2755,""/""),,2),INDEX(SPLIT(G2755,""/""),,1))"),44530.0)</f>
        <v>44530</v>
      </c>
      <c r="I2755" s="1" t="s">
        <v>109</v>
      </c>
      <c r="J2755" s="4">
        <f>IFERROR(__xludf.DUMMYFUNCTION("DATE(INDEX(SPLIT(I2755,""/""),,3),INDEX(SPLIT(I2755,""/""),,2),INDEX(SPLIT(I2755,""/""),,1))"),44834.0)</f>
        <v>44834</v>
      </c>
      <c r="L2755" s="1">
        <v>0.0</v>
      </c>
      <c r="M2755" s="1" t="s">
        <v>3138</v>
      </c>
      <c r="N2755" s="1"/>
      <c r="O2755" s="1" t="s">
        <v>30</v>
      </c>
      <c r="P2755" s="1" t="s">
        <v>31</v>
      </c>
      <c r="Q2755" s="1" t="s">
        <v>157</v>
      </c>
      <c r="R2755" s="1" t="s">
        <v>157</v>
      </c>
      <c r="S2755" s="1" t="s">
        <v>158</v>
      </c>
      <c r="T2755" s="1" t="s">
        <v>442</v>
      </c>
      <c r="U2755" s="1">
        <v>1.00616377E8</v>
      </c>
      <c r="X2755" s="1" t="s">
        <v>490</v>
      </c>
      <c r="Y2755" s="1" t="s">
        <v>3138</v>
      </c>
      <c r="Z2755" s="1" t="s">
        <v>37</v>
      </c>
    </row>
    <row r="2756" hidden="1">
      <c r="A2756" s="1" t="s">
        <v>8389</v>
      </c>
      <c r="B2756" s="1" t="s">
        <v>8390</v>
      </c>
      <c r="C2756" s="1" t="s">
        <v>8391</v>
      </c>
      <c r="D2756" s="1" t="s">
        <v>27</v>
      </c>
      <c r="E2756" s="1" t="s">
        <v>28</v>
      </c>
      <c r="F2756" s="2">
        <v>350000.0</v>
      </c>
      <c r="G2756" s="1" t="s">
        <v>935</v>
      </c>
      <c r="H2756" s="4">
        <f>IFERROR(__xludf.DUMMYFUNCTION("DATE(INDEX(SPLIT(G2756,""/""),,3),INDEX(SPLIT(G2756,""/""),,2),INDEX(SPLIT(G2756,""/""),,1))"),44764.0)</f>
        <v>44764</v>
      </c>
      <c r="I2756" s="1" t="s">
        <v>109</v>
      </c>
      <c r="J2756" s="4">
        <f>IFERROR(__xludf.DUMMYFUNCTION("DATE(INDEX(SPLIT(I2756,""/""),,3),INDEX(SPLIT(I2756,""/""),,2),INDEX(SPLIT(I2756,""/""),,1))"),44834.0)</f>
        <v>44834</v>
      </c>
      <c r="L2756" s="1">
        <v>0.0</v>
      </c>
      <c r="M2756" s="1" t="s">
        <v>3580</v>
      </c>
      <c r="N2756" s="1"/>
      <c r="O2756" s="1" t="s">
        <v>30</v>
      </c>
      <c r="P2756" s="1" t="s">
        <v>31</v>
      </c>
      <c r="Q2756" s="1" t="s">
        <v>157</v>
      </c>
      <c r="R2756" s="1" t="s">
        <v>157</v>
      </c>
      <c r="S2756" s="1" t="s">
        <v>158</v>
      </c>
      <c r="T2756" s="1" t="s">
        <v>442</v>
      </c>
      <c r="U2756" s="1">
        <v>1.00956516E8</v>
      </c>
      <c r="X2756" s="1" t="s">
        <v>239</v>
      </c>
      <c r="Y2756" s="1" t="s">
        <v>3124</v>
      </c>
      <c r="Z2756" s="1" t="s">
        <v>37</v>
      </c>
    </row>
    <row r="2757" hidden="1">
      <c r="A2757" s="1" t="s">
        <v>8392</v>
      </c>
      <c r="B2757" s="1" t="s">
        <v>8077</v>
      </c>
      <c r="C2757" s="1" t="s">
        <v>8393</v>
      </c>
      <c r="D2757" s="1" t="s">
        <v>27</v>
      </c>
      <c r="E2757" s="1" t="s">
        <v>28</v>
      </c>
      <c r="F2757" s="2">
        <v>350000.0</v>
      </c>
      <c r="G2757" s="1" t="s">
        <v>185</v>
      </c>
      <c r="H2757" s="4">
        <f>IFERROR(__xludf.DUMMYFUNCTION("DATE(INDEX(SPLIT(G2757,""/""),,3),INDEX(SPLIT(G2757,""/""),,2),INDEX(SPLIT(G2757,""/""),,1))"),44741.0)</f>
        <v>44741</v>
      </c>
      <c r="I2757" s="1" t="s">
        <v>109</v>
      </c>
      <c r="J2757" s="4">
        <f>IFERROR(__xludf.DUMMYFUNCTION("DATE(INDEX(SPLIT(I2757,""/""),,3),INDEX(SPLIT(I2757,""/""),,2),INDEX(SPLIT(I2757,""/""),,1))"),44834.0)</f>
        <v>44834</v>
      </c>
      <c r="L2757" s="1">
        <v>0.0</v>
      </c>
      <c r="M2757" s="1" t="s">
        <v>3386</v>
      </c>
      <c r="N2757" s="1"/>
      <c r="O2757" s="1" t="s">
        <v>30</v>
      </c>
      <c r="P2757" s="1" t="s">
        <v>31</v>
      </c>
      <c r="Q2757" s="1" t="s">
        <v>157</v>
      </c>
      <c r="R2757" s="1" t="s">
        <v>157</v>
      </c>
      <c r="S2757" s="1" t="s">
        <v>158</v>
      </c>
      <c r="U2757" s="1">
        <v>1.00648716E8</v>
      </c>
      <c r="X2757" s="1" t="s">
        <v>125</v>
      </c>
      <c r="Y2757" s="1" t="s">
        <v>3386</v>
      </c>
      <c r="Z2757" s="1" t="s">
        <v>37</v>
      </c>
    </row>
    <row r="2758">
      <c r="A2758" s="1" t="s">
        <v>8394</v>
      </c>
      <c r="B2758" s="1" t="s">
        <v>8395</v>
      </c>
      <c r="C2758" s="1" t="s">
        <v>8396</v>
      </c>
      <c r="D2758" s="1" t="s">
        <v>122</v>
      </c>
      <c r="E2758" s="1" t="s">
        <v>28</v>
      </c>
      <c r="F2758" s="2">
        <v>350000.0</v>
      </c>
      <c r="G2758" s="1" t="s">
        <v>233</v>
      </c>
      <c r="H2758" s="4">
        <f>IFERROR(__xludf.DUMMYFUNCTION("DATE(INDEX(SPLIT(G2758,""/""),,3),INDEX(SPLIT(G2758,""/""),,2),INDEX(SPLIT(G2758,""/""),,1))"),44729.0)</f>
        <v>44729</v>
      </c>
      <c r="I2758" s="4">
        <v>44568.0</v>
      </c>
      <c r="J2758" s="4">
        <f>IFERROR(__xludf.DUMMYFUNCTION("DATE(INDEX(SPLIT(I2758,""/""),,3),INDEX(SPLIT(I2758,""/""),,2),INDEX(SPLIT(I2758,""/""),,1))"),44743.0)</f>
        <v>44743</v>
      </c>
      <c r="L2758" s="1">
        <v>0.0</v>
      </c>
      <c r="M2758" s="1" t="s">
        <v>1828</v>
      </c>
      <c r="N2758" s="1"/>
      <c r="O2758" s="1" t="s">
        <v>30</v>
      </c>
      <c r="P2758" s="1" t="s">
        <v>31</v>
      </c>
      <c r="Q2758" s="1" t="s">
        <v>235</v>
      </c>
      <c r="R2758" s="1" t="s">
        <v>235</v>
      </c>
      <c r="S2758" s="1" t="s">
        <v>236</v>
      </c>
      <c r="U2758" s="1">
        <v>1.00593918E8</v>
      </c>
      <c r="X2758" s="1" t="s">
        <v>375</v>
      </c>
      <c r="Y2758" s="1" t="s">
        <v>8397</v>
      </c>
      <c r="Z2758" s="1" t="s">
        <v>37</v>
      </c>
    </row>
    <row r="2759">
      <c r="A2759" s="1" t="s">
        <v>8398</v>
      </c>
      <c r="B2759" s="1" t="s">
        <v>3184</v>
      </c>
      <c r="C2759" s="1" t="s">
        <v>8399</v>
      </c>
      <c r="D2759" s="1" t="s">
        <v>78</v>
      </c>
      <c r="E2759" s="1" t="s">
        <v>28</v>
      </c>
      <c r="F2759" s="2">
        <v>350000.0</v>
      </c>
      <c r="G2759" s="1" t="s">
        <v>233</v>
      </c>
      <c r="H2759" s="4">
        <f>IFERROR(__xludf.DUMMYFUNCTION("DATE(INDEX(SPLIT(G2759,""/""),,3),INDEX(SPLIT(G2759,""/""),,2),INDEX(SPLIT(G2759,""/""),,1))"),44729.0)</f>
        <v>44729</v>
      </c>
      <c r="I2759" s="1" t="s">
        <v>226</v>
      </c>
      <c r="J2759" s="4">
        <f>IFERROR(__xludf.DUMMYFUNCTION("DATE(INDEX(SPLIT(I2759,""/""),,3),INDEX(SPLIT(I2759,""/""),,2),INDEX(SPLIT(I2759,""/""),,1))"),44771.0)</f>
        <v>44771</v>
      </c>
      <c r="L2759" s="1">
        <v>0.0</v>
      </c>
      <c r="M2759" s="1" t="s">
        <v>1036</v>
      </c>
      <c r="N2759" s="1"/>
      <c r="O2759" s="1" t="s">
        <v>30</v>
      </c>
      <c r="P2759" s="1" t="s">
        <v>31</v>
      </c>
      <c r="Q2759" s="1" t="s">
        <v>95</v>
      </c>
      <c r="R2759" s="1" t="s">
        <v>95</v>
      </c>
      <c r="S2759" s="1" t="s">
        <v>96</v>
      </c>
      <c r="T2759" s="1" t="s">
        <v>111</v>
      </c>
      <c r="U2759" s="1">
        <v>1.00633489E8</v>
      </c>
      <c r="X2759" s="1" t="s">
        <v>312</v>
      </c>
      <c r="Y2759" s="1" t="s">
        <v>8400</v>
      </c>
      <c r="Z2759" s="1" t="s">
        <v>37</v>
      </c>
    </row>
    <row r="2760" hidden="1">
      <c r="A2760" s="1" t="s">
        <v>8401</v>
      </c>
      <c r="B2760" s="1" t="s">
        <v>8390</v>
      </c>
      <c r="C2760" s="1" t="s">
        <v>8402</v>
      </c>
      <c r="D2760" s="1" t="s">
        <v>27</v>
      </c>
      <c r="E2760" s="1" t="s">
        <v>28</v>
      </c>
      <c r="F2760" s="2">
        <v>350000.0</v>
      </c>
      <c r="G2760" s="1" t="s">
        <v>935</v>
      </c>
      <c r="H2760" s="4">
        <f>IFERROR(__xludf.DUMMYFUNCTION("DATE(INDEX(SPLIT(G2760,""/""),,3),INDEX(SPLIT(G2760,""/""),,2),INDEX(SPLIT(G2760,""/""),,1))"),44764.0)</f>
        <v>44764</v>
      </c>
      <c r="I2760" s="1" t="s">
        <v>109</v>
      </c>
      <c r="J2760" s="4">
        <f>IFERROR(__xludf.DUMMYFUNCTION("DATE(INDEX(SPLIT(I2760,""/""),,3),INDEX(SPLIT(I2760,""/""),,2),INDEX(SPLIT(I2760,""/""),,1))"),44834.0)</f>
        <v>44834</v>
      </c>
      <c r="L2760" s="1">
        <v>0.0</v>
      </c>
      <c r="M2760" s="1" t="s">
        <v>3580</v>
      </c>
      <c r="N2760" s="1"/>
      <c r="O2760" s="1" t="s">
        <v>30</v>
      </c>
      <c r="P2760" s="1" t="s">
        <v>31</v>
      </c>
      <c r="Q2760" s="1" t="s">
        <v>157</v>
      </c>
      <c r="R2760" s="1" t="s">
        <v>157</v>
      </c>
      <c r="S2760" s="1" t="s">
        <v>158</v>
      </c>
      <c r="T2760" s="1" t="s">
        <v>442</v>
      </c>
      <c r="U2760" s="1">
        <v>1.00956516E8</v>
      </c>
      <c r="X2760" s="1" t="s">
        <v>239</v>
      </c>
      <c r="Y2760" s="1" t="s">
        <v>3124</v>
      </c>
      <c r="Z2760" s="1" t="s">
        <v>37</v>
      </c>
    </row>
    <row r="2761">
      <c r="A2761" s="1" t="s">
        <v>8403</v>
      </c>
      <c r="B2761" s="1" t="s">
        <v>3399</v>
      </c>
      <c r="C2761" s="1" t="s">
        <v>8404</v>
      </c>
      <c r="D2761" s="1" t="s">
        <v>122</v>
      </c>
      <c r="E2761" s="1" t="s">
        <v>28</v>
      </c>
      <c r="F2761" s="2">
        <v>350000.0</v>
      </c>
      <c r="G2761" s="1" t="s">
        <v>1381</v>
      </c>
      <c r="H2761" s="4">
        <f>IFERROR(__xludf.DUMMYFUNCTION("DATE(INDEX(SPLIT(G2761,""/""),,3),INDEX(SPLIT(G2761,""/""),,2),INDEX(SPLIT(G2761,""/""),,1))"),44643.0)</f>
        <v>44643</v>
      </c>
      <c r="I2761" s="1" t="s">
        <v>226</v>
      </c>
      <c r="J2761" s="4">
        <f>IFERROR(__xludf.DUMMYFUNCTION("DATE(INDEX(SPLIT(I2761,""/""),,3),INDEX(SPLIT(I2761,""/""),,2),INDEX(SPLIT(I2761,""/""),,1))"),44771.0)</f>
        <v>44771</v>
      </c>
      <c r="L2761" s="1">
        <v>0.0</v>
      </c>
      <c r="M2761" s="1" t="s">
        <v>3565</v>
      </c>
      <c r="N2761" s="1"/>
      <c r="O2761" s="1" t="s">
        <v>30</v>
      </c>
      <c r="P2761" s="1" t="s">
        <v>31</v>
      </c>
      <c r="Q2761" s="1" t="s">
        <v>32</v>
      </c>
      <c r="R2761" s="1" t="s">
        <v>32</v>
      </c>
      <c r="S2761" s="1" t="s">
        <v>33</v>
      </c>
      <c r="T2761" s="1" t="s">
        <v>103</v>
      </c>
      <c r="U2761" s="1">
        <v>1.01088701E8</v>
      </c>
      <c r="X2761" s="1" t="s">
        <v>63</v>
      </c>
      <c r="Y2761" s="1" t="s">
        <v>1457</v>
      </c>
      <c r="Z2761" s="1" t="s">
        <v>37</v>
      </c>
    </row>
    <row r="2762" hidden="1">
      <c r="A2762" s="1" t="s">
        <v>8405</v>
      </c>
      <c r="B2762" s="1" t="s">
        <v>3820</v>
      </c>
      <c r="C2762" s="1" t="s">
        <v>8406</v>
      </c>
      <c r="D2762" s="1" t="s">
        <v>27</v>
      </c>
      <c r="E2762" s="1" t="s">
        <v>28</v>
      </c>
      <c r="F2762" s="2">
        <v>350000.0</v>
      </c>
      <c r="G2762" s="4">
        <v>44595.0</v>
      </c>
      <c r="H2762" s="4">
        <f>IFERROR(__xludf.DUMMYFUNCTION("DATE(INDEX(SPLIT(G2762,""/""),,3),INDEX(SPLIT(G2762,""/""),,2),INDEX(SPLIT(G2762,""/""),,1))"),44622.0)</f>
        <v>44622</v>
      </c>
      <c r="I2762" s="1" t="s">
        <v>281</v>
      </c>
      <c r="J2762" s="4">
        <f>IFERROR(__xludf.DUMMYFUNCTION("DATE(INDEX(SPLIT(I2762,""/""),,3),INDEX(SPLIT(I2762,""/""),,2),INDEX(SPLIT(I2762,""/""),,1))"),44865.0)</f>
        <v>44865</v>
      </c>
      <c r="L2762" s="1">
        <v>0.0</v>
      </c>
      <c r="M2762" s="1" t="s">
        <v>1792</v>
      </c>
      <c r="N2762" s="1"/>
      <c r="O2762" s="1" t="s">
        <v>30</v>
      </c>
      <c r="P2762" s="1" t="s">
        <v>31</v>
      </c>
      <c r="Q2762" s="1" t="s">
        <v>235</v>
      </c>
      <c r="R2762" s="1" t="s">
        <v>235</v>
      </c>
      <c r="S2762" s="1" t="s">
        <v>236</v>
      </c>
      <c r="T2762" s="1" t="s">
        <v>438</v>
      </c>
      <c r="U2762" s="1">
        <v>1.00964362E8</v>
      </c>
      <c r="X2762" s="1" t="s">
        <v>88</v>
      </c>
      <c r="Y2762" s="1" t="s">
        <v>2865</v>
      </c>
      <c r="Z2762" s="1" t="s">
        <v>37</v>
      </c>
    </row>
    <row r="2763" hidden="1">
      <c r="A2763" s="1" t="s">
        <v>8407</v>
      </c>
      <c r="B2763" s="1" t="s">
        <v>2358</v>
      </c>
      <c r="C2763" s="1" t="s">
        <v>8408</v>
      </c>
      <c r="D2763" s="1" t="s">
        <v>122</v>
      </c>
      <c r="E2763" s="1" t="s">
        <v>28</v>
      </c>
      <c r="F2763" s="2">
        <v>350000.0</v>
      </c>
      <c r="G2763" s="1" t="s">
        <v>1395</v>
      </c>
      <c r="H2763" s="4">
        <f>IFERROR(__xludf.DUMMYFUNCTION("DATE(INDEX(SPLIT(G2763,""/""),,3),INDEX(SPLIT(G2763,""/""),,2),INDEX(SPLIT(G2763,""/""),,1))"),44404.0)</f>
        <v>44404</v>
      </c>
      <c r="I2763" s="1" t="s">
        <v>203</v>
      </c>
      <c r="J2763" s="4">
        <f>IFERROR(__xludf.DUMMYFUNCTION("DATE(INDEX(SPLIT(I2763,""/""),,3),INDEX(SPLIT(I2763,""/""),,2),INDEX(SPLIT(I2763,""/""),,1))"),44925.0)</f>
        <v>44925</v>
      </c>
      <c r="L2763" s="1">
        <v>0.0</v>
      </c>
      <c r="M2763" s="1" t="s">
        <v>1649</v>
      </c>
      <c r="N2763" s="1"/>
      <c r="O2763" s="1" t="s">
        <v>30</v>
      </c>
      <c r="P2763" s="1" t="s">
        <v>31</v>
      </c>
      <c r="Q2763" s="1" t="s">
        <v>157</v>
      </c>
      <c r="R2763" s="1" t="s">
        <v>157</v>
      </c>
      <c r="S2763" s="1" t="s">
        <v>158</v>
      </c>
      <c r="T2763" s="1" t="s">
        <v>159</v>
      </c>
      <c r="U2763" s="1">
        <v>1.00643454E8</v>
      </c>
      <c r="W2763" s="1" t="s">
        <v>56</v>
      </c>
      <c r="X2763" s="1" t="s">
        <v>490</v>
      </c>
      <c r="Y2763" s="1" t="s">
        <v>1649</v>
      </c>
      <c r="Z2763" s="1" t="s">
        <v>37</v>
      </c>
    </row>
    <row r="2764" hidden="1">
      <c r="A2764" s="1" t="s">
        <v>8409</v>
      </c>
      <c r="B2764" s="1" t="s">
        <v>2140</v>
      </c>
      <c r="C2764" s="1" t="s">
        <v>8410</v>
      </c>
      <c r="D2764" s="1" t="s">
        <v>78</v>
      </c>
      <c r="E2764" s="1" t="s">
        <v>28</v>
      </c>
      <c r="F2764" s="2">
        <v>350000.0</v>
      </c>
      <c r="G2764" s="1" t="s">
        <v>2077</v>
      </c>
      <c r="H2764" s="4">
        <f>IFERROR(__xludf.DUMMYFUNCTION("DATE(INDEX(SPLIT(G2764,""/""),,3),INDEX(SPLIT(G2764,""/""),,2),INDEX(SPLIT(G2764,""/""),,1))"),44700.0)</f>
        <v>44700</v>
      </c>
      <c r="I2764" s="1" t="s">
        <v>109</v>
      </c>
      <c r="J2764" s="4">
        <f>IFERROR(__xludf.DUMMYFUNCTION("DATE(INDEX(SPLIT(I2764,""/""),,3),INDEX(SPLIT(I2764,""/""),,2),INDEX(SPLIT(I2764,""/""),,1))"),44834.0)</f>
        <v>44834</v>
      </c>
      <c r="L2764" s="1">
        <v>0.0</v>
      </c>
      <c r="M2764" s="1" t="s">
        <v>1649</v>
      </c>
      <c r="N2764" s="1"/>
      <c r="O2764" s="1" t="s">
        <v>30</v>
      </c>
      <c r="P2764" s="1" t="s">
        <v>31</v>
      </c>
      <c r="Q2764" s="1" t="s">
        <v>157</v>
      </c>
      <c r="R2764" s="1" t="s">
        <v>157</v>
      </c>
      <c r="S2764" s="1" t="s">
        <v>158</v>
      </c>
      <c r="T2764" s="1" t="s">
        <v>442</v>
      </c>
      <c r="U2764" s="1">
        <v>1.00643454E8</v>
      </c>
      <c r="X2764" s="1" t="s">
        <v>117</v>
      </c>
      <c r="Y2764" s="1" t="s">
        <v>3392</v>
      </c>
      <c r="Z2764" s="1" t="s">
        <v>37</v>
      </c>
    </row>
    <row r="2765" hidden="1">
      <c r="A2765" s="1" t="s">
        <v>8411</v>
      </c>
      <c r="B2765" s="1" t="s">
        <v>6099</v>
      </c>
      <c r="C2765" s="1" t="s">
        <v>8412</v>
      </c>
      <c r="D2765" s="1" t="s">
        <v>27</v>
      </c>
      <c r="E2765" s="1" t="s">
        <v>28</v>
      </c>
      <c r="F2765" s="2">
        <v>350000.0</v>
      </c>
      <c r="G2765" s="1" t="s">
        <v>935</v>
      </c>
      <c r="H2765" s="4">
        <f>IFERROR(__xludf.DUMMYFUNCTION("DATE(INDEX(SPLIT(G2765,""/""),,3),INDEX(SPLIT(G2765,""/""),,2),INDEX(SPLIT(G2765,""/""),,1))"),44764.0)</f>
        <v>44764</v>
      </c>
      <c r="I2765" s="1" t="s">
        <v>281</v>
      </c>
      <c r="J2765" s="4">
        <f>IFERROR(__xludf.DUMMYFUNCTION("DATE(INDEX(SPLIT(I2765,""/""),,3),INDEX(SPLIT(I2765,""/""),,2),INDEX(SPLIT(I2765,""/""),,1))"),44865.0)</f>
        <v>44865</v>
      </c>
      <c r="L2765" s="1">
        <v>0.0</v>
      </c>
      <c r="M2765" s="1" t="s">
        <v>3138</v>
      </c>
      <c r="N2765" s="1"/>
      <c r="O2765" s="1" t="s">
        <v>30</v>
      </c>
      <c r="P2765" s="1" t="s">
        <v>31</v>
      </c>
      <c r="Q2765" s="1" t="s">
        <v>157</v>
      </c>
      <c r="R2765" s="1" t="s">
        <v>157</v>
      </c>
      <c r="S2765" s="1" t="s">
        <v>158</v>
      </c>
      <c r="U2765" s="1">
        <v>1.00616377E8</v>
      </c>
      <c r="X2765" s="1" t="s">
        <v>361</v>
      </c>
      <c r="Y2765" s="1" t="s">
        <v>7699</v>
      </c>
      <c r="Z2765" s="1" t="s">
        <v>37</v>
      </c>
    </row>
    <row r="2766">
      <c r="A2766" s="1" t="s">
        <v>8413</v>
      </c>
      <c r="B2766" s="1" t="s">
        <v>144</v>
      </c>
      <c r="C2766" s="1" t="s">
        <v>8414</v>
      </c>
      <c r="D2766" s="1" t="s">
        <v>78</v>
      </c>
      <c r="E2766" s="1" t="s">
        <v>28</v>
      </c>
      <c r="F2766" s="2">
        <v>350000.0</v>
      </c>
      <c r="G2766" s="1" t="s">
        <v>164</v>
      </c>
      <c r="H2766" s="4">
        <f>IFERROR(__xludf.DUMMYFUNCTION("DATE(INDEX(SPLIT(G2766,""/""),,3),INDEX(SPLIT(G2766,""/""),,2),INDEX(SPLIT(G2766,""/""),,1))"),44706.0)</f>
        <v>44706</v>
      </c>
      <c r="I2766" s="1" t="s">
        <v>518</v>
      </c>
      <c r="J2766" s="4">
        <f>IFERROR(__xludf.DUMMYFUNCTION("DATE(INDEX(SPLIT(I2766,""/""),,3),INDEX(SPLIT(I2766,""/""),,2),INDEX(SPLIT(I2766,""/""),,1))"),44757.0)</f>
        <v>44757</v>
      </c>
      <c r="L2766" s="1">
        <v>0.0</v>
      </c>
      <c r="M2766" s="1" t="s">
        <v>2546</v>
      </c>
      <c r="N2766" s="1"/>
      <c r="O2766" s="1" t="s">
        <v>30</v>
      </c>
      <c r="P2766" s="1" t="s">
        <v>31</v>
      </c>
      <c r="Q2766" s="1" t="s">
        <v>228</v>
      </c>
      <c r="R2766" s="1" t="s">
        <v>228</v>
      </c>
      <c r="S2766" s="1" t="s">
        <v>229</v>
      </c>
      <c r="T2766" s="1" t="s">
        <v>505</v>
      </c>
      <c r="U2766" s="1">
        <v>1.00892076E8</v>
      </c>
      <c r="X2766" s="1" t="s">
        <v>88</v>
      </c>
      <c r="Y2766" s="1" t="s">
        <v>2546</v>
      </c>
      <c r="Z2766" s="1" t="s">
        <v>37</v>
      </c>
    </row>
    <row r="2767" hidden="1">
      <c r="A2767" s="1" t="s">
        <v>8415</v>
      </c>
      <c r="B2767" s="1" t="s">
        <v>3820</v>
      </c>
      <c r="C2767" s="1" t="s">
        <v>8416</v>
      </c>
      <c r="D2767" s="1" t="s">
        <v>78</v>
      </c>
      <c r="E2767" s="1" t="s">
        <v>28</v>
      </c>
      <c r="F2767" s="2">
        <v>350000.0</v>
      </c>
      <c r="G2767" s="1" t="s">
        <v>1063</v>
      </c>
      <c r="H2767" s="4">
        <f>IFERROR(__xludf.DUMMYFUNCTION("DATE(INDEX(SPLIT(G2767,""/""),,3),INDEX(SPLIT(G2767,""/""),,2),INDEX(SPLIT(G2767,""/""),,1))"),44068.0)</f>
        <v>44068</v>
      </c>
      <c r="I2767" s="1" t="s">
        <v>1799</v>
      </c>
      <c r="J2767" s="4">
        <f>IFERROR(__xludf.DUMMYFUNCTION("DATE(INDEX(SPLIT(I2767,""/""),,3),INDEX(SPLIT(I2767,""/""),,2),INDEX(SPLIT(I2767,""/""),,1))"),44788.0)</f>
        <v>44788</v>
      </c>
      <c r="L2767" s="1">
        <v>0.0</v>
      </c>
      <c r="M2767" s="1" t="s">
        <v>3860</v>
      </c>
      <c r="N2767" s="1"/>
      <c r="O2767" s="1" t="s">
        <v>30</v>
      </c>
      <c r="P2767" s="1" t="s">
        <v>31</v>
      </c>
      <c r="Q2767" s="1" t="s">
        <v>235</v>
      </c>
      <c r="R2767" s="1" t="s">
        <v>235</v>
      </c>
      <c r="S2767" s="1" t="s">
        <v>236</v>
      </c>
      <c r="T2767" s="1" t="s">
        <v>753</v>
      </c>
      <c r="U2767" s="1">
        <v>1.00636461E8</v>
      </c>
      <c r="X2767" s="1" t="s">
        <v>88</v>
      </c>
      <c r="Y2767" s="1" t="s">
        <v>3860</v>
      </c>
      <c r="Z2767" s="1" t="s">
        <v>37</v>
      </c>
    </row>
    <row r="2768" hidden="1">
      <c r="A2768" s="1" t="s">
        <v>8417</v>
      </c>
      <c r="B2768" s="1" t="s">
        <v>4572</v>
      </c>
      <c r="C2768" s="1" t="s">
        <v>8418</v>
      </c>
      <c r="D2768" s="1" t="s">
        <v>78</v>
      </c>
      <c r="E2768" s="1" t="s">
        <v>28</v>
      </c>
      <c r="F2768" s="2">
        <v>350000.0</v>
      </c>
      <c r="G2768" s="4">
        <v>44626.0</v>
      </c>
      <c r="H2768" s="4">
        <f>IFERROR(__xludf.DUMMYFUNCTION("DATE(INDEX(SPLIT(G2768,""/""),,3),INDEX(SPLIT(G2768,""/""),,2),INDEX(SPLIT(G2768,""/""),,1))"),44715.0)</f>
        <v>44715</v>
      </c>
      <c r="I2768" s="1" t="s">
        <v>281</v>
      </c>
      <c r="J2768" s="4">
        <f>IFERROR(__xludf.DUMMYFUNCTION("DATE(INDEX(SPLIT(I2768,""/""),,3),INDEX(SPLIT(I2768,""/""),,2),INDEX(SPLIT(I2768,""/""),,1))"),44865.0)</f>
        <v>44865</v>
      </c>
      <c r="L2768" s="1">
        <v>0.0</v>
      </c>
      <c r="M2768" s="1" t="s">
        <v>4574</v>
      </c>
      <c r="N2768" s="1"/>
      <c r="O2768" s="1" t="s">
        <v>30</v>
      </c>
      <c r="P2768" s="1" t="s">
        <v>31</v>
      </c>
      <c r="Q2768" s="1" t="s">
        <v>235</v>
      </c>
      <c r="R2768" s="1" t="s">
        <v>235</v>
      </c>
      <c r="S2768" s="1" t="s">
        <v>236</v>
      </c>
      <c r="T2768" s="1" t="s">
        <v>438</v>
      </c>
      <c r="U2768" s="1">
        <v>1.00625459E8</v>
      </c>
      <c r="X2768" s="1" t="s">
        <v>239</v>
      </c>
      <c r="Y2768" s="1" t="s">
        <v>6183</v>
      </c>
      <c r="Z2768" s="1" t="s">
        <v>37</v>
      </c>
    </row>
    <row r="2769">
      <c r="A2769" s="1" t="s">
        <v>8419</v>
      </c>
      <c r="B2769" s="1" t="s">
        <v>8420</v>
      </c>
      <c r="C2769" s="1" t="s">
        <v>8421</v>
      </c>
      <c r="D2769" s="1" t="s">
        <v>122</v>
      </c>
      <c r="E2769" s="1" t="s">
        <v>28</v>
      </c>
      <c r="F2769" s="2">
        <v>350000.0</v>
      </c>
      <c r="G2769" s="1" t="s">
        <v>1136</v>
      </c>
      <c r="H2769" s="4">
        <f>IFERROR(__xludf.DUMMYFUNCTION("DATE(INDEX(SPLIT(G2769,""/""),,3),INDEX(SPLIT(G2769,""/""),,2),INDEX(SPLIT(G2769,""/""),,1))"),44608.0)</f>
        <v>44608</v>
      </c>
      <c r="I2769" s="1" t="s">
        <v>69</v>
      </c>
      <c r="J2769" s="4">
        <f>IFERROR(__xludf.DUMMYFUNCTION("DATE(INDEX(SPLIT(I2769,""/""),,3),INDEX(SPLIT(I2769,""/""),,2),INDEX(SPLIT(I2769,""/""),,1))"),44773.0)</f>
        <v>44773</v>
      </c>
      <c r="L2769" s="1">
        <v>0.0</v>
      </c>
      <c r="M2769" s="1" t="s">
        <v>3138</v>
      </c>
      <c r="N2769" s="1"/>
      <c r="O2769" s="1" t="s">
        <v>30</v>
      </c>
      <c r="P2769" s="1" t="s">
        <v>31</v>
      </c>
      <c r="Q2769" s="1" t="s">
        <v>157</v>
      </c>
      <c r="R2769" s="1" t="s">
        <v>157</v>
      </c>
      <c r="S2769" s="1" t="s">
        <v>158</v>
      </c>
      <c r="T2769" s="1" t="s">
        <v>442</v>
      </c>
      <c r="U2769" s="1">
        <v>1.00616377E8</v>
      </c>
      <c r="X2769" s="1" t="s">
        <v>63</v>
      </c>
      <c r="Y2769" s="1" t="s">
        <v>3296</v>
      </c>
      <c r="Z2769" s="1" t="s">
        <v>37</v>
      </c>
    </row>
    <row r="2770" hidden="1">
      <c r="A2770" s="1" t="s">
        <v>8422</v>
      </c>
      <c r="B2770" s="1" t="s">
        <v>4929</v>
      </c>
      <c r="C2770" s="1" t="s">
        <v>8423</v>
      </c>
      <c r="D2770" s="1" t="s">
        <v>27</v>
      </c>
      <c r="E2770" s="1" t="s">
        <v>28</v>
      </c>
      <c r="F2770" s="2">
        <v>350000.0</v>
      </c>
      <c r="G2770" s="1" t="s">
        <v>359</v>
      </c>
      <c r="H2770" s="4">
        <f>IFERROR(__xludf.DUMMYFUNCTION("DATE(INDEX(SPLIT(G2770,""/""),,3),INDEX(SPLIT(G2770,""/""),,2),INDEX(SPLIT(G2770,""/""),,1))"),44740.0)</f>
        <v>44740</v>
      </c>
      <c r="I2770" s="1" t="s">
        <v>109</v>
      </c>
      <c r="J2770" s="4">
        <f>IFERROR(__xludf.DUMMYFUNCTION("DATE(INDEX(SPLIT(I2770,""/""),,3),INDEX(SPLIT(I2770,""/""),,2),INDEX(SPLIT(I2770,""/""),,1))"),44834.0)</f>
        <v>44834</v>
      </c>
      <c r="L2770" s="1">
        <v>0.0</v>
      </c>
      <c r="M2770" s="1" t="s">
        <v>2787</v>
      </c>
      <c r="N2770" s="1"/>
      <c r="O2770" s="1" t="s">
        <v>30</v>
      </c>
      <c r="P2770" s="1" t="s">
        <v>31</v>
      </c>
      <c r="Q2770" s="1" t="s">
        <v>157</v>
      </c>
      <c r="R2770" s="1" t="s">
        <v>157</v>
      </c>
      <c r="S2770" s="1" t="s">
        <v>158</v>
      </c>
      <c r="U2770" s="1">
        <v>1.00708984E8</v>
      </c>
      <c r="X2770" s="1" t="s">
        <v>305</v>
      </c>
      <c r="Y2770" s="1" t="s">
        <v>2787</v>
      </c>
      <c r="Z2770" s="1" t="s">
        <v>37</v>
      </c>
    </row>
    <row r="2771" hidden="1">
      <c r="A2771" s="1" t="s">
        <v>8424</v>
      </c>
      <c r="B2771" s="1" t="s">
        <v>4080</v>
      </c>
      <c r="C2771" s="1" t="s">
        <v>8425</v>
      </c>
      <c r="D2771" s="1" t="s">
        <v>78</v>
      </c>
      <c r="E2771" s="1" t="s">
        <v>28</v>
      </c>
      <c r="F2771" s="2">
        <v>350000.0</v>
      </c>
      <c r="G2771" s="4">
        <v>44441.0</v>
      </c>
      <c r="H2771" s="4">
        <f>IFERROR(__xludf.DUMMYFUNCTION("DATE(INDEX(SPLIT(G2771,""/""),,3),INDEX(SPLIT(G2771,""/""),,2),INDEX(SPLIT(G2771,""/""),,1))"),44236.0)</f>
        <v>44236</v>
      </c>
      <c r="I2771" s="4">
        <v>44903.0</v>
      </c>
      <c r="J2771" s="4">
        <f>IFERROR(__xludf.DUMMYFUNCTION("DATE(INDEX(SPLIT(I2771,""/""),,3),INDEX(SPLIT(I2771,""/""),,2),INDEX(SPLIT(I2771,""/""),,1))"),44785.0)</f>
        <v>44785</v>
      </c>
      <c r="L2771" s="1">
        <v>0.0</v>
      </c>
      <c r="M2771" s="1" t="s">
        <v>344</v>
      </c>
      <c r="N2771" s="1"/>
      <c r="O2771" s="1" t="s">
        <v>30</v>
      </c>
      <c r="P2771" s="1" t="s">
        <v>31</v>
      </c>
      <c r="Q2771" s="1" t="s">
        <v>188</v>
      </c>
      <c r="R2771" s="1" t="s">
        <v>188</v>
      </c>
      <c r="S2771" s="1" t="s">
        <v>189</v>
      </c>
      <c r="T2771" s="1" t="s">
        <v>345</v>
      </c>
      <c r="U2771" s="1">
        <v>1.00646804E8</v>
      </c>
      <c r="X2771" s="1" t="s">
        <v>239</v>
      </c>
      <c r="Y2771" s="1" t="s">
        <v>2977</v>
      </c>
      <c r="Z2771" s="1" t="s">
        <v>37</v>
      </c>
    </row>
    <row r="2772" hidden="1">
      <c r="A2772" s="1" t="s">
        <v>8426</v>
      </c>
      <c r="B2772" s="1" t="s">
        <v>6402</v>
      </c>
      <c r="C2772" s="1" t="s">
        <v>8427</v>
      </c>
      <c r="D2772" s="1" t="s">
        <v>122</v>
      </c>
      <c r="E2772" s="1" t="s">
        <v>28</v>
      </c>
      <c r="F2772" s="2">
        <v>350000.0</v>
      </c>
      <c r="G2772" s="4">
        <v>44682.0</v>
      </c>
      <c r="H2772" s="4">
        <f>IFERROR(__xludf.DUMMYFUNCTION("DATE(INDEX(SPLIT(G2772,""/""),,3),INDEX(SPLIT(G2772,""/""),,2),INDEX(SPLIT(G2772,""/""),,1))"),44566.0)</f>
        <v>44566</v>
      </c>
      <c r="I2772" s="1" t="s">
        <v>85</v>
      </c>
      <c r="J2772" s="4">
        <f>IFERROR(__xludf.DUMMYFUNCTION("DATE(INDEX(SPLIT(I2772,""/""),,3),INDEX(SPLIT(I2772,""/""),,2),INDEX(SPLIT(I2772,""/""),,1))"),44799.0)</f>
        <v>44799</v>
      </c>
      <c r="L2772" s="1">
        <v>0.0</v>
      </c>
      <c r="M2772" s="1" t="s">
        <v>2600</v>
      </c>
      <c r="N2772" s="1"/>
      <c r="O2772" s="1" t="s">
        <v>30</v>
      </c>
      <c r="P2772" s="1" t="s">
        <v>31</v>
      </c>
      <c r="Q2772" s="1" t="s">
        <v>32</v>
      </c>
      <c r="R2772" s="1" t="s">
        <v>32</v>
      </c>
      <c r="S2772" s="1" t="s">
        <v>33</v>
      </c>
      <c r="U2772" s="1">
        <v>1.00642238E8</v>
      </c>
      <c r="X2772" s="1" t="s">
        <v>239</v>
      </c>
      <c r="Y2772" s="1" t="s">
        <v>4986</v>
      </c>
      <c r="Z2772" s="1" t="s">
        <v>37</v>
      </c>
    </row>
    <row r="2773">
      <c r="A2773" s="1" t="s">
        <v>8428</v>
      </c>
      <c r="B2773" s="1" t="s">
        <v>1144</v>
      </c>
      <c r="C2773" s="1" t="s">
        <v>8429</v>
      </c>
      <c r="D2773" s="1" t="s">
        <v>122</v>
      </c>
      <c r="E2773" s="1" t="s">
        <v>28</v>
      </c>
      <c r="F2773" s="2">
        <v>350000.0</v>
      </c>
      <c r="G2773" s="1" t="s">
        <v>1136</v>
      </c>
      <c r="H2773" s="4">
        <f>IFERROR(__xludf.DUMMYFUNCTION("DATE(INDEX(SPLIT(G2773,""/""),,3),INDEX(SPLIT(G2773,""/""),,2),INDEX(SPLIT(G2773,""/""),,1))"),44608.0)</f>
        <v>44608</v>
      </c>
      <c r="I2773" s="1" t="s">
        <v>1244</v>
      </c>
      <c r="J2773" s="4">
        <f>IFERROR(__xludf.DUMMYFUNCTION("DATE(INDEX(SPLIT(I2773,""/""),,3),INDEX(SPLIT(I2773,""/""),,2),INDEX(SPLIT(I2773,""/""),,1))"),44742.0)</f>
        <v>44742</v>
      </c>
      <c r="L2773" s="1">
        <v>0.0</v>
      </c>
      <c r="M2773" s="1" t="s">
        <v>249</v>
      </c>
      <c r="N2773" s="1"/>
      <c r="O2773" s="1" t="s">
        <v>30</v>
      </c>
      <c r="P2773" s="1" t="s">
        <v>31</v>
      </c>
      <c r="Q2773" s="1" t="s">
        <v>32</v>
      </c>
      <c r="R2773" s="1" t="s">
        <v>32</v>
      </c>
      <c r="S2773" s="1" t="s">
        <v>33</v>
      </c>
      <c r="U2773" s="1">
        <v>1.00617853E8</v>
      </c>
      <c r="X2773" s="1" t="s">
        <v>63</v>
      </c>
      <c r="Y2773" s="1" t="s">
        <v>249</v>
      </c>
      <c r="Z2773" s="1" t="s">
        <v>37</v>
      </c>
    </row>
    <row r="2774" hidden="1">
      <c r="A2774" s="1" t="s">
        <v>8430</v>
      </c>
      <c r="B2774" s="1" t="s">
        <v>2650</v>
      </c>
      <c r="C2774" s="1" t="s">
        <v>8431</v>
      </c>
      <c r="D2774" s="1" t="s">
        <v>122</v>
      </c>
      <c r="E2774" s="1" t="s">
        <v>28</v>
      </c>
      <c r="F2774" s="2">
        <v>350000.0</v>
      </c>
      <c r="G2774" s="4">
        <v>44902.0</v>
      </c>
      <c r="H2774" s="4">
        <f>IFERROR(__xludf.DUMMYFUNCTION("DATE(INDEX(SPLIT(G2774,""/""),,3),INDEX(SPLIT(G2774,""/""),,2),INDEX(SPLIT(G2774,""/""),,1))"),44754.0)</f>
        <v>44754</v>
      </c>
      <c r="I2774" s="1" t="s">
        <v>130</v>
      </c>
      <c r="J2774" s="4">
        <f>IFERROR(__xludf.DUMMYFUNCTION("DATE(INDEX(SPLIT(I2774,""/""),,3),INDEX(SPLIT(I2774,""/""),,2),INDEX(SPLIT(I2774,""/""),,1))"),44804.0)</f>
        <v>44804</v>
      </c>
      <c r="L2774" s="1">
        <v>0.0</v>
      </c>
      <c r="M2774" s="1" t="s">
        <v>3617</v>
      </c>
      <c r="N2774" s="1"/>
      <c r="O2774" s="1" t="s">
        <v>30</v>
      </c>
      <c r="P2774" s="1" t="s">
        <v>31</v>
      </c>
      <c r="Q2774" s="1" t="s">
        <v>53</v>
      </c>
      <c r="R2774" s="1" t="s">
        <v>53</v>
      </c>
      <c r="S2774" s="1" t="s">
        <v>54</v>
      </c>
      <c r="U2774" s="1">
        <v>1.00568413E8</v>
      </c>
      <c r="X2774" s="1" t="s">
        <v>74</v>
      </c>
      <c r="Y2774" s="1" t="s">
        <v>8432</v>
      </c>
      <c r="Z2774" s="1" t="s">
        <v>37</v>
      </c>
    </row>
    <row r="2775" hidden="1">
      <c r="A2775" s="1" t="s">
        <v>8433</v>
      </c>
      <c r="B2775" s="1" t="s">
        <v>3429</v>
      </c>
      <c r="C2775" s="1" t="s">
        <v>8434</v>
      </c>
      <c r="D2775" s="1" t="s">
        <v>27</v>
      </c>
      <c r="E2775" s="1" t="s">
        <v>28</v>
      </c>
      <c r="F2775" s="2">
        <v>350000.0</v>
      </c>
      <c r="G2775" s="4">
        <v>44806.0</v>
      </c>
      <c r="H2775" s="4">
        <f>IFERROR(__xludf.DUMMYFUNCTION("DATE(INDEX(SPLIT(G2775,""/""),,3),INDEX(SPLIT(G2775,""/""),,2),INDEX(SPLIT(G2775,""/""),,1))"),44601.0)</f>
        <v>44601</v>
      </c>
      <c r="I2775" s="1" t="s">
        <v>317</v>
      </c>
      <c r="J2775" s="4">
        <f>IFERROR(__xludf.DUMMYFUNCTION("DATE(INDEX(SPLIT(I2775,""/""),,3),INDEX(SPLIT(I2775,""/""),,2),INDEX(SPLIT(I2775,""/""),,1))"),44862.0)</f>
        <v>44862</v>
      </c>
      <c r="L2775" s="1">
        <v>0.0</v>
      </c>
      <c r="M2775" s="1" t="s">
        <v>61</v>
      </c>
      <c r="N2775" s="1"/>
      <c r="O2775" s="1" t="s">
        <v>30</v>
      </c>
      <c r="P2775" s="1" t="s">
        <v>31</v>
      </c>
      <c r="Q2775" s="1" t="s">
        <v>32</v>
      </c>
      <c r="R2775" s="1" t="s">
        <v>32</v>
      </c>
      <c r="S2775" s="1" t="s">
        <v>33</v>
      </c>
      <c r="T2775" s="1" t="s">
        <v>103</v>
      </c>
      <c r="U2775" s="1">
        <v>1.0060843E8</v>
      </c>
      <c r="X2775" s="1" t="s">
        <v>63</v>
      </c>
      <c r="Y2775" s="1" t="s">
        <v>61</v>
      </c>
      <c r="Z2775" s="1" t="s">
        <v>37</v>
      </c>
    </row>
    <row r="2776" hidden="1">
      <c r="A2776" s="1" t="s">
        <v>8435</v>
      </c>
      <c r="B2776" s="1" t="s">
        <v>5638</v>
      </c>
      <c r="C2776" s="1" t="s">
        <v>8436</v>
      </c>
      <c r="D2776" s="1" t="s">
        <v>78</v>
      </c>
      <c r="E2776" s="1" t="s">
        <v>28</v>
      </c>
      <c r="F2776" s="2">
        <v>350000.0</v>
      </c>
      <c r="G2776" s="4">
        <v>44599.0</v>
      </c>
      <c r="H2776" s="4">
        <f>IFERROR(__xludf.DUMMYFUNCTION("DATE(INDEX(SPLIT(G2776,""/""),,3),INDEX(SPLIT(G2776,""/""),,2),INDEX(SPLIT(G2776,""/""),,1))"),44744.0)</f>
        <v>44744</v>
      </c>
      <c r="I2776" s="4">
        <v>44724.0</v>
      </c>
      <c r="J2776" s="4">
        <f>IFERROR(__xludf.DUMMYFUNCTION("DATE(INDEX(SPLIT(I2776,""/""),,3),INDEX(SPLIT(I2776,""/""),,2),INDEX(SPLIT(I2776,""/""),,1))"),44901.0)</f>
        <v>44901</v>
      </c>
      <c r="L2776" s="1">
        <v>0.0</v>
      </c>
      <c r="M2776" s="1" t="s">
        <v>5588</v>
      </c>
      <c r="N2776" s="1"/>
      <c r="O2776" s="1" t="s">
        <v>30</v>
      </c>
      <c r="P2776" s="1" t="s">
        <v>31</v>
      </c>
      <c r="Q2776" s="1" t="s">
        <v>1320</v>
      </c>
      <c r="R2776" s="1" t="s">
        <v>1320</v>
      </c>
      <c r="S2776" s="1" t="s">
        <v>54</v>
      </c>
      <c r="U2776" s="1">
        <v>1.00625588E8</v>
      </c>
      <c r="X2776" s="1" t="s">
        <v>5049</v>
      </c>
      <c r="Y2776" s="1" t="s">
        <v>5588</v>
      </c>
      <c r="Z2776" s="1" t="s">
        <v>37</v>
      </c>
    </row>
    <row r="2777" hidden="1">
      <c r="A2777" s="1" t="s">
        <v>8437</v>
      </c>
      <c r="B2777" s="1" t="s">
        <v>8438</v>
      </c>
      <c r="C2777" s="1" t="s">
        <v>8439</v>
      </c>
      <c r="D2777" s="1" t="s">
        <v>27</v>
      </c>
      <c r="E2777" s="1" t="s">
        <v>28</v>
      </c>
      <c r="F2777" s="2">
        <v>350000.0</v>
      </c>
      <c r="G2777" s="4">
        <v>44177.0</v>
      </c>
      <c r="H2777" s="4">
        <f>IFERROR(__xludf.DUMMYFUNCTION("DATE(INDEX(SPLIT(G2777,""/""),,3),INDEX(SPLIT(G2777,""/""),,2),INDEX(SPLIT(G2777,""/""),,1))"),44177.0)</f>
        <v>44177</v>
      </c>
      <c r="I2777" s="1" t="s">
        <v>1097</v>
      </c>
      <c r="J2777" s="4">
        <f>IFERROR(__xludf.DUMMYFUNCTION("DATE(INDEX(SPLIT(I2777,""/""),,3),INDEX(SPLIT(I2777,""/""),,2),INDEX(SPLIT(I2777,""/""),,1))"),45107.0)</f>
        <v>45107</v>
      </c>
      <c r="L2777" s="1">
        <v>0.0</v>
      </c>
      <c r="M2777" s="1" t="s">
        <v>2592</v>
      </c>
      <c r="N2777" s="1"/>
      <c r="O2777" s="1" t="s">
        <v>30</v>
      </c>
      <c r="P2777" s="1" t="s">
        <v>31</v>
      </c>
      <c r="Q2777" s="1" t="s">
        <v>71</v>
      </c>
      <c r="R2777" s="1" t="s">
        <v>71</v>
      </c>
      <c r="S2777" s="1" t="s">
        <v>72</v>
      </c>
      <c r="T2777" s="1" t="s">
        <v>136</v>
      </c>
      <c r="U2777" s="1">
        <v>1.00586452E8</v>
      </c>
      <c r="X2777" s="1" t="s">
        <v>74</v>
      </c>
      <c r="Y2777" s="1" t="s">
        <v>2593</v>
      </c>
      <c r="Z2777" s="1" t="s">
        <v>37</v>
      </c>
    </row>
    <row r="2778" hidden="1">
      <c r="A2778" s="1" t="s">
        <v>8440</v>
      </c>
      <c r="B2778" s="1" t="s">
        <v>1346</v>
      </c>
      <c r="C2778" s="1" t="s">
        <v>8441</v>
      </c>
      <c r="D2778" s="1" t="s">
        <v>78</v>
      </c>
      <c r="E2778" s="1" t="s">
        <v>28</v>
      </c>
      <c r="F2778" s="2">
        <v>350000.0</v>
      </c>
      <c r="G2778" s="1" t="s">
        <v>298</v>
      </c>
      <c r="H2778" s="4">
        <f>IFERROR(__xludf.DUMMYFUNCTION("DATE(INDEX(SPLIT(G2778,""/""),,3),INDEX(SPLIT(G2778,""/""),,2),INDEX(SPLIT(G2778,""/""),,1))"),44762.0)</f>
        <v>44762</v>
      </c>
      <c r="I2778" s="4">
        <v>44903.0</v>
      </c>
      <c r="J2778" s="4">
        <f>IFERROR(__xludf.DUMMYFUNCTION("DATE(INDEX(SPLIT(I2778,""/""),,3),INDEX(SPLIT(I2778,""/""),,2),INDEX(SPLIT(I2778,""/""),,1))"),44785.0)</f>
        <v>44785</v>
      </c>
      <c r="L2778" s="1">
        <v>0.0</v>
      </c>
      <c r="M2778" s="1" t="s">
        <v>1348</v>
      </c>
      <c r="N2778" s="1"/>
      <c r="O2778" s="1" t="s">
        <v>30</v>
      </c>
      <c r="P2778" s="1" t="s">
        <v>31</v>
      </c>
      <c r="Q2778" s="1" t="s">
        <v>235</v>
      </c>
      <c r="R2778" s="1" t="s">
        <v>235</v>
      </c>
      <c r="S2778" s="1" t="s">
        <v>236</v>
      </c>
      <c r="T2778" s="1" t="s">
        <v>1349</v>
      </c>
      <c r="U2778" s="1">
        <v>1.00660608E8</v>
      </c>
      <c r="X2778" s="1" t="s">
        <v>239</v>
      </c>
      <c r="Y2778" s="1" t="s">
        <v>8442</v>
      </c>
      <c r="Z2778" s="1" t="s">
        <v>37</v>
      </c>
    </row>
    <row r="2779" hidden="1">
      <c r="A2779" s="1" t="s">
        <v>8443</v>
      </c>
      <c r="B2779" s="1" t="s">
        <v>4472</v>
      </c>
      <c r="C2779" s="1" t="s">
        <v>8444</v>
      </c>
      <c r="D2779" s="1" t="s">
        <v>68</v>
      </c>
      <c r="E2779" s="1" t="s">
        <v>28</v>
      </c>
      <c r="F2779" s="2">
        <v>350000.0</v>
      </c>
      <c r="G2779" s="1" t="s">
        <v>333</v>
      </c>
      <c r="H2779" s="4">
        <f>IFERROR(__xludf.DUMMYFUNCTION("DATE(INDEX(SPLIT(G2779,""/""),,3),INDEX(SPLIT(G2779,""/""),,2),INDEX(SPLIT(G2779,""/""),,1))"),44669.0)</f>
        <v>44669</v>
      </c>
      <c r="I2779" s="1" t="s">
        <v>85</v>
      </c>
      <c r="J2779" s="4">
        <f>IFERROR(__xludf.DUMMYFUNCTION("DATE(INDEX(SPLIT(I2779,""/""),,3),INDEX(SPLIT(I2779,""/""),,2),INDEX(SPLIT(I2779,""/""),,1))"),44799.0)</f>
        <v>44799</v>
      </c>
      <c r="L2779" s="1">
        <v>0.0</v>
      </c>
      <c r="M2779" s="1" t="s">
        <v>929</v>
      </c>
      <c r="N2779" s="1"/>
      <c r="O2779" s="1" t="s">
        <v>30</v>
      </c>
      <c r="P2779" s="1" t="s">
        <v>31</v>
      </c>
      <c r="Q2779" s="1" t="s">
        <v>71</v>
      </c>
      <c r="R2779" s="1" t="s">
        <v>71</v>
      </c>
      <c r="S2779" s="1" t="s">
        <v>72</v>
      </c>
      <c r="T2779" s="1" t="s">
        <v>73</v>
      </c>
      <c r="U2779" s="1">
        <v>1.00649698E8</v>
      </c>
      <c r="X2779" s="1" t="s">
        <v>74</v>
      </c>
      <c r="Y2779" s="1" t="s">
        <v>8445</v>
      </c>
      <c r="Z2779" s="1" t="s">
        <v>37</v>
      </c>
    </row>
    <row r="2780" hidden="1">
      <c r="A2780" s="1" t="s">
        <v>8446</v>
      </c>
      <c r="B2780" s="1" t="s">
        <v>927</v>
      </c>
      <c r="C2780" s="1" t="s">
        <v>8447</v>
      </c>
      <c r="D2780" s="1" t="s">
        <v>27</v>
      </c>
      <c r="E2780" s="1" t="s">
        <v>28</v>
      </c>
      <c r="F2780" s="2">
        <v>350000.0</v>
      </c>
      <c r="G2780" s="4">
        <v>44568.0</v>
      </c>
      <c r="H2780" s="4">
        <f>IFERROR(__xludf.DUMMYFUNCTION("DATE(INDEX(SPLIT(G2780,""/""),,3),INDEX(SPLIT(G2780,""/""),,2),INDEX(SPLIT(G2780,""/""),,1))"),44743.0)</f>
        <v>44743</v>
      </c>
      <c r="I2780" s="1" t="s">
        <v>134</v>
      </c>
      <c r="J2780" s="4">
        <f>IFERROR(__xludf.DUMMYFUNCTION("DATE(INDEX(SPLIT(I2780,""/""),,3),INDEX(SPLIT(I2780,""/""),,2),INDEX(SPLIT(I2780,""/""),,1))"),44792.0)</f>
        <v>44792</v>
      </c>
      <c r="L2780" s="1">
        <v>0.0</v>
      </c>
      <c r="M2780" s="1" t="s">
        <v>5974</v>
      </c>
      <c r="N2780" s="1"/>
      <c r="O2780" s="1" t="s">
        <v>30</v>
      </c>
      <c r="P2780" s="1" t="s">
        <v>31</v>
      </c>
      <c r="Q2780" s="1" t="s">
        <v>235</v>
      </c>
      <c r="R2780" s="1" t="s">
        <v>235</v>
      </c>
      <c r="S2780" s="1" t="s">
        <v>236</v>
      </c>
      <c r="U2780" s="1">
        <v>1.00637651E8</v>
      </c>
      <c r="X2780" s="1" t="s">
        <v>117</v>
      </c>
      <c r="Y2780" s="1" t="s">
        <v>5974</v>
      </c>
      <c r="Z2780" s="1" t="s">
        <v>206</v>
      </c>
    </row>
    <row r="2781" hidden="1">
      <c r="A2781" s="1" t="s">
        <v>8448</v>
      </c>
      <c r="B2781" s="1" t="s">
        <v>2030</v>
      </c>
      <c r="C2781" s="1" t="s">
        <v>8449</v>
      </c>
      <c r="D2781" s="1" t="s">
        <v>78</v>
      </c>
      <c r="E2781" s="1" t="s">
        <v>28</v>
      </c>
      <c r="F2781" s="2">
        <v>350000.0</v>
      </c>
      <c r="G2781" s="1" t="s">
        <v>154</v>
      </c>
      <c r="H2781" s="4">
        <f>IFERROR(__xludf.DUMMYFUNCTION("DATE(INDEX(SPLIT(G2781,""/""),,3),INDEX(SPLIT(G2781,""/""),,2),INDEX(SPLIT(G2781,""/""),,1))"),44670.0)</f>
        <v>44670</v>
      </c>
      <c r="I2781" s="4">
        <v>44689.0</v>
      </c>
      <c r="J2781" s="4">
        <f>IFERROR(__xludf.DUMMYFUNCTION("DATE(INDEX(SPLIT(I2781,""/""),,3),INDEX(SPLIT(I2781,""/""),,2),INDEX(SPLIT(I2781,""/""),,1))"),44778.0)</f>
        <v>44778</v>
      </c>
      <c r="L2781" s="1">
        <v>0.0</v>
      </c>
      <c r="M2781" s="1" t="s">
        <v>5196</v>
      </c>
      <c r="N2781" s="1"/>
      <c r="O2781" s="1" t="s">
        <v>30</v>
      </c>
      <c r="P2781" s="1" t="s">
        <v>31</v>
      </c>
      <c r="Q2781" s="1" t="s">
        <v>71</v>
      </c>
      <c r="R2781" s="1" t="s">
        <v>71</v>
      </c>
      <c r="S2781" s="1" t="s">
        <v>72</v>
      </c>
      <c r="T2781" s="1" t="s">
        <v>73</v>
      </c>
      <c r="U2781" s="1">
        <v>1.00635527E8</v>
      </c>
      <c r="X2781" s="1" t="s">
        <v>74</v>
      </c>
      <c r="Y2781" s="1" t="s">
        <v>5196</v>
      </c>
      <c r="Z2781" s="1" t="s">
        <v>37</v>
      </c>
    </row>
    <row r="2782" hidden="1">
      <c r="A2782" s="1" t="s">
        <v>8450</v>
      </c>
      <c r="B2782" s="1" t="s">
        <v>2462</v>
      </c>
      <c r="C2782" s="1" t="s">
        <v>8451</v>
      </c>
      <c r="D2782" s="1" t="s">
        <v>27</v>
      </c>
      <c r="E2782" s="1" t="s">
        <v>28</v>
      </c>
      <c r="F2782" s="2">
        <v>350000.0</v>
      </c>
      <c r="G2782" s="1" t="s">
        <v>557</v>
      </c>
      <c r="H2782" s="4">
        <f>IFERROR(__xludf.DUMMYFUNCTION("DATE(INDEX(SPLIT(G2782,""/""),,3),INDEX(SPLIT(G2782,""/""),,2),INDEX(SPLIT(G2782,""/""),,1))"),44439.0)</f>
        <v>44439</v>
      </c>
      <c r="I2782" s="1" t="s">
        <v>130</v>
      </c>
      <c r="J2782" s="4">
        <f>IFERROR(__xludf.DUMMYFUNCTION("DATE(INDEX(SPLIT(I2782,""/""),,3),INDEX(SPLIT(I2782,""/""),,2),INDEX(SPLIT(I2782,""/""),,1))"),44804.0)</f>
        <v>44804</v>
      </c>
      <c r="L2782" s="1">
        <v>0.0</v>
      </c>
      <c r="M2782" s="1" t="s">
        <v>2464</v>
      </c>
      <c r="N2782" s="1"/>
      <c r="O2782" s="1" t="s">
        <v>30</v>
      </c>
      <c r="P2782" s="1" t="s">
        <v>31</v>
      </c>
      <c r="Q2782" s="1" t="s">
        <v>157</v>
      </c>
      <c r="R2782" s="1" t="s">
        <v>157</v>
      </c>
      <c r="S2782" s="1" t="s">
        <v>158</v>
      </c>
      <c r="T2782" s="1" t="s">
        <v>571</v>
      </c>
      <c r="U2782" s="1">
        <v>1.00589278E8</v>
      </c>
      <c r="Y2782" s="1" t="s">
        <v>2382</v>
      </c>
      <c r="Z2782" s="1" t="s">
        <v>37</v>
      </c>
    </row>
    <row r="2783">
      <c r="A2783" s="1" t="s">
        <v>8452</v>
      </c>
      <c r="B2783" s="1" t="s">
        <v>3851</v>
      </c>
      <c r="C2783" s="1" t="s">
        <v>8453</v>
      </c>
      <c r="D2783" s="1" t="s">
        <v>68</v>
      </c>
      <c r="E2783" s="1" t="s">
        <v>28</v>
      </c>
      <c r="F2783" s="2">
        <v>350000.0</v>
      </c>
      <c r="G2783" s="4">
        <v>44775.0</v>
      </c>
      <c r="H2783" s="4">
        <f>IFERROR(__xludf.DUMMYFUNCTION("DATE(INDEX(SPLIT(G2783,""/""),,3),INDEX(SPLIT(G2783,""/""),,2),INDEX(SPLIT(G2783,""/""),,1))"),44600.0)</f>
        <v>44600</v>
      </c>
      <c r="I2783" s="1" t="s">
        <v>226</v>
      </c>
      <c r="J2783" s="4">
        <f>IFERROR(__xludf.DUMMYFUNCTION("DATE(INDEX(SPLIT(I2783,""/""),,3),INDEX(SPLIT(I2783,""/""),,2),INDEX(SPLIT(I2783,""/""),,1))"),44771.0)</f>
        <v>44771</v>
      </c>
      <c r="L2783" s="1">
        <v>0.0</v>
      </c>
      <c r="M2783" s="1" t="s">
        <v>3854</v>
      </c>
      <c r="N2783" s="1"/>
      <c r="O2783" s="1" t="s">
        <v>30</v>
      </c>
      <c r="P2783" s="1" t="s">
        <v>31</v>
      </c>
      <c r="Q2783" s="1" t="s">
        <v>71</v>
      </c>
      <c r="R2783" s="1" t="s">
        <v>71</v>
      </c>
      <c r="S2783" s="1" t="s">
        <v>72</v>
      </c>
      <c r="T2783" s="1" t="s">
        <v>136</v>
      </c>
      <c r="U2783" s="1">
        <v>1.00603613E8</v>
      </c>
      <c r="X2783" s="1" t="s">
        <v>74</v>
      </c>
      <c r="Y2783" s="1" t="s">
        <v>3855</v>
      </c>
      <c r="Z2783" s="1" t="s">
        <v>37</v>
      </c>
    </row>
    <row r="2784" hidden="1">
      <c r="A2784" s="1" t="s">
        <v>8454</v>
      </c>
      <c r="B2784" s="1" t="s">
        <v>1506</v>
      </c>
      <c r="C2784" s="1" t="s">
        <v>8455</v>
      </c>
      <c r="D2784" s="1" t="s">
        <v>78</v>
      </c>
      <c r="E2784" s="1" t="s">
        <v>28</v>
      </c>
      <c r="F2784" s="2">
        <v>350000.0</v>
      </c>
      <c r="G2784" s="4">
        <v>44533.0</v>
      </c>
      <c r="H2784" s="4">
        <f>IFERROR(__xludf.DUMMYFUNCTION("DATE(INDEX(SPLIT(G2784,""/""),,3),INDEX(SPLIT(G2784,""/""),,2),INDEX(SPLIT(G2784,""/""),,1))"),44267.0)</f>
        <v>44267</v>
      </c>
      <c r="I2784" s="1" t="s">
        <v>109</v>
      </c>
      <c r="J2784" s="4">
        <f>IFERROR(__xludf.DUMMYFUNCTION("DATE(INDEX(SPLIT(I2784,""/""),,3),INDEX(SPLIT(I2784,""/""),,2),INDEX(SPLIT(I2784,""/""),,1))"),44834.0)</f>
        <v>44834</v>
      </c>
      <c r="L2784" s="1">
        <v>0.0</v>
      </c>
      <c r="M2784" s="1" t="s">
        <v>1741</v>
      </c>
      <c r="N2784" s="1"/>
      <c r="O2784" s="1" t="s">
        <v>30</v>
      </c>
      <c r="P2784" s="1" t="s">
        <v>31</v>
      </c>
      <c r="Q2784" s="1" t="s">
        <v>32</v>
      </c>
      <c r="R2784" s="1" t="s">
        <v>32</v>
      </c>
      <c r="S2784" s="1" t="s">
        <v>33</v>
      </c>
      <c r="T2784" s="1" t="s">
        <v>34</v>
      </c>
      <c r="U2784" s="1">
        <v>1.00645852E8</v>
      </c>
      <c r="X2784" s="1" t="s">
        <v>35</v>
      </c>
      <c r="Y2784" s="1" t="s">
        <v>1741</v>
      </c>
      <c r="Z2784" s="1" t="s">
        <v>37</v>
      </c>
    </row>
    <row r="2785" hidden="1">
      <c r="A2785" s="1" t="s">
        <v>8456</v>
      </c>
      <c r="B2785" s="1" t="s">
        <v>8457</v>
      </c>
      <c r="C2785" s="1" t="s">
        <v>8458</v>
      </c>
      <c r="D2785" s="1" t="s">
        <v>27</v>
      </c>
      <c r="E2785" s="1" t="s">
        <v>28</v>
      </c>
      <c r="F2785" s="2">
        <v>350000.0</v>
      </c>
      <c r="G2785" s="4">
        <v>44236.0</v>
      </c>
      <c r="H2785" s="4">
        <f>IFERROR(__xludf.DUMMYFUNCTION("DATE(INDEX(SPLIT(G2785,""/""),,3),INDEX(SPLIT(G2785,""/""),,2),INDEX(SPLIT(G2785,""/""),,1))"),44441.0)</f>
        <v>44441</v>
      </c>
      <c r="I2785" s="4">
        <v>44813.0</v>
      </c>
      <c r="J2785" s="4">
        <f>IFERROR(__xludf.DUMMYFUNCTION("DATE(INDEX(SPLIT(I2785,""/""),,3),INDEX(SPLIT(I2785,""/""),,2),INDEX(SPLIT(I2785,""/""),,1))"),44813.0)</f>
        <v>44813</v>
      </c>
      <c r="L2785" s="1">
        <v>0.0</v>
      </c>
      <c r="M2785" s="1" t="s">
        <v>7547</v>
      </c>
      <c r="N2785" s="1"/>
      <c r="O2785" s="1" t="s">
        <v>30</v>
      </c>
      <c r="P2785" s="1" t="s">
        <v>31</v>
      </c>
      <c r="Q2785" s="1" t="s">
        <v>32</v>
      </c>
      <c r="R2785" s="1" t="s">
        <v>32</v>
      </c>
      <c r="S2785" s="1" t="s">
        <v>33</v>
      </c>
      <c r="T2785" s="1" t="s">
        <v>402</v>
      </c>
      <c r="U2785" s="1">
        <v>1.0064702E8</v>
      </c>
      <c r="X2785" s="1" t="s">
        <v>117</v>
      </c>
      <c r="Y2785" s="1" t="s">
        <v>7547</v>
      </c>
      <c r="Z2785" s="1" t="s">
        <v>527</v>
      </c>
    </row>
    <row r="2786" hidden="1">
      <c r="A2786" s="1" t="s">
        <v>8459</v>
      </c>
      <c r="B2786" s="1" t="s">
        <v>1126</v>
      </c>
      <c r="C2786" s="1" t="s">
        <v>8460</v>
      </c>
      <c r="D2786" s="1" t="s">
        <v>27</v>
      </c>
      <c r="E2786" s="1" t="s">
        <v>28</v>
      </c>
      <c r="F2786" s="2">
        <v>350000.0</v>
      </c>
      <c r="G2786" s="1" t="s">
        <v>8461</v>
      </c>
      <c r="H2786" s="4">
        <f>IFERROR(__xludf.DUMMYFUNCTION("DATE(INDEX(SPLIT(G2786,""/""),,3),INDEX(SPLIT(G2786,""/""),,2),INDEX(SPLIT(G2786,""/""),,1))"),43766.0)</f>
        <v>43766</v>
      </c>
      <c r="I2786" s="4">
        <v>44813.0</v>
      </c>
      <c r="J2786" s="4">
        <f>IFERROR(__xludf.DUMMYFUNCTION("DATE(INDEX(SPLIT(I2786,""/""),,3),INDEX(SPLIT(I2786,""/""),,2),INDEX(SPLIT(I2786,""/""),,1))"),44813.0)</f>
        <v>44813</v>
      </c>
      <c r="L2786" s="1">
        <v>0.0</v>
      </c>
      <c r="M2786" s="1" t="s">
        <v>2020</v>
      </c>
      <c r="N2786" s="1"/>
      <c r="O2786" s="1" t="s">
        <v>30</v>
      </c>
      <c r="P2786" s="1" t="s">
        <v>31</v>
      </c>
      <c r="Q2786" s="1" t="s">
        <v>157</v>
      </c>
      <c r="R2786" s="1" t="s">
        <v>157</v>
      </c>
      <c r="S2786" s="1" t="s">
        <v>158</v>
      </c>
      <c r="T2786" s="1" t="s">
        <v>442</v>
      </c>
      <c r="U2786" s="1">
        <v>1.00650678E8</v>
      </c>
      <c r="X2786" s="1" t="s">
        <v>125</v>
      </c>
      <c r="Y2786" s="1" t="s">
        <v>2020</v>
      </c>
      <c r="Z2786" s="1" t="s">
        <v>37</v>
      </c>
    </row>
    <row r="2787">
      <c r="A2787" s="1" t="s">
        <v>8462</v>
      </c>
      <c r="B2787" s="1" t="s">
        <v>1511</v>
      </c>
      <c r="C2787" s="1" t="s">
        <v>8463</v>
      </c>
      <c r="D2787" s="1" t="s">
        <v>122</v>
      </c>
      <c r="E2787" s="1" t="s">
        <v>28</v>
      </c>
      <c r="F2787" s="2">
        <v>350000.0</v>
      </c>
      <c r="G2787" s="1" t="s">
        <v>1058</v>
      </c>
      <c r="H2787" s="4">
        <f>IFERROR(__xludf.DUMMYFUNCTION("DATE(INDEX(SPLIT(G2787,""/""),,3),INDEX(SPLIT(G2787,""/""),,2),INDEX(SPLIT(G2787,""/""),,1))"),44733.0)</f>
        <v>44733</v>
      </c>
      <c r="I2787" s="1" t="s">
        <v>226</v>
      </c>
      <c r="J2787" s="4">
        <f>IFERROR(__xludf.DUMMYFUNCTION("DATE(INDEX(SPLIT(I2787,""/""),,3),INDEX(SPLIT(I2787,""/""),,2),INDEX(SPLIT(I2787,""/""),,1))"),44771.0)</f>
        <v>44771</v>
      </c>
      <c r="L2787" s="1">
        <v>0.0</v>
      </c>
      <c r="M2787" s="1" t="s">
        <v>2596</v>
      </c>
      <c r="N2787" s="1"/>
      <c r="O2787" s="1" t="s">
        <v>30</v>
      </c>
      <c r="P2787" s="1" t="s">
        <v>31</v>
      </c>
      <c r="Q2787" s="1" t="s">
        <v>157</v>
      </c>
      <c r="R2787" s="1" t="s">
        <v>157</v>
      </c>
      <c r="S2787" s="1" t="s">
        <v>158</v>
      </c>
      <c r="U2787" s="1">
        <v>1.00653074E8</v>
      </c>
      <c r="X2787" s="1" t="s">
        <v>490</v>
      </c>
      <c r="Y2787" s="1" t="s">
        <v>2596</v>
      </c>
      <c r="Z2787" s="1" t="s">
        <v>37</v>
      </c>
    </row>
    <row r="2788" hidden="1">
      <c r="A2788" s="1" t="s">
        <v>8464</v>
      </c>
      <c r="B2788" s="1" t="s">
        <v>8465</v>
      </c>
      <c r="C2788" s="1" t="s">
        <v>8466</v>
      </c>
      <c r="D2788" s="1" t="s">
        <v>78</v>
      </c>
      <c r="E2788" s="1" t="s">
        <v>28</v>
      </c>
      <c r="F2788" s="2">
        <v>350000.0</v>
      </c>
      <c r="G2788" s="4">
        <v>44900.0</v>
      </c>
      <c r="H2788" s="4">
        <f>IFERROR(__xludf.DUMMYFUNCTION("DATE(INDEX(SPLIT(G2788,""/""),,3),INDEX(SPLIT(G2788,""/""),,2),INDEX(SPLIT(G2788,""/""),,1))"),44693.0)</f>
        <v>44693</v>
      </c>
      <c r="I2788" s="1" t="s">
        <v>109</v>
      </c>
      <c r="J2788" s="4">
        <f>IFERROR(__xludf.DUMMYFUNCTION("DATE(INDEX(SPLIT(I2788,""/""),,3),INDEX(SPLIT(I2788,""/""),,2),INDEX(SPLIT(I2788,""/""),,1))"),44834.0)</f>
        <v>44834</v>
      </c>
      <c r="L2788" s="1">
        <v>0.0</v>
      </c>
      <c r="M2788" s="1" t="s">
        <v>3123</v>
      </c>
      <c r="N2788" s="1"/>
      <c r="O2788" s="1" t="s">
        <v>30</v>
      </c>
      <c r="P2788" s="1" t="s">
        <v>31</v>
      </c>
      <c r="Q2788" s="1" t="s">
        <v>157</v>
      </c>
      <c r="R2788" s="1" t="s">
        <v>157</v>
      </c>
      <c r="S2788" s="1" t="s">
        <v>158</v>
      </c>
      <c r="U2788" s="1">
        <v>1.00875111E8</v>
      </c>
      <c r="X2788" s="1" t="s">
        <v>98</v>
      </c>
      <c r="Y2788" s="1" t="s">
        <v>8467</v>
      </c>
      <c r="Z2788" s="1" t="s">
        <v>37</v>
      </c>
    </row>
    <row r="2789">
      <c r="A2789" s="1" t="s">
        <v>8468</v>
      </c>
      <c r="B2789" s="1" t="s">
        <v>6188</v>
      </c>
      <c r="C2789" s="1" t="s">
        <v>8469</v>
      </c>
      <c r="D2789" s="1" t="s">
        <v>122</v>
      </c>
      <c r="E2789" s="1" t="s">
        <v>28</v>
      </c>
      <c r="F2789" s="2">
        <v>350000.0</v>
      </c>
      <c r="G2789" s="1" t="s">
        <v>7472</v>
      </c>
      <c r="H2789" s="4">
        <f>IFERROR(__xludf.DUMMYFUNCTION("DATE(INDEX(SPLIT(G2789,""/""),,3),INDEX(SPLIT(G2789,""/""),,2),INDEX(SPLIT(G2789,""/""),,1))"),44299.0)</f>
        <v>44299</v>
      </c>
      <c r="I2789" s="1" t="s">
        <v>69</v>
      </c>
      <c r="J2789" s="4">
        <f>IFERROR(__xludf.DUMMYFUNCTION("DATE(INDEX(SPLIT(I2789,""/""),,3),INDEX(SPLIT(I2789,""/""),,2),INDEX(SPLIT(I2789,""/""),,1))"),44773.0)</f>
        <v>44773</v>
      </c>
      <c r="L2789" s="1">
        <v>0.0</v>
      </c>
      <c r="M2789" s="1" t="s">
        <v>524</v>
      </c>
      <c r="N2789" s="1"/>
      <c r="O2789" s="1" t="s">
        <v>30</v>
      </c>
      <c r="P2789" s="1" t="s">
        <v>31</v>
      </c>
      <c r="Q2789" s="1" t="s">
        <v>32</v>
      </c>
      <c r="R2789" s="1" t="s">
        <v>32</v>
      </c>
      <c r="S2789" s="1" t="s">
        <v>33</v>
      </c>
      <c r="U2789" s="1">
        <v>1.00627768E8</v>
      </c>
      <c r="X2789" s="1" t="s">
        <v>88</v>
      </c>
      <c r="Y2789" s="1" t="s">
        <v>524</v>
      </c>
      <c r="Z2789" s="1" t="s">
        <v>527</v>
      </c>
    </row>
    <row r="2790">
      <c r="A2790" s="1" t="s">
        <v>8470</v>
      </c>
      <c r="B2790" s="1" t="s">
        <v>2609</v>
      </c>
      <c r="C2790" s="1" t="s">
        <v>8471</v>
      </c>
      <c r="D2790" s="1" t="s">
        <v>78</v>
      </c>
      <c r="E2790" s="1" t="s">
        <v>28</v>
      </c>
      <c r="F2790" s="2">
        <v>350000.0</v>
      </c>
      <c r="G2790" s="1" t="s">
        <v>298</v>
      </c>
      <c r="H2790" s="4">
        <f>IFERROR(__xludf.DUMMYFUNCTION("DATE(INDEX(SPLIT(G2790,""/""),,3),INDEX(SPLIT(G2790,""/""),,2),INDEX(SPLIT(G2790,""/""),,1))"),44762.0)</f>
        <v>44762</v>
      </c>
      <c r="I2790" s="1" t="s">
        <v>226</v>
      </c>
      <c r="J2790" s="4">
        <f>IFERROR(__xludf.DUMMYFUNCTION("DATE(INDEX(SPLIT(I2790,""/""),,3),INDEX(SPLIT(I2790,""/""),,2),INDEX(SPLIT(I2790,""/""),,1))"),44771.0)</f>
        <v>44771</v>
      </c>
      <c r="L2790" s="1">
        <v>0.0</v>
      </c>
      <c r="M2790" s="1" t="s">
        <v>3663</v>
      </c>
      <c r="N2790" s="1"/>
      <c r="O2790" s="1" t="s">
        <v>30</v>
      </c>
      <c r="P2790" s="1" t="s">
        <v>31</v>
      </c>
      <c r="Q2790" s="1" t="s">
        <v>95</v>
      </c>
      <c r="R2790" s="1" t="s">
        <v>95</v>
      </c>
      <c r="S2790" s="1" t="s">
        <v>96</v>
      </c>
      <c r="T2790" s="1" t="s">
        <v>489</v>
      </c>
      <c r="U2790" s="1">
        <v>1.00620159E8</v>
      </c>
      <c r="X2790" s="1" t="s">
        <v>490</v>
      </c>
      <c r="Y2790" s="1" t="s">
        <v>7857</v>
      </c>
      <c r="Z2790" s="1" t="s">
        <v>37</v>
      </c>
    </row>
    <row r="2791">
      <c r="A2791" s="1" t="s">
        <v>8472</v>
      </c>
      <c r="B2791" s="1" t="s">
        <v>1216</v>
      </c>
      <c r="C2791" s="1" t="s">
        <v>8473</v>
      </c>
      <c r="D2791" s="1" t="s">
        <v>78</v>
      </c>
      <c r="E2791" s="1" t="s">
        <v>28</v>
      </c>
      <c r="F2791" s="2">
        <v>350000.0</v>
      </c>
      <c r="G2791" s="4">
        <v>44417.0</v>
      </c>
      <c r="H2791" s="4">
        <f>IFERROR(__xludf.DUMMYFUNCTION("DATE(INDEX(SPLIT(G2791,""/""),,3),INDEX(SPLIT(G2791,""/""),,2),INDEX(SPLIT(G2791,""/""),,1))"),44447.0)</f>
        <v>44447</v>
      </c>
      <c r="I2791" s="1" t="s">
        <v>518</v>
      </c>
      <c r="J2791" s="4">
        <f>IFERROR(__xludf.DUMMYFUNCTION("DATE(INDEX(SPLIT(I2791,""/""),,3),INDEX(SPLIT(I2791,""/""),,2),INDEX(SPLIT(I2791,""/""),,1))"),44757.0)</f>
        <v>44757</v>
      </c>
      <c r="L2791" s="1">
        <v>0.0</v>
      </c>
      <c r="M2791" s="1" t="s">
        <v>4397</v>
      </c>
      <c r="N2791" s="1"/>
      <c r="O2791" s="1" t="s">
        <v>30</v>
      </c>
      <c r="P2791" s="1" t="s">
        <v>31</v>
      </c>
      <c r="Q2791" s="1" t="s">
        <v>235</v>
      </c>
      <c r="R2791" s="1" t="s">
        <v>235</v>
      </c>
      <c r="S2791" s="1" t="s">
        <v>236</v>
      </c>
      <c r="T2791" s="1" t="s">
        <v>753</v>
      </c>
      <c r="U2791" s="1">
        <v>1.0064547E8</v>
      </c>
      <c r="X2791" s="1" t="s">
        <v>88</v>
      </c>
      <c r="Y2791" s="1" t="s">
        <v>4398</v>
      </c>
      <c r="Z2791" s="1" t="s">
        <v>37</v>
      </c>
    </row>
    <row r="2792">
      <c r="A2792" s="1" t="s">
        <v>8474</v>
      </c>
      <c r="B2792" s="1" t="s">
        <v>8475</v>
      </c>
      <c r="C2792" s="1" t="s">
        <v>8476</v>
      </c>
      <c r="D2792" s="1" t="s">
        <v>27</v>
      </c>
      <c r="E2792" s="1" t="s">
        <v>28</v>
      </c>
      <c r="F2792" s="2">
        <v>350000.0</v>
      </c>
      <c r="G2792" s="1" t="s">
        <v>1058</v>
      </c>
      <c r="H2792" s="4">
        <f>IFERROR(__xludf.DUMMYFUNCTION("DATE(INDEX(SPLIT(G2792,""/""),,3),INDEX(SPLIT(G2792,""/""),,2),INDEX(SPLIT(G2792,""/""),,1))"),44733.0)</f>
        <v>44733</v>
      </c>
      <c r="I2792" s="4">
        <v>44568.0</v>
      </c>
      <c r="J2792" s="4">
        <f>IFERROR(__xludf.DUMMYFUNCTION("DATE(INDEX(SPLIT(I2792,""/""),,3),INDEX(SPLIT(I2792,""/""),,2),INDEX(SPLIT(I2792,""/""),,1))"),44743.0)</f>
        <v>44743</v>
      </c>
      <c r="L2792" s="1">
        <v>0.0</v>
      </c>
      <c r="M2792" s="1" t="s">
        <v>266</v>
      </c>
      <c r="N2792" s="1"/>
      <c r="O2792" s="1" t="s">
        <v>30</v>
      </c>
      <c r="P2792" s="1" t="s">
        <v>31</v>
      </c>
      <c r="Q2792" s="1" t="s">
        <v>32</v>
      </c>
      <c r="R2792" s="1" t="s">
        <v>32</v>
      </c>
      <c r="S2792" s="1" t="s">
        <v>33</v>
      </c>
      <c r="U2792" s="1">
        <v>1.00597826E8</v>
      </c>
      <c r="X2792" s="1" t="s">
        <v>117</v>
      </c>
      <c r="Y2792" s="1" t="s">
        <v>2633</v>
      </c>
      <c r="Z2792" s="1" t="s">
        <v>37</v>
      </c>
    </row>
    <row r="2793" hidden="1">
      <c r="A2793" s="1" t="s">
        <v>8477</v>
      </c>
      <c r="B2793" s="1" t="s">
        <v>301</v>
      </c>
      <c r="C2793" s="1" t="s">
        <v>8478</v>
      </c>
      <c r="D2793" s="1" t="s">
        <v>122</v>
      </c>
      <c r="E2793" s="1" t="s">
        <v>28</v>
      </c>
      <c r="F2793" s="2">
        <v>350000.0</v>
      </c>
      <c r="G2793" s="1" t="s">
        <v>586</v>
      </c>
      <c r="H2793" s="4">
        <f>IFERROR(__xludf.DUMMYFUNCTION("DATE(INDEX(SPLIT(G2793,""/""),,3),INDEX(SPLIT(G2793,""/""),,2),INDEX(SPLIT(G2793,""/""),,1))"),44726.0)</f>
        <v>44726</v>
      </c>
      <c r="I2793" s="1" t="s">
        <v>134</v>
      </c>
      <c r="J2793" s="4">
        <f>IFERROR(__xludf.DUMMYFUNCTION("DATE(INDEX(SPLIT(I2793,""/""),,3),INDEX(SPLIT(I2793,""/""),,2),INDEX(SPLIT(I2793,""/""),,1))"),44792.0)</f>
        <v>44792</v>
      </c>
      <c r="L2793" s="1">
        <v>0.0</v>
      </c>
      <c r="M2793" s="1" t="s">
        <v>873</v>
      </c>
      <c r="N2793" s="1"/>
      <c r="O2793" s="1" t="s">
        <v>30</v>
      </c>
      <c r="P2793" s="1" t="s">
        <v>31</v>
      </c>
      <c r="Q2793" s="1" t="s">
        <v>157</v>
      </c>
      <c r="R2793" s="1" t="s">
        <v>157</v>
      </c>
      <c r="S2793" s="1" t="s">
        <v>158</v>
      </c>
      <c r="U2793" s="1">
        <v>1.00586701E8</v>
      </c>
      <c r="X2793" s="1" t="s">
        <v>305</v>
      </c>
      <c r="Y2793" s="1" t="s">
        <v>1103</v>
      </c>
      <c r="Z2793" s="1" t="s">
        <v>37</v>
      </c>
    </row>
    <row r="2794" hidden="1">
      <c r="A2794" s="1" t="s">
        <v>8479</v>
      </c>
      <c r="B2794" s="1" t="s">
        <v>8480</v>
      </c>
      <c r="C2794" s="1" t="s">
        <v>8481</v>
      </c>
      <c r="D2794" s="1" t="s">
        <v>27</v>
      </c>
      <c r="E2794" s="1" t="s">
        <v>28</v>
      </c>
      <c r="F2794" s="2">
        <v>350000.0</v>
      </c>
      <c r="G2794" s="1" t="s">
        <v>6314</v>
      </c>
      <c r="H2794" s="4">
        <f>IFERROR(__xludf.DUMMYFUNCTION("DATE(INDEX(SPLIT(G2794,""/""),,3),INDEX(SPLIT(G2794,""/""),,2),INDEX(SPLIT(G2794,""/""),,1))"),44286.0)</f>
        <v>44286</v>
      </c>
      <c r="I2794" s="4">
        <v>44690.0</v>
      </c>
      <c r="J2794" s="4">
        <f>IFERROR(__xludf.DUMMYFUNCTION("DATE(INDEX(SPLIT(I2794,""/""),,3),INDEX(SPLIT(I2794,""/""),,2),INDEX(SPLIT(I2794,""/""),,1))"),44809.0)</f>
        <v>44809</v>
      </c>
      <c r="L2794" s="1">
        <v>0.0</v>
      </c>
      <c r="M2794" s="1" t="s">
        <v>2342</v>
      </c>
      <c r="N2794" s="1"/>
      <c r="O2794" s="1" t="s">
        <v>30</v>
      </c>
      <c r="P2794" s="1" t="s">
        <v>31</v>
      </c>
      <c r="Q2794" s="1" t="s">
        <v>53</v>
      </c>
      <c r="R2794" s="1" t="s">
        <v>53</v>
      </c>
      <c r="S2794" s="1" t="s">
        <v>54</v>
      </c>
      <c r="T2794" s="1" t="s">
        <v>55</v>
      </c>
      <c r="U2794" s="1">
        <v>1.00886112E8</v>
      </c>
      <c r="X2794" s="1" t="s">
        <v>312</v>
      </c>
      <c r="Y2794" s="1" t="s">
        <v>2342</v>
      </c>
      <c r="Z2794" s="1" t="s">
        <v>37</v>
      </c>
    </row>
    <row r="2795" hidden="1">
      <c r="A2795" s="1" t="s">
        <v>8482</v>
      </c>
      <c r="B2795" s="1" t="s">
        <v>645</v>
      </c>
      <c r="C2795" s="1" t="s">
        <v>8483</v>
      </c>
      <c r="D2795" s="1" t="s">
        <v>78</v>
      </c>
      <c r="E2795" s="1" t="s">
        <v>28</v>
      </c>
      <c r="F2795" s="2">
        <v>350000.0</v>
      </c>
      <c r="G2795" s="4">
        <v>44656.0</v>
      </c>
      <c r="H2795" s="4">
        <f>IFERROR(__xludf.DUMMYFUNCTION("DATE(INDEX(SPLIT(G2795,""/""),,3),INDEX(SPLIT(G2795,""/""),,2),INDEX(SPLIT(G2795,""/""),,1))"),44685.0)</f>
        <v>44685</v>
      </c>
      <c r="I2795" s="1" t="s">
        <v>872</v>
      </c>
      <c r="J2795" s="4">
        <f>IFERROR(__xludf.DUMMYFUNCTION("DATE(INDEX(SPLIT(I2795,""/""),,3),INDEX(SPLIT(I2795,""/""),,2),INDEX(SPLIT(I2795,""/""),,1))"),44820.0)</f>
        <v>44820</v>
      </c>
      <c r="L2795" s="1">
        <v>0.0</v>
      </c>
      <c r="M2795" s="1" t="s">
        <v>7598</v>
      </c>
      <c r="N2795" s="1"/>
      <c r="O2795" s="1" t="s">
        <v>30</v>
      </c>
      <c r="P2795" s="1" t="s">
        <v>31</v>
      </c>
      <c r="Q2795" s="1" t="s">
        <v>32</v>
      </c>
      <c r="R2795" s="1" t="s">
        <v>32</v>
      </c>
      <c r="S2795" s="1" t="s">
        <v>33</v>
      </c>
      <c r="U2795" s="1">
        <v>1.00644939E8</v>
      </c>
      <c r="X2795" s="1" t="s">
        <v>46</v>
      </c>
      <c r="Y2795" s="1" t="s">
        <v>4982</v>
      </c>
      <c r="Z2795" s="1" t="s">
        <v>37</v>
      </c>
    </row>
    <row r="2796" hidden="1">
      <c r="A2796" s="1" t="s">
        <v>8484</v>
      </c>
      <c r="B2796" s="1" t="s">
        <v>3453</v>
      </c>
      <c r="C2796" s="1" t="s">
        <v>8485</v>
      </c>
      <c r="D2796" s="1" t="s">
        <v>27</v>
      </c>
      <c r="E2796" s="1" t="s">
        <v>28</v>
      </c>
      <c r="F2796" s="2">
        <v>350000.0</v>
      </c>
      <c r="G2796" s="1" t="s">
        <v>8486</v>
      </c>
      <c r="H2796" s="4">
        <f>IFERROR(__xludf.DUMMYFUNCTION("DATE(INDEX(SPLIT(G2796,""/""),,3),INDEX(SPLIT(G2796,""/""),,2),INDEX(SPLIT(G2796,""/""),,1))"),44362.0)</f>
        <v>44362</v>
      </c>
      <c r="I2796" s="1" t="s">
        <v>317</v>
      </c>
      <c r="J2796" s="4">
        <f>IFERROR(__xludf.DUMMYFUNCTION("DATE(INDEX(SPLIT(I2796,""/""),,3),INDEX(SPLIT(I2796,""/""),,2),INDEX(SPLIT(I2796,""/""),,1))"),44862.0)</f>
        <v>44862</v>
      </c>
      <c r="L2796" s="1">
        <v>0.0</v>
      </c>
      <c r="M2796" s="1" t="s">
        <v>1685</v>
      </c>
      <c r="N2796" s="1"/>
      <c r="O2796" s="1" t="s">
        <v>30</v>
      </c>
      <c r="P2796" s="1" t="s">
        <v>31</v>
      </c>
      <c r="Q2796" s="1" t="s">
        <v>228</v>
      </c>
      <c r="R2796" s="1" t="s">
        <v>228</v>
      </c>
      <c r="S2796" s="1" t="s">
        <v>229</v>
      </c>
      <c r="T2796" s="1" t="s">
        <v>505</v>
      </c>
      <c r="U2796" s="1">
        <v>1.00612055E8</v>
      </c>
      <c r="X2796" s="1" t="s">
        <v>190</v>
      </c>
      <c r="Y2796" s="1" t="s">
        <v>1685</v>
      </c>
      <c r="Z2796" s="1" t="s">
        <v>37</v>
      </c>
    </row>
    <row r="2797" hidden="1">
      <c r="A2797" s="1" t="s">
        <v>8487</v>
      </c>
      <c r="B2797" s="1" t="s">
        <v>8488</v>
      </c>
      <c r="C2797" s="1" t="s">
        <v>8489</v>
      </c>
      <c r="D2797" s="1" t="s">
        <v>27</v>
      </c>
      <c r="E2797" s="1" t="s">
        <v>28</v>
      </c>
      <c r="F2797" s="2">
        <v>350000.0</v>
      </c>
      <c r="G2797" s="4">
        <v>44902.0</v>
      </c>
      <c r="H2797" s="4">
        <f>IFERROR(__xludf.DUMMYFUNCTION("DATE(INDEX(SPLIT(G2797,""/""),,3),INDEX(SPLIT(G2797,""/""),,2),INDEX(SPLIT(G2797,""/""),,1))"),44754.0)</f>
        <v>44754</v>
      </c>
      <c r="I2797" s="1" t="s">
        <v>134</v>
      </c>
      <c r="J2797" s="4">
        <f>IFERROR(__xludf.DUMMYFUNCTION("DATE(INDEX(SPLIT(I2797,""/""),,3),INDEX(SPLIT(I2797,""/""),,2),INDEX(SPLIT(I2797,""/""),,1))"),44792.0)</f>
        <v>44792</v>
      </c>
      <c r="L2797" s="1">
        <v>0.0</v>
      </c>
      <c r="M2797" s="1" t="s">
        <v>8490</v>
      </c>
      <c r="N2797" s="1"/>
      <c r="O2797" s="1" t="s">
        <v>30</v>
      </c>
      <c r="P2797" s="1" t="s">
        <v>31</v>
      </c>
      <c r="Q2797" s="1" t="s">
        <v>95</v>
      </c>
      <c r="R2797" s="1" t="s">
        <v>95</v>
      </c>
      <c r="S2797" s="1" t="s">
        <v>96</v>
      </c>
      <c r="T2797" s="1" t="s">
        <v>111</v>
      </c>
      <c r="U2797" s="1">
        <v>1.0060553E8</v>
      </c>
      <c r="X2797" s="1" t="s">
        <v>63</v>
      </c>
      <c r="Y2797" s="1" t="s">
        <v>8490</v>
      </c>
      <c r="Z2797" s="1" t="s">
        <v>37</v>
      </c>
    </row>
    <row r="2798" hidden="1">
      <c r="A2798" s="1" t="s">
        <v>8491</v>
      </c>
      <c r="B2798" s="1" t="s">
        <v>806</v>
      </c>
      <c r="C2798" s="1" t="s">
        <v>8492</v>
      </c>
      <c r="D2798" s="1" t="s">
        <v>122</v>
      </c>
      <c r="E2798" s="1" t="s">
        <v>28</v>
      </c>
      <c r="F2798" s="2">
        <v>350000.0</v>
      </c>
      <c r="G2798" s="1" t="s">
        <v>511</v>
      </c>
      <c r="H2798" s="4">
        <f>IFERROR(__xludf.DUMMYFUNCTION("DATE(INDEX(SPLIT(G2798,""/""),,3),INDEX(SPLIT(G2798,""/""),,2),INDEX(SPLIT(G2798,""/""),,1))"),44400.0)</f>
        <v>44400</v>
      </c>
      <c r="I2798" s="1" t="s">
        <v>425</v>
      </c>
      <c r="J2798" s="4">
        <f>IFERROR(__xludf.DUMMYFUNCTION("DATE(INDEX(SPLIT(I2798,""/""),,3),INDEX(SPLIT(I2798,""/""),,2),INDEX(SPLIT(I2798,""/""),,1))"),44911.0)</f>
        <v>44911</v>
      </c>
      <c r="L2798" s="1">
        <v>0.0</v>
      </c>
      <c r="M2798" s="1" t="s">
        <v>2510</v>
      </c>
      <c r="N2798" s="1"/>
      <c r="O2798" s="1" t="s">
        <v>30</v>
      </c>
      <c r="P2798" s="1" t="s">
        <v>31</v>
      </c>
      <c r="Q2798" s="1" t="s">
        <v>157</v>
      </c>
      <c r="R2798" s="1" t="s">
        <v>157</v>
      </c>
      <c r="S2798" s="1" t="s">
        <v>158</v>
      </c>
      <c r="T2798" s="1" t="s">
        <v>442</v>
      </c>
      <c r="U2798" s="1">
        <v>1.00634919E8</v>
      </c>
      <c r="X2798" s="1" t="s">
        <v>117</v>
      </c>
      <c r="Y2798" s="1" t="s">
        <v>2510</v>
      </c>
      <c r="Z2798" s="1" t="s">
        <v>37</v>
      </c>
    </row>
    <row r="2799">
      <c r="A2799" s="1" t="s">
        <v>8493</v>
      </c>
      <c r="B2799" s="1" t="s">
        <v>1831</v>
      </c>
      <c r="C2799" s="1" t="s">
        <v>8494</v>
      </c>
      <c r="D2799" s="1" t="s">
        <v>78</v>
      </c>
      <c r="E2799" s="1" t="s">
        <v>28</v>
      </c>
      <c r="F2799" s="2">
        <v>350000.0</v>
      </c>
      <c r="G2799" s="4">
        <v>44714.0</v>
      </c>
      <c r="H2799" s="4">
        <f>IFERROR(__xludf.DUMMYFUNCTION("DATE(INDEX(SPLIT(G2799,""/""),,3),INDEX(SPLIT(G2799,""/""),,2),INDEX(SPLIT(G2799,""/""),,1))"),44598.0)</f>
        <v>44598</v>
      </c>
      <c r="I2799" s="1" t="s">
        <v>226</v>
      </c>
      <c r="J2799" s="4">
        <f>IFERROR(__xludf.DUMMYFUNCTION("DATE(INDEX(SPLIT(I2799,""/""),,3),INDEX(SPLIT(I2799,""/""),,2),INDEX(SPLIT(I2799,""/""),,1))"),44771.0)</f>
        <v>44771</v>
      </c>
      <c r="L2799" s="1">
        <v>0.0</v>
      </c>
      <c r="M2799" s="1" t="s">
        <v>819</v>
      </c>
      <c r="N2799" s="1"/>
      <c r="O2799" s="1" t="s">
        <v>30</v>
      </c>
      <c r="P2799" s="1" t="s">
        <v>31</v>
      </c>
      <c r="Q2799" s="1" t="s">
        <v>53</v>
      </c>
      <c r="R2799" s="1" t="s">
        <v>53</v>
      </c>
      <c r="S2799" s="1" t="s">
        <v>54</v>
      </c>
      <c r="T2799" s="1" t="s">
        <v>634</v>
      </c>
      <c r="U2799" s="1">
        <v>1.00661738E8</v>
      </c>
      <c r="X2799" s="1" t="s">
        <v>490</v>
      </c>
      <c r="Y2799" s="1" t="s">
        <v>664</v>
      </c>
      <c r="Z2799" s="1" t="s">
        <v>37</v>
      </c>
    </row>
    <row r="2800" hidden="1">
      <c r="A2800" s="1" t="s">
        <v>8495</v>
      </c>
      <c r="B2800" s="1" t="s">
        <v>1634</v>
      </c>
      <c r="C2800" s="1" t="s">
        <v>8496</v>
      </c>
      <c r="D2800" s="1" t="s">
        <v>27</v>
      </c>
      <c r="E2800" s="1" t="s">
        <v>28</v>
      </c>
      <c r="F2800" s="2">
        <v>350000.0</v>
      </c>
      <c r="G2800" s="1" t="s">
        <v>2324</v>
      </c>
      <c r="H2800" s="4">
        <f>IFERROR(__xludf.DUMMYFUNCTION("DATE(INDEX(SPLIT(G2800,""/""),,3),INDEX(SPLIT(G2800,""/""),,2),INDEX(SPLIT(G2800,""/""),,1))"),44705.0)</f>
        <v>44705</v>
      </c>
      <c r="I2800" s="4">
        <v>44570.0</v>
      </c>
      <c r="J2800" s="4">
        <f>IFERROR(__xludf.DUMMYFUNCTION("DATE(INDEX(SPLIT(I2800,""/""),,3),INDEX(SPLIT(I2800,""/""),,2),INDEX(SPLIT(I2800,""/""),,1))"),44805.0)</f>
        <v>44805</v>
      </c>
      <c r="L2800" s="1">
        <v>0.0</v>
      </c>
      <c r="M2800" s="1" t="s">
        <v>1514</v>
      </c>
      <c r="N2800" s="1"/>
      <c r="O2800" s="1" t="s">
        <v>30</v>
      </c>
      <c r="P2800" s="1" t="s">
        <v>31</v>
      </c>
      <c r="Q2800" s="1" t="s">
        <v>71</v>
      </c>
      <c r="R2800" s="1" t="s">
        <v>71</v>
      </c>
      <c r="S2800" s="1" t="s">
        <v>72</v>
      </c>
      <c r="T2800" s="1" t="s">
        <v>615</v>
      </c>
      <c r="U2800" s="1">
        <v>1.006324E8</v>
      </c>
      <c r="X2800" s="1" t="s">
        <v>490</v>
      </c>
      <c r="Y2800" s="1" t="s">
        <v>899</v>
      </c>
      <c r="Z2800" s="1" t="s">
        <v>37</v>
      </c>
    </row>
    <row r="2801" hidden="1">
      <c r="A2801" s="1" t="s">
        <v>8497</v>
      </c>
      <c r="B2801" s="1" t="s">
        <v>4496</v>
      </c>
      <c r="C2801" s="1" t="s">
        <v>8498</v>
      </c>
      <c r="D2801" s="1" t="s">
        <v>78</v>
      </c>
      <c r="E2801" s="1" t="s">
        <v>28</v>
      </c>
      <c r="F2801" s="2">
        <v>350000.0</v>
      </c>
      <c r="G2801" s="4">
        <v>44810.0</v>
      </c>
      <c r="H2801" s="4">
        <f>IFERROR(__xludf.DUMMYFUNCTION("DATE(INDEX(SPLIT(G2801,""/""),,3),INDEX(SPLIT(G2801,""/""),,2),INDEX(SPLIT(G2801,""/""),,1))"),44721.0)</f>
        <v>44721</v>
      </c>
      <c r="I2801" s="4">
        <v>44689.0</v>
      </c>
      <c r="J2801" s="4">
        <f>IFERROR(__xludf.DUMMYFUNCTION("DATE(INDEX(SPLIT(I2801,""/""),,3),INDEX(SPLIT(I2801,""/""),,2),INDEX(SPLIT(I2801,""/""),,1))"),44778.0)</f>
        <v>44778</v>
      </c>
      <c r="L2801" s="1">
        <v>0.0</v>
      </c>
      <c r="M2801" s="1" t="s">
        <v>6735</v>
      </c>
      <c r="N2801" s="1"/>
      <c r="O2801" s="1" t="s">
        <v>30</v>
      </c>
      <c r="P2801" s="1" t="s">
        <v>31</v>
      </c>
      <c r="Q2801" s="1" t="s">
        <v>235</v>
      </c>
      <c r="R2801" s="1" t="s">
        <v>235</v>
      </c>
      <c r="S2801" s="1" t="s">
        <v>236</v>
      </c>
      <c r="T2801" s="1" t="s">
        <v>438</v>
      </c>
      <c r="U2801" s="1">
        <v>1.00911004E8</v>
      </c>
      <c r="X2801" s="1" t="s">
        <v>88</v>
      </c>
      <c r="Y2801" s="1" t="s">
        <v>8499</v>
      </c>
      <c r="Z2801" s="1" t="s">
        <v>37</v>
      </c>
    </row>
    <row r="2802" hidden="1">
      <c r="A2802" s="1" t="s">
        <v>8500</v>
      </c>
      <c r="B2802" s="1" t="s">
        <v>4205</v>
      </c>
      <c r="C2802" s="1" t="s">
        <v>8501</v>
      </c>
      <c r="D2802" s="1" t="s">
        <v>27</v>
      </c>
      <c r="E2802" s="1" t="s">
        <v>28</v>
      </c>
      <c r="F2802" s="2">
        <v>350000.0</v>
      </c>
      <c r="G2802" s="1" t="s">
        <v>2673</v>
      </c>
      <c r="H2802" s="4">
        <f>IFERROR(__xludf.DUMMYFUNCTION("DATE(INDEX(SPLIT(G2802,""/""),,3),INDEX(SPLIT(G2802,""/""),,2),INDEX(SPLIT(G2802,""/""),,1))"),43760.0)</f>
        <v>43760</v>
      </c>
      <c r="I2802" s="1" t="s">
        <v>130</v>
      </c>
      <c r="J2802" s="4">
        <f>IFERROR(__xludf.DUMMYFUNCTION("DATE(INDEX(SPLIT(I2802,""/""),,3),INDEX(SPLIT(I2802,""/""),,2),INDEX(SPLIT(I2802,""/""),,1))"),44804.0)</f>
        <v>44804</v>
      </c>
      <c r="L2802" s="1">
        <v>0.0</v>
      </c>
      <c r="M2802" s="1" t="s">
        <v>4598</v>
      </c>
      <c r="N2802" s="1"/>
      <c r="O2802" s="1" t="s">
        <v>30</v>
      </c>
      <c r="P2802" s="1" t="s">
        <v>31</v>
      </c>
      <c r="Q2802" s="1" t="s">
        <v>157</v>
      </c>
      <c r="R2802" s="1" t="s">
        <v>157</v>
      </c>
      <c r="S2802" s="1" t="s">
        <v>158</v>
      </c>
      <c r="T2802" s="1" t="s">
        <v>8502</v>
      </c>
      <c r="U2802" s="1">
        <v>1.00650304E8</v>
      </c>
      <c r="X2802" s="1" t="s">
        <v>239</v>
      </c>
      <c r="Y2802" s="1" t="s">
        <v>2977</v>
      </c>
      <c r="Z2802" s="1" t="s">
        <v>37</v>
      </c>
    </row>
    <row r="2803" hidden="1">
      <c r="A2803" s="1" t="s">
        <v>8503</v>
      </c>
      <c r="B2803" s="1" t="s">
        <v>8390</v>
      </c>
      <c r="C2803" s="1" t="s">
        <v>8504</v>
      </c>
      <c r="D2803" s="1" t="s">
        <v>78</v>
      </c>
      <c r="E2803" s="1" t="s">
        <v>28</v>
      </c>
      <c r="F2803" s="2">
        <v>350000.0</v>
      </c>
      <c r="G2803" s="1" t="s">
        <v>108</v>
      </c>
      <c r="H2803" s="4">
        <f>IFERROR(__xludf.DUMMYFUNCTION("DATE(INDEX(SPLIT(G2803,""/""),,3),INDEX(SPLIT(G2803,""/""),,2),INDEX(SPLIT(G2803,""/""),,1))"),44725.0)</f>
        <v>44725</v>
      </c>
      <c r="I2803" s="4">
        <v>44569.0</v>
      </c>
      <c r="J2803" s="4">
        <f>IFERROR(__xludf.DUMMYFUNCTION("DATE(INDEX(SPLIT(I2803,""/""),,3),INDEX(SPLIT(I2803,""/""),,2),INDEX(SPLIT(I2803,""/""),,1))"),44774.0)</f>
        <v>44774</v>
      </c>
      <c r="L2803" s="1">
        <v>0.0</v>
      </c>
      <c r="M2803" s="1" t="s">
        <v>3580</v>
      </c>
      <c r="N2803" s="1"/>
      <c r="O2803" s="1" t="s">
        <v>30</v>
      </c>
      <c r="P2803" s="1" t="s">
        <v>31</v>
      </c>
      <c r="Q2803" s="1" t="s">
        <v>157</v>
      </c>
      <c r="R2803" s="1" t="s">
        <v>157</v>
      </c>
      <c r="S2803" s="1" t="s">
        <v>158</v>
      </c>
      <c r="T2803" s="1" t="s">
        <v>442</v>
      </c>
      <c r="U2803" s="1">
        <v>1.00956516E8</v>
      </c>
      <c r="X2803" s="1" t="s">
        <v>239</v>
      </c>
      <c r="Y2803" s="1" t="s">
        <v>4960</v>
      </c>
      <c r="Z2803" s="1" t="s">
        <v>37</v>
      </c>
    </row>
    <row r="2804">
      <c r="A2804" s="1" t="s">
        <v>8505</v>
      </c>
      <c r="B2804" s="1" t="s">
        <v>896</v>
      </c>
      <c r="C2804" s="1" t="s">
        <v>8506</v>
      </c>
      <c r="D2804" s="1" t="s">
        <v>68</v>
      </c>
      <c r="E2804" s="1" t="s">
        <v>28</v>
      </c>
      <c r="F2804" s="2">
        <v>350000.0</v>
      </c>
      <c r="G2804" s="1" t="s">
        <v>108</v>
      </c>
      <c r="H2804" s="4">
        <f>IFERROR(__xludf.DUMMYFUNCTION("DATE(INDEX(SPLIT(G2804,""/""),,3),INDEX(SPLIT(G2804,""/""),,2),INDEX(SPLIT(G2804,""/""),,1))"),44725.0)</f>
        <v>44725</v>
      </c>
      <c r="I2804" s="1" t="s">
        <v>226</v>
      </c>
      <c r="J2804" s="4">
        <f>IFERROR(__xludf.DUMMYFUNCTION("DATE(INDEX(SPLIT(I2804,""/""),,3),INDEX(SPLIT(I2804,""/""),,2),INDEX(SPLIT(I2804,""/""),,1))"),44771.0)</f>
        <v>44771</v>
      </c>
      <c r="L2804" s="1">
        <v>0.0</v>
      </c>
      <c r="M2804" s="1" t="s">
        <v>5366</v>
      </c>
      <c r="N2804" s="1"/>
      <c r="O2804" s="1" t="s">
        <v>30</v>
      </c>
      <c r="P2804" s="1" t="s">
        <v>31</v>
      </c>
      <c r="Q2804" s="1" t="s">
        <v>157</v>
      </c>
      <c r="R2804" s="1" t="s">
        <v>157</v>
      </c>
      <c r="S2804" s="1" t="s">
        <v>158</v>
      </c>
      <c r="T2804" s="1" t="s">
        <v>159</v>
      </c>
      <c r="U2804" s="1">
        <v>1.00609544E8</v>
      </c>
      <c r="X2804" s="1" t="s">
        <v>490</v>
      </c>
      <c r="Y2804" s="1" t="s">
        <v>5367</v>
      </c>
      <c r="Z2804" s="1" t="s">
        <v>37</v>
      </c>
    </row>
    <row r="2805">
      <c r="A2805" s="1" t="s">
        <v>8507</v>
      </c>
      <c r="B2805" s="1" t="s">
        <v>2884</v>
      </c>
      <c r="C2805" s="1" t="s">
        <v>8508</v>
      </c>
      <c r="D2805" s="1" t="s">
        <v>27</v>
      </c>
      <c r="E2805" s="1" t="s">
        <v>28</v>
      </c>
      <c r="F2805" s="2">
        <v>350000.0</v>
      </c>
      <c r="G2805" s="1" t="s">
        <v>6808</v>
      </c>
      <c r="H2805" s="4">
        <f>IFERROR(__xludf.DUMMYFUNCTION("DATE(INDEX(SPLIT(G2805,""/""),,3),INDEX(SPLIT(G2805,""/""),,2),INDEX(SPLIT(G2805,""/""),,1))"),44096.0)</f>
        <v>44096</v>
      </c>
      <c r="I2805" s="1" t="s">
        <v>226</v>
      </c>
      <c r="J2805" s="4">
        <f>IFERROR(__xludf.DUMMYFUNCTION("DATE(INDEX(SPLIT(I2805,""/""),,3),INDEX(SPLIT(I2805,""/""),,2),INDEX(SPLIT(I2805,""/""),,1))"),44771.0)</f>
        <v>44771</v>
      </c>
      <c r="L2805" s="1">
        <v>0.0</v>
      </c>
      <c r="M2805" s="1" t="s">
        <v>2032</v>
      </c>
      <c r="N2805" s="1"/>
      <c r="O2805" s="1" t="s">
        <v>30</v>
      </c>
      <c r="P2805" s="1" t="s">
        <v>31</v>
      </c>
      <c r="Q2805" s="1" t="s">
        <v>71</v>
      </c>
      <c r="R2805" s="1" t="s">
        <v>71</v>
      </c>
      <c r="S2805" s="1" t="s">
        <v>72</v>
      </c>
      <c r="T2805" s="1" t="s">
        <v>73</v>
      </c>
      <c r="U2805" s="1">
        <v>1.00929557E8</v>
      </c>
      <c r="X2805" s="1" t="s">
        <v>74</v>
      </c>
      <c r="Y2805" s="1" t="s">
        <v>3653</v>
      </c>
      <c r="Z2805" s="1" t="s">
        <v>206</v>
      </c>
    </row>
    <row r="2806" hidden="1">
      <c r="A2806" s="1" t="s">
        <v>8509</v>
      </c>
      <c r="B2806" s="1" t="s">
        <v>896</v>
      </c>
      <c r="C2806" s="1" t="s">
        <v>8510</v>
      </c>
      <c r="D2806" s="1" t="s">
        <v>27</v>
      </c>
      <c r="E2806" s="1" t="s">
        <v>28</v>
      </c>
      <c r="F2806" s="2">
        <v>350000.0</v>
      </c>
      <c r="G2806" s="1" t="s">
        <v>2263</v>
      </c>
      <c r="H2806" s="4">
        <f>IFERROR(__xludf.DUMMYFUNCTION("DATE(INDEX(SPLIT(G2806,""/""),,3),INDEX(SPLIT(G2806,""/""),,2),INDEX(SPLIT(G2806,""/""),,1))"),44638.0)</f>
        <v>44638</v>
      </c>
      <c r="I2806" s="1" t="s">
        <v>1799</v>
      </c>
      <c r="J2806" s="4">
        <f>IFERROR(__xludf.DUMMYFUNCTION("DATE(INDEX(SPLIT(I2806,""/""),,3),INDEX(SPLIT(I2806,""/""),,2),INDEX(SPLIT(I2806,""/""),,1))"),44788.0)</f>
        <v>44788</v>
      </c>
      <c r="L2806" s="1">
        <v>0.0</v>
      </c>
      <c r="M2806" s="1" t="s">
        <v>3485</v>
      </c>
      <c r="N2806" s="1"/>
      <c r="O2806" s="1" t="s">
        <v>30</v>
      </c>
      <c r="P2806" s="1" t="s">
        <v>31</v>
      </c>
      <c r="Q2806" s="1" t="s">
        <v>71</v>
      </c>
      <c r="R2806" s="1" t="s">
        <v>71</v>
      </c>
      <c r="S2806" s="1" t="s">
        <v>72</v>
      </c>
      <c r="T2806" s="1" t="s">
        <v>615</v>
      </c>
      <c r="U2806" s="1">
        <v>1.01080198E8</v>
      </c>
      <c r="X2806" s="1" t="s">
        <v>490</v>
      </c>
      <c r="Y2806" s="1" t="s">
        <v>3485</v>
      </c>
      <c r="Z2806" s="1" t="s">
        <v>206</v>
      </c>
    </row>
    <row r="2807">
      <c r="A2807" s="1" t="s">
        <v>8511</v>
      </c>
      <c r="B2807" s="1" t="s">
        <v>8512</v>
      </c>
      <c r="C2807" s="1" t="s">
        <v>6025</v>
      </c>
      <c r="D2807" s="1" t="s">
        <v>78</v>
      </c>
      <c r="E2807" s="1" t="s">
        <v>28</v>
      </c>
      <c r="F2807" s="2">
        <v>350000.0</v>
      </c>
      <c r="G2807" s="4">
        <v>44810.0</v>
      </c>
      <c r="H2807" s="4">
        <f>IFERROR(__xludf.DUMMYFUNCTION("DATE(INDEX(SPLIT(G2807,""/""),,3),INDEX(SPLIT(G2807,""/""),,2),INDEX(SPLIT(G2807,""/""),,1))"),44721.0)</f>
        <v>44721</v>
      </c>
      <c r="I2807" s="1" t="s">
        <v>226</v>
      </c>
      <c r="J2807" s="4">
        <f>IFERROR(__xludf.DUMMYFUNCTION("DATE(INDEX(SPLIT(I2807,""/""),,3),INDEX(SPLIT(I2807,""/""),,2),INDEX(SPLIT(I2807,""/""),,1))"),44771.0)</f>
        <v>44771</v>
      </c>
      <c r="L2807" s="1">
        <v>0.0</v>
      </c>
      <c r="M2807" s="1" t="s">
        <v>730</v>
      </c>
      <c r="N2807" s="1"/>
      <c r="O2807" s="1" t="s">
        <v>30</v>
      </c>
      <c r="P2807" s="1" t="s">
        <v>31</v>
      </c>
      <c r="Q2807" s="1" t="s">
        <v>95</v>
      </c>
      <c r="R2807" s="1" t="s">
        <v>95</v>
      </c>
      <c r="S2807" s="1" t="s">
        <v>96</v>
      </c>
      <c r="T2807" s="1" t="s">
        <v>311</v>
      </c>
      <c r="U2807" s="1">
        <v>1.00629293E8</v>
      </c>
      <c r="X2807" s="1" t="s">
        <v>5049</v>
      </c>
      <c r="Y2807" s="1" t="s">
        <v>8513</v>
      </c>
      <c r="Z2807" s="1" t="s">
        <v>37</v>
      </c>
    </row>
    <row r="2808" hidden="1">
      <c r="A2808" s="1" t="s">
        <v>8514</v>
      </c>
      <c r="B2808" s="1" t="s">
        <v>1275</v>
      </c>
      <c r="C2808" s="1" t="s">
        <v>8515</v>
      </c>
      <c r="D2808" s="1" t="s">
        <v>27</v>
      </c>
      <c r="E2808" s="1" t="s">
        <v>28</v>
      </c>
      <c r="F2808" s="2">
        <v>350000.0</v>
      </c>
      <c r="G2808" s="4">
        <v>44538.0</v>
      </c>
      <c r="H2808" s="4">
        <f>IFERROR(__xludf.DUMMYFUNCTION("DATE(INDEX(SPLIT(G2808,""/""),,3),INDEX(SPLIT(G2808,""/""),,2),INDEX(SPLIT(G2808,""/""),,1))"),44420.0)</f>
        <v>44420</v>
      </c>
      <c r="I2808" s="1" t="s">
        <v>447</v>
      </c>
      <c r="J2808" s="4">
        <f>IFERROR(__xludf.DUMMYFUNCTION("DATE(INDEX(SPLIT(I2808,""/""),,3),INDEX(SPLIT(I2808,""/""),,2),INDEX(SPLIT(I2808,""/""),,1))"),44910.0)</f>
        <v>44910</v>
      </c>
      <c r="L2808" s="1">
        <v>0.0</v>
      </c>
      <c r="M2808" s="1" t="s">
        <v>299</v>
      </c>
      <c r="N2808" s="1"/>
      <c r="O2808" s="1" t="s">
        <v>30</v>
      </c>
      <c r="P2808" s="1" t="s">
        <v>31</v>
      </c>
      <c r="Q2808" s="1" t="s">
        <v>71</v>
      </c>
      <c r="R2808" s="1" t="s">
        <v>71</v>
      </c>
      <c r="S2808" s="1" t="s">
        <v>72</v>
      </c>
      <c r="T2808" s="1" t="s">
        <v>136</v>
      </c>
      <c r="U2808" s="1">
        <v>1.00610483E8</v>
      </c>
      <c r="X2808" s="1" t="s">
        <v>74</v>
      </c>
      <c r="Y2808" s="1" t="s">
        <v>4444</v>
      </c>
      <c r="Z2808" s="1" t="s">
        <v>37</v>
      </c>
    </row>
    <row r="2809" hidden="1">
      <c r="A2809" s="1" t="s">
        <v>8516</v>
      </c>
      <c r="B2809" s="1" t="s">
        <v>8517</v>
      </c>
      <c r="C2809" s="1" t="s">
        <v>8518</v>
      </c>
      <c r="D2809" s="1" t="s">
        <v>122</v>
      </c>
      <c r="E2809" s="1" t="s">
        <v>28</v>
      </c>
      <c r="F2809" s="2">
        <v>350000.0</v>
      </c>
      <c r="G2809" s="1" t="s">
        <v>8519</v>
      </c>
      <c r="H2809" s="4">
        <f>IFERROR(__xludf.DUMMYFUNCTION("DATE(INDEX(SPLIT(G2809,""/""),,3),INDEX(SPLIT(G2809,""/""),,2),INDEX(SPLIT(G2809,""/""),,1))"),44392.0)</f>
        <v>44392</v>
      </c>
      <c r="I2809" s="1" t="s">
        <v>109</v>
      </c>
      <c r="J2809" s="4">
        <f>IFERROR(__xludf.DUMMYFUNCTION("DATE(INDEX(SPLIT(I2809,""/""),,3),INDEX(SPLIT(I2809,""/""),,2),INDEX(SPLIT(I2809,""/""),,1))"),44834.0)</f>
        <v>44834</v>
      </c>
      <c r="L2809" s="1">
        <v>0.0</v>
      </c>
      <c r="M2809" s="1" t="s">
        <v>1027</v>
      </c>
      <c r="N2809" s="1"/>
      <c r="O2809" s="1" t="s">
        <v>30</v>
      </c>
      <c r="P2809" s="1" t="s">
        <v>31</v>
      </c>
      <c r="Q2809" s="1" t="s">
        <v>53</v>
      </c>
      <c r="R2809" s="1" t="s">
        <v>53</v>
      </c>
      <c r="S2809" s="1" t="s">
        <v>54</v>
      </c>
      <c r="T2809" s="1" t="s">
        <v>181</v>
      </c>
      <c r="U2809" s="1">
        <v>1.00879751E8</v>
      </c>
      <c r="X2809" s="1" t="s">
        <v>2028</v>
      </c>
      <c r="Y2809" s="1" t="s">
        <v>4925</v>
      </c>
      <c r="Z2809" s="1" t="s">
        <v>37</v>
      </c>
    </row>
    <row r="2810" hidden="1">
      <c r="A2810" s="1" t="s">
        <v>8520</v>
      </c>
      <c r="B2810" s="1" t="s">
        <v>4582</v>
      </c>
      <c r="C2810" s="1" t="s">
        <v>8521</v>
      </c>
      <c r="D2810" s="1" t="s">
        <v>78</v>
      </c>
      <c r="E2810" s="1" t="s">
        <v>28</v>
      </c>
      <c r="F2810" s="2">
        <v>350000.0</v>
      </c>
      <c r="G2810" s="1" t="s">
        <v>8522</v>
      </c>
      <c r="H2810" s="4">
        <f>IFERROR(__xludf.DUMMYFUNCTION("DATE(INDEX(SPLIT(G2810,""/""),,3),INDEX(SPLIT(G2810,""/""),,2),INDEX(SPLIT(G2810,""/""),,1))"),43905.0)</f>
        <v>43905</v>
      </c>
      <c r="I2810" s="1" t="s">
        <v>1097</v>
      </c>
      <c r="J2810" s="4">
        <f>IFERROR(__xludf.DUMMYFUNCTION("DATE(INDEX(SPLIT(I2810,""/""),,3),INDEX(SPLIT(I2810,""/""),,2),INDEX(SPLIT(I2810,""/""),,1))"),45107.0)</f>
        <v>45107</v>
      </c>
      <c r="L2810" s="1">
        <v>0.0</v>
      </c>
      <c r="M2810" s="1" t="s">
        <v>6587</v>
      </c>
      <c r="N2810" s="1"/>
      <c r="O2810" s="1" t="s">
        <v>30</v>
      </c>
      <c r="P2810" s="1" t="s">
        <v>31</v>
      </c>
      <c r="Q2810" s="1" t="s">
        <v>71</v>
      </c>
      <c r="R2810" s="1" t="s">
        <v>71</v>
      </c>
      <c r="S2810" s="1" t="s">
        <v>72</v>
      </c>
      <c r="T2810" s="1" t="s">
        <v>136</v>
      </c>
      <c r="U2810" s="1">
        <v>1.00618376E8</v>
      </c>
      <c r="X2810" s="1" t="s">
        <v>74</v>
      </c>
      <c r="Y2810" s="1" t="s">
        <v>2593</v>
      </c>
      <c r="Z2810" s="1" t="s">
        <v>37</v>
      </c>
    </row>
    <row r="2811" hidden="1">
      <c r="A2811" s="1" t="s">
        <v>8523</v>
      </c>
      <c r="B2811" s="1" t="s">
        <v>8524</v>
      </c>
      <c r="C2811" s="1" t="s">
        <v>8525</v>
      </c>
      <c r="D2811" s="1" t="s">
        <v>27</v>
      </c>
      <c r="E2811" s="1" t="s">
        <v>28</v>
      </c>
      <c r="F2811" s="2">
        <v>350000.0</v>
      </c>
      <c r="G2811" s="1" t="s">
        <v>1806</v>
      </c>
      <c r="H2811" s="4">
        <f>IFERROR(__xludf.DUMMYFUNCTION("DATE(INDEX(SPLIT(G2811,""/""),,3),INDEX(SPLIT(G2811,""/""),,2),INDEX(SPLIT(G2811,""/""),,1))"),44694.0)</f>
        <v>44694</v>
      </c>
      <c r="I2811" s="1" t="s">
        <v>109</v>
      </c>
      <c r="J2811" s="4">
        <f>IFERROR(__xludf.DUMMYFUNCTION("DATE(INDEX(SPLIT(I2811,""/""),,3),INDEX(SPLIT(I2811,""/""),,2),INDEX(SPLIT(I2811,""/""),,1))"),44834.0)</f>
        <v>44834</v>
      </c>
      <c r="L2811" s="1">
        <v>0.0</v>
      </c>
      <c r="M2811" s="1" t="s">
        <v>5894</v>
      </c>
      <c r="N2811" s="1"/>
      <c r="O2811" s="1" t="s">
        <v>30</v>
      </c>
      <c r="P2811" s="1" t="s">
        <v>31</v>
      </c>
      <c r="Q2811" s="1" t="s">
        <v>32</v>
      </c>
      <c r="R2811" s="1" t="s">
        <v>32</v>
      </c>
      <c r="S2811" s="1" t="s">
        <v>33</v>
      </c>
      <c r="T2811" s="1" t="s">
        <v>1195</v>
      </c>
      <c r="U2811" s="1">
        <v>1.00580806E8</v>
      </c>
      <c r="X2811" s="1" t="s">
        <v>490</v>
      </c>
      <c r="Y2811" s="1" t="s">
        <v>7653</v>
      </c>
      <c r="Z2811" s="1" t="s">
        <v>37</v>
      </c>
    </row>
    <row r="2812" hidden="1">
      <c r="A2812" s="1" t="s">
        <v>8526</v>
      </c>
      <c r="B2812" s="1" t="s">
        <v>4905</v>
      </c>
      <c r="C2812" s="1" t="s">
        <v>8527</v>
      </c>
      <c r="D2812" s="1" t="s">
        <v>27</v>
      </c>
      <c r="E2812" s="1" t="s">
        <v>28</v>
      </c>
      <c r="F2812" s="2">
        <v>350000.0</v>
      </c>
      <c r="G2812" s="1" t="s">
        <v>4901</v>
      </c>
      <c r="H2812" s="4">
        <f>IFERROR(__xludf.DUMMYFUNCTION("DATE(INDEX(SPLIT(G2812,""/""),,3),INDEX(SPLIT(G2812,""/""),,2),INDEX(SPLIT(G2812,""/""),,1))"),44488.0)</f>
        <v>44488</v>
      </c>
      <c r="I2812" s="1" t="s">
        <v>360</v>
      </c>
      <c r="J2812" s="4">
        <f>IFERROR(__xludf.DUMMYFUNCTION("DATE(INDEX(SPLIT(I2812,""/""),,3),INDEX(SPLIT(I2812,""/""),,2),INDEX(SPLIT(I2812,""/""),,1))"),44895.0)</f>
        <v>44895</v>
      </c>
      <c r="L2812" s="1">
        <v>0.0</v>
      </c>
      <c r="M2812" s="1" t="s">
        <v>3546</v>
      </c>
      <c r="N2812" s="1"/>
      <c r="O2812" s="1" t="s">
        <v>30</v>
      </c>
      <c r="P2812" s="1" t="s">
        <v>31</v>
      </c>
      <c r="Q2812" s="1" t="s">
        <v>53</v>
      </c>
      <c r="R2812" s="1" t="s">
        <v>53</v>
      </c>
      <c r="S2812" s="1" t="s">
        <v>54</v>
      </c>
      <c r="T2812" s="1" t="s">
        <v>197</v>
      </c>
      <c r="U2812" s="1">
        <v>1.00608164E8</v>
      </c>
      <c r="X2812" s="1" t="s">
        <v>63</v>
      </c>
      <c r="Y2812" s="1" t="s">
        <v>3053</v>
      </c>
      <c r="Z2812" s="1" t="s">
        <v>37</v>
      </c>
    </row>
    <row r="2813" hidden="1">
      <c r="A2813" s="1" t="s">
        <v>8528</v>
      </c>
      <c r="B2813" s="1" t="s">
        <v>1389</v>
      </c>
      <c r="C2813" s="1" t="s">
        <v>8529</v>
      </c>
      <c r="D2813" s="1" t="s">
        <v>27</v>
      </c>
      <c r="E2813" s="1" t="s">
        <v>28</v>
      </c>
      <c r="F2813" s="2">
        <v>350000.0</v>
      </c>
      <c r="G2813" s="1" t="s">
        <v>1447</v>
      </c>
      <c r="H2813" s="4">
        <f>IFERROR(__xludf.DUMMYFUNCTION("DATE(INDEX(SPLIT(G2813,""/""),,3),INDEX(SPLIT(G2813,""/""),,2),INDEX(SPLIT(G2813,""/""),,1))"),44424.0)</f>
        <v>44424</v>
      </c>
      <c r="I2813" s="1" t="s">
        <v>85</v>
      </c>
      <c r="J2813" s="4">
        <f>IFERROR(__xludf.DUMMYFUNCTION("DATE(INDEX(SPLIT(I2813,""/""),,3),INDEX(SPLIT(I2813,""/""),,2),INDEX(SPLIT(I2813,""/""),,1))"),44799.0)</f>
        <v>44799</v>
      </c>
      <c r="L2813" s="1">
        <v>0.0</v>
      </c>
      <c r="M2813" s="1" t="s">
        <v>2938</v>
      </c>
      <c r="N2813" s="1"/>
      <c r="O2813" s="1" t="s">
        <v>30</v>
      </c>
      <c r="P2813" s="1" t="s">
        <v>31</v>
      </c>
      <c r="Q2813" s="1" t="s">
        <v>95</v>
      </c>
      <c r="R2813" s="1" t="s">
        <v>95</v>
      </c>
      <c r="S2813" s="1" t="s">
        <v>96</v>
      </c>
      <c r="T2813" s="1" t="s">
        <v>97</v>
      </c>
      <c r="U2813" s="1">
        <v>1.00627224E8</v>
      </c>
      <c r="X2813" s="1" t="s">
        <v>125</v>
      </c>
      <c r="Y2813" s="1" t="s">
        <v>2938</v>
      </c>
      <c r="Z2813" s="1" t="s">
        <v>37</v>
      </c>
    </row>
    <row r="2814" hidden="1">
      <c r="A2814" s="1" t="s">
        <v>8530</v>
      </c>
      <c r="B2814" s="1" t="s">
        <v>4572</v>
      </c>
      <c r="C2814" s="1" t="s">
        <v>8531</v>
      </c>
      <c r="D2814" s="1" t="s">
        <v>78</v>
      </c>
      <c r="E2814" s="1" t="s">
        <v>28</v>
      </c>
      <c r="F2814" s="2">
        <v>350000.0</v>
      </c>
      <c r="G2814" s="1" t="s">
        <v>600</v>
      </c>
      <c r="H2814" s="4">
        <f>IFERROR(__xludf.DUMMYFUNCTION("DATE(INDEX(SPLIT(G2814,""/""),,3),INDEX(SPLIT(G2814,""/""),,2),INDEX(SPLIT(G2814,""/""),,1))"),44665.0)</f>
        <v>44665</v>
      </c>
      <c r="I2814" s="1" t="s">
        <v>109</v>
      </c>
      <c r="J2814" s="4">
        <f>IFERROR(__xludf.DUMMYFUNCTION("DATE(INDEX(SPLIT(I2814,""/""),,3),INDEX(SPLIT(I2814,""/""),,2),INDEX(SPLIT(I2814,""/""),,1))"),44834.0)</f>
        <v>44834</v>
      </c>
      <c r="L2814" s="1">
        <v>0.0</v>
      </c>
      <c r="M2814" s="1" t="s">
        <v>2787</v>
      </c>
      <c r="N2814" s="1"/>
      <c r="O2814" s="1" t="s">
        <v>30</v>
      </c>
      <c r="P2814" s="1" t="s">
        <v>31</v>
      </c>
      <c r="Q2814" s="1" t="s">
        <v>157</v>
      </c>
      <c r="R2814" s="1" t="s">
        <v>157</v>
      </c>
      <c r="S2814" s="1" t="s">
        <v>158</v>
      </c>
      <c r="U2814" s="1">
        <v>1.00708984E8</v>
      </c>
      <c r="X2814" s="1" t="s">
        <v>375</v>
      </c>
      <c r="Y2814" s="1" t="s">
        <v>4690</v>
      </c>
      <c r="Z2814" s="1" t="s">
        <v>37</v>
      </c>
    </row>
    <row r="2815">
      <c r="A2815" s="1" t="s">
        <v>8532</v>
      </c>
      <c r="B2815" s="1" t="s">
        <v>1352</v>
      </c>
      <c r="C2815" s="1" t="s">
        <v>8533</v>
      </c>
      <c r="D2815" s="1" t="s">
        <v>27</v>
      </c>
      <c r="E2815" s="1" t="s">
        <v>28</v>
      </c>
      <c r="F2815" s="2">
        <v>350000.0</v>
      </c>
      <c r="G2815" s="4">
        <v>44540.0</v>
      </c>
      <c r="H2815" s="4">
        <f>IFERROR(__xludf.DUMMYFUNCTION("DATE(INDEX(SPLIT(G2815,""/""),,3),INDEX(SPLIT(G2815,""/""),,2),INDEX(SPLIT(G2815,""/""),,1))"),44481.0)</f>
        <v>44481</v>
      </c>
      <c r="I2815" s="1" t="s">
        <v>1244</v>
      </c>
      <c r="J2815" s="4">
        <f>IFERROR(__xludf.DUMMYFUNCTION("DATE(INDEX(SPLIT(I2815,""/""),,3),INDEX(SPLIT(I2815,""/""),,2),INDEX(SPLIT(I2815,""/""),,1))"),44742.0)</f>
        <v>44742</v>
      </c>
      <c r="L2815" s="1">
        <v>0.0</v>
      </c>
      <c r="M2815" s="1" t="s">
        <v>2752</v>
      </c>
      <c r="N2815" s="1"/>
      <c r="O2815" s="1" t="s">
        <v>30</v>
      </c>
      <c r="P2815" s="1" t="s">
        <v>31</v>
      </c>
      <c r="Q2815" s="1" t="s">
        <v>235</v>
      </c>
      <c r="R2815" s="1" t="s">
        <v>235</v>
      </c>
      <c r="S2815" s="1" t="s">
        <v>236</v>
      </c>
      <c r="T2815" s="1" t="s">
        <v>1349</v>
      </c>
      <c r="U2815" s="1">
        <v>1.0062606E8</v>
      </c>
      <c r="X2815" s="1" t="s">
        <v>375</v>
      </c>
      <c r="Y2815" s="1" t="s">
        <v>7800</v>
      </c>
      <c r="Z2815" s="1" t="s">
        <v>37</v>
      </c>
    </row>
    <row r="2816">
      <c r="A2816" s="1" t="s">
        <v>8534</v>
      </c>
      <c r="B2816" s="1" t="s">
        <v>3960</v>
      </c>
      <c r="C2816" s="1" t="s">
        <v>8535</v>
      </c>
      <c r="D2816" s="1" t="s">
        <v>27</v>
      </c>
      <c r="E2816" s="1" t="s">
        <v>28</v>
      </c>
      <c r="F2816" s="2">
        <v>350000.0</v>
      </c>
      <c r="G2816" s="1" t="s">
        <v>2329</v>
      </c>
      <c r="H2816" s="4">
        <f>IFERROR(__xludf.DUMMYFUNCTION("DATE(INDEX(SPLIT(G2816,""/""),,3),INDEX(SPLIT(G2816,""/""),,2),INDEX(SPLIT(G2816,""/""),,1))"),44732.0)</f>
        <v>44732</v>
      </c>
      <c r="I2816" s="1" t="s">
        <v>935</v>
      </c>
      <c r="J2816" s="4">
        <f>IFERROR(__xludf.DUMMYFUNCTION("DATE(INDEX(SPLIT(I2816,""/""),,3),INDEX(SPLIT(I2816,""/""),,2),INDEX(SPLIT(I2816,""/""),,1))"),44764.0)</f>
        <v>44764</v>
      </c>
      <c r="L2816" s="1">
        <v>0.0</v>
      </c>
      <c r="M2816" s="1" t="s">
        <v>3962</v>
      </c>
      <c r="N2816" s="1"/>
      <c r="O2816" s="1" t="s">
        <v>30</v>
      </c>
      <c r="P2816" s="1" t="s">
        <v>31</v>
      </c>
      <c r="Q2816" s="1" t="s">
        <v>95</v>
      </c>
      <c r="R2816" s="1" t="s">
        <v>95</v>
      </c>
      <c r="S2816" s="1" t="s">
        <v>96</v>
      </c>
      <c r="U2816" s="1">
        <v>1.01143771E8</v>
      </c>
      <c r="X2816" s="1" t="s">
        <v>88</v>
      </c>
      <c r="Y2816" s="1" t="s">
        <v>3962</v>
      </c>
      <c r="Z2816" s="1" t="s">
        <v>206</v>
      </c>
    </row>
    <row r="2817" hidden="1">
      <c r="A2817" s="1" t="s">
        <v>8536</v>
      </c>
      <c r="B2817" s="1" t="s">
        <v>1275</v>
      </c>
      <c r="C2817" s="1" t="s">
        <v>8537</v>
      </c>
      <c r="D2817" s="1" t="s">
        <v>78</v>
      </c>
      <c r="E2817" s="1" t="s">
        <v>28</v>
      </c>
      <c r="F2817" s="2">
        <v>350000.0</v>
      </c>
      <c r="G2817" s="1" t="s">
        <v>1500</v>
      </c>
      <c r="H2817" s="4">
        <f>IFERROR(__xludf.DUMMYFUNCTION("DATE(INDEX(SPLIT(G2817,""/""),,3),INDEX(SPLIT(G2817,""/""),,2),INDEX(SPLIT(G2817,""/""),,1))"),44695.0)</f>
        <v>44695</v>
      </c>
      <c r="I2817" s="1" t="s">
        <v>130</v>
      </c>
      <c r="J2817" s="4">
        <f>IFERROR(__xludf.DUMMYFUNCTION("DATE(INDEX(SPLIT(I2817,""/""),,3),INDEX(SPLIT(I2817,""/""),,2),INDEX(SPLIT(I2817,""/""),,1))"),44804.0)</f>
        <v>44804</v>
      </c>
      <c r="L2817" s="1">
        <v>0.0</v>
      </c>
      <c r="M2817" s="1" t="s">
        <v>211</v>
      </c>
      <c r="N2817" s="1"/>
      <c r="O2817" s="1" t="s">
        <v>30</v>
      </c>
      <c r="P2817" s="1" t="s">
        <v>31</v>
      </c>
      <c r="Q2817" s="1" t="s">
        <v>71</v>
      </c>
      <c r="R2817" s="1" t="s">
        <v>71</v>
      </c>
      <c r="S2817" s="1" t="s">
        <v>72</v>
      </c>
      <c r="T2817" s="1" t="s">
        <v>136</v>
      </c>
      <c r="U2817" s="1">
        <v>1.00590896E8</v>
      </c>
      <c r="X2817" s="1" t="s">
        <v>74</v>
      </c>
      <c r="Y2817" s="1" t="s">
        <v>2036</v>
      </c>
      <c r="Z2817" s="1" t="s">
        <v>37</v>
      </c>
    </row>
    <row r="2818" hidden="1">
      <c r="A2818" s="1" t="s">
        <v>8538</v>
      </c>
      <c r="B2818" s="1" t="s">
        <v>2609</v>
      </c>
      <c r="C2818" s="1" t="s">
        <v>8539</v>
      </c>
      <c r="D2818" s="1" t="s">
        <v>27</v>
      </c>
      <c r="E2818" s="1" t="s">
        <v>28</v>
      </c>
      <c r="F2818" s="2">
        <v>350000.0</v>
      </c>
      <c r="G2818" s="1" t="s">
        <v>1806</v>
      </c>
      <c r="H2818" s="4">
        <f>IFERROR(__xludf.DUMMYFUNCTION("DATE(INDEX(SPLIT(G2818,""/""),,3),INDEX(SPLIT(G2818,""/""),,2),INDEX(SPLIT(G2818,""/""),,1))"),44694.0)</f>
        <v>44694</v>
      </c>
      <c r="I2818" s="1" t="s">
        <v>109</v>
      </c>
      <c r="J2818" s="4">
        <f>IFERROR(__xludf.DUMMYFUNCTION("DATE(INDEX(SPLIT(I2818,""/""),,3),INDEX(SPLIT(I2818,""/""),,2),INDEX(SPLIT(I2818,""/""),,1))"),44834.0)</f>
        <v>44834</v>
      </c>
      <c r="L2818" s="1">
        <v>0.0</v>
      </c>
      <c r="M2818" s="1" t="s">
        <v>5894</v>
      </c>
      <c r="N2818" s="1"/>
      <c r="O2818" s="1" t="s">
        <v>30</v>
      </c>
      <c r="P2818" s="1" t="s">
        <v>31</v>
      </c>
      <c r="Q2818" s="1" t="s">
        <v>32</v>
      </c>
      <c r="R2818" s="1" t="s">
        <v>32</v>
      </c>
      <c r="S2818" s="1" t="s">
        <v>33</v>
      </c>
      <c r="T2818" s="1" t="s">
        <v>1195</v>
      </c>
      <c r="U2818" s="1">
        <v>1.00580806E8</v>
      </c>
      <c r="X2818" s="1" t="s">
        <v>490</v>
      </c>
      <c r="Y2818" s="1" t="s">
        <v>7653</v>
      </c>
      <c r="Z2818" s="1" t="s">
        <v>37</v>
      </c>
    </row>
    <row r="2819">
      <c r="A2819" s="1" t="s">
        <v>8540</v>
      </c>
      <c r="B2819" s="1" t="s">
        <v>1050</v>
      </c>
      <c r="C2819" s="1" t="s">
        <v>8541</v>
      </c>
      <c r="D2819" s="1" t="s">
        <v>78</v>
      </c>
      <c r="E2819" s="1" t="s">
        <v>28</v>
      </c>
      <c r="F2819" s="2">
        <v>350000.0</v>
      </c>
      <c r="G2819" s="1" t="s">
        <v>164</v>
      </c>
      <c r="H2819" s="4">
        <f>IFERROR(__xludf.DUMMYFUNCTION("DATE(INDEX(SPLIT(G2819,""/""),,3),INDEX(SPLIT(G2819,""/""),,2),INDEX(SPLIT(G2819,""/""),,1))"),44706.0)</f>
        <v>44706</v>
      </c>
      <c r="I2819" s="1" t="s">
        <v>935</v>
      </c>
      <c r="J2819" s="4">
        <f>IFERROR(__xludf.DUMMYFUNCTION("DATE(INDEX(SPLIT(I2819,""/""),,3),INDEX(SPLIT(I2819,""/""),,2),INDEX(SPLIT(I2819,""/""),,1))"),44764.0)</f>
        <v>44764</v>
      </c>
      <c r="L2819" s="1">
        <v>0.0</v>
      </c>
      <c r="M2819" s="1" t="s">
        <v>7598</v>
      </c>
      <c r="N2819" s="1"/>
      <c r="O2819" s="1" t="s">
        <v>30</v>
      </c>
      <c r="P2819" s="1" t="s">
        <v>31</v>
      </c>
      <c r="Q2819" s="1" t="s">
        <v>32</v>
      </c>
      <c r="R2819" s="1" t="s">
        <v>32</v>
      </c>
      <c r="S2819" s="1" t="s">
        <v>33</v>
      </c>
      <c r="U2819" s="1">
        <v>1.00644939E8</v>
      </c>
      <c r="X2819" s="1" t="s">
        <v>239</v>
      </c>
      <c r="Y2819" s="1" t="s">
        <v>2601</v>
      </c>
      <c r="Z2819" s="1" t="s">
        <v>37</v>
      </c>
    </row>
    <row r="2820">
      <c r="A2820" s="1" t="s">
        <v>8542</v>
      </c>
      <c r="B2820" s="1" t="s">
        <v>6131</v>
      </c>
      <c r="C2820" s="1" t="s">
        <v>8543</v>
      </c>
      <c r="D2820" s="1" t="s">
        <v>78</v>
      </c>
      <c r="E2820" s="1" t="s">
        <v>28</v>
      </c>
      <c r="F2820" s="2">
        <v>350000.0</v>
      </c>
      <c r="G2820" s="1" t="s">
        <v>3883</v>
      </c>
      <c r="H2820" s="4">
        <f>IFERROR(__xludf.DUMMYFUNCTION("DATE(INDEX(SPLIT(G2820,""/""),,3),INDEX(SPLIT(G2820,""/""),,2),INDEX(SPLIT(G2820,""/""),,1))"),44666.0)</f>
        <v>44666</v>
      </c>
      <c r="I2820" s="1" t="s">
        <v>69</v>
      </c>
      <c r="J2820" s="4">
        <f>IFERROR(__xludf.DUMMYFUNCTION("DATE(INDEX(SPLIT(I2820,""/""),,3),INDEX(SPLIT(I2820,""/""),,2),INDEX(SPLIT(I2820,""/""),,1))"),44773.0)</f>
        <v>44773</v>
      </c>
      <c r="L2820" s="1">
        <v>0.0</v>
      </c>
      <c r="M2820" s="1" t="s">
        <v>2752</v>
      </c>
      <c r="N2820" s="1"/>
      <c r="O2820" s="1" t="s">
        <v>30</v>
      </c>
      <c r="P2820" s="1" t="s">
        <v>31</v>
      </c>
      <c r="Q2820" s="1" t="s">
        <v>235</v>
      </c>
      <c r="R2820" s="1" t="s">
        <v>235</v>
      </c>
      <c r="S2820" s="1" t="s">
        <v>236</v>
      </c>
      <c r="T2820" s="1" t="s">
        <v>1349</v>
      </c>
      <c r="U2820" s="1">
        <v>1.0062606E8</v>
      </c>
      <c r="X2820" s="1" t="s">
        <v>375</v>
      </c>
      <c r="Y2820" s="1" t="s">
        <v>2752</v>
      </c>
      <c r="Z2820" s="1" t="s">
        <v>37</v>
      </c>
    </row>
    <row r="2821" hidden="1">
      <c r="A2821" s="1" t="s">
        <v>8544</v>
      </c>
      <c r="B2821" s="1" t="s">
        <v>4080</v>
      </c>
      <c r="C2821" s="1" t="s">
        <v>8545</v>
      </c>
      <c r="D2821" s="1" t="s">
        <v>78</v>
      </c>
      <c r="E2821" s="1" t="s">
        <v>28</v>
      </c>
      <c r="F2821" s="2">
        <v>350000.0</v>
      </c>
      <c r="G2821" s="1" t="s">
        <v>3158</v>
      </c>
      <c r="H2821" s="4">
        <f>IFERROR(__xludf.DUMMYFUNCTION("DATE(INDEX(SPLIT(G2821,""/""),,3),INDEX(SPLIT(G2821,""/""),,2),INDEX(SPLIT(G2821,""/""),,1))"),44468.0)</f>
        <v>44468</v>
      </c>
      <c r="I2821" s="1" t="s">
        <v>109</v>
      </c>
      <c r="J2821" s="4">
        <f>IFERROR(__xludf.DUMMYFUNCTION("DATE(INDEX(SPLIT(I2821,""/""),,3),INDEX(SPLIT(I2821,""/""),,2),INDEX(SPLIT(I2821,""/""),,1))"),44834.0)</f>
        <v>44834</v>
      </c>
      <c r="L2821" s="1">
        <v>0.0</v>
      </c>
      <c r="M2821" s="1" t="s">
        <v>978</v>
      </c>
      <c r="N2821" s="1"/>
      <c r="O2821" s="1" t="s">
        <v>30</v>
      </c>
      <c r="P2821" s="1" t="s">
        <v>31</v>
      </c>
      <c r="Q2821" s="1" t="s">
        <v>235</v>
      </c>
      <c r="R2821" s="1" t="s">
        <v>235</v>
      </c>
      <c r="S2821" s="1" t="s">
        <v>236</v>
      </c>
      <c r="T2821" s="1" t="s">
        <v>438</v>
      </c>
      <c r="U2821" s="1">
        <v>1.00608243E8</v>
      </c>
      <c r="X2821" s="1" t="s">
        <v>239</v>
      </c>
      <c r="Y2821" s="1" t="s">
        <v>8546</v>
      </c>
      <c r="Z2821" s="1" t="s">
        <v>206</v>
      </c>
    </row>
    <row r="2822" hidden="1">
      <c r="A2822" s="1" t="s">
        <v>8547</v>
      </c>
      <c r="B2822" s="1" t="s">
        <v>1144</v>
      </c>
      <c r="C2822" s="1" t="s">
        <v>8548</v>
      </c>
      <c r="D2822" s="1" t="s">
        <v>78</v>
      </c>
      <c r="E2822" s="1" t="s">
        <v>28</v>
      </c>
      <c r="F2822" s="2">
        <v>350000.0</v>
      </c>
      <c r="G2822" s="4">
        <v>44748.0</v>
      </c>
      <c r="H2822" s="4">
        <f>IFERROR(__xludf.DUMMYFUNCTION("DATE(INDEX(SPLIT(G2822,""/""),,3),INDEX(SPLIT(G2822,""/""),,2),INDEX(SPLIT(G2822,""/""),,1))"),44719.0)</f>
        <v>44719</v>
      </c>
      <c r="I2822" s="1" t="s">
        <v>42</v>
      </c>
      <c r="J2822" s="4">
        <f>IFERROR(__xludf.DUMMYFUNCTION("DATE(INDEX(SPLIT(I2822,""/""),,3),INDEX(SPLIT(I2822,""/""),,2),INDEX(SPLIT(I2822,""/""),,1))"),44926.0)</f>
        <v>44926</v>
      </c>
      <c r="L2822" s="1">
        <v>0.0</v>
      </c>
      <c r="M2822" s="1" t="s">
        <v>1146</v>
      </c>
      <c r="N2822" s="1"/>
      <c r="O2822" s="1" t="s">
        <v>30</v>
      </c>
      <c r="P2822" s="1" t="s">
        <v>31</v>
      </c>
      <c r="Q2822" s="1" t="s">
        <v>228</v>
      </c>
      <c r="R2822" s="1" t="s">
        <v>228</v>
      </c>
      <c r="S2822" s="1" t="s">
        <v>229</v>
      </c>
      <c r="T2822" s="1" t="s">
        <v>640</v>
      </c>
      <c r="U2822" s="1">
        <v>1.0061139E8</v>
      </c>
      <c r="X2822" s="1" t="s">
        <v>63</v>
      </c>
      <c r="Y2822" s="1" t="s">
        <v>1147</v>
      </c>
      <c r="Z2822" s="1" t="s">
        <v>37</v>
      </c>
    </row>
    <row r="2823">
      <c r="A2823" s="1" t="s">
        <v>8549</v>
      </c>
      <c r="B2823" s="1" t="s">
        <v>7034</v>
      </c>
      <c r="C2823" s="1" t="s">
        <v>8550</v>
      </c>
      <c r="D2823" s="1" t="s">
        <v>27</v>
      </c>
      <c r="E2823" s="1" t="s">
        <v>28</v>
      </c>
      <c r="F2823" s="2">
        <v>350000.0</v>
      </c>
      <c r="G2823" s="1" t="s">
        <v>1136</v>
      </c>
      <c r="H2823" s="4">
        <f>IFERROR(__xludf.DUMMYFUNCTION("DATE(INDEX(SPLIT(G2823,""/""),,3),INDEX(SPLIT(G2823,""/""),,2),INDEX(SPLIT(G2823,""/""),,1))"),44608.0)</f>
        <v>44608</v>
      </c>
      <c r="I2823" s="1" t="s">
        <v>1244</v>
      </c>
      <c r="J2823" s="4">
        <f>IFERROR(__xludf.DUMMYFUNCTION("DATE(INDEX(SPLIT(I2823,""/""),,3),INDEX(SPLIT(I2823,""/""),,2),INDEX(SPLIT(I2823,""/""),,1))"),44742.0)</f>
        <v>44742</v>
      </c>
      <c r="L2823" s="1">
        <v>0.0</v>
      </c>
      <c r="M2823" s="1" t="s">
        <v>1610</v>
      </c>
      <c r="N2823" s="1"/>
      <c r="O2823" s="1" t="s">
        <v>30</v>
      </c>
      <c r="P2823" s="1" t="s">
        <v>31</v>
      </c>
      <c r="Q2823" s="1" t="s">
        <v>53</v>
      </c>
      <c r="R2823" s="1" t="s">
        <v>53</v>
      </c>
      <c r="S2823" s="1" t="s">
        <v>54</v>
      </c>
      <c r="U2823" s="1">
        <v>1.01141441E8</v>
      </c>
      <c r="X2823" s="1" t="s">
        <v>81</v>
      </c>
      <c r="Y2823" s="1" t="s">
        <v>8551</v>
      </c>
      <c r="Z2823" s="1" t="s">
        <v>37</v>
      </c>
    </row>
    <row r="2824">
      <c r="A2824" s="1" t="s">
        <v>8552</v>
      </c>
      <c r="B2824" s="1" t="s">
        <v>8553</v>
      </c>
      <c r="C2824" s="1" t="s">
        <v>8554</v>
      </c>
      <c r="D2824" s="1" t="s">
        <v>78</v>
      </c>
      <c r="E2824" s="1" t="s">
        <v>28</v>
      </c>
      <c r="F2824" s="2">
        <v>350000.0</v>
      </c>
      <c r="G2824" s="1" t="s">
        <v>1154</v>
      </c>
      <c r="H2824" s="4">
        <f>IFERROR(__xludf.DUMMYFUNCTION("DATE(INDEX(SPLIT(G2824,""/""),,3),INDEX(SPLIT(G2824,""/""),,2),INDEX(SPLIT(G2824,""/""),,1))"),44735.0)</f>
        <v>44735</v>
      </c>
      <c r="I2824" s="1" t="s">
        <v>226</v>
      </c>
      <c r="J2824" s="4">
        <f>IFERROR(__xludf.DUMMYFUNCTION("DATE(INDEX(SPLIT(I2824,""/""),,3),INDEX(SPLIT(I2824,""/""),,2),INDEX(SPLIT(I2824,""/""),,1))"),44771.0)</f>
        <v>44771</v>
      </c>
      <c r="L2824" s="1">
        <v>0.0</v>
      </c>
      <c r="M2824" s="1" t="s">
        <v>1759</v>
      </c>
      <c r="N2824" s="1"/>
      <c r="O2824" s="1" t="s">
        <v>30</v>
      </c>
      <c r="P2824" s="1" t="s">
        <v>31</v>
      </c>
      <c r="Q2824" s="1" t="s">
        <v>95</v>
      </c>
      <c r="R2824" s="1" t="s">
        <v>95</v>
      </c>
      <c r="S2824" s="1" t="s">
        <v>96</v>
      </c>
      <c r="T2824" s="1" t="s">
        <v>602</v>
      </c>
      <c r="U2824" s="1">
        <v>1.00596555E8</v>
      </c>
      <c r="X2824" s="1" t="s">
        <v>88</v>
      </c>
      <c r="Y2824" s="1" t="s">
        <v>1759</v>
      </c>
      <c r="Z2824" s="1" t="s">
        <v>206</v>
      </c>
    </row>
    <row r="2825">
      <c r="A2825" s="1" t="s">
        <v>8555</v>
      </c>
      <c r="B2825" s="1" t="s">
        <v>3820</v>
      </c>
      <c r="C2825" s="1" t="s">
        <v>8556</v>
      </c>
      <c r="D2825" s="1" t="s">
        <v>78</v>
      </c>
      <c r="E2825" s="1" t="s">
        <v>28</v>
      </c>
      <c r="F2825" s="2">
        <v>350000.0</v>
      </c>
      <c r="G2825" s="1" t="s">
        <v>1521</v>
      </c>
      <c r="H2825" s="4">
        <f>IFERROR(__xludf.DUMMYFUNCTION("DATE(INDEX(SPLIT(G2825,""/""),,3),INDEX(SPLIT(G2825,""/""),,2),INDEX(SPLIT(G2825,""/""),,1))"),44756.0)</f>
        <v>44756</v>
      </c>
      <c r="I2825" s="1" t="s">
        <v>226</v>
      </c>
      <c r="J2825" s="4">
        <f>IFERROR(__xludf.DUMMYFUNCTION("DATE(INDEX(SPLIT(I2825,""/""),,3),INDEX(SPLIT(I2825,""/""),,2),INDEX(SPLIT(I2825,""/""),,1))"),44771.0)</f>
        <v>44771</v>
      </c>
      <c r="L2825" s="1">
        <v>0.0</v>
      </c>
      <c r="M2825" s="1" t="s">
        <v>4591</v>
      </c>
      <c r="N2825" s="1"/>
      <c r="O2825" s="1" t="s">
        <v>30</v>
      </c>
      <c r="P2825" s="1" t="s">
        <v>31</v>
      </c>
      <c r="Q2825" s="1" t="s">
        <v>157</v>
      </c>
      <c r="R2825" s="1" t="s">
        <v>157</v>
      </c>
      <c r="S2825" s="1" t="s">
        <v>158</v>
      </c>
      <c r="U2825" s="1">
        <v>1.01056026E8</v>
      </c>
      <c r="X2825" s="1" t="s">
        <v>88</v>
      </c>
      <c r="Y2825" s="1" t="s">
        <v>4960</v>
      </c>
      <c r="Z2825" s="1" t="s">
        <v>37</v>
      </c>
    </row>
    <row r="2826" hidden="1">
      <c r="A2826" s="1" t="s">
        <v>8557</v>
      </c>
      <c r="B2826" s="1" t="s">
        <v>2735</v>
      </c>
      <c r="C2826" s="1" t="s">
        <v>8558</v>
      </c>
      <c r="D2826" s="1" t="s">
        <v>78</v>
      </c>
      <c r="E2826" s="1" t="s">
        <v>28</v>
      </c>
      <c r="F2826" s="2">
        <v>350000.0</v>
      </c>
      <c r="G2826" s="1" t="s">
        <v>1170</v>
      </c>
      <c r="H2826" s="4">
        <f>IFERROR(__xludf.DUMMYFUNCTION("DATE(INDEX(SPLIT(G2826,""/""),,3),INDEX(SPLIT(G2826,""/""),,2),INDEX(SPLIT(G2826,""/""),,1))"),44336.0)</f>
        <v>44336</v>
      </c>
      <c r="I2826" s="1" t="s">
        <v>109</v>
      </c>
      <c r="J2826" s="4">
        <f>IFERROR(__xludf.DUMMYFUNCTION("DATE(INDEX(SPLIT(I2826,""/""),,3),INDEX(SPLIT(I2826,""/""),,2),INDEX(SPLIT(I2826,""/""),,1))"),44834.0)</f>
        <v>44834</v>
      </c>
      <c r="L2826" s="1">
        <v>0.0</v>
      </c>
      <c r="M2826" s="1" t="s">
        <v>3138</v>
      </c>
      <c r="N2826" s="1"/>
      <c r="O2826" s="1" t="s">
        <v>30</v>
      </c>
      <c r="P2826" s="1" t="s">
        <v>31</v>
      </c>
      <c r="Q2826" s="1" t="s">
        <v>157</v>
      </c>
      <c r="R2826" s="1" t="s">
        <v>157</v>
      </c>
      <c r="S2826" s="1" t="s">
        <v>158</v>
      </c>
      <c r="T2826" s="1" t="s">
        <v>442</v>
      </c>
      <c r="U2826" s="1">
        <v>1.00616377E8</v>
      </c>
      <c r="X2826" s="1" t="s">
        <v>490</v>
      </c>
      <c r="Y2826" s="1" t="s">
        <v>3138</v>
      </c>
      <c r="Z2826" s="1" t="s">
        <v>37</v>
      </c>
    </row>
    <row r="2827">
      <c r="A2827" s="1" t="s">
        <v>8559</v>
      </c>
      <c r="B2827" s="1" t="s">
        <v>2000</v>
      </c>
      <c r="C2827" s="1" t="s">
        <v>8560</v>
      </c>
      <c r="D2827" s="1" t="s">
        <v>122</v>
      </c>
      <c r="E2827" s="1" t="s">
        <v>28</v>
      </c>
      <c r="F2827" s="2">
        <v>350000.0</v>
      </c>
      <c r="G2827" s="4">
        <v>44811.0</v>
      </c>
      <c r="H2827" s="4">
        <f>IFERROR(__xludf.DUMMYFUNCTION("DATE(INDEX(SPLIT(G2827,""/""),,3),INDEX(SPLIT(G2827,""/""),,2),INDEX(SPLIT(G2827,""/""),,1))"),44751.0)</f>
        <v>44751</v>
      </c>
      <c r="I2827" s="1" t="s">
        <v>226</v>
      </c>
      <c r="J2827" s="4">
        <f>IFERROR(__xludf.DUMMYFUNCTION("DATE(INDEX(SPLIT(I2827,""/""),,3),INDEX(SPLIT(I2827,""/""),,2),INDEX(SPLIT(I2827,""/""),,1))"),44771.0)</f>
        <v>44771</v>
      </c>
      <c r="L2827" s="1">
        <v>0.0</v>
      </c>
      <c r="M2827" s="1" t="s">
        <v>3116</v>
      </c>
      <c r="N2827" s="1"/>
      <c r="O2827" s="1" t="s">
        <v>30</v>
      </c>
      <c r="P2827" s="1" t="s">
        <v>31</v>
      </c>
      <c r="Q2827" s="1" t="s">
        <v>157</v>
      </c>
      <c r="R2827" s="1" t="s">
        <v>157</v>
      </c>
      <c r="S2827" s="1" t="s">
        <v>158</v>
      </c>
      <c r="U2827" s="1">
        <v>1.00574828E8</v>
      </c>
      <c r="X2827" s="1" t="s">
        <v>63</v>
      </c>
      <c r="Y2827" s="1" t="s">
        <v>3117</v>
      </c>
      <c r="Z2827" s="1" t="s">
        <v>37</v>
      </c>
    </row>
    <row r="2828" hidden="1">
      <c r="A2828" s="1" t="s">
        <v>8561</v>
      </c>
      <c r="B2828" s="1" t="s">
        <v>8562</v>
      </c>
      <c r="C2828" s="1" t="s">
        <v>8563</v>
      </c>
      <c r="D2828" s="1" t="s">
        <v>122</v>
      </c>
      <c r="E2828" s="1" t="s">
        <v>28</v>
      </c>
      <c r="F2828" s="2">
        <v>350000.0</v>
      </c>
      <c r="G2828" s="1" t="s">
        <v>1740</v>
      </c>
      <c r="H2828" s="4">
        <f>IFERROR(__xludf.DUMMYFUNCTION("DATE(INDEX(SPLIT(G2828,""/""),,3),INDEX(SPLIT(G2828,""/""),,2),INDEX(SPLIT(G2828,""/""),,1))"),44456.0)</f>
        <v>44456</v>
      </c>
      <c r="I2828" s="1" t="s">
        <v>42</v>
      </c>
      <c r="J2828" s="4">
        <f>IFERROR(__xludf.DUMMYFUNCTION("DATE(INDEX(SPLIT(I2828,""/""),,3),INDEX(SPLIT(I2828,""/""),,2),INDEX(SPLIT(I2828,""/""),,1))"),44926.0)</f>
        <v>44926</v>
      </c>
      <c r="L2828" s="1">
        <v>0.0</v>
      </c>
      <c r="M2828" s="1" t="s">
        <v>2989</v>
      </c>
      <c r="N2828" s="1"/>
      <c r="O2828" s="1" t="s">
        <v>30</v>
      </c>
      <c r="P2828" s="1" t="s">
        <v>31</v>
      </c>
      <c r="Q2828" s="1" t="s">
        <v>235</v>
      </c>
      <c r="R2828" s="1" t="s">
        <v>235</v>
      </c>
      <c r="S2828" s="1" t="s">
        <v>236</v>
      </c>
      <c r="T2828" s="1" t="s">
        <v>438</v>
      </c>
      <c r="U2828" s="1">
        <v>1.00647463E8</v>
      </c>
      <c r="X2828" s="1" t="s">
        <v>88</v>
      </c>
      <c r="Y2828" s="1" t="s">
        <v>2445</v>
      </c>
      <c r="Z2828" s="1" t="s">
        <v>37</v>
      </c>
    </row>
    <row r="2829" hidden="1">
      <c r="A2829" s="1" t="s">
        <v>8564</v>
      </c>
      <c r="B2829" s="1" t="s">
        <v>8565</v>
      </c>
      <c r="C2829" s="1" t="s">
        <v>8539</v>
      </c>
      <c r="D2829" s="1" t="s">
        <v>27</v>
      </c>
      <c r="E2829" s="1" t="s">
        <v>28</v>
      </c>
      <c r="F2829" s="2">
        <v>350000.0</v>
      </c>
      <c r="G2829" s="1" t="s">
        <v>1806</v>
      </c>
      <c r="H2829" s="4">
        <f>IFERROR(__xludf.DUMMYFUNCTION("DATE(INDEX(SPLIT(G2829,""/""),,3),INDEX(SPLIT(G2829,""/""),,2),INDEX(SPLIT(G2829,""/""),,1))"),44694.0)</f>
        <v>44694</v>
      </c>
      <c r="I2829" s="1" t="s">
        <v>109</v>
      </c>
      <c r="J2829" s="4">
        <f>IFERROR(__xludf.DUMMYFUNCTION("DATE(INDEX(SPLIT(I2829,""/""),,3),INDEX(SPLIT(I2829,""/""),,2),INDEX(SPLIT(I2829,""/""),,1))"),44834.0)</f>
        <v>44834</v>
      </c>
      <c r="L2829" s="1">
        <v>0.0</v>
      </c>
      <c r="M2829" s="1" t="s">
        <v>5894</v>
      </c>
      <c r="N2829" s="1"/>
      <c r="O2829" s="1" t="s">
        <v>30</v>
      </c>
      <c r="P2829" s="1" t="s">
        <v>31</v>
      </c>
      <c r="Q2829" s="1" t="s">
        <v>32</v>
      </c>
      <c r="R2829" s="1" t="s">
        <v>32</v>
      </c>
      <c r="S2829" s="1" t="s">
        <v>33</v>
      </c>
      <c r="T2829" s="1" t="s">
        <v>1195</v>
      </c>
      <c r="U2829" s="1">
        <v>1.00580806E8</v>
      </c>
      <c r="X2829" s="1" t="s">
        <v>490</v>
      </c>
      <c r="Y2829" s="1" t="s">
        <v>7653</v>
      </c>
      <c r="Z2829" s="1" t="s">
        <v>37</v>
      </c>
    </row>
    <row r="2830" hidden="1">
      <c r="A2830" s="1" t="s">
        <v>8566</v>
      </c>
      <c r="B2830" s="1" t="s">
        <v>8567</v>
      </c>
      <c r="C2830" s="1" t="s">
        <v>8539</v>
      </c>
      <c r="D2830" s="1" t="s">
        <v>27</v>
      </c>
      <c r="E2830" s="1" t="s">
        <v>28</v>
      </c>
      <c r="F2830" s="2">
        <v>350000.0</v>
      </c>
      <c r="G2830" s="1" t="s">
        <v>1806</v>
      </c>
      <c r="H2830" s="4">
        <f>IFERROR(__xludf.DUMMYFUNCTION("DATE(INDEX(SPLIT(G2830,""/""),,3),INDEX(SPLIT(G2830,""/""),,2),INDEX(SPLIT(G2830,""/""),,1))"),44694.0)</f>
        <v>44694</v>
      </c>
      <c r="I2830" s="1" t="s">
        <v>109</v>
      </c>
      <c r="J2830" s="4">
        <f>IFERROR(__xludf.DUMMYFUNCTION("DATE(INDEX(SPLIT(I2830,""/""),,3),INDEX(SPLIT(I2830,""/""),,2),INDEX(SPLIT(I2830,""/""),,1))"),44834.0)</f>
        <v>44834</v>
      </c>
      <c r="L2830" s="1">
        <v>0.0</v>
      </c>
      <c r="M2830" s="1" t="s">
        <v>5894</v>
      </c>
      <c r="N2830" s="1"/>
      <c r="O2830" s="1" t="s">
        <v>30</v>
      </c>
      <c r="P2830" s="1" t="s">
        <v>31</v>
      </c>
      <c r="Q2830" s="1" t="s">
        <v>32</v>
      </c>
      <c r="R2830" s="1" t="s">
        <v>32</v>
      </c>
      <c r="S2830" s="1" t="s">
        <v>33</v>
      </c>
      <c r="T2830" s="1" t="s">
        <v>1195</v>
      </c>
      <c r="U2830" s="1">
        <v>1.00580806E8</v>
      </c>
      <c r="X2830" s="1" t="s">
        <v>490</v>
      </c>
      <c r="Y2830" s="1" t="s">
        <v>7653</v>
      </c>
      <c r="Z2830" s="1" t="s">
        <v>37</v>
      </c>
    </row>
    <row r="2831" hidden="1">
      <c r="A2831" s="1" t="s">
        <v>8568</v>
      </c>
      <c r="B2831" s="1" t="s">
        <v>6392</v>
      </c>
      <c r="C2831" s="1" t="s">
        <v>8569</v>
      </c>
      <c r="D2831" s="1" t="s">
        <v>27</v>
      </c>
      <c r="E2831" s="1" t="s">
        <v>28</v>
      </c>
      <c r="F2831" s="2">
        <v>350000.0</v>
      </c>
      <c r="G2831" s="1" t="s">
        <v>1806</v>
      </c>
      <c r="H2831" s="4">
        <f>IFERROR(__xludf.DUMMYFUNCTION("DATE(INDEX(SPLIT(G2831,""/""),,3),INDEX(SPLIT(G2831,""/""),,2),INDEX(SPLIT(G2831,""/""),,1))"),44694.0)</f>
        <v>44694</v>
      </c>
      <c r="I2831" s="1" t="s">
        <v>109</v>
      </c>
      <c r="J2831" s="4">
        <f>IFERROR(__xludf.DUMMYFUNCTION("DATE(INDEX(SPLIT(I2831,""/""),,3),INDEX(SPLIT(I2831,""/""),,2),INDEX(SPLIT(I2831,""/""),,1))"),44834.0)</f>
        <v>44834</v>
      </c>
      <c r="L2831" s="1">
        <v>0.0</v>
      </c>
      <c r="M2831" s="1" t="s">
        <v>5894</v>
      </c>
      <c r="N2831" s="1"/>
      <c r="O2831" s="1" t="s">
        <v>30</v>
      </c>
      <c r="P2831" s="1" t="s">
        <v>31</v>
      </c>
      <c r="Q2831" s="1" t="s">
        <v>32</v>
      </c>
      <c r="R2831" s="1" t="s">
        <v>32</v>
      </c>
      <c r="S2831" s="1" t="s">
        <v>33</v>
      </c>
      <c r="T2831" s="1" t="s">
        <v>1195</v>
      </c>
      <c r="U2831" s="1">
        <v>1.00580806E8</v>
      </c>
      <c r="X2831" s="1" t="s">
        <v>46</v>
      </c>
      <c r="Y2831" s="1" t="s">
        <v>7653</v>
      </c>
      <c r="Z2831" s="1" t="s">
        <v>37</v>
      </c>
    </row>
    <row r="2832" hidden="1">
      <c r="A2832" s="1" t="s">
        <v>8570</v>
      </c>
      <c r="B2832" s="1" t="s">
        <v>4255</v>
      </c>
      <c r="C2832" s="1" t="s">
        <v>8571</v>
      </c>
      <c r="D2832" s="1" t="s">
        <v>78</v>
      </c>
      <c r="E2832" s="1" t="s">
        <v>28</v>
      </c>
      <c r="F2832" s="2">
        <v>350000.0</v>
      </c>
      <c r="G2832" s="1" t="s">
        <v>164</v>
      </c>
      <c r="H2832" s="4">
        <f>IFERROR(__xludf.DUMMYFUNCTION("DATE(INDEX(SPLIT(G2832,""/""),,3),INDEX(SPLIT(G2832,""/""),,2),INDEX(SPLIT(G2832,""/""),,1))"),44706.0)</f>
        <v>44706</v>
      </c>
      <c r="I2832" s="1" t="s">
        <v>872</v>
      </c>
      <c r="J2832" s="4">
        <f>IFERROR(__xludf.DUMMYFUNCTION("DATE(INDEX(SPLIT(I2832,""/""),,3),INDEX(SPLIT(I2832,""/""),,2),INDEX(SPLIT(I2832,""/""),,1))"),44820.0)</f>
        <v>44820</v>
      </c>
      <c r="L2832" s="1">
        <v>0.0</v>
      </c>
      <c r="M2832" s="1" t="s">
        <v>4257</v>
      </c>
      <c r="N2832" s="1"/>
      <c r="O2832" s="1" t="s">
        <v>30</v>
      </c>
      <c r="P2832" s="1" t="s">
        <v>31</v>
      </c>
      <c r="Q2832" s="1" t="s">
        <v>188</v>
      </c>
      <c r="R2832" s="1" t="s">
        <v>188</v>
      </c>
      <c r="S2832" s="1" t="s">
        <v>189</v>
      </c>
      <c r="U2832" s="1">
        <v>1.00598931E8</v>
      </c>
      <c r="X2832" s="1" t="s">
        <v>254</v>
      </c>
      <c r="Y2832" s="1" t="s">
        <v>5500</v>
      </c>
      <c r="Z2832" s="1" t="s">
        <v>37</v>
      </c>
    </row>
    <row r="2833" hidden="1">
      <c r="A2833" s="1" t="s">
        <v>8572</v>
      </c>
      <c r="B2833" s="1" t="s">
        <v>7091</v>
      </c>
      <c r="C2833" s="1" t="s">
        <v>7092</v>
      </c>
      <c r="D2833" s="1" t="s">
        <v>122</v>
      </c>
      <c r="E2833" s="1" t="s">
        <v>28</v>
      </c>
      <c r="F2833" s="2">
        <v>350000.0</v>
      </c>
      <c r="G2833" s="1" t="s">
        <v>343</v>
      </c>
      <c r="H2833" s="4">
        <f>IFERROR(__xludf.DUMMYFUNCTION("DATE(INDEX(SPLIT(G2833,""/""),,3),INDEX(SPLIT(G2833,""/""),,2),INDEX(SPLIT(G2833,""/""),,1))"),44761.0)</f>
        <v>44761</v>
      </c>
      <c r="I2833" s="1" t="s">
        <v>109</v>
      </c>
      <c r="J2833" s="4">
        <f>IFERROR(__xludf.DUMMYFUNCTION("DATE(INDEX(SPLIT(I2833,""/""),,3),INDEX(SPLIT(I2833,""/""),,2),INDEX(SPLIT(I2833,""/""),,1))"),44834.0)</f>
        <v>44834</v>
      </c>
      <c r="L2833" s="1">
        <v>0.0</v>
      </c>
      <c r="M2833" s="1" t="s">
        <v>3944</v>
      </c>
      <c r="N2833" s="1"/>
      <c r="O2833" s="1" t="s">
        <v>30</v>
      </c>
      <c r="P2833" s="1" t="s">
        <v>31</v>
      </c>
      <c r="Q2833" s="1" t="s">
        <v>228</v>
      </c>
      <c r="R2833" s="1" t="s">
        <v>228</v>
      </c>
      <c r="S2833" s="1" t="s">
        <v>229</v>
      </c>
      <c r="T2833" s="1" t="s">
        <v>640</v>
      </c>
      <c r="U2833" s="1">
        <v>1.00655073E8</v>
      </c>
      <c r="X2833" s="1" t="s">
        <v>375</v>
      </c>
      <c r="Y2833" s="1" t="s">
        <v>7093</v>
      </c>
      <c r="Z2833" s="1" t="s">
        <v>37</v>
      </c>
    </row>
    <row r="2834" hidden="1">
      <c r="A2834" s="1" t="s">
        <v>8573</v>
      </c>
      <c r="B2834" s="1" t="s">
        <v>5976</v>
      </c>
      <c r="C2834" s="1" t="s">
        <v>8574</v>
      </c>
      <c r="D2834" s="1" t="s">
        <v>78</v>
      </c>
      <c r="E2834" s="1" t="s">
        <v>28</v>
      </c>
      <c r="F2834" s="2">
        <v>350000.0</v>
      </c>
      <c r="G2834" s="1" t="s">
        <v>964</v>
      </c>
      <c r="H2834" s="4">
        <f>IFERROR(__xludf.DUMMYFUNCTION("DATE(INDEX(SPLIT(G2834,""/""),,3),INDEX(SPLIT(G2834,""/""),,2),INDEX(SPLIT(G2834,""/""),,1))"),44005.0)</f>
        <v>44005</v>
      </c>
      <c r="I2834" s="1" t="s">
        <v>130</v>
      </c>
      <c r="J2834" s="4">
        <f>IFERROR(__xludf.DUMMYFUNCTION("DATE(INDEX(SPLIT(I2834,""/""),,3),INDEX(SPLIT(I2834,""/""),,2),INDEX(SPLIT(I2834,""/""),,1))"),44804.0)</f>
        <v>44804</v>
      </c>
      <c r="L2834" s="1">
        <v>0.0</v>
      </c>
      <c r="M2834" s="1" t="s">
        <v>4111</v>
      </c>
      <c r="N2834" s="1"/>
      <c r="O2834" s="1" t="s">
        <v>30</v>
      </c>
      <c r="P2834" s="1" t="s">
        <v>31</v>
      </c>
      <c r="Q2834" s="1" t="s">
        <v>32</v>
      </c>
      <c r="R2834" s="1" t="s">
        <v>32</v>
      </c>
      <c r="S2834" s="1" t="s">
        <v>33</v>
      </c>
      <c r="T2834" s="1" t="s">
        <v>402</v>
      </c>
      <c r="U2834" s="1">
        <v>1.00586786E8</v>
      </c>
      <c r="X2834" s="1" t="s">
        <v>190</v>
      </c>
      <c r="Y2834" s="1" t="s">
        <v>8575</v>
      </c>
      <c r="Z2834" s="1" t="s">
        <v>37</v>
      </c>
    </row>
    <row r="2835" hidden="1">
      <c r="A2835" s="1" t="s">
        <v>8576</v>
      </c>
      <c r="B2835" s="1" t="s">
        <v>784</v>
      </c>
      <c r="C2835" s="1" t="s">
        <v>8577</v>
      </c>
      <c r="D2835" s="1" t="s">
        <v>27</v>
      </c>
      <c r="E2835" s="1" t="s">
        <v>28</v>
      </c>
      <c r="F2835" s="2">
        <v>350000.0</v>
      </c>
      <c r="G2835" s="1" t="s">
        <v>935</v>
      </c>
      <c r="H2835" s="4">
        <f>IFERROR(__xludf.DUMMYFUNCTION("DATE(INDEX(SPLIT(G2835,""/""),,3),INDEX(SPLIT(G2835,""/""),,2),INDEX(SPLIT(G2835,""/""),,1))"),44764.0)</f>
        <v>44764</v>
      </c>
      <c r="I2835" s="1" t="s">
        <v>130</v>
      </c>
      <c r="J2835" s="4">
        <f>IFERROR(__xludf.DUMMYFUNCTION("DATE(INDEX(SPLIT(I2835,""/""),,3),INDEX(SPLIT(I2835,""/""),,2),INDEX(SPLIT(I2835,""/""),,1))"),44804.0)</f>
        <v>44804</v>
      </c>
      <c r="L2835" s="1">
        <v>0.0</v>
      </c>
      <c r="M2835" s="1" t="s">
        <v>1856</v>
      </c>
      <c r="N2835" s="1"/>
      <c r="O2835" s="1" t="s">
        <v>30</v>
      </c>
      <c r="P2835" s="1" t="s">
        <v>31</v>
      </c>
      <c r="Q2835" s="1" t="s">
        <v>32</v>
      </c>
      <c r="R2835" s="1" t="s">
        <v>32</v>
      </c>
      <c r="S2835" s="1" t="s">
        <v>33</v>
      </c>
      <c r="T2835" s="1" t="s">
        <v>103</v>
      </c>
      <c r="U2835" s="1">
        <v>1.00587434E8</v>
      </c>
      <c r="X2835" s="1" t="s">
        <v>63</v>
      </c>
      <c r="Y2835" s="1" t="s">
        <v>1857</v>
      </c>
      <c r="Z2835" s="1" t="s">
        <v>37</v>
      </c>
    </row>
    <row r="2836" hidden="1">
      <c r="A2836" s="1" t="s">
        <v>8578</v>
      </c>
      <c r="B2836" s="1" t="s">
        <v>6351</v>
      </c>
      <c r="C2836" s="1" t="s">
        <v>8579</v>
      </c>
      <c r="D2836" s="1" t="s">
        <v>27</v>
      </c>
      <c r="E2836" s="1" t="s">
        <v>28</v>
      </c>
      <c r="F2836" s="2">
        <v>350000.0</v>
      </c>
      <c r="G2836" s="4">
        <v>44420.0</v>
      </c>
      <c r="H2836" s="4">
        <f>IFERROR(__xludf.DUMMYFUNCTION("DATE(INDEX(SPLIT(G2836,""/""),,3),INDEX(SPLIT(G2836,""/""),,2),INDEX(SPLIT(G2836,""/""),,1))"),44538.0)</f>
        <v>44538</v>
      </c>
      <c r="I2836" s="1" t="s">
        <v>130</v>
      </c>
      <c r="J2836" s="4">
        <f>IFERROR(__xludf.DUMMYFUNCTION("DATE(INDEX(SPLIT(I2836,""/""),,3),INDEX(SPLIT(I2836,""/""),,2),INDEX(SPLIT(I2836,""/""),,1))"),44804.0)</f>
        <v>44804</v>
      </c>
      <c r="L2836" s="1">
        <v>0.0</v>
      </c>
      <c r="M2836" s="1" t="s">
        <v>6353</v>
      </c>
      <c r="N2836" s="1"/>
      <c r="O2836" s="1" t="s">
        <v>30</v>
      </c>
      <c r="P2836" s="1" t="s">
        <v>31</v>
      </c>
      <c r="Q2836" s="1" t="s">
        <v>53</v>
      </c>
      <c r="R2836" s="1" t="s">
        <v>53</v>
      </c>
      <c r="S2836" s="1" t="s">
        <v>54</v>
      </c>
      <c r="T2836" s="1" t="s">
        <v>2372</v>
      </c>
      <c r="U2836" s="1">
        <v>1.00609257E8</v>
      </c>
      <c r="X2836" s="1" t="s">
        <v>239</v>
      </c>
      <c r="Y2836" s="1" t="s">
        <v>6354</v>
      </c>
      <c r="Z2836" s="1" t="s">
        <v>37</v>
      </c>
    </row>
    <row r="2837" hidden="1">
      <c r="A2837" s="1" t="s">
        <v>8580</v>
      </c>
      <c r="B2837" s="1" t="s">
        <v>6351</v>
      </c>
      <c r="C2837" s="1" t="s">
        <v>8581</v>
      </c>
      <c r="D2837" s="1" t="s">
        <v>27</v>
      </c>
      <c r="E2837" s="1" t="s">
        <v>28</v>
      </c>
      <c r="F2837" s="2">
        <v>350000.0</v>
      </c>
      <c r="G2837" s="4">
        <v>44420.0</v>
      </c>
      <c r="H2837" s="4">
        <f>IFERROR(__xludf.DUMMYFUNCTION("DATE(INDEX(SPLIT(G2837,""/""),,3),INDEX(SPLIT(G2837,""/""),,2),INDEX(SPLIT(G2837,""/""),,1))"),44538.0)</f>
        <v>44538</v>
      </c>
      <c r="I2837" s="1" t="s">
        <v>109</v>
      </c>
      <c r="J2837" s="4">
        <f>IFERROR(__xludf.DUMMYFUNCTION("DATE(INDEX(SPLIT(I2837,""/""),,3),INDEX(SPLIT(I2837,""/""),,2),INDEX(SPLIT(I2837,""/""),,1))"),44834.0)</f>
        <v>44834</v>
      </c>
      <c r="L2837" s="1">
        <v>0.0</v>
      </c>
      <c r="M2837" s="1" t="s">
        <v>6353</v>
      </c>
      <c r="N2837" s="1"/>
      <c r="O2837" s="1" t="s">
        <v>30</v>
      </c>
      <c r="P2837" s="1" t="s">
        <v>31</v>
      </c>
      <c r="Q2837" s="1" t="s">
        <v>53</v>
      </c>
      <c r="R2837" s="1" t="s">
        <v>53</v>
      </c>
      <c r="S2837" s="1" t="s">
        <v>54</v>
      </c>
      <c r="T2837" s="1" t="s">
        <v>2372</v>
      </c>
      <c r="U2837" s="1">
        <v>1.00609257E8</v>
      </c>
      <c r="X2837" s="1" t="s">
        <v>239</v>
      </c>
      <c r="Y2837" s="1" t="s">
        <v>6354</v>
      </c>
      <c r="Z2837" s="1" t="s">
        <v>37</v>
      </c>
    </row>
    <row r="2838" hidden="1">
      <c r="A2838" s="1" t="s">
        <v>8582</v>
      </c>
      <c r="B2838" s="1" t="s">
        <v>6351</v>
      </c>
      <c r="C2838" s="1" t="s">
        <v>8583</v>
      </c>
      <c r="D2838" s="1" t="s">
        <v>27</v>
      </c>
      <c r="E2838" s="1" t="s">
        <v>28</v>
      </c>
      <c r="F2838" s="2">
        <v>350000.0</v>
      </c>
      <c r="G2838" s="4">
        <v>44420.0</v>
      </c>
      <c r="H2838" s="4">
        <f>IFERROR(__xludf.DUMMYFUNCTION("DATE(INDEX(SPLIT(G2838,""/""),,3),INDEX(SPLIT(G2838,""/""),,2),INDEX(SPLIT(G2838,""/""),,1))"),44538.0)</f>
        <v>44538</v>
      </c>
      <c r="I2838" s="1" t="s">
        <v>130</v>
      </c>
      <c r="J2838" s="4">
        <f>IFERROR(__xludf.DUMMYFUNCTION("DATE(INDEX(SPLIT(I2838,""/""),,3),INDEX(SPLIT(I2838,""/""),,2),INDEX(SPLIT(I2838,""/""),,1))"),44804.0)</f>
        <v>44804</v>
      </c>
      <c r="L2838" s="1">
        <v>0.0</v>
      </c>
      <c r="M2838" s="1" t="s">
        <v>6353</v>
      </c>
      <c r="N2838" s="1"/>
      <c r="O2838" s="1" t="s">
        <v>30</v>
      </c>
      <c r="P2838" s="1" t="s">
        <v>31</v>
      </c>
      <c r="Q2838" s="1" t="s">
        <v>53</v>
      </c>
      <c r="R2838" s="1" t="s">
        <v>53</v>
      </c>
      <c r="S2838" s="1" t="s">
        <v>54</v>
      </c>
      <c r="T2838" s="1" t="s">
        <v>2372</v>
      </c>
      <c r="U2838" s="1">
        <v>1.00609257E8</v>
      </c>
      <c r="X2838" s="1" t="s">
        <v>239</v>
      </c>
      <c r="Y2838" s="1" t="s">
        <v>6354</v>
      </c>
      <c r="Z2838" s="1" t="s">
        <v>37</v>
      </c>
    </row>
    <row r="2839" hidden="1">
      <c r="A2839" s="1" t="s">
        <v>8584</v>
      </c>
      <c r="B2839" s="1" t="s">
        <v>6351</v>
      </c>
      <c r="C2839" s="1" t="s">
        <v>8585</v>
      </c>
      <c r="D2839" s="1" t="s">
        <v>78</v>
      </c>
      <c r="E2839" s="1" t="s">
        <v>28</v>
      </c>
      <c r="F2839" s="2">
        <v>350000.0</v>
      </c>
      <c r="G2839" s="4">
        <v>44420.0</v>
      </c>
      <c r="H2839" s="4">
        <f>IFERROR(__xludf.DUMMYFUNCTION("DATE(INDEX(SPLIT(G2839,""/""),,3),INDEX(SPLIT(G2839,""/""),,2),INDEX(SPLIT(G2839,""/""),,1))"),44538.0)</f>
        <v>44538</v>
      </c>
      <c r="I2839" s="1" t="s">
        <v>109</v>
      </c>
      <c r="J2839" s="4">
        <f>IFERROR(__xludf.DUMMYFUNCTION("DATE(INDEX(SPLIT(I2839,""/""),,3),INDEX(SPLIT(I2839,""/""),,2),INDEX(SPLIT(I2839,""/""),,1))"),44834.0)</f>
        <v>44834</v>
      </c>
      <c r="L2839" s="1">
        <v>0.0</v>
      </c>
      <c r="M2839" s="1" t="s">
        <v>6353</v>
      </c>
      <c r="N2839" s="1"/>
      <c r="O2839" s="1" t="s">
        <v>30</v>
      </c>
      <c r="P2839" s="1" t="s">
        <v>31</v>
      </c>
      <c r="Q2839" s="1" t="s">
        <v>53</v>
      </c>
      <c r="R2839" s="1" t="s">
        <v>53</v>
      </c>
      <c r="S2839" s="1" t="s">
        <v>54</v>
      </c>
      <c r="T2839" s="1" t="s">
        <v>2372</v>
      </c>
      <c r="U2839" s="1">
        <v>1.00609257E8</v>
      </c>
      <c r="X2839" s="1" t="s">
        <v>239</v>
      </c>
      <c r="Y2839" s="1" t="s">
        <v>6354</v>
      </c>
      <c r="Z2839" s="1" t="s">
        <v>37</v>
      </c>
    </row>
    <row r="2840" hidden="1">
      <c r="A2840" s="1" t="s">
        <v>8586</v>
      </c>
      <c r="B2840" s="1" t="s">
        <v>1511</v>
      </c>
      <c r="C2840" s="1" t="s">
        <v>8587</v>
      </c>
      <c r="D2840" s="1" t="s">
        <v>68</v>
      </c>
      <c r="E2840" s="1" t="s">
        <v>28</v>
      </c>
      <c r="F2840" s="2">
        <v>350000.0</v>
      </c>
      <c r="G2840" s="1" t="s">
        <v>4346</v>
      </c>
      <c r="H2840" s="4">
        <f>IFERROR(__xludf.DUMMYFUNCTION("DATE(INDEX(SPLIT(G2840,""/""),,3),INDEX(SPLIT(G2840,""/""),,2),INDEX(SPLIT(G2840,""/""),,1))"),44765.0)</f>
        <v>44765</v>
      </c>
      <c r="I2840" s="1" t="s">
        <v>134</v>
      </c>
      <c r="J2840" s="4">
        <f>IFERROR(__xludf.DUMMYFUNCTION("DATE(INDEX(SPLIT(I2840,""/""),,3),INDEX(SPLIT(I2840,""/""),,2),INDEX(SPLIT(I2840,""/""),,1))"),44792.0)</f>
        <v>44792</v>
      </c>
      <c r="L2840" s="1">
        <v>0.0</v>
      </c>
      <c r="M2840" s="1" t="s">
        <v>1514</v>
      </c>
      <c r="N2840" s="1"/>
      <c r="O2840" s="1" t="s">
        <v>30</v>
      </c>
      <c r="P2840" s="1" t="s">
        <v>31</v>
      </c>
      <c r="Q2840" s="1" t="s">
        <v>71</v>
      </c>
      <c r="R2840" s="1" t="s">
        <v>71</v>
      </c>
      <c r="S2840" s="1" t="s">
        <v>72</v>
      </c>
      <c r="T2840" s="1" t="s">
        <v>615</v>
      </c>
      <c r="U2840" s="1">
        <v>1.006324E8</v>
      </c>
      <c r="X2840" s="1" t="s">
        <v>490</v>
      </c>
      <c r="Y2840" s="1" t="s">
        <v>1514</v>
      </c>
      <c r="Z2840" s="1" t="s">
        <v>37</v>
      </c>
    </row>
    <row r="2841">
      <c r="A2841" s="1" t="s">
        <v>8588</v>
      </c>
      <c r="B2841" s="1" t="s">
        <v>8589</v>
      </c>
      <c r="C2841" s="1" t="s">
        <v>8590</v>
      </c>
      <c r="D2841" s="1" t="s">
        <v>122</v>
      </c>
      <c r="E2841" s="1" t="s">
        <v>28</v>
      </c>
      <c r="F2841" s="2">
        <v>350000.0</v>
      </c>
      <c r="G2841" s="1" t="s">
        <v>1170</v>
      </c>
      <c r="H2841" s="4">
        <f>IFERROR(__xludf.DUMMYFUNCTION("DATE(INDEX(SPLIT(G2841,""/""),,3),INDEX(SPLIT(G2841,""/""),,2),INDEX(SPLIT(G2841,""/""),,1))"),44336.0)</f>
        <v>44336</v>
      </c>
      <c r="I2841" s="1" t="s">
        <v>1244</v>
      </c>
      <c r="J2841" s="4">
        <f>IFERROR(__xludf.DUMMYFUNCTION("DATE(INDEX(SPLIT(I2841,""/""),,3),INDEX(SPLIT(I2841,""/""),,2),INDEX(SPLIT(I2841,""/""),,1))"),44742.0)</f>
        <v>44742</v>
      </c>
      <c r="L2841" s="1">
        <v>0.0</v>
      </c>
      <c r="M2841" s="1" t="s">
        <v>5588</v>
      </c>
      <c r="N2841" s="1"/>
      <c r="O2841" s="1" t="s">
        <v>30</v>
      </c>
      <c r="P2841" s="1" t="s">
        <v>31</v>
      </c>
      <c r="Q2841" s="1" t="s">
        <v>1320</v>
      </c>
      <c r="R2841" s="1" t="s">
        <v>1320</v>
      </c>
      <c r="S2841" s="1" t="s">
        <v>54</v>
      </c>
      <c r="T2841" s="1" t="s">
        <v>55</v>
      </c>
      <c r="U2841" s="1">
        <v>1.00625588E8</v>
      </c>
      <c r="X2841" s="1" t="s">
        <v>289</v>
      </c>
      <c r="Y2841" s="1" t="s">
        <v>1321</v>
      </c>
      <c r="Z2841" s="1" t="s">
        <v>37</v>
      </c>
    </row>
    <row r="2842" hidden="1">
      <c r="A2842" s="1" t="s">
        <v>8591</v>
      </c>
      <c r="B2842" s="1" t="s">
        <v>1634</v>
      </c>
      <c r="C2842" s="1" t="s">
        <v>8592</v>
      </c>
      <c r="D2842" s="1" t="s">
        <v>27</v>
      </c>
      <c r="E2842" s="1" t="s">
        <v>28</v>
      </c>
      <c r="F2842" s="2">
        <v>350000.0</v>
      </c>
      <c r="G2842" s="4">
        <v>44869.0</v>
      </c>
      <c r="H2842" s="4">
        <f>IFERROR(__xludf.DUMMYFUNCTION("DATE(INDEX(SPLIT(G2842,""/""),,3),INDEX(SPLIT(G2842,""/""),,2),INDEX(SPLIT(G2842,""/""),,1))"),44662.0)</f>
        <v>44662</v>
      </c>
      <c r="I2842" s="4">
        <v>44630.0</v>
      </c>
      <c r="J2842" s="4">
        <f>IFERROR(__xludf.DUMMYFUNCTION("DATE(INDEX(SPLIT(I2842,""/""),,3),INDEX(SPLIT(I2842,""/""),,2),INDEX(SPLIT(I2842,""/""),,1))"),44837.0)</f>
        <v>44837</v>
      </c>
      <c r="L2842" s="1">
        <v>0.0</v>
      </c>
      <c r="M2842" s="1" t="s">
        <v>3419</v>
      </c>
      <c r="N2842" s="1"/>
      <c r="O2842" s="1" t="s">
        <v>30</v>
      </c>
      <c r="P2842" s="1" t="s">
        <v>31</v>
      </c>
      <c r="Q2842" s="1" t="s">
        <v>32</v>
      </c>
      <c r="R2842" s="1" t="s">
        <v>32</v>
      </c>
      <c r="S2842" s="1" t="s">
        <v>33</v>
      </c>
      <c r="T2842" s="1" t="s">
        <v>1195</v>
      </c>
      <c r="U2842" s="1">
        <v>1.00651998E8</v>
      </c>
      <c r="X2842" s="1" t="s">
        <v>490</v>
      </c>
      <c r="Y2842" s="1" t="s">
        <v>3420</v>
      </c>
      <c r="Z2842" s="1" t="s">
        <v>37</v>
      </c>
    </row>
    <row r="2843" hidden="1">
      <c r="A2843" s="1" t="s">
        <v>8593</v>
      </c>
      <c r="B2843" s="1" t="s">
        <v>1634</v>
      </c>
      <c r="C2843" s="1" t="s">
        <v>8594</v>
      </c>
      <c r="D2843" s="1" t="s">
        <v>78</v>
      </c>
      <c r="E2843" s="1" t="s">
        <v>28</v>
      </c>
      <c r="F2843" s="2">
        <v>350000.0</v>
      </c>
      <c r="G2843" s="4">
        <v>44869.0</v>
      </c>
      <c r="H2843" s="4">
        <f>IFERROR(__xludf.DUMMYFUNCTION("DATE(INDEX(SPLIT(G2843,""/""),,3),INDEX(SPLIT(G2843,""/""),,2),INDEX(SPLIT(G2843,""/""),,1))"),44662.0)</f>
        <v>44662</v>
      </c>
      <c r="I2843" s="1" t="s">
        <v>109</v>
      </c>
      <c r="J2843" s="4">
        <f>IFERROR(__xludf.DUMMYFUNCTION("DATE(INDEX(SPLIT(I2843,""/""),,3),INDEX(SPLIT(I2843,""/""),,2),INDEX(SPLIT(I2843,""/""),,1))"),44834.0)</f>
        <v>44834</v>
      </c>
      <c r="L2843" s="1">
        <v>0.0</v>
      </c>
      <c r="M2843" s="1" t="s">
        <v>3419</v>
      </c>
      <c r="N2843" s="1"/>
      <c r="O2843" s="1" t="s">
        <v>30</v>
      </c>
      <c r="P2843" s="1" t="s">
        <v>31</v>
      </c>
      <c r="Q2843" s="1" t="s">
        <v>32</v>
      </c>
      <c r="R2843" s="1" t="s">
        <v>32</v>
      </c>
      <c r="S2843" s="1" t="s">
        <v>33</v>
      </c>
      <c r="T2843" s="1" t="s">
        <v>1195</v>
      </c>
      <c r="U2843" s="1">
        <v>1.00651998E8</v>
      </c>
      <c r="X2843" s="1" t="s">
        <v>490</v>
      </c>
      <c r="Y2843" s="1" t="s">
        <v>3420</v>
      </c>
      <c r="Z2843" s="1" t="s">
        <v>37</v>
      </c>
    </row>
    <row r="2844">
      <c r="A2844" s="1" t="s">
        <v>8595</v>
      </c>
      <c r="B2844" s="1" t="s">
        <v>8596</v>
      </c>
      <c r="C2844" s="1" t="s">
        <v>8597</v>
      </c>
      <c r="D2844" s="1" t="s">
        <v>78</v>
      </c>
      <c r="E2844" s="1" t="s">
        <v>28</v>
      </c>
      <c r="F2844" s="2">
        <v>350000.0</v>
      </c>
      <c r="G2844" s="1" t="s">
        <v>624</v>
      </c>
      <c r="H2844" s="4">
        <f>IFERROR(__xludf.DUMMYFUNCTION("DATE(INDEX(SPLIT(G2844,""/""),,3),INDEX(SPLIT(G2844,""/""),,2),INDEX(SPLIT(G2844,""/""),,1))"),44642.0)</f>
        <v>44642</v>
      </c>
      <c r="I2844" s="1" t="s">
        <v>226</v>
      </c>
      <c r="J2844" s="4">
        <f>IFERROR(__xludf.DUMMYFUNCTION("DATE(INDEX(SPLIT(I2844,""/""),,3),INDEX(SPLIT(I2844,""/""),,2),INDEX(SPLIT(I2844,""/""),,1))"),44771.0)</f>
        <v>44771</v>
      </c>
      <c r="L2844" s="1">
        <v>0.0</v>
      </c>
      <c r="M2844" s="1" t="s">
        <v>3116</v>
      </c>
      <c r="N2844" s="1"/>
      <c r="O2844" s="1" t="s">
        <v>30</v>
      </c>
      <c r="P2844" s="1" t="s">
        <v>31</v>
      </c>
      <c r="Q2844" s="1" t="s">
        <v>157</v>
      </c>
      <c r="R2844" s="1" t="s">
        <v>157</v>
      </c>
      <c r="S2844" s="1" t="s">
        <v>158</v>
      </c>
      <c r="U2844" s="1">
        <v>1.00574828E8</v>
      </c>
      <c r="X2844" s="1" t="s">
        <v>305</v>
      </c>
      <c r="Y2844" s="1" t="s">
        <v>8598</v>
      </c>
      <c r="Z2844" s="1" t="s">
        <v>37</v>
      </c>
    </row>
    <row r="2845" hidden="1">
      <c r="A2845" s="1" t="s">
        <v>8599</v>
      </c>
      <c r="B2845" s="1" t="s">
        <v>59</v>
      </c>
      <c r="C2845" s="1" t="s">
        <v>8600</v>
      </c>
      <c r="D2845" s="1" t="s">
        <v>27</v>
      </c>
      <c r="E2845" s="1" t="s">
        <v>28</v>
      </c>
      <c r="F2845" s="2">
        <v>350000.0</v>
      </c>
      <c r="G2845" s="4">
        <v>44565.0</v>
      </c>
      <c r="H2845" s="4">
        <f>IFERROR(__xludf.DUMMYFUNCTION("DATE(INDEX(SPLIT(G2845,""/""),,3),INDEX(SPLIT(G2845,""/""),,2),INDEX(SPLIT(G2845,""/""),,1))"),44652.0)</f>
        <v>44652</v>
      </c>
      <c r="I2845" s="1" t="s">
        <v>85</v>
      </c>
      <c r="J2845" s="4">
        <f>IFERROR(__xludf.DUMMYFUNCTION("DATE(INDEX(SPLIT(I2845,""/""),,3),INDEX(SPLIT(I2845,""/""),,2),INDEX(SPLIT(I2845,""/""),,1))"),44799.0)</f>
        <v>44799</v>
      </c>
      <c r="L2845" s="1">
        <v>0.0</v>
      </c>
      <c r="M2845" s="1" t="s">
        <v>653</v>
      </c>
      <c r="N2845" s="1"/>
      <c r="O2845" s="1" t="s">
        <v>30</v>
      </c>
      <c r="P2845" s="1" t="s">
        <v>31</v>
      </c>
      <c r="Q2845" s="1" t="s">
        <v>157</v>
      </c>
      <c r="R2845" s="1" t="s">
        <v>157</v>
      </c>
      <c r="S2845" s="1" t="s">
        <v>158</v>
      </c>
      <c r="U2845" s="1">
        <v>1.00591141E8</v>
      </c>
      <c r="X2845" s="1" t="s">
        <v>63</v>
      </c>
      <c r="Y2845" s="1" t="s">
        <v>64</v>
      </c>
      <c r="Z2845" s="1" t="s">
        <v>37</v>
      </c>
    </row>
    <row r="2846" hidden="1">
      <c r="A2846" s="1" t="s">
        <v>8601</v>
      </c>
      <c r="B2846" s="1" t="s">
        <v>8602</v>
      </c>
      <c r="C2846" s="1" t="s">
        <v>8603</v>
      </c>
      <c r="D2846" s="1" t="s">
        <v>27</v>
      </c>
      <c r="E2846" s="1" t="s">
        <v>28</v>
      </c>
      <c r="F2846" s="2">
        <v>350000.0</v>
      </c>
      <c r="G2846" s="1" t="s">
        <v>600</v>
      </c>
      <c r="H2846" s="4">
        <f>IFERROR(__xludf.DUMMYFUNCTION("DATE(INDEX(SPLIT(G2846,""/""),,3),INDEX(SPLIT(G2846,""/""),,2),INDEX(SPLIT(G2846,""/""),,1))"),44665.0)</f>
        <v>44665</v>
      </c>
      <c r="I2846" s="1" t="s">
        <v>130</v>
      </c>
      <c r="J2846" s="4">
        <f>IFERROR(__xludf.DUMMYFUNCTION("DATE(INDEX(SPLIT(I2846,""/""),,3),INDEX(SPLIT(I2846,""/""),,2),INDEX(SPLIT(I2846,""/""),,1))"),44804.0)</f>
        <v>44804</v>
      </c>
      <c r="L2846" s="1">
        <v>0.0</v>
      </c>
      <c r="M2846" s="1" t="s">
        <v>1565</v>
      </c>
      <c r="N2846" s="1"/>
      <c r="O2846" s="1" t="s">
        <v>30</v>
      </c>
      <c r="P2846" s="1" t="s">
        <v>31</v>
      </c>
      <c r="Q2846" s="1" t="s">
        <v>157</v>
      </c>
      <c r="R2846" s="1" t="s">
        <v>157</v>
      </c>
      <c r="S2846" s="1" t="s">
        <v>158</v>
      </c>
      <c r="T2846" s="1" t="s">
        <v>442</v>
      </c>
      <c r="U2846" s="1">
        <v>1.00646908E8</v>
      </c>
      <c r="X2846" s="1" t="s">
        <v>781</v>
      </c>
      <c r="Y2846" s="1" t="s">
        <v>3223</v>
      </c>
      <c r="Z2846" s="1" t="s">
        <v>37</v>
      </c>
    </row>
    <row r="2847" hidden="1">
      <c r="A2847" s="1" t="s">
        <v>8604</v>
      </c>
      <c r="B2847" s="1" t="s">
        <v>7339</v>
      </c>
      <c r="C2847" s="1" t="s">
        <v>8605</v>
      </c>
      <c r="D2847" s="1" t="s">
        <v>27</v>
      </c>
      <c r="E2847" s="1" t="s">
        <v>28</v>
      </c>
      <c r="F2847" s="2">
        <v>350000.0</v>
      </c>
      <c r="G2847" s="4">
        <v>44568.0</v>
      </c>
      <c r="H2847" s="4">
        <f>IFERROR(__xludf.DUMMYFUNCTION("DATE(INDEX(SPLIT(G2847,""/""),,3),INDEX(SPLIT(G2847,""/""),,2),INDEX(SPLIT(G2847,""/""),,1))"),44743.0)</f>
        <v>44743</v>
      </c>
      <c r="I2847" s="1" t="s">
        <v>134</v>
      </c>
      <c r="J2847" s="4">
        <f>IFERROR(__xludf.DUMMYFUNCTION("DATE(INDEX(SPLIT(I2847,""/""),,3),INDEX(SPLIT(I2847,""/""),,2),INDEX(SPLIT(I2847,""/""),,1))"),44792.0)</f>
        <v>44792</v>
      </c>
      <c r="L2847" s="1">
        <v>0.0</v>
      </c>
      <c r="M2847" s="1" t="s">
        <v>1514</v>
      </c>
      <c r="N2847" s="1"/>
      <c r="O2847" s="1" t="s">
        <v>30</v>
      </c>
      <c r="P2847" s="1" t="s">
        <v>31</v>
      </c>
      <c r="Q2847" s="1" t="s">
        <v>71</v>
      </c>
      <c r="R2847" s="1" t="s">
        <v>71</v>
      </c>
      <c r="S2847" s="1" t="s">
        <v>72</v>
      </c>
      <c r="T2847" s="1" t="s">
        <v>615</v>
      </c>
      <c r="U2847" s="1">
        <v>1.006324E8</v>
      </c>
      <c r="X2847" s="1" t="s">
        <v>490</v>
      </c>
      <c r="Y2847" s="1" t="s">
        <v>1514</v>
      </c>
      <c r="Z2847" s="1" t="s">
        <v>37</v>
      </c>
    </row>
    <row r="2848" hidden="1">
      <c r="A2848" s="1" t="s">
        <v>8606</v>
      </c>
      <c r="B2848" s="1" t="s">
        <v>5198</v>
      </c>
      <c r="C2848" s="1" t="s">
        <v>8607</v>
      </c>
      <c r="D2848" s="1" t="s">
        <v>122</v>
      </c>
      <c r="E2848" s="1" t="s">
        <v>28</v>
      </c>
      <c r="F2848" s="2">
        <v>350000.0</v>
      </c>
      <c r="G2848" s="1" t="s">
        <v>1521</v>
      </c>
      <c r="H2848" s="4">
        <f>IFERROR(__xludf.DUMMYFUNCTION("DATE(INDEX(SPLIT(G2848,""/""),,3),INDEX(SPLIT(G2848,""/""),,2),INDEX(SPLIT(G2848,""/""),,1))"),44756.0)</f>
        <v>44756</v>
      </c>
      <c r="I2848" s="4">
        <v>44689.0</v>
      </c>
      <c r="J2848" s="4">
        <f>IFERROR(__xludf.DUMMYFUNCTION("DATE(INDEX(SPLIT(I2848,""/""),,3),INDEX(SPLIT(I2848,""/""),,2),INDEX(SPLIT(I2848,""/""),,1))"),44778.0)</f>
        <v>44778</v>
      </c>
      <c r="L2848" s="1">
        <v>0.0</v>
      </c>
      <c r="M2848" s="1" t="s">
        <v>4979</v>
      </c>
      <c r="N2848" s="1"/>
      <c r="O2848" s="1" t="s">
        <v>30</v>
      </c>
      <c r="P2848" s="1" t="s">
        <v>31</v>
      </c>
      <c r="Q2848" s="1" t="s">
        <v>235</v>
      </c>
      <c r="R2848" s="1" t="s">
        <v>235</v>
      </c>
      <c r="S2848" s="1" t="s">
        <v>236</v>
      </c>
      <c r="U2848" s="1">
        <v>1.00637587E8</v>
      </c>
      <c r="X2848" s="1" t="s">
        <v>375</v>
      </c>
      <c r="Y2848" s="1" t="s">
        <v>4979</v>
      </c>
      <c r="Z2848" s="1" t="s">
        <v>37</v>
      </c>
    </row>
    <row r="2849" hidden="1">
      <c r="A2849" s="1" t="s">
        <v>8608</v>
      </c>
      <c r="B2849" s="1" t="s">
        <v>8609</v>
      </c>
      <c r="C2849" s="1" t="s">
        <v>8610</v>
      </c>
      <c r="D2849" s="1" t="s">
        <v>27</v>
      </c>
      <c r="E2849" s="1" t="s">
        <v>28</v>
      </c>
      <c r="F2849" s="2">
        <v>350000.0</v>
      </c>
      <c r="G2849" s="4">
        <v>44451.0</v>
      </c>
      <c r="H2849" s="4">
        <f>IFERROR(__xludf.DUMMYFUNCTION("DATE(INDEX(SPLIT(G2849,""/""),,3),INDEX(SPLIT(G2849,""/""),,2),INDEX(SPLIT(G2849,""/""),,1))"),44539.0)</f>
        <v>44539</v>
      </c>
      <c r="I2849" s="1" t="s">
        <v>109</v>
      </c>
      <c r="J2849" s="4">
        <f>IFERROR(__xludf.DUMMYFUNCTION("DATE(INDEX(SPLIT(I2849,""/""),,3),INDEX(SPLIT(I2849,""/""),,2),INDEX(SPLIT(I2849,""/""),,1))"),44834.0)</f>
        <v>44834</v>
      </c>
      <c r="L2849" s="1">
        <v>0.0</v>
      </c>
      <c r="M2849" s="1" t="s">
        <v>1484</v>
      </c>
      <c r="N2849" s="1"/>
      <c r="O2849" s="1" t="s">
        <v>30</v>
      </c>
      <c r="P2849" s="1" t="s">
        <v>31</v>
      </c>
      <c r="Q2849" s="1" t="s">
        <v>95</v>
      </c>
      <c r="R2849" s="1" t="s">
        <v>95</v>
      </c>
      <c r="S2849" s="1" t="s">
        <v>96</v>
      </c>
      <c r="T2849" s="1" t="s">
        <v>111</v>
      </c>
      <c r="U2849" s="1">
        <v>1.00585718E8</v>
      </c>
      <c r="X2849" s="1" t="s">
        <v>305</v>
      </c>
      <c r="Y2849" s="1" t="s">
        <v>8611</v>
      </c>
      <c r="Z2849" s="1" t="s">
        <v>37</v>
      </c>
    </row>
    <row r="2850" hidden="1">
      <c r="A2850" s="1" t="s">
        <v>8612</v>
      </c>
      <c r="B2850" s="1" t="s">
        <v>1991</v>
      </c>
      <c r="C2850" s="1" t="s">
        <v>8525</v>
      </c>
      <c r="D2850" s="1" t="s">
        <v>27</v>
      </c>
      <c r="E2850" s="1" t="s">
        <v>28</v>
      </c>
      <c r="F2850" s="2">
        <v>350000.0</v>
      </c>
      <c r="G2850" s="1" t="s">
        <v>1521</v>
      </c>
      <c r="H2850" s="4">
        <f>IFERROR(__xludf.DUMMYFUNCTION("DATE(INDEX(SPLIT(G2850,""/""),,3),INDEX(SPLIT(G2850,""/""),,2),INDEX(SPLIT(G2850,""/""),,1))"),44756.0)</f>
        <v>44756</v>
      </c>
      <c r="I2850" s="1" t="s">
        <v>109</v>
      </c>
      <c r="J2850" s="4">
        <f>IFERROR(__xludf.DUMMYFUNCTION("DATE(INDEX(SPLIT(I2850,""/""),,3),INDEX(SPLIT(I2850,""/""),,2),INDEX(SPLIT(I2850,""/""),,1))"),44834.0)</f>
        <v>44834</v>
      </c>
      <c r="L2850" s="1">
        <v>0.0</v>
      </c>
      <c r="M2850" s="1" t="s">
        <v>5894</v>
      </c>
      <c r="N2850" s="1"/>
      <c r="O2850" s="1" t="s">
        <v>30</v>
      </c>
      <c r="P2850" s="1" t="s">
        <v>31</v>
      </c>
      <c r="Q2850" s="1" t="s">
        <v>32</v>
      </c>
      <c r="R2850" s="1" t="s">
        <v>32</v>
      </c>
      <c r="S2850" s="1" t="s">
        <v>33</v>
      </c>
      <c r="T2850" s="1" t="s">
        <v>1195</v>
      </c>
      <c r="U2850" s="1">
        <v>1.00580806E8</v>
      </c>
      <c r="X2850" s="1" t="s">
        <v>490</v>
      </c>
      <c r="Y2850" s="1" t="s">
        <v>7653</v>
      </c>
      <c r="Z2850" s="1" t="s">
        <v>37</v>
      </c>
    </row>
    <row r="2851" hidden="1">
      <c r="A2851" s="1" t="s">
        <v>8613</v>
      </c>
      <c r="B2851" s="1" t="s">
        <v>8614</v>
      </c>
      <c r="C2851" s="1" t="s">
        <v>8615</v>
      </c>
      <c r="D2851" s="1" t="s">
        <v>122</v>
      </c>
      <c r="E2851" s="1" t="s">
        <v>28</v>
      </c>
      <c r="F2851" s="2">
        <v>350000.0</v>
      </c>
      <c r="G2851" s="1" t="s">
        <v>1694</v>
      </c>
      <c r="H2851" s="4">
        <f>IFERROR(__xludf.DUMMYFUNCTION("DATE(INDEX(SPLIT(G2851,""/""),,3),INDEX(SPLIT(G2851,""/""),,2),INDEX(SPLIT(G2851,""/""),,1))"),44516.0)</f>
        <v>44516</v>
      </c>
      <c r="I2851" s="1" t="s">
        <v>8616</v>
      </c>
      <c r="J2851" s="4">
        <f>IFERROR(__xludf.DUMMYFUNCTION("DATE(INDEX(SPLIT(I2851,""/""),,3),INDEX(SPLIT(I2851,""/""),,2),INDEX(SPLIT(I2851,""/""),,1))"),44921.0)</f>
        <v>44921</v>
      </c>
      <c r="L2851" s="1">
        <v>0.0</v>
      </c>
      <c r="M2851" s="1" t="s">
        <v>2787</v>
      </c>
      <c r="N2851" s="1"/>
      <c r="O2851" s="1" t="s">
        <v>30</v>
      </c>
      <c r="P2851" s="1" t="s">
        <v>31</v>
      </c>
      <c r="Q2851" s="1" t="s">
        <v>157</v>
      </c>
      <c r="R2851" s="1" t="s">
        <v>157</v>
      </c>
      <c r="S2851" s="1" t="s">
        <v>158</v>
      </c>
      <c r="T2851" s="1" t="s">
        <v>442</v>
      </c>
      <c r="U2851" s="1">
        <v>1.00708984E8</v>
      </c>
      <c r="X2851" s="1" t="s">
        <v>98</v>
      </c>
      <c r="Y2851" s="1" t="s">
        <v>4690</v>
      </c>
      <c r="Z2851" s="1" t="s">
        <v>37</v>
      </c>
    </row>
    <row r="2852" hidden="1">
      <c r="A2852" s="1" t="s">
        <v>8617</v>
      </c>
      <c r="B2852" s="1" t="s">
        <v>5378</v>
      </c>
      <c r="C2852" s="1" t="s">
        <v>8618</v>
      </c>
      <c r="D2852" s="1" t="s">
        <v>78</v>
      </c>
      <c r="E2852" s="1" t="s">
        <v>28</v>
      </c>
      <c r="F2852" s="2">
        <v>350000.0</v>
      </c>
      <c r="G2852" s="1" t="s">
        <v>8619</v>
      </c>
      <c r="H2852" s="4">
        <f>IFERROR(__xludf.DUMMYFUNCTION("DATE(INDEX(SPLIT(G2852,""/""),,3),INDEX(SPLIT(G2852,""/""),,2),INDEX(SPLIT(G2852,""/""),,1))"),44304.0)</f>
        <v>44304</v>
      </c>
      <c r="I2852" s="1" t="s">
        <v>109</v>
      </c>
      <c r="J2852" s="4">
        <f>IFERROR(__xludf.DUMMYFUNCTION("DATE(INDEX(SPLIT(I2852,""/""),,3),INDEX(SPLIT(I2852,""/""),,2),INDEX(SPLIT(I2852,""/""),,1))"),44834.0)</f>
        <v>44834</v>
      </c>
      <c r="L2852" s="1">
        <v>0.0</v>
      </c>
      <c r="M2852" s="1" t="s">
        <v>2147</v>
      </c>
      <c r="N2852" s="1"/>
      <c r="O2852" s="1" t="s">
        <v>30</v>
      </c>
      <c r="P2852" s="1" t="s">
        <v>31</v>
      </c>
      <c r="Q2852" s="1" t="s">
        <v>235</v>
      </c>
      <c r="R2852" s="1" t="s">
        <v>235</v>
      </c>
      <c r="S2852" s="1" t="s">
        <v>236</v>
      </c>
      <c r="T2852" s="1" t="s">
        <v>237</v>
      </c>
      <c r="U2852" s="1">
        <v>1.00647935E8</v>
      </c>
      <c r="X2852" s="1" t="s">
        <v>239</v>
      </c>
      <c r="Y2852" s="1" t="s">
        <v>2147</v>
      </c>
      <c r="Z2852" s="1" t="s">
        <v>37</v>
      </c>
    </row>
    <row r="2853" hidden="1">
      <c r="A2853" s="1" t="s">
        <v>8620</v>
      </c>
      <c r="B2853" s="1" t="s">
        <v>1634</v>
      </c>
      <c r="C2853" s="1" t="s">
        <v>8525</v>
      </c>
      <c r="D2853" s="1" t="s">
        <v>27</v>
      </c>
      <c r="E2853" s="1" t="s">
        <v>28</v>
      </c>
      <c r="F2853" s="2">
        <v>350000.0</v>
      </c>
      <c r="G2853" s="1" t="s">
        <v>1521</v>
      </c>
      <c r="H2853" s="4">
        <f>IFERROR(__xludf.DUMMYFUNCTION("DATE(INDEX(SPLIT(G2853,""/""),,3),INDEX(SPLIT(G2853,""/""),,2),INDEX(SPLIT(G2853,""/""),,1))"),44756.0)</f>
        <v>44756</v>
      </c>
      <c r="I2853" s="1" t="s">
        <v>109</v>
      </c>
      <c r="J2853" s="4">
        <f>IFERROR(__xludf.DUMMYFUNCTION("DATE(INDEX(SPLIT(I2853,""/""),,3),INDEX(SPLIT(I2853,""/""),,2),INDEX(SPLIT(I2853,""/""),,1))"),44834.0)</f>
        <v>44834</v>
      </c>
      <c r="L2853" s="1">
        <v>0.0</v>
      </c>
      <c r="M2853" s="1" t="s">
        <v>5894</v>
      </c>
      <c r="N2853" s="1"/>
      <c r="O2853" s="1" t="s">
        <v>30</v>
      </c>
      <c r="P2853" s="1" t="s">
        <v>31</v>
      </c>
      <c r="Q2853" s="1" t="s">
        <v>32</v>
      </c>
      <c r="R2853" s="1" t="s">
        <v>32</v>
      </c>
      <c r="S2853" s="1" t="s">
        <v>33</v>
      </c>
      <c r="T2853" s="1" t="s">
        <v>1195</v>
      </c>
      <c r="U2853" s="1">
        <v>1.00580806E8</v>
      </c>
      <c r="X2853" s="1" t="s">
        <v>490</v>
      </c>
      <c r="Y2853" s="1" t="s">
        <v>7653</v>
      </c>
      <c r="Z2853" s="1" t="s">
        <v>37</v>
      </c>
    </row>
    <row r="2854" hidden="1">
      <c r="A2854" s="1" t="s">
        <v>8621</v>
      </c>
      <c r="B2854" s="1" t="s">
        <v>1634</v>
      </c>
      <c r="C2854" s="1" t="s">
        <v>8622</v>
      </c>
      <c r="D2854" s="1" t="s">
        <v>27</v>
      </c>
      <c r="E2854" s="1" t="s">
        <v>28</v>
      </c>
      <c r="F2854" s="2">
        <v>350000.0</v>
      </c>
      <c r="G2854" s="4">
        <v>44418.0</v>
      </c>
      <c r="H2854" s="4">
        <f>IFERROR(__xludf.DUMMYFUNCTION("DATE(INDEX(SPLIT(G2854,""/""),,3),INDEX(SPLIT(G2854,""/""),,2),INDEX(SPLIT(G2854,""/""),,1))"),44477.0)</f>
        <v>44477</v>
      </c>
      <c r="I2854" s="1" t="s">
        <v>281</v>
      </c>
      <c r="J2854" s="4">
        <f>IFERROR(__xludf.DUMMYFUNCTION("DATE(INDEX(SPLIT(I2854,""/""),,3),INDEX(SPLIT(I2854,""/""),,2),INDEX(SPLIT(I2854,""/""),,1))"),44865.0)</f>
        <v>44865</v>
      </c>
      <c r="L2854" s="1">
        <v>0.0</v>
      </c>
      <c r="M2854" s="1" t="s">
        <v>898</v>
      </c>
      <c r="N2854" s="1"/>
      <c r="O2854" s="1" t="s">
        <v>30</v>
      </c>
      <c r="P2854" s="1" t="s">
        <v>31</v>
      </c>
      <c r="Q2854" s="1" t="s">
        <v>71</v>
      </c>
      <c r="R2854" s="1" t="s">
        <v>71</v>
      </c>
      <c r="S2854" s="1" t="s">
        <v>72</v>
      </c>
      <c r="T2854" s="1" t="s">
        <v>615</v>
      </c>
      <c r="U2854" s="1">
        <v>1.00589481E8</v>
      </c>
      <c r="X2854" s="1" t="s">
        <v>490</v>
      </c>
      <c r="Y2854" s="1" t="s">
        <v>898</v>
      </c>
      <c r="Z2854" s="1" t="s">
        <v>37</v>
      </c>
    </row>
    <row r="2855">
      <c r="A2855" s="1" t="s">
        <v>8623</v>
      </c>
      <c r="B2855" s="1" t="s">
        <v>8624</v>
      </c>
      <c r="C2855" s="1" t="s">
        <v>8625</v>
      </c>
      <c r="D2855" s="1" t="s">
        <v>27</v>
      </c>
      <c r="E2855" s="1" t="s">
        <v>28</v>
      </c>
      <c r="F2855" s="2">
        <v>350000.0</v>
      </c>
      <c r="G2855" s="4">
        <v>44686.0</v>
      </c>
      <c r="H2855" s="4">
        <f>IFERROR(__xludf.DUMMYFUNCTION("DATE(INDEX(SPLIT(G2855,""/""),,3),INDEX(SPLIT(G2855,""/""),,2),INDEX(SPLIT(G2855,""/""),,1))"),44686.0)</f>
        <v>44686</v>
      </c>
      <c r="I2855" s="1" t="s">
        <v>2300</v>
      </c>
      <c r="J2855" s="4">
        <f>IFERROR(__xludf.DUMMYFUNCTION("DATE(INDEX(SPLIT(I2855,""/""),,3),INDEX(SPLIT(I2855,""/""),,2),INDEX(SPLIT(I2855,""/""),,1))"),44712.0)</f>
        <v>44712</v>
      </c>
      <c r="L2855" s="1">
        <v>0.0</v>
      </c>
      <c r="M2855" s="1" t="s">
        <v>3159</v>
      </c>
      <c r="N2855" s="1"/>
      <c r="O2855" s="1" t="s">
        <v>30</v>
      </c>
      <c r="P2855" s="1" t="s">
        <v>31</v>
      </c>
      <c r="Q2855" s="1" t="s">
        <v>95</v>
      </c>
      <c r="R2855" s="1" t="s">
        <v>95</v>
      </c>
      <c r="S2855" s="1" t="s">
        <v>96</v>
      </c>
      <c r="T2855" s="1" t="s">
        <v>311</v>
      </c>
      <c r="U2855" s="1">
        <v>1.00627256E8</v>
      </c>
      <c r="X2855" s="1" t="s">
        <v>289</v>
      </c>
      <c r="Y2855" s="1" t="s">
        <v>8626</v>
      </c>
      <c r="Z2855" s="1" t="s">
        <v>527</v>
      </c>
    </row>
    <row r="2856" hidden="1">
      <c r="A2856" s="1" t="s">
        <v>8627</v>
      </c>
      <c r="B2856" s="1" t="s">
        <v>3180</v>
      </c>
      <c r="C2856" s="1" t="s">
        <v>8628</v>
      </c>
      <c r="D2856" s="1" t="s">
        <v>78</v>
      </c>
      <c r="E2856" s="1" t="s">
        <v>28</v>
      </c>
      <c r="F2856" s="2">
        <v>350000.0</v>
      </c>
      <c r="G2856" s="1" t="s">
        <v>935</v>
      </c>
      <c r="H2856" s="4">
        <f>IFERROR(__xludf.DUMMYFUNCTION("DATE(INDEX(SPLIT(G2856,""/""),,3),INDEX(SPLIT(G2856,""/""),,2),INDEX(SPLIT(G2856,""/""),,1))"),44764.0)</f>
        <v>44764</v>
      </c>
      <c r="I2856" s="1" t="s">
        <v>109</v>
      </c>
      <c r="J2856" s="4">
        <f>IFERROR(__xludf.DUMMYFUNCTION("DATE(INDEX(SPLIT(I2856,""/""),,3),INDEX(SPLIT(I2856,""/""),,2),INDEX(SPLIT(I2856,""/""),,1))"),44834.0)</f>
        <v>44834</v>
      </c>
      <c r="L2856" s="1">
        <v>0.0</v>
      </c>
      <c r="M2856" s="1" t="s">
        <v>1856</v>
      </c>
      <c r="N2856" s="1"/>
      <c r="O2856" s="1" t="s">
        <v>30</v>
      </c>
      <c r="P2856" s="1" t="s">
        <v>31</v>
      </c>
      <c r="Q2856" s="1" t="s">
        <v>32</v>
      </c>
      <c r="R2856" s="1" t="s">
        <v>32</v>
      </c>
      <c r="S2856" s="1" t="s">
        <v>33</v>
      </c>
      <c r="T2856" s="1" t="s">
        <v>103</v>
      </c>
      <c r="U2856" s="1">
        <v>1.00587434E8</v>
      </c>
      <c r="X2856" s="1" t="s">
        <v>63</v>
      </c>
      <c r="Y2856" s="1" t="s">
        <v>1856</v>
      </c>
      <c r="Z2856" s="1" t="s">
        <v>37</v>
      </c>
    </row>
    <row r="2857" hidden="1">
      <c r="A2857" s="1" t="s">
        <v>8629</v>
      </c>
      <c r="B2857" s="1" t="s">
        <v>8630</v>
      </c>
      <c r="C2857" s="1" t="s">
        <v>8631</v>
      </c>
      <c r="D2857" s="1" t="s">
        <v>78</v>
      </c>
      <c r="E2857" s="1" t="s">
        <v>28</v>
      </c>
      <c r="F2857" s="2">
        <v>350000.0</v>
      </c>
      <c r="G2857" s="1" t="s">
        <v>935</v>
      </c>
      <c r="H2857" s="4">
        <f>IFERROR(__xludf.DUMMYFUNCTION("DATE(INDEX(SPLIT(G2857,""/""),,3),INDEX(SPLIT(G2857,""/""),,2),INDEX(SPLIT(G2857,""/""),,1))"),44764.0)</f>
        <v>44764</v>
      </c>
      <c r="I2857" s="1" t="s">
        <v>130</v>
      </c>
      <c r="J2857" s="4">
        <f>IFERROR(__xludf.DUMMYFUNCTION("DATE(INDEX(SPLIT(I2857,""/""),,3),INDEX(SPLIT(I2857,""/""),,2),INDEX(SPLIT(I2857,""/""),,1))"),44804.0)</f>
        <v>44804</v>
      </c>
      <c r="L2857" s="1">
        <v>0.0</v>
      </c>
      <c r="M2857" s="1" t="s">
        <v>1649</v>
      </c>
      <c r="N2857" s="1"/>
      <c r="O2857" s="1" t="s">
        <v>30</v>
      </c>
      <c r="P2857" s="1" t="s">
        <v>31</v>
      </c>
      <c r="Q2857" s="1" t="s">
        <v>157</v>
      </c>
      <c r="R2857" s="1" t="s">
        <v>157</v>
      </c>
      <c r="S2857" s="1" t="s">
        <v>158</v>
      </c>
      <c r="U2857" s="1">
        <v>1.00643454E8</v>
      </c>
      <c r="X2857" s="1" t="s">
        <v>63</v>
      </c>
      <c r="Y2857" s="1" t="s">
        <v>8632</v>
      </c>
      <c r="Z2857" s="1" t="s">
        <v>37</v>
      </c>
    </row>
    <row r="2858">
      <c r="A2858" s="1" t="s">
        <v>8633</v>
      </c>
      <c r="B2858" s="1" t="s">
        <v>5856</v>
      </c>
      <c r="C2858" s="1" t="s">
        <v>8634</v>
      </c>
      <c r="D2858" s="1" t="s">
        <v>78</v>
      </c>
      <c r="E2858" s="1" t="s">
        <v>28</v>
      </c>
      <c r="F2858" s="2">
        <v>350000.0</v>
      </c>
      <c r="G2858" s="1" t="s">
        <v>472</v>
      </c>
      <c r="H2858" s="4">
        <f>IFERROR(__xludf.DUMMYFUNCTION("DATE(INDEX(SPLIT(G2858,""/""),,3),INDEX(SPLIT(G2858,""/""),,2),INDEX(SPLIT(G2858,""/""),,1))"),44760.0)</f>
        <v>44760</v>
      </c>
      <c r="I2858" s="1" t="s">
        <v>226</v>
      </c>
      <c r="J2858" s="4">
        <f>IFERROR(__xludf.DUMMYFUNCTION("DATE(INDEX(SPLIT(I2858,""/""),,3),INDEX(SPLIT(I2858,""/""),,2),INDEX(SPLIT(I2858,""/""),,1))"),44771.0)</f>
        <v>44771</v>
      </c>
      <c r="L2858" s="1">
        <v>0.0</v>
      </c>
      <c r="M2858" s="1" t="s">
        <v>3663</v>
      </c>
      <c r="N2858" s="1"/>
      <c r="O2858" s="1" t="s">
        <v>30</v>
      </c>
      <c r="P2858" s="1" t="s">
        <v>31</v>
      </c>
      <c r="Q2858" s="1" t="s">
        <v>95</v>
      </c>
      <c r="R2858" s="1" t="s">
        <v>95</v>
      </c>
      <c r="S2858" s="1" t="s">
        <v>96</v>
      </c>
      <c r="T2858" s="1" t="s">
        <v>489</v>
      </c>
      <c r="U2858" s="1">
        <v>1.00620159E8</v>
      </c>
      <c r="X2858" s="1" t="s">
        <v>490</v>
      </c>
      <c r="Y2858" s="1" t="s">
        <v>7857</v>
      </c>
      <c r="Z2858" s="1" t="s">
        <v>37</v>
      </c>
    </row>
    <row r="2859" hidden="1">
      <c r="A2859" s="1" t="s">
        <v>8635</v>
      </c>
      <c r="B2859" s="1" t="s">
        <v>7321</v>
      </c>
      <c r="C2859" s="1" t="s">
        <v>8636</v>
      </c>
      <c r="D2859" s="1" t="s">
        <v>122</v>
      </c>
      <c r="E2859" s="1" t="s">
        <v>28</v>
      </c>
      <c r="F2859" s="2">
        <v>350000.0</v>
      </c>
      <c r="G2859" s="1" t="s">
        <v>935</v>
      </c>
      <c r="H2859" s="4">
        <f>IFERROR(__xludf.DUMMYFUNCTION("DATE(INDEX(SPLIT(G2859,""/""),,3),INDEX(SPLIT(G2859,""/""),,2),INDEX(SPLIT(G2859,""/""),,1))"),44764.0)</f>
        <v>44764</v>
      </c>
      <c r="I2859" s="4">
        <v>44601.0</v>
      </c>
      <c r="J2859" s="4">
        <f>IFERROR(__xludf.DUMMYFUNCTION("DATE(INDEX(SPLIT(I2859,""/""),,3),INDEX(SPLIT(I2859,""/""),,2),INDEX(SPLIT(I2859,""/""),,1))"),44806.0)</f>
        <v>44806</v>
      </c>
      <c r="L2859" s="1">
        <v>0.0</v>
      </c>
      <c r="M2859" s="1" t="s">
        <v>558</v>
      </c>
      <c r="N2859" s="1"/>
      <c r="O2859" s="1" t="s">
        <v>30</v>
      </c>
      <c r="P2859" s="1" t="s">
        <v>31</v>
      </c>
      <c r="Q2859" s="1" t="s">
        <v>53</v>
      </c>
      <c r="R2859" s="1" t="s">
        <v>53</v>
      </c>
      <c r="S2859" s="1" t="s">
        <v>54</v>
      </c>
      <c r="T2859" s="1" t="s">
        <v>87</v>
      </c>
      <c r="U2859" s="1">
        <v>1.00653597E8</v>
      </c>
      <c r="Y2859" s="1" t="s">
        <v>558</v>
      </c>
      <c r="Z2859" s="1" t="s">
        <v>37</v>
      </c>
    </row>
    <row r="2860" hidden="1">
      <c r="A2860" s="1" t="s">
        <v>8637</v>
      </c>
      <c r="B2860" s="1" t="s">
        <v>992</v>
      </c>
      <c r="C2860" s="1" t="s">
        <v>8638</v>
      </c>
      <c r="D2860" s="1" t="s">
        <v>27</v>
      </c>
      <c r="E2860" s="1" t="s">
        <v>28</v>
      </c>
      <c r="F2860" s="2">
        <v>350000.0</v>
      </c>
      <c r="G2860" s="1" t="s">
        <v>2629</v>
      </c>
      <c r="H2860" s="4">
        <f>IFERROR(__xludf.DUMMYFUNCTION("DATE(INDEX(SPLIT(G2860,""/""),,3),INDEX(SPLIT(G2860,""/""),,2),INDEX(SPLIT(G2860,""/""),,1))"),44651.0)</f>
        <v>44651</v>
      </c>
      <c r="I2860" s="1" t="s">
        <v>281</v>
      </c>
      <c r="J2860" s="4">
        <f>IFERROR(__xludf.DUMMYFUNCTION("DATE(INDEX(SPLIT(I2860,""/""),,3),INDEX(SPLIT(I2860,""/""),,2),INDEX(SPLIT(I2860,""/""),,1))"),44865.0)</f>
        <v>44865</v>
      </c>
      <c r="L2860" s="1">
        <v>0.0</v>
      </c>
      <c r="M2860" s="1" t="s">
        <v>563</v>
      </c>
      <c r="N2860" s="1"/>
      <c r="O2860" s="1" t="s">
        <v>30</v>
      </c>
      <c r="P2860" s="1" t="s">
        <v>31</v>
      </c>
      <c r="Q2860" s="1" t="s">
        <v>95</v>
      </c>
      <c r="R2860" s="1" t="s">
        <v>95</v>
      </c>
      <c r="S2860" s="1" t="s">
        <v>96</v>
      </c>
      <c r="T2860" s="1" t="s">
        <v>217</v>
      </c>
      <c r="U2860" s="1">
        <v>1.00646702E8</v>
      </c>
      <c r="X2860" s="1" t="s">
        <v>35</v>
      </c>
      <c r="Y2860" s="1" t="s">
        <v>5009</v>
      </c>
      <c r="Z2860" s="1" t="s">
        <v>37</v>
      </c>
    </row>
    <row r="2861" hidden="1">
      <c r="A2861" s="1" t="s">
        <v>8639</v>
      </c>
      <c r="B2861" s="1" t="s">
        <v>666</v>
      </c>
      <c r="C2861" s="1" t="s">
        <v>8640</v>
      </c>
      <c r="D2861" s="1" t="s">
        <v>122</v>
      </c>
      <c r="E2861" s="1" t="s">
        <v>28</v>
      </c>
      <c r="F2861" s="2">
        <v>349220.0</v>
      </c>
      <c r="G2861" s="1" t="s">
        <v>714</v>
      </c>
      <c r="H2861" s="4">
        <f>IFERROR(__xludf.DUMMYFUNCTION("DATE(INDEX(SPLIT(G2861,""/""),,3),INDEX(SPLIT(G2861,""/""),,2),INDEX(SPLIT(G2861,""/""),,1))"),44546.0)</f>
        <v>44546</v>
      </c>
      <c r="I2861" s="1" t="s">
        <v>203</v>
      </c>
      <c r="J2861" s="4">
        <f>IFERROR(__xludf.DUMMYFUNCTION("DATE(INDEX(SPLIT(I2861,""/""),,3),INDEX(SPLIT(I2861,""/""),,2),INDEX(SPLIT(I2861,""/""),,1))"),44925.0)</f>
        <v>44925</v>
      </c>
      <c r="L2861" s="1">
        <v>0.0</v>
      </c>
      <c r="M2861" s="1" t="s">
        <v>715</v>
      </c>
      <c r="N2861" s="1"/>
      <c r="O2861" s="1" t="s">
        <v>30</v>
      </c>
      <c r="P2861" s="1" t="s">
        <v>31</v>
      </c>
      <c r="Q2861" s="1" t="s">
        <v>32</v>
      </c>
      <c r="R2861" s="1" t="s">
        <v>32</v>
      </c>
      <c r="S2861" s="1" t="s">
        <v>33</v>
      </c>
      <c r="T2861" s="1" t="s">
        <v>34</v>
      </c>
      <c r="U2861" s="1">
        <v>1.00592741E8</v>
      </c>
      <c r="V2861" s="1" t="s">
        <v>716</v>
      </c>
      <c r="W2861" s="1" t="s">
        <v>717</v>
      </c>
      <c r="X2861" s="1" t="s">
        <v>35</v>
      </c>
      <c r="Y2861" s="1" t="s">
        <v>718</v>
      </c>
      <c r="Z2861" s="1" t="s">
        <v>37</v>
      </c>
    </row>
    <row r="2862" hidden="1">
      <c r="A2862" s="1" t="s">
        <v>8641</v>
      </c>
      <c r="B2862" s="1" t="s">
        <v>2671</v>
      </c>
      <c r="C2862" s="1" t="s">
        <v>8642</v>
      </c>
      <c r="D2862" s="1" t="s">
        <v>78</v>
      </c>
      <c r="E2862" s="1" t="s">
        <v>28</v>
      </c>
      <c r="F2862" s="2">
        <v>349000.0</v>
      </c>
      <c r="G2862" s="1" t="s">
        <v>418</v>
      </c>
      <c r="H2862" s="4">
        <f>IFERROR(__xludf.DUMMYFUNCTION("DATE(INDEX(SPLIT(G2862,""/""),,3),INDEX(SPLIT(G2862,""/""),,2),INDEX(SPLIT(G2862,""/""),,1))"),44755.0)</f>
        <v>44755</v>
      </c>
      <c r="I2862" s="1" t="s">
        <v>281</v>
      </c>
      <c r="J2862" s="4">
        <f>IFERROR(__xludf.DUMMYFUNCTION("DATE(INDEX(SPLIT(I2862,""/""),,3),INDEX(SPLIT(I2862,""/""),,2),INDEX(SPLIT(I2862,""/""),,1))"),44865.0)</f>
        <v>44865</v>
      </c>
      <c r="L2862" s="1">
        <v>0.0</v>
      </c>
      <c r="M2862" s="1" t="s">
        <v>4735</v>
      </c>
      <c r="N2862" s="1"/>
      <c r="O2862" s="1" t="s">
        <v>30</v>
      </c>
      <c r="P2862" s="1" t="s">
        <v>31</v>
      </c>
      <c r="Q2862" s="1" t="s">
        <v>71</v>
      </c>
      <c r="R2862" s="1" t="s">
        <v>71</v>
      </c>
      <c r="S2862" s="1" t="s">
        <v>72</v>
      </c>
      <c r="T2862" s="1" t="s">
        <v>136</v>
      </c>
      <c r="U2862" s="1">
        <v>1.00609615E8</v>
      </c>
      <c r="X2862" s="1" t="s">
        <v>74</v>
      </c>
      <c r="Y2862" s="1" t="s">
        <v>2593</v>
      </c>
      <c r="Z2862" s="1" t="s">
        <v>206</v>
      </c>
    </row>
    <row r="2863" hidden="1">
      <c r="A2863" s="1" t="s">
        <v>8643</v>
      </c>
      <c r="B2863" s="1" t="s">
        <v>2671</v>
      </c>
      <c r="C2863" s="1" t="s">
        <v>8644</v>
      </c>
      <c r="D2863" s="1" t="s">
        <v>27</v>
      </c>
      <c r="E2863" s="1" t="s">
        <v>28</v>
      </c>
      <c r="F2863" s="2">
        <v>349000.0</v>
      </c>
      <c r="G2863" s="4">
        <v>44871.0</v>
      </c>
      <c r="H2863" s="4">
        <f>IFERROR(__xludf.DUMMYFUNCTION("DATE(INDEX(SPLIT(G2863,""/""),,3),INDEX(SPLIT(G2863,""/""),,2),INDEX(SPLIT(G2863,""/""),,1))"),44723.0)</f>
        <v>44723</v>
      </c>
      <c r="I2863" s="1" t="s">
        <v>652</v>
      </c>
      <c r="J2863" s="4">
        <f>IFERROR(__xludf.DUMMYFUNCTION("DATE(INDEX(SPLIT(I2863,""/""),,3),INDEX(SPLIT(I2863,""/""),,2),INDEX(SPLIT(I2863,""/""),,1))"),44863.0)</f>
        <v>44863</v>
      </c>
      <c r="L2863" s="1">
        <v>0.0</v>
      </c>
      <c r="M2863" s="1" t="s">
        <v>4735</v>
      </c>
      <c r="N2863" s="1"/>
      <c r="O2863" s="1" t="s">
        <v>30</v>
      </c>
      <c r="P2863" s="1" t="s">
        <v>31</v>
      </c>
      <c r="Q2863" s="1" t="s">
        <v>71</v>
      </c>
      <c r="R2863" s="1" t="s">
        <v>71</v>
      </c>
      <c r="S2863" s="1" t="s">
        <v>72</v>
      </c>
      <c r="T2863" s="1" t="s">
        <v>136</v>
      </c>
      <c r="U2863" s="1">
        <v>1.00609615E8</v>
      </c>
      <c r="X2863" s="1" t="s">
        <v>74</v>
      </c>
      <c r="Y2863" s="1" t="s">
        <v>2593</v>
      </c>
      <c r="Z2863" s="1" t="s">
        <v>206</v>
      </c>
    </row>
    <row r="2864" hidden="1">
      <c r="A2864" s="1" t="s">
        <v>8645</v>
      </c>
      <c r="B2864" s="1" t="s">
        <v>948</v>
      </c>
      <c r="C2864" s="1" t="s">
        <v>8646</v>
      </c>
      <c r="D2864" s="1" t="s">
        <v>122</v>
      </c>
      <c r="E2864" s="1" t="s">
        <v>28</v>
      </c>
      <c r="F2864" s="2">
        <v>347000.0</v>
      </c>
      <c r="G2864" s="4">
        <v>44598.0</v>
      </c>
      <c r="H2864" s="4">
        <f>IFERROR(__xludf.DUMMYFUNCTION("DATE(INDEX(SPLIT(G2864,""/""),,3),INDEX(SPLIT(G2864,""/""),,2),INDEX(SPLIT(G2864,""/""),,1))"),44714.0)</f>
        <v>44714</v>
      </c>
      <c r="I2864" s="1" t="s">
        <v>130</v>
      </c>
      <c r="J2864" s="4">
        <f>IFERROR(__xludf.DUMMYFUNCTION("DATE(INDEX(SPLIT(I2864,""/""),,3),INDEX(SPLIT(I2864,""/""),,2),INDEX(SPLIT(I2864,""/""),,1))"),44804.0)</f>
        <v>44804</v>
      </c>
      <c r="L2864" s="1">
        <v>0.0</v>
      </c>
      <c r="M2864" s="1" t="s">
        <v>2622</v>
      </c>
      <c r="N2864" s="1"/>
      <c r="O2864" s="1" t="s">
        <v>30</v>
      </c>
      <c r="P2864" s="1" t="s">
        <v>31</v>
      </c>
      <c r="Q2864" s="1" t="s">
        <v>71</v>
      </c>
      <c r="R2864" s="1" t="s">
        <v>71</v>
      </c>
      <c r="S2864" s="1" t="s">
        <v>72</v>
      </c>
      <c r="T2864" s="1" t="s">
        <v>73</v>
      </c>
      <c r="U2864" s="1">
        <v>1.01082364E8</v>
      </c>
      <c r="X2864" s="1" t="s">
        <v>74</v>
      </c>
      <c r="Y2864" s="1" t="s">
        <v>8647</v>
      </c>
      <c r="Z2864" s="1" t="s">
        <v>206</v>
      </c>
    </row>
    <row r="2865" hidden="1">
      <c r="A2865" s="1" t="s">
        <v>8648</v>
      </c>
      <c r="B2865" s="1" t="s">
        <v>106</v>
      </c>
      <c r="C2865" s="1" t="s">
        <v>8649</v>
      </c>
      <c r="D2865" s="1" t="s">
        <v>78</v>
      </c>
      <c r="E2865" s="1" t="s">
        <v>28</v>
      </c>
      <c r="F2865" s="2">
        <v>347000.0</v>
      </c>
      <c r="G2865" s="4">
        <v>44654.0</v>
      </c>
      <c r="H2865" s="4">
        <f>IFERROR(__xludf.DUMMYFUNCTION("DATE(INDEX(SPLIT(G2865,""/""),,3),INDEX(SPLIT(G2865,""/""),,2),INDEX(SPLIT(G2865,""/""),,1))"),44624.0)</f>
        <v>44624</v>
      </c>
      <c r="I2865" s="4">
        <v>44689.0</v>
      </c>
      <c r="J2865" s="4">
        <f>IFERROR(__xludf.DUMMYFUNCTION("DATE(INDEX(SPLIT(I2865,""/""),,3),INDEX(SPLIT(I2865,""/""),,2),INDEX(SPLIT(I2865,""/""),,1))"),44778.0)</f>
        <v>44778</v>
      </c>
      <c r="L2865" s="1">
        <v>0.0</v>
      </c>
      <c r="M2865" s="1" t="s">
        <v>3052</v>
      </c>
      <c r="N2865" s="1"/>
      <c r="O2865" s="1" t="s">
        <v>30</v>
      </c>
      <c r="P2865" s="1" t="s">
        <v>31</v>
      </c>
      <c r="Q2865" s="1" t="s">
        <v>32</v>
      </c>
      <c r="R2865" s="1" t="s">
        <v>32</v>
      </c>
      <c r="S2865" s="1" t="s">
        <v>33</v>
      </c>
      <c r="T2865" s="1" t="s">
        <v>103</v>
      </c>
      <c r="U2865" s="1">
        <v>1.00610367E8</v>
      </c>
      <c r="X2865" s="1" t="s">
        <v>63</v>
      </c>
      <c r="Y2865" s="1" t="s">
        <v>8650</v>
      </c>
      <c r="Z2865" s="1" t="s">
        <v>37</v>
      </c>
    </row>
    <row r="2866">
      <c r="A2866" s="1" t="s">
        <v>8651</v>
      </c>
      <c r="B2866" s="1" t="s">
        <v>1144</v>
      </c>
      <c r="C2866" s="1" t="s">
        <v>8652</v>
      </c>
      <c r="D2866" s="1" t="s">
        <v>78</v>
      </c>
      <c r="E2866" s="1" t="s">
        <v>28</v>
      </c>
      <c r="F2866" s="2">
        <v>346000.0</v>
      </c>
      <c r="G2866" s="1" t="s">
        <v>3849</v>
      </c>
      <c r="H2866" s="4">
        <f>IFERROR(__xludf.DUMMYFUNCTION("DATE(INDEX(SPLIT(G2866,""/""),,3),INDEX(SPLIT(G2866,""/""),,2),INDEX(SPLIT(G2866,""/""),,1))"),44551.0)</f>
        <v>44551</v>
      </c>
      <c r="I2866" s="1" t="s">
        <v>1244</v>
      </c>
      <c r="J2866" s="4">
        <f>IFERROR(__xludf.DUMMYFUNCTION("DATE(INDEX(SPLIT(I2866,""/""),,3),INDEX(SPLIT(I2866,""/""),,2),INDEX(SPLIT(I2866,""/""),,1))"),44742.0)</f>
        <v>44742</v>
      </c>
      <c r="L2866" s="1">
        <v>0.0</v>
      </c>
      <c r="M2866" s="1" t="s">
        <v>1146</v>
      </c>
      <c r="N2866" s="1"/>
      <c r="O2866" s="1" t="s">
        <v>30</v>
      </c>
      <c r="P2866" s="1" t="s">
        <v>31</v>
      </c>
      <c r="Q2866" s="1" t="s">
        <v>228</v>
      </c>
      <c r="R2866" s="1" t="s">
        <v>228</v>
      </c>
      <c r="S2866" s="1" t="s">
        <v>229</v>
      </c>
      <c r="T2866" s="1" t="s">
        <v>640</v>
      </c>
      <c r="U2866" s="1">
        <v>1.0061139E8</v>
      </c>
      <c r="X2866" s="1" t="s">
        <v>63</v>
      </c>
      <c r="Y2866" s="1" t="s">
        <v>1147</v>
      </c>
      <c r="Z2866" s="1" t="s">
        <v>37</v>
      </c>
    </row>
    <row r="2867" hidden="1">
      <c r="A2867" s="1" t="s">
        <v>8653</v>
      </c>
      <c r="B2867" s="1" t="s">
        <v>8654</v>
      </c>
      <c r="C2867" s="1" t="s">
        <v>8655</v>
      </c>
      <c r="D2867" s="1" t="s">
        <v>68</v>
      </c>
      <c r="E2867" s="1" t="s">
        <v>28</v>
      </c>
      <c r="F2867" s="2">
        <v>340000.0</v>
      </c>
      <c r="G2867" s="4">
        <v>44477.0</v>
      </c>
      <c r="H2867" s="4">
        <f>IFERROR(__xludf.DUMMYFUNCTION("DATE(INDEX(SPLIT(G2867,""/""),,3),INDEX(SPLIT(G2867,""/""),,2),INDEX(SPLIT(G2867,""/""),,1))"),44418.0)</f>
        <v>44418</v>
      </c>
      <c r="I2867" s="1" t="s">
        <v>130</v>
      </c>
      <c r="J2867" s="4">
        <f>IFERROR(__xludf.DUMMYFUNCTION("DATE(INDEX(SPLIT(I2867,""/""),,3),INDEX(SPLIT(I2867,""/""),,2),INDEX(SPLIT(I2867,""/""),,1))"),44804.0)</f>
        <v>44804</v>
      </c>
      <c r="L2867" s="1">
        <v>0.0</v>
      </c>
      <c r="M2867" s="1" t="s">
        <v>5336</v>
      </c>
      <c r="N2867" s="1"/>
      <c r="O2867" s="1" t="s">
        <v>30</v>
      </c>
      <c r="P2867" s="1" t="s">
        <v>31</v>
      </c>
      <c r="Q2867" s="1" t="s">
        <v>71</v>
      </c>
      <c r="R2867" s="1" t="s">
        <v>71</v>
      </c>
      <c r="S2867" s="1" t="s">
        <v>72</v>
      </c>
      <c r="T2867" s="1" t="s">
        <v>136</v>
      </c>
      <c r="U2867" s="1">
        <v>1.00615814E8</v>
      </c>
      <c r="X2867" s="1" t="s">
        <v>74</v>
      </c>
      <c r="Y2867" s="1" t="s">
        <v>2593</v>
      </c>
      <c r="Z2867" s="1" t="s">
        <v>206</v>
      </c>
    </row>
    <row r="2868">
      <c r="A2868" s="1" t="s">
        <v>8656</v>
      </c>
      <c r="B2868" s="1" t="s">
        <v>927</v>
      </c>
      <c r="C2868" s="1" t="s">
        <v>8657</v>
      </c>
      <c r="D2868" s="1" t="s">
        <v>122</v>
      </c>
      <c r="E2868" s="1" t="s">
        <v>28</v>
      </c>
      <c r="F2868" s="2">
        <v>340000.0</v>
      </c>
      <c r="G2868" s="4">
        <v>44203.0</v>
      </c>
      <c r="H2868" s="4">
        <f>IFERROR(__xludf.DUMMYFUNCTION("DATE(INDEX(SPLIT(G2868,""/""),,3),INDEX(SPLIT(G2868,""/""),,2),INDEX(SPLIT(G2868,""/""),,1))"),44378.0)</f>
        <v>44378</v>
      </c>
      <c r="I2868" s="1" t="s">
        <v>518</v>
      </c>
      <c r="J2868" s="4">
        <f>IFERROR(__xludf.DUMMYFUNCTION("DATE(INDEX(SPLIT(I2868,""/""),,3),INDEX(SPLIT(I2868,""/""),,2),INDEX(SPLIT(I2868,""/""),,1))"),44757.0)</f>
        <v>44757</v>
      </c>
      <c r="L2868" s="1">
        <v>0.0</v>
      </c>
      <c r="M2868" s="1" t="s">
        <v>5974</v>
      </c>
      <c r="N2868" s="1"/>
      <c r="O2868" s="1" t="s">
        <v>30</v>
      </c>
      <c r="P2868" s="1" t="s">
        <v>31</v>
      </c>
      <c r="Q2868" s="1" t="s">
        <v>235</v>
      </c>
      <c r="R2868" s="1" t="s">
        <v>235</v>
      </c>
      <c r="S2868" s="1" t="s">
        <v>236</v>
      </c>
      <c r="T2868" s="1" t="s">
        <v>438</v>
      </c>
      <c r="U2868" s="1">
        <v>1.00637651E8</v>
      </c>
      <c r="X2868" s="1" t="s">
        <v>117</v>
      </c>
      <c r="Y2868" s="1" t="s">
        <v>8658</v>
      </c>
      <c r="Z2868" s="1" t="s">
        <v>206</v>
      </c>
    </row>
    <row r="2869" hidden="1">
      <c r="A2869" s="1" t="s">
        <v>8659</v>
      </c>
      <c r="B2869" s="1" t="s">
        <v>4321</v>
      </c>
      <c r="C2869" s="1" t="s">
        <v>8660</v>
      </c>
      <c r="D2869" s="1" t="s">
        <v>27</v>
      </c>
      <c r="E2869" s="1" t="s">
        <v>28</v>
      </c>
      <c r="F2869" s="2">
        <v>340000.0</v>
      </c>
      <c r="G2869" s="1" t="s">
        <v>1500</v>
      </c>
      <c r="H2869" s="4">
        <f>IFERROR(__xludf.DUMMYFUNCTION("DATE(INDEX(SPLIT(G2869,""/""),,3),INDEX(SPLIT(G2869,""/""),,2),INDEX(SPLIT(G2869,""/""),,1))"),44695.0)</f>
        <v>44695</v>
      </c>
      <c r="I2869" s="1" t="s">
        <v>130</v>
      </c>
      <c r="J2869" s="4">
        <f>IFERROR(__xludf.DUMMYFUNCTION("DATE(INDEX(SPLIT(I2869,""/""),,3),INDEX(SPLIT(I2869,""/""),,2),INDEX(SPLIT(I2869,""/""),,1))"),44804.0)</f>
        <v>44804</v>
      </c>
      <c r="L2869" s="1">
        <v>0.0</v>
      </c>
      <c r="M2869" s="1" t="s">
        <v>4323</v>
      </c>
      <c r="N2869" s="1"/>
      <c r="O2869" s="1" t="s">
        <v>30</v>
      </c>
      <c r="P2869" s="1" t="s">
        <v>31</v>
      </c>
      <c r="Q2869" s="1" t="s">
        <v>157</v>
      </c>
      <c r="R2869" s="1" t="s">
        <v>157</v>
      </c>
      <c r="S2869" s="1" t="s">
        <v>158</v>
      </c>
      <c r="U2869" s="1">
        <v>1.00607244E8</v>
      </c>
      <c r="X2869" s="1" t="s">
        <v>305</v>
      </c>
      <c r="Y2869" s="1" t="s">
        <v>4749</v>
      </c>
      <c r="Z2869" s="1" t="s">
        <v>37</v>
      </c>
    </row>
    <row r="2870" hidden="1">
      <c r="A2870" s="1" t="s">
        <v>8661</v>
      </c>
      <c r="B2870" s="1" t="s">
        <v>8654</v>
      </c>
      <c r="C2870" s="1" t="s">
        <v>8662</v>
      </c>
      <c r="D2870" s="1" t="s">
        <v>27</v>
      </c>
      <c r="E2870" s="1" t="s">
        <v>28</v>
      </c>
      <c r="F2870" s="2">
        <v>340000.0</v>
      </c>
      <c r="G2870" s="1" t="s">
        <v>935</v>
      </c>
      <c r="H2870" s="4">
        <f>IFERROR(__xludf.DUMMYFUNCTION("DATE(INDEX(SPLIT(G2870,""/""),,3),INDEX(SPLIT(G2870,""/""),,2),INDEX(SPLIT(G2870,""/""),,1))"),44764.0)</f>
        <v>44764</v>
      </c>
      <c r="I2870" s="1" t="s">
        <v>130</v>
      </c>
      <c r="J2870" s="4">
        <f>IFERROR(__xludf.DUMMYFUNCTION("DATE(INDEX(SPLIT(I2870,""/""),,3),INDEX(SPLIT(I2870,""/""),,2),INDEX(SPLIT(I2870,""/""),,1))"),44804.0)</f>
        <v>44804</v>
      </c>
      <c r="L2870" s="1">
        <v>0.0</v>
      </c>
      <c r="M2870" s="1" t="s">
        <v>5336</v>
      </c>
      <c r="N2870" s="1"/>
      <c r="O2870" s="1" t="s">
        <v>30</v>
      </c>
      <c r="P2870" s="1" t="s">
        <v>31</v>
      </c>
      <c r="Q2870" s="1" t="s">
        <v>71</v>
      </c>
      <c r="R2870" s="1" t="s">
        <v>71</v>
      </c>
      <c r="S2870" s="1" t="s">
        <v>72</v>
      </c>
      <c r="T2870" s="1" t="s">
        <v>136</v>
      </c>
      <c r="U2870" s="1">
        <v>1.00615814E8</v>
      </c>
      <c r="X2870" s="1" t="s">
        <v>74</v>
      </c>
      <c r="Y2870" s="1" t="s">
        <v>2593</v>
      </c>
      <c r="Z2870" s="1" t="s">
        <v>206</v>
      </c>
    </row>
    <row r="2871">
      <c r="A2871" s="1" t="s">
        <v>8663</v>
      </c>
      <c r="B2871" s="1" t="s">
        <v>8664</v>
      </c>
      <c r="C2871" s="1" t="s">
        <v>8665</v>
      </c>
      <c r="D2871" s="1" t="s">
        <v>122</v>
      </c>
      <c r="E2871" s="1" t="s">
        <v>28</v>
      </c>
      <c r="F2871" s="2">
        <v>340000.0</v>
      </c>
      <c r="G2871" s="1" t="s">
        <v>1442</v>
      </c>
      <c r="H2871" s="4">
        <f>IFERROR(__xludf.DUMMYFUNCTION("DATE(INDEX(SPLIT(G2871,""/""),,3),INDEX(SPLIT(G2871,""/""),,2),INDEX(SPLIT(G2871,""/""),,1))"),44727.0)</f>
        <v>44727</v>
      </c>
      <c r="I2871" s="1" t="s">
        <v>226</v>
      </c>
      <c r="J2871" s="4">
        <f>IFERROR(__xludf.DUMMYFUNCTION("DATE(INDEX(SPLIT(I2871,""/""),,3),INDEX(SPLIT(I2871,""/""),,2),INDEX(SPLIT(I2871,""/""),,1))"),44771.0)</f>
        <v>44771</v>
      </c>
      <c r="L2871" s="1">
        <v>0.0</v>
      </c>
      <c r="M2871" s="1" t="s">
        <v>2546</v>
      </c>
      <c r="N2871" s="1"/>
      <c r="O2871" s="1" t="s">
        <v>30</v>
      </c>
      <c r="P2871" s="1" t="s">
        <v>31</v>
      </c>
      <c r="Q2871" s="1" t="s">
        <v>228</v>
      </c>
      <c r="R2871" s="1" t="s">
        <v>228</v>
      </c>
      <c r="S2871" s="1" t="s">
        <v>229</v>
      </c>
      <c r="T2871" s="1" t="s">
        <v>136</v>
      </c>
      <c r="U2871" s="1">
        <v>1.00892076E8</v>
      </c>
      <c r="X2871" s="1" t="s">
        <v>74</v>
      </c>
      <c r="Y2871" s="1" t="s">
        <v>2546</v>
      </c>
      <c r="Z2871" s="1" t="s">
        <v>37</v>
      </c>
    </row>
    <row r="2872">
      <c r="A2872" s="1" t="s">
        <v>8666</v>
      </c>
      <c r="B2872" s="1" t="s">
        <v>3032</v>
      </c>
      <c r="C2872" s="1" t="s">
        <v>8667</v>
      </c>
      <c r="D2872" s="1" t="s">
        <v>122</v>
      </c>
      <c r="E2872" s="1" t="s">
        <v>28</v>
      </c>
      <c r="F2872" s="2">
        <v>340000.0</v>
      </c>
      <c r="G2872" s="1" t="s">
        <v>1154</v>
      </c>
      <c r="H2872" s="4">
        <f>IFERROR(__xludf.DUMMYFUNCTION("DATE(INDEX(SPLIT(G2872,""/""),,3),INDEX(SPLIT(G2872,""/""),,2),INDEX(SPLIT(G2872,""/""),,1))"),44735.0)</f>
        <v>44735</v>
      </c>
      <c r="I2872" s="4">
        <v>44872.0</v>
      </c>
      <c r="J2872" s="4">
        <f>IFERROR(__xludf.DUMMYFUNCTION("DATE(INDEX(SPLIT(I2872,""/""),,3),INDEX(SPLIT(I2872,""/""),,2),INDEX(SPLIT(I2872,""/""),,1))"),44753.0)</f>
        <v>44753</v>
      </c>
      <c r="L2872" s="1">
        <v>0.0</v>
      </c>
      <c r="M2872" s="1" t="s">
        <v>1348</v>
      </c>
      <c r="N2872" s="1"/>
      <c r="O2872" s="1" t="s">
        <v>30</v>
      </c>
      <c r="P2872" s="1" t="s">
        <v>31</v>
      </c>
      <c r="Q2872" s="1" t="s">
        <v>235</v>
      </c>
      <c r="R2872" s="1" t="s">
        <v>235</v>
      </c>
      <c r="S2872" s="1" t="s">
        <v>236</v>
      </c>
      <c r="U2872" s="1">
        <v>1.00660608E8</v>
      </c>
      <c r="X2872" s="1" t="s">
        <v>609</v>
      </c>
      <c r="Y2872" s="1" t="s">
        <v>8668</v>
      </c>
      <c r="Z2872" s="1" t="s">
        <v>37</v>
      </c>
    </row>
    <row r="2873" hidden="1">
      <c r="A2873" s="1" t="s">
        <v>8669</v>
      </c>
      <c r="B2873" s="1" t="s">
        <v>2186</v>
      </c>
      <c r="C2873" s="1" t="s">
        <v>8670</v>
      </c>
      <c r="D2873" s="1" t="s">
        <v>78</v>
      </c>
      <c r="E2873" s="1" t="s">
        <v>28</v>
      </c>
      <c r="F2873" s="2">
        <v>336000.0</v>
      </c>
      <c r="G2873" s="4">
        <v>44902.0</v>
      </c>
      <c r="H2873" s="4">
        <f>IFERROR(__xludf.DUMMYFUNCTION("DATE(INDEX(SPLIT(G2873,""/""),,3),INDEX(SPLIT(G2873,""/""),,2),INDEX(SPLIT(G2873,""/""),,1))"),44754.0)</f>
        <v>44754</v>
      </c>
      <c r="I2873" s="4">
        <v>44689.0</v>
      </c>
      <c r="J2873" s="4">
        <f>IFERROR(__xludf.DUMMYFUNCTION("DATE(INDEX(SPLIT(I2873,""/""),,3),INDEX(SPLIT(I2873,""/""),,2),INDEX(SPLIT(I2873,""/""),,1))"),44778.0)</f>
        <v>44778</v>
      </c>
      <c r="L2873" s="1">
        <v>0.0</v>
      </c>
      <c r="M2873" s="1" t="s">
        <v>852</v>
      </c>
      <c r="N2873" s="1"/>
      <c r="O2873" s="1" t="s">
        <v>30</v>
      </c>
      <c r="P2873" s="1" t="s">
        <v>31</v>
      </c>
      <c r="Q2873" s="1" t="s">
        <v>157</v>
      </c>
      <c r="R2873" s="1" t="s">
        <v>157</v>
      </c>
      <c r="S2873" s="1" t="s">
        <v>158</v>
      </c>
      <c r="T2873" s="1" t="s">
        <v>442</v>
      </c>
      <c r="U2873" s="1">
        <v>1.00648457E8</v>
      </c>
      <c r="X2873" s="1" t="s">
        <v>190</v>
      </c>
      <c r="Y2873" s="1" t="s">
        <v>3223</v>
      </c>
      <c r="Z2873" s="1" t="s">
        <v>37</v>
      </c>
    </row>
    <row r="2874" hidden="1">
      <c r="A2874" s="1" t="s">
        <v>8671</v>
      </c>
      <c r="B2874" s="1" t="s">
        <v>6955</v>
      </c>
      <c r="C2874" s="1" t="s">
        <v>8672</v>
      </c>
      <c r="D2874" s="1" t="s">
        <v>27</v>
      </c>
      <c r="E2874" s="1" t="s">
        <v>28</v>
      </c>
      <c r="F2874" s="2">
        <v>330000.0</v>
      </c>
      <c r="G2874" s="1" t="s">
        <v>41</v>
      </c>
      <c r="H2874" s="4">
        <f>IFERROR(__xludf.DUMMYFUNCTION("DATE(INDEX(SPLIT(G2874,""/""),,3),INDEX(SPLIT(G2874,""/""),,2),INDEX(SPLIT(G2874,""/""),,1))"),44607.0)</f>
        <v>44607</v>
      </c>
      <c r="I2874" s="4">
        <v>44573.0</v>
      </c>
      <c r="J2874" s="4">
        <f>IFERROR(__xludf.DUMMYFUNCTION("DATE(INDEX(SPLIT(I2874,""/""),,3),INDEX(SPLIT(I2874,""/""),,2),INDEX(SPLIT(I2874,""/""),,1))"),44896.0)</f>
        <v>44896</v>
      </c>
      <c r="L2874" s="1">
        <v>0.0</v>
      </c>
      <c r="M2874" s="1" t="s">
        <v>1385</v>
      </c>
      <c r="N2874" s="1"/>
      <c r="O2874" s="1" t="s">
        <v>30</v>
      </c>
      <c r="P2874" s="1" t="s">
        <v>31</v>
      </c>
      <c r="Q2874" s="1" t="s">
        <v>235</v>
      </c>
      <c r="R2874" s="1" t="s">
        <v>235</v>
      </c>
      <c r="S2874" s="1" t="s">
        <v>236</v>
      </c>
      <c r="T2874" s="1" t="s">
        <v>1386</v>
      </c>
      <c r="U2874" s="1">
        <v>1.00594397E8</v>
      </c>
      <c r="X2874" s="1" t="s">
        <v>239</v>
      </c>
      <c r="Y2874" s="1" t="s">
        <v>1387</v>
      </c>
      <c r="Z2874" s="1" t="s">
        <v>37</v>
      </c>
    </row>
    <row r="2875" hidden="1">
      <c r="A2875" s="1" t="s">
        <v>8673</v>
      </c>
      <c r="B2875" s="1" t="s">
        <v>8674</v>
      </c>
      <c r="C2875" s="1" t="s">
        <v>8675</v>
      </c>
      <c r="D2875" s="1" t="s">
        <v>27</v>
      </c>
      <c r="E2875" s="1" t="s">
        <v>28</v>
      </c>
      <c r="F2875" s="2">
        <v>326146.55</v>
      </c>
      <c r="G2875" s="4">
        <v>44654.0</v>
      </c>
      <c r="H2875" s="4">
        <f>IFERROR(__xludf.DUMMYFUNCTION("DATE(INDEX(SPLIT(G2875,""/""),,3),INDEX(SPLIT(G2875,""/""),,2),INDEX(SPLIT(G2875,""/""),,1))"),44624.0)</f>
        <v>44624</v>
      </c>
      <c r="I2875" s="1" t="s">
        <v>165</v>
      </c>
      <c r="J2875" s="4">
        <f>IFERROR(__xludf.DUMMYFUNCTION("DATE(INDEX(SPLIT(I2875,""/""),,3),INDEX(SPLIT(I2875,""/""),,2),INDEX(SPLIT(I2875,""/""),,1))"),44803.0)</f>
        <v>44803</v>
      </c>
      <c r="L2875" s="1">
        <v>0.0</v>
      </c>
      <c r="M2875" s="1" t="s">
        <v>8053</v>
      </c>
      <c r="N2875" s="1"/>
      <c r="O2875" s="1" t="s">
        <v>30</v>
      </c>
      <c r="P2875" s="1" t="s">
        <v>31</v>
      </c>
      <c r="Q2875" s="1" t="s">
        <v>1320</v>
      </c>
      <c r="R2875" s="1" t="s">
        <v>1320</v>
      </c>
      <c r="S2875" s="1" t="s">
        <v>33</v>
      </c>
      <c r="U2875" s="1">
        <v>1.00613849E8</v>
      </c>
      <c r="X2875" s="1" t="s">
        <v>117</v>
      </c>
      <c r="Y2875" s="1" t="s">
        <v>8054</v>
      </c>
      <c r="Z2875" s="1" t="s">
        <v>37</v>
      </c>
    </row>
    <row r="2876" hidden="1">
      <c r="A2876" s="1" t="s">
        <v>8676</v>
      </c>
      <c r="B2876" s="1" t="s">
        <v>1237</v>
      </c>
      <c r="C2876" s="1" t="s">
        <v>8677</v>
      </c>
      <c r="D2876" s="1" t="s">
        <v>122</v>
      </c>
      <c r="E2876" s="1" t="s">
        <v>28</v>
      </c>
      <c r="F2876" s="2">
        <v>325000.0</v>
      </c>
      <c r="G2876" s="4">
        <v>44806.0</v>
      </c>
      <c r="H2876" s="4">
        <f>IFERROR(__xludf.DUMMYFUNCTION("DATE(INDEX(SPLIT(G2876,""/""),,3),INDEX(SPLIT(G2876,""/""),,2),INDEX(SPLIT(G2876,""/""),,1))"),44601.0)</f>
        <v>44601</v>
      </c>
      <c r="I2876" s="1" t="s">
        <v>1361</v>
      </c>
      <c r="J2876" s="4">
        <f>IFERROR(__xludf.DUMMYFUNCTION("DATE(INDEX(SPLIT(I2876,""/""),,3),INDEX(SPLIT(I2876,""/""),,2),INDEX(SPLIT(I2876,""/""),,1))"),44827.0)</f>
        <v>44827</v>
      </c>
      <c r="L2876" s="1">
        <v>0.0</v>
      </c>
      <c r="M2876" s="1" t="s">
        <v>8678</v>
      </c>
      <c r="N2876" s="1"/>
      <c r="O2876" s="1" t="s">
        <v>30</v>
      </c>
      <c r="P2876" s="1" t="s">
        <v>31</v>
      </c>
      <c r="Q2876" s="1" t="s">
        <v>157</v>
      </c>
      <c r="R2876" s="1" t="s">
        <v>157</v>
      </c>
      <c r="S2876" s="1" t="s">
        <v>158</v>
      </c>
      <c r="U2876" s="1">
        <v>1.00608383E8</v>
      </c>
      <c r="X2876" s="1" t="s">
        <v>74</v>
      </c>
      <c r="Y2876" s="1" t="s">
        <v>2437</v>
      </c>
      <c r="Z2876" s="1" t="s">
        <v>37</v>
      </c>
    </row>
    <row r="2877" hidden="1">
      <c r="A2877" s="1" t="s">
        <v>8679</v>
      </c>
      <c r="B2877" s="1" t="s">
        <v>4905</v>
      </c>
      <c r="C2877" s="1" t="s">
        <v>8680</v>
      </c>
      <c r="D2877" s="1" t="s">
        <v>122</v>
      </c>
      <c r="E2877" s="1" t="s">
        <v>28</v>
      </c>
      <c r="F2877" s="2">
        <v>325000.0</v>
      </c>
      <c r="G2877" s="1" t="s">
        <v>2455</v>
      </c>
      <c r="H2877" s="4">
        <f>IFERROR(__xludf.DUMMYFUNCTION("DATE(INDEX(SPLIT(G2877,""/""),,3),INDEX(SPLIT(G2877,""/""),,2),INDEX(SPLIT(G2877,""/""),,1))"),44606.0)</f>
        <v>44606</v>
      </c>
      <c r="I2877" s="1" t="s">
        <v>203</v>
      </c>
      <c r="J2877" s="4">
        <f>IFERROR(__xludf.DUMMYFUNCTION("DATE(INDEX(SPLIT(I2877,""/""),,3),INDEX(SPLIT(I2877,""/""),,2),INDEX(SPLIT(I2877,""/""),,1))"),44925.0)</f>
        <v>44925</v>
      </c>
      <c r="L2877" s="1">
        <v>0.0</v>
      </c>
      <c r="M2877" s="1" t="s">
        <v>3546</v>
      </c>
      <c r="N2877" s="1"/>
      <c r="O2877" s="1" t="s">
        <v>30</v>
      </c>
      <c r="P2877" s="1" t="s">
        <v>31</v>
      </c>
      <c r="Q2877" s="1" t="s">
        <v>53</v>
      </c>
      <c r="R2877" s="1" t="s">
        <v>53</v>
      </c>
      <c r="S2877" s="1" t="s">
        <v>54</v>
      </c>
      <c r="T2877" s="1" t="s">
        <v>197</v>
      </c>
      <c r="U2877" s="1">
        <v>1.00608164E8</v>
      </c>
      <c r="X2877" s="1" t="s">
        <v>63</v>
      </c>
      <c r="Y2877" s="1" t="s">
        <v>3546</v>
      </c>
      <c r="Z2877" s="1" t="s">
        <v>37</v>
      </c>
    </row>
    <row r="2878" hidden="1">
      <c r="A2878" s="1" t="s">
        <v>8681</v>
      </c>
      <c r="B2878" s="1" t="s">
        <v>5562</v>
      </c>
      <c r="C2878" s="1" t="s">
        <v>8682</v>
      </c>
      <c r="D2878" s="1" t="s">
        <v>68</v>
      </c>
      <c r="E2878" s="1" t="s">
        <v>28</v>
      </c>
      <c r="F2878" s="2">
        <v>325000.0</v>
      </c>
      <c r="G2878" s="1" t="s">
        <v>418</v>
      </c>
      <c r="H2878" s="4">
        <f>IFERROR(__xludf.DUMMYFUNCTION("DATE(INDEX(SPLIT(G2878,""/""),,3),INDEX(SPLIT(G2878,""/""),,2),INDEX(SPLIT(G2878,""/""),,1))"),44755.0)</f>
        <v>44755</v>
      </c>
      <c r="I2878" s="1" t="s">
        <v>130</v>
      </c>
      <c r="J2878" s="4">
        <f>IFERROR(__xludf.DUMMYFUNCTION("DATE(INDEX(SPLIT(I2878,""/""),,3),INDEX(SPLIT(I2878,""/""),,2),INDEX(SPLIT(I2878,""/""),,1))"),44804.0)</f>
        <v>44804</v>
      </c>
      <c r="L2878" s="1">
        <v>0.0</v>
      </c>
      <c r="M2878" s="1" t="s">
        <v>5564</v>
      </c>
      <c r="N2878" s="1"/>
      <c r="O2878" s="1" t="s">
        <v>30</v>
      </c>
      <c r="P2878" s="1" t="s">
        <v>31</v>
      </c>
      <c r="Q2878" s="1" t="s">
        <v>235</v>
      </c>
      <c r="R2878" s="1" t="s">
        <v>235</v>
      </c>
      <c r="S2878" s="1" t="s">
        <v>236</v>
      </c>
      <c r="T2878" s="1" t="s">
        <v>438</v>
      </c>
      <c r="U2878" s="1">
        <v>1.00623111E8</v>
      </c>
      <c r="X2878" s="1" t="s">
        <v>98</v>
      </c>
      <c r="Y2878" s="1" t="s">
        <v>7875</v>
      </c>
      <c r="Z2878" s="1" t="s">
        <v>37</v>
      </c>
    </row>
    <row r="2879">
      <c r="A2879" s="1" t="s">
        <v>8683</v>
      </c>
      <c r="B2879" s="1" t="s">
        <v>8684</v>
      </c>
      <c r="C2879" s="1" t="s">
        <v>8685</v>
      </c>
      <c r="D2879" s="1" t="s">
        <v>27</v>
      </c>
      <c r="E2879" s="1" t="s">
        <v>28</v>
      </c>
      <c r="F2879" s="2">
        <v>325000.0</v>
      </c>
      <c r="G2879" s="4">
        <v>44387.0</v>
      </c>
      <c r="H2879" s="4">
        <f>IFERROR(__xludf.DUMMYFUNCTION("DATE(INDEX(SPLIT(G2879,""/""),,3),INDEX(SPLIT(G2879,""/""),,2),INDEX(SPLIT(G2879,""/""),,1))"),44476.0)</f>
        <v>44476</v>
      </c>
      <c r="I2879" s="4">
        <v>44568.0</v>
      </c>
      <c r="J2879" s="4">
        <f>IFERROR(__xludf.DUMMYFUNCTION("DATE(INDEX(SPLIT(I2879,""/""),,3),INDEX(SPLIT(I2879,""/""),,2),INDEX(SPLIT(I2879,""/""),,1))"),44743.0)</f>
        <v>44743</v>
      </c>
      <c r="L2879" s="1">
        <v>0.0</v>
      </c>
      <c r="M2879" s="1" t="s">
        <v>3538</v>
      </c>
      <c r="N2879" s="1"/>
      <c r="O2879" s="1" t="s">
        <v>30</v>
      </c>
      <c r="P2879" s="1" t="s">
        <v>31</v>
      </c>
      <c r="Q2879" s="1" t="s">
        <v>32</v>
      </c>
      <c r="R2879" s="1" t="s">
        <v>32</v>
      </c>
      <c r="S2879" s="1" t="s">
        <v>33</v>
      </c>
      <c r="U2879" s="1">
        <v>1.00589892E8</v>
      </c>
      <c r="X2879" s="1" t="s">
        <v>490</v>
      </c>
      <c r="Y2879" s="1" t="s">
        <v>8650</v>
      </c>
      <c r="Z2879" s="1" t="s">
        <v>527</v>
      </c>
    </row>
    <row r="2880" hidden="1">
      <c r="A2880" s="1" t="s">
        <v>8686</v>
      </c>
      <c r="B2880" s="1" t="s">
        <v>4594</v>
      </c>
      <c r="C2880" s="1" t="s">
        <v>8687</v>
      </c>
      <c r="D2880" s="1" t="s">
        <v>27</v>
      </c>
      <c r="E2880" s="1" t="s">
        <v>28</v>
      </c>
      <c r="F2880" s="2">
        <v>325000.0</v>
      </c>
      <c r="G2880" s="1" t="s">
        <v>41</v>
      </c>
      <c r="H2880" s="4">
        <f>IFERROR(__xludf.DUMMYFUNCTION("DATE(INDEX(SPLIT(G2880,""/""),,3),INDEX(SPLIT(G2880,""/""),,2),INDEX(SPLIT(G2880,""/""),,1))"),44607.0)</f>
        <v>44607</v>
      </c>
      <c r="I2880" s="1" t="s">
        <v>1678</v>
      </c>
      <c r="J2880" s="4">
        <f>IFERROR(__xludf.DUMMYFUNCTION("DATE(INDEX(SPLIT(I2880,""/""),,3),INDEX(SPLIT(I2880,""/""),,2),INDEX(SPLIT(I2880,""/""),,1))"),44819.0)</f>
        <v>44819</v>
      </c>
      <c r="L2880" s="1">
        <v>0.0</v>
      </c>
      <c r="M2880" s="1" t="s">
        <v>3485</v>
      </c>
      <c r="N2880" s="1"/>
      <c r="O2880" s="1" t="s">
        <v>30</v>
      </c>
      <c r="P2880" s="1" t="s">
        <v>31</v>
      </c>
      <c r="Q2880" s="1" t="s">
        <v>71</v>
      </c>
      <c r="R2880" s="1" t="s">
        <v>71</v>
      </c>
      <c r="S2880" s="1" t="s">
        <v>72</v>
      </c>
      <c r="T2880" s="1" t="s">
        <v>615</v>
      </c>
      <c r="U2880" s="1">
        <v>1.01080198E8</v>
      </c>
      <c r="X2880" s="1" t="s">
        <v>490</v>
      </c>
      <c r="Y2880" s="1" t="s">
        <v>3485</v>
      </c>
      <c r="Z2880" s="1" t="s">
        <v>206</v>
      </c>
    </row>
    <row r="2881">
      <c r="A2881" s="1" t="s">
        <v>8688</v>
      </c>
      <c r="B2881" s="1" t="s">
        <v>6001</v>
      </c>
      <c r="C2881" s="1" t="s">
        <v>8689</v>
      </c>
      <c r="D2881" s="1" t="s">
        <v>78</v>
      </c>
      <c r="E2881" s="1" t="s">
        <v>28</v>
      </c>
      <c r="F2881" s="2">
        <v>325000.0</v>
      </c>
      <c r="G2881" s="1" t="s">
        <v>108</v>
      </c>
      <c r="H2881" s="4">
        <f>IFERROR(__xludf.DUMMYFUNCTION("DATE(INDEX(SPLIT(G2881,""/""),,3),INDEX(SPLIT(G2881,""/""),,2),INDEX(SPLIT(G2881,""/""),,1))"),44725.0)</f>
        <v>44725</v>
      </c>
      <c r="I2881" s="1" t="s">
        <v>226</v>
      </c>
      <c r="J2881" s="4">
        <f>IFERROR(__xludf.DUMMYFUNCTION("DATE(INDEX(SPLIT(I2881,""/""),,3),INDEX(SPLIT(I2881,""/""),,2),INDEX(SPLIT(I2881,""/""),,1))"),44771.0)</f>
        <v>44771</v>
      </c>
      <c r="L2881" s="1">
        <v>0.0</v>
      </c>
      <c r="M2881" s="1" t="s">
        <v>4493</v>
      </c>
      <c r="N2881" s="1"/>
      <c r="O2881" s="1" t="s">
        <v>30</v>
      </c>
      <c r="P2881" s="1" t="s">
        <v>31</v>
      </c>
      <c r="Q2881" s="1" t="s">
        <v>188</v>
      </c>
      <c r="R2881" s="1" t="s">
        <v>188</v>
      </c>
      <c r="S2881" s="1" t="s">
        <v>189</v>
      </c>
      <c r="U2881" s="1">
        <v>1.00647536E8</v>
      </c>
      <c r="X2881" s="1" t="s">
        <v>88</v>
      </c>
      <c r="Y2881" s="1" t="s">
        <v>8690</v>
      </c>
      <c r="Z2881" s="1" t="s">
        <v>37</v>
      </c>
    </row>
    <row r="2882" hidden="1">
      <c r="A2882" s="1" t="s">
        <v>8691</v>
      </c>
      <c r="B2882" s="1" t="s">
        <v>3126</v>
      </c>
      <c r="C2882" s="1" t="s">
        <v>8692</v>
      </c>
      <c r="D2882" s="1" t="s">
        <v>27</v>
      </c>
      <c r="E2882" s="1" t="s">
        <v>28</v>
      </c>
      <c r="F2882" s="2">
        <v>325000.0</v>
      </c>
      <c r="G2882" s="1" t="s">
        <v>1767</v>
      </c>
      <c r="H2882" s="4">
        <f>IFERROR(__xludf.DUMMYFUNCTION("DATE(INDEX(SPLIT(G2882,""/""),,3),INDEX(SPLIT(G2882,""/""),,2),INDEX(SPLIT(G2882,""/""),,1))"),44698.0)</f>
        <v>44698</v>
      </c>
      <c r="I2882" s="4">
        <v>44601.0</v>
      </c>
      <c r="J2882" s="4">
        <f>IFERROR(__xludf.DUMMYFUNCTION("DATE(INDEX(SPLIT(I2882,""/""),,3),INDEX(SPLIT(I2882,""/""),,2),INDEX(SPLIT(I2882,""/""),,1))"),44806.0)</f>
        <v>44806</v>
      </c>
      <c r="L2882" s="1">
        <v>0.0</v>
      </c>
      <c r="M2882" s="1" t="s">
        <v>1704</v>
      </c>
      <c r="N2882" s="1"/>
      <c r="O2882" s="1" t="s">
        <v>30</v>
      </c>
      <c r="P2882" s="1" t="s">
        <v>31</v>
      </c>
      <c r="Q2882" s="1" t="s">
        <v>157</v>
      </c>
      <c r="R2882" s="1" t="s">
        <v>157</v>
      </c>
      <c r="S2882" s="1" t="s">
        <v>158</v>
      </c>
      <c r="T2882" s="1" t="s">
        <v>442</v>
      </c>
      <c r="U2882" s="1">
        <v>1.00654991E8</v>
      </c>
      <c r="X2882" s="1" t="s">
        <v>63</v>
      </c>
      <c r="Y2882" s="1" t="s">
        <v>767</v>
      </c>
      <c r="Z2882" s="1" t="s">
        <v>37</v>
      </c>
    </row>
    <row r="2883">
      <c r="A2883" s="1" t="s">
        <v>8693</v>
      </c>
      <c r="B2883" s="1" t="s">
        <v>8694</v>
      </c>
      <c r="C2883" s="1" t="s">
        <v>8695</v>
      </c>
      <c r="D2883" s="1" t="s">
        <v>27</v>
      </c>
      <c r="E2883" s="1" t="s">
        <v>28</v>
      </c>
      <c r="F2883" s="2">
        <v>325000.0</v>
      </c>
      <c r="G2883" s="1" t="s">
        <v>3972</v>
      </c>
      <c r="H2883" s="4">
        <f>IFERROR(__xludf.DUMMYFUNCTION("DATE(INDEX(SPLIT(G2883,""/""),,3),INDEX(SPLIT(G2883,""/""),,2),INDEX(SPLIT(G2883,""/""),,1))"),44637.0)</f>
        <v>44637</v>
      </c>
      <c r="I2883" s="1" t="s">
        <v>2300</v>
      </c>
      <c r="J2883" s="4">
        <f>IFERROR(__xludf.DUMMYFUNCTION("DATE(INDEX(SPLIT(I2883,""/""),,3),INDEX(SPLIT(I2883,""/""),,2),INDEX(SPLIT(I2883,""/""),,1))"),44712.0)</f>
        <v>44712</v>
      </c>
      <c r="L2883" s="1">
        <v>0.0</v>
      </c>
      <c r="M2883" s="1" t="s">
        <v>1685</v>
      </c>
      <c r="N2883" s="1"/>
      <c r="O2883" s="1" t="s">
        <v>30</v>
      </c>
      <c r="P2883" s="1" t="s">
        <v>31</v>
      </c>
      <c r="Q2883" s="1" t="s">
        <v>228</v>
      </c>
      <c r="R2883" s="1" t="s">
        <v>228</v>
      </c>
      <c r="S2883" s="1" t="s">
        <v>229</v>
      </c>
      <c r="T2883" s="1" t="s">
        <v>505</v>
      </c>
      <c r="U2883" s="1">
        <v>1.00612055E8</v>
      </c>
      <c r="X2883" s="1" t="s">
        <v>63</v>
      </c>
      <c r="Y2883" s="1" t="s">
        <v>1685</v>
      </c>
      <c r="Z2883" s="1" t="s">
        <v>37</v>
      </c>
    </row>
    <row r="2884" hidden="1">
      <c r="A2884" s="1" t="s">
        <v>8696</v>
      </c>
      <c r="B2884" s="1" t="s">
        <v>695</v>
      </c>
      <c r="C2884" s="1" t="s">
        <v>8697</v>
      </c>
      <c r="D2884" s="1" t="s">
        <v>78</v>
      </c>
      <c r="E2884" s="1" t="s">
        <v>28</v>
      </c>
      <c r="F2884" s="2">
        <v>325000.0</v>
      </c>
      <c r="G2884" s="1" t="s">
        <v>5456</v>
      </c>
      <c r="H2884" s="4">
        <f>IFERROR(__xludf.DUMMYFUNCTION("DATE(INDEX(SPLIT(G2884,""/""),,3),INDEX(SPLIT(G2884,""/""),,2),INDEX(SPLIT(G2884,""/""),,1))"),43547.0)</f>
        <v>43547</v>
      </c>
      <c r="I2884" s="1" t="s">
        <v>1097</v>
      </c>
      <c r="J2884" s="4">
        <f>IFERROR(__xludf.DUMMYFUNCTION("DATE(INDEX(SPLIT(I2884,""/""),,3),INDEX(SPLIT(I2884,""/""),,2),INDEX(SPLIT(I2884,""/""),,1))"),45107.0)</f>
        <v>45107</v>
      </c>
      <c r="L2884" s="1">
        <v>0.0</v>
      </c>
      <c r="M2884" s="1" t="s">
        <v>2592</v>
      </c>
      <c r="N2884" s="1"/>
      <c r="O2884" s="1" t="s">
        <v>30</v>
      </c>
      <c r="P2884" s="1" t="s">
        <v>31</v>
      </c>
      <c r="Q2884" s="1" t="s">
        <v>71</v>
      </c>
      <c r="R2884" s="1" t="s">
        <v>71</v>
      </c>
      <c r="S2884" s="1" t="s">
        <v>72</v>
      </c>
      <c r="T2884" s="1" t="s">
        <v>136</v>
      </c>
      <c r="U2884" s="1">
        <v>1.00586452E8</v>
      </c>
      <c r="X2884" s="1" t="s">
        <v>74</v>
      </c>
      <c r="Y2884" s="1" t="s">
        <v>2593</v>
      </c>
      <c r="Z2884" s="1" t="s">
        <v>37</v>
      </c>
    </row>
    <row r="2885" hidden="1">
      <c r="A2885" s="1" t="s">
        <v>8698</v>
      </c>
      <c r="B2885" s="1" t="s">
        <v>2558</v>
      </c>
      <c r="C2885" s="1" t="s">
        <v>8699</v>
      </c>
      <c r="D2885" s="1" t="s">
        <v>27</v>
      </c>
      <c r="E2885" s="1" t="s">
        <v>28</v>
      </c>
      <c r="F2885" s="2">
        <v>325000.0</v>
      </c>
      <c r="G2885" s="1" t="s">
        <v>5456</v>
      </c>
      <c r="H2885" s="4">
        <f>IFERROR(__xludf.DUMMYFUNCTION("DATE(INDEX(SPLIT(G2885,""/""),,3),INDEX(SPLIT(G2885,""/""),,2),INDEX(SPLIT(G2885,""/""),,1))"),43547.0)</f>
        <v>43547</v>
      </c>
      <c r="I2885" s="1" t="s">
        <v>1097</v>
      </c>
      <c r="J2885" s="4">
        <f>IFERROR(__xludf.DUMMYFUNCTION("DATE(INDEX(SPLIT(I2885,""/""),,3),INDEX(SPLIT(I2885,""/""),,2),INDEX(SPLIT(I2885,""/""),,1))"),45107.0)</f>
        <v>45107</v>
      </c>
      <c r="L2885" s="1">
        <v>0.0</v>
      </c>
      <c r="M2885" s="1" t="s">
        <v>2592</v>
      </c>
      <c r="N2885" s="1"/>
      <c r="O2885" s="1" t="s">
        <v>30</v>
      </c>
      <c r="P2885" s="1" t="s">
        <v>31</v>
      </c>
      <c r="Q2885" s="1" t="s">
        <v>71</v>
      </c>
      <c r="R2885" s="1" t="s">
        <v>71</v>
      </c>
      <c r="S2885" s="1" t="s">
        <v>72</v>
      </c>
      <c r="T2885" s="1" t="s">
        <v>136</v>
      </c>
      <c r="U2885" s="1">
        <v>1.00586452E8</v>
      </c>
      <c r="X2885" s="1" t="s">
        <v>74</v>
      </c>
      <c r="Y2885" s="1" t="s">
        <v>2593</v>
      </c>
      <c r="Z2885" s="1" t="s">
        <v>37</v>
      </c>
    </row>
    <row r="2886" hidden="1">
      <c r="A2886" s="1" t="s">
        <v>8700</v>
      </c>
      <c r="B2886" s="1" t="s">
        <v>315</v>
      </c>
      <c r="C2886" s="1" t="s">
        <v>8701</v>
      </c>
      <c r="D2886" s="1" t="s">
        <v>68</v>
      </c>
      <c r="E2886" s="1" t="s">
        <v>28</v>
      </c>
      <c r="F2886" s="2">
        <v>325000.0</v>
      </c>
      <c r="G2886" s="4">
        <v>44567.0</v>
      </c>
      <c r="H2886" s="4">
        <f>IFERROR(__xludf.DUMMYFUNCTION("DATE(INDEX(SPLIT(G2886,""/""),,3),INDEX(SPLIT(G2886,""/""),,2),INDEX(SPLIT(G2886,""/""),,1))"),44713.0)</f>
        <v>44713</v>
      </c>
      <c r="I2886" s="4">
        <v>44569.0</v>
      </c>
      <c r="J2886" s="4">
        <f>IFERROR(__xludf.DUMMYFUNCTION("DATE(INDEX(SPLIT(I2886,""/""),,3),INDEX(SPLIT(I2886,""/""),,2),INDEX(SPLIT(I2886,""/""),,1))"),44774.0)</f>
        <v>44774</v>
      </c>
      <c r="L2886" s="1">
        <v>0.0</v>
      </c>
      <c r="M2886" s="1" t="s">
        <v>1137</v>
      </c>
      <c r="N2886" s="1"/>
      <c r="O2886" s="1" t="s">
        <v>30</v>
      </c>
      <c r="P2886" s="1" t="s">
        <v>31</v>
      </c>
      <c r="Q2886" s="1" t="s">
        <v>71</v>
      </c>
      <c r="R2886" s="1" t="s">
        <v>71</v>
      </c>
      <c r="S2886" s="1" t="s">
        <v>72</v>
      </c>
      <c r="T2886" s="1" t="s">
        <v>73</v>
      </c>
      <c r="U2886" s="1">
        <v>1.00589728E8</v>
      </c>
      <c r="X2886" s="1" t="s">
        <v>74</v>
      </c>
      <c r="Y2886" s="1" t="s">
        <v>1137</v>
      </c>
      <c r="Z2886" s="1" t="s">
        <v>37</v>
      </c>
    </row>
    <row r="2887">
      <c r="A2887" s="1" t="s">
        <v>8702</v>
      </c>
      <c r="B2887" s="1" t="s">
        <v>2009</v>
      </c>
      <c r="C2887" s="1" t="s">
        <v>8703</v>
      </c>
      <c r="D2887" s="1" t="s">
        <v>78</v>
      </c>
      <c r="E2887" s="1" t="s">
        <v>28</v>
      </c>
      <c r="F2887" s="2">
        <v>325000.0</v>
      </c>
      <c r="G2887" s="4">
        <v>43962.0</v>
      </c>
      <c r="H2887" s="4">
        <f>IFERROR(__xludf.DUMMYFUNCTION("DATE(INDEX(SPLIT(G2887,""/""),,3),INDEX(SPLIT(G2887,""/""),,2),INDEX(SPLIT(G2887,""/""),,1))"),44140.0)</f>
        <v>44140</v>
      </c>
      <c r="I2887" s="1" t="s">
        <v>1244</v>
      </c>
      <c r="J2887" s="4">
        <f>IFERROR(__xludf.DUMMYFUNCTION("DATE(INDEX(SPLIT(I2887,""/""),,3),INDEX(SPLIT(I2887,""/""),,2),INDEX(SPLIT(I2887,""/""),,1))"),44742.0)</f>
        <v>44742</v>
      </c>
      <c r="L2887" s="1">
        <v>0.0</v>
      </c>
      <c r="M2887" s="1" t="s">
        <v>3580</v>
      </c>
      <c r="N2887" s="1"/>
      <c r="O2887" s="1" t="s">
        <v>30</v>
      </c>
      <c r="P2887" s="1" t="s">
        <v>31</v>
      </c>
      <c r="Q2887" s="1" t="s">
        <v>157</v>
      </c>
      <c r="R2887" s="1" t="s">
        <v>157</v>
      </c>
      <c r="S2887" s="1" t="s">
        <v>158</v>
      </c>
      <c r="T2887" s="1" t="s">
        <v>237</v>
      </c>
      <c r="U2887" s="1">
        <v>1.00956516E8</v>
      </c>
      <c r="X2887" s="1" t="s">
        <v>239</v>
      </c>
      <c r="Y2887" s="1" t="s">
        <v>2977</v>
      </c>
      <c r="Z2887" s="1" t="s">
        <v>37</v>
      </c>
    </row>
    <row r="2888">
      <c r="A2888" s="1" t="s">
        <v>8704</v>
      </c>
      <c r="B2888" s="1" t="s">
        <v>4205</v>
      </c>
      <c r="C2888" s="1" t="s">
        <v>8705</v>
      </c>
      <c r="D2888" s="1" t="s">
        <v>78</v>
      </c>
      <c r="E2888" s="1" t="s">
        <v>28</v>
      </c>
      <c r="F2888" s="2">
        <v>325000.0</v>
      </c>
      <c r="G2888" s="1" t="s">
        <v>534</v>
      </c>
      <c r="H2888" s="4">
        <f>IFERROR(__xludf.DUMMYFUNCTION("DATE(INDEX(SPLIT(G2888,""/""),,3),INDEX(SPLIT(G2888,""/""),,2),INDEX(SPLIT(G2888,""/""),,1))"),44704.0)</f>
        <v>44704</v>
      </c>
      <c r="I2888" s="1" t="s">
        <v>69</v>
      </c>
      <c r="J2888" s="4">
        <f>IFERROR(__xludf.DUMMYFUNCTION("DATE(INDEX(SPLIT(I2888,""/""),,3),INDEX(SPLIT(I2888,""/""),,2),INDEX(SPLIT(I2888,""/""),,1))"),44773.0)</f>
        <v>44773</v>
      </c>
      <c r="L2888" s="1">
        <v>0.0</v>
      </c>
      <c r="M2888" s="1" t="s">
        <v>1052</v>
      </c>
      <c r="N2888" s="1"/>
      <c r="O2888" s="1" t="s">
        <v>30</v>
      </c>
      <c r="P2888" s="1" t="s">
        <v>31</v>
      </c>
      <c r="Q2888" s="1" t="s">
        <v>235</v>
      </c>
      <c r="R2888" s="1" t="s">
        <v>235</v>
      </c>
      <c r="S2888" s="1" t="s">
        <v>236</v>
      </c>
      <c r="U2888" s="1">
        <v>1.00650344E8</v>
      </c>
      <c r="X2888" s="1" t="s">
        <v>239</v>
      </c>
      <c r="Y2888" s="1" t="s">
        <v>2977</v>
      </c>
      <c r="Z2888" s="1" t="s">
        <v>37</v>
      </c>
    </row>
    <row r="2889">
      <c r="A2889" s="1" t="s">
        <v>8706</v>
      </c>
      <c r="B2889" s="1" t="s">
        <v>1185</v>
      </c>
      <c r="C2889" s="1" t="s">
        <v>8707</v>
      </c>
      <c r="D2889" s="1" t="s">
        <v>78</v>
      </c>
      <c r="E2889" s="1" t="s">
        <v>28</v>
      </c>
      <c r="F2889" s="2">
        <v>325000.0</v>
      </c>
      <c r="G2889" s="1" t="s">
        <v>4985</v>
      </c>
      <c r="H2889" s="4">
        <f>IFERROR(__xludf.DUMMYFUNCTION("DATE(INDEX(SPLIT(G2889,""/""),,3),INDEX(SPLIT(G2889,""/""),,2),INDEX(SPLIT(G2889,""/""),,1))"),44273.0)</f>
        <v>44273</v>
      </c>
      <c r="I2889" s="1" t="s">
        <v>226</v>
      </c>
      <c r="J2889" s="4">
        <f>IFERROR(__xludf.DUMMYFUNCTION("DATE(INDEX(SPLIT(I2889,""/""),,3),INDEX(SPLIT(I2889,""/""),,2),INDEX(SPLIT(I2889,""/""),,1))"),44771.0)</f>
        <v>44771</v>
      </c>
      <c r="L2889" s="1">
        <v>0.0</v>
      </c>
      <c r="M2889" s="1" t="s">
        <v>2696</v>
      </c>
      <c r="N2889" s="1"/>
      <c r="O2889" s="1" t="s">
        <v>30</v>
      </c>
      <c r="P2889" s="1" t="s">
        <v>31</v>
      </c>
      <c r="Q2889" s="1" t="s">
        <v>157</v>
      </c>
      <c r="R2889" s="1" t="s">
        <v>157</v>
      </c>
      <c r="S2889" s="1" t="s">
        <v>158</v>
      </c>
      <c r="U2889" s="1">
        <v>1.00611351E8</v>
      </c>
      <c r="X2889" s="1" t="s">
        <v>190</v>
      </c>
      <c r="Y2889" s="1" t="s">
        <v>2696</v>
      </c>
      <c r="Z2889" s="1" t="s">
        <v>37</v>
      </c>
    </row>
    <row r="2890">
      <c r="A2890" s="1" t="s">
        <v>8708</v>
      </c>
      <c r="B2890" s="1" t="s">
        <v>8709</v>
      </c>
      <c r="C2890" s="1" t="s">
        <v>8710</v>
      </c>
      <c r="D2890" s="1" t="s">
        <v>78</v>
      </c>
      <c r="E2890" s="1" t="s">
        <v>28</v>
      </c>
      <c r="F2890" s="2">
        <v>324134.0</v>
      </c>
      <c r="G2890" s="1" t="s">
        <v>8711</v>
      </c>
      <c r="H2890" s="4">
        <f>IFERROR(__xludf.DUMMYFUNCTION("DATE(INDEX(SPLIT(G2890,""/""),,3),INDEX(SPLIT(G2890,""/""),,2),INDEX(SPLIT(G2890,""/""),,1))"),43847.0)</f>
        <v>43847</v>
      </c>
      <c r="I2890" s="1" t="s">
        <v>226</v>
      </c>
      <c r="J2890" s="4">
        <f>IFERROR(__xludf.DUMMYFUNCTION("DATE(INDEX(SPLIT(I2890,""/""),,3),INDEX(SPLIT(I2890,""/""),,2),INDEX(SPLIT(I2890,""/""),,1))"),44771.0)</f>
        <v>44771</v>
      </c>
      <c r="L2890" s="1">
        <v>0.0</v>
      </c>
      <c r="M2890" s="1" t="s">
        <v>2696</v>
      </c>
      <c r="N2890" s="1"/>
      <c r="O2890" s="1" t="s">
        <v>30</v>
      </c>
      <c r="P2890" s="1" t="s">
        <v>31</v>
      </c>
      <c r="Q2890" s="1" t="s">
        <v>157</v>
      </c>
      <c r="R2890" s="1" t="s">
        <v>157</v>
      </c>
      <c r="S2890" s="1" t="s">
        <v>158</v>
      </c>
      <c r="T2890" s="1" t="s">
        <v>8712</v>
      </c>
      <c r="U2890" s="1">
        <v>1.00611351E8</v>
      </c>
      <c r="X2890" s="1" t="s">
        <v>375</v>
      </c>
      <c r="Y2890" s="1" t="s">
        <v>8713</v>
      </c>
      <c r="Z2890" s="1" t="s">
        <v>37</v>
      </c>
    </row>
    <row r="2891">
      <c r="A2891" s="1" t="s">
        <v>8714</v>
      </c>
      <c r="B2891" s="1" t="s">
        <v>8715</v>
      </c>
      <c r="C2891" s="1" t="s">
        <v>8716</v>
      </c>
      <c r="D2891" s="1" t="s">
        <v>122</v>
      </c>
      <c r="E2891" s="1" t="s">
        <v>28</v>
      </c>
      <c r="F2891" s="2">
        <v>320757.0</v>
      </c>
      <c r="G2891" s="1" t="s">
        <v>1288</v>
      </c>
      <c r="H2891" s="4">
        <f>IFERROR(__xludf.DUMMYFUNCTION("DATE(INDEX(SPLIT(G2891,""/""),,3),INDEX(SPLIT(G2891,""/""),,2),INDEX(SPLIT(G2891,""/""),,1))"),44707.0)</f>
        <v>44707</v>
      </c>
      <c r="I2891" s="1" t="s">
        <v>1438</v>
      </c>
      <c r="J2891" s="4">
        <f>IFERROR(__xludf.DUMMYFUNCTION("DATE(INDEX(SPLIT(I2891,""/""),,3),INDEX(SPLIT(I2891,""/""),,2),INDEX(SPLIT(I2891,""/""),,1))"),44708.0)</f>
        <v>44708</v>
      </c>
      <c r="L2891" s="1">
        <v>0.0</v>
      </c>
      <c r="M2891" s="1" t="s">
        <v>313</v>
      </c>
      <c r="N2891" s="1"/>
      <c r="O2891" s="1" t="s">
        <v>30</v>
      </c>
      <c r="P2891" s="1" t="s">
        <v>31</v>
      </c>
      <c r="Q2891" s="1" t="s">
        <v>32</v>
      </c>
      <c r="R2891" s="1" t="s">
        <v>32</v>
      </c>
      <c r="S2891" s="1" t="s">
        <v>33</v>
      </c>
      <c r="T2891" s="1" t="s">
        <v>103</v>
      </c>
      <c r="U2891" s="1">
        <v>1.00608155E8</v>
      </c>
      <c r="X2891" s="1" t="s">
        <v>190</v>
      </c>
      <c r="Y2891" s="1" t="s">
        <v>1443</v>
      </c>
      <c r="Z2891" s="1" t="s">
        <v>37</v>
      </c>
    </row>
    <row r="2892">
      <c r="A2892" s="1" t="s">
        <v>8717</v>
      </c>
      <c r="B2892" s="1" t="s">
        <v>806</v>
      </c>
      <c r="C2892" s="1" t="s">
        <v>8718</v>
      </c>
      <c r="D2892" s="1" t="s">
        <v>122</v>
      </c>
      <c r="E2892" s="1" t="s">
        <v>28</v>
      </c>
      <c r="F2892" s="2">
        <v>320000.0</v>
      </c>
      <c r="G2892" s="4">
        <v>44595.0</v>
      </c>
      <c r="H2892" s="4">
        <f>IFERROR(__xludf.DUMMYFUNCTION("DATE(INDEX(SPLIT(G2892,""/""),,3),INDEX(SPLIT(G2892,""/""),,2),INDEX(SPLIT(G2892,""/""),,1))"),44622.0)</f>
        <v>44622</v>
      </c>
      <c r="I2892" s="1" t="s">
        <v>69</v>
      </c>
      <c r="J2892" s="4">
        <f>IFERROR(__xludf.DUMMYFUNCTION("DATE(INDEX(SPLIT(I2892,""/""),,3),INDEX(SPLIT(I2892,""/""),,2),INDEX(SPLIT(I2892,""/""),,1))"),44773.0)</f>
        <v>44773</v>
      </c>
      <c r="L2892" s="1">
        <v>0.0</v>
      </c>
      <c r="M2892" s="1" t="s">
        <v>8719</v>
      </c>
      <c r="N2892" s="1"/>
      <c r="O2892" s="1" t="s">
        <v>30</v>
      </c>
      <c r="P2892" s="1" t="s">
        <v>31</v>
      </c>
      <c r="Q2892" s="1" t="s">
        <v>95</v>
      </c>
      <c r="R2892" s="1" t="s">
        <v>95</v>
      </c>
      <c r="S2892" s="1" t="s">
        <v>96</v>
      </c>
      <c r="T2892" s="1" t="s">
        <v>97</v>
      </c>
      <c r="U2892" s="1">
        <v>1.00620553E8</v>
      </c>
      <c r="X2892" s="1" t="s">
        <v>117</v>
      </c>
      <c r="Y2892" s="1" t="s">
        <v>8720</v>
      </c>
      <c r="Z2892" s="1" t="s">
        <v>37</v>
      </c>
    </row>
    <row r="2893" hidden="1">
      <c r="A2893" s="1" t="s">
        <v>8721</v>
      </c>
      <c r="B2893" s="1" t="s">
        <v>8722</v>
      </c>
      <c r="C2893" s="1" t="s">
        <v>8723</v>
      </c>
      <c r="D2893" s="1" t="s">
        <v>78</v>
      </c>
      <c r="E2893" s="1" t="s">
        <v>28</v>
      </c>
      <c r="F2893" s="2">
        <v>320000.0</v>
      </c>
      <c r="G2893" s="1" t="s">
        <v>934</v>
      </c>
      <c r="H2893" s="4">
        <f>IFERROR(__xludf.DUMMYFUNCTION("DATE(INDEX(SPLIT(G2893,""/""),,3),INDEX(SPLIT(G2893,""/""),,2),INDEX(SPLIT(G2893,""/""),,1))"),44681.0)</f>
        <v>44681</v>
      </c>
      <c r="I2893" s="1" t="s">
        <v>130</v>
      </c>
      <c r="J2893" s="4">
        <f>IFERROR(__xludf.DUMMYFUNCTION("DATE(INDEX(SPLIT(I2893,""/""),,3),INDEX(SPLIT(I2893,""/""),,2),INDEX(SPLIT(I2893,""/""),,1))"),44804.0)</f>
        <v>44804</v>
      </c>
      <c r="L2893" s="1">
        <v>0.0</v>
      </c>
      <c r="M2893" s="1" t="s">
        <v>5588</v>
      </c>
      <c r="N2893" s="1"/>
      <c r="O2893" s="1" t="s">
        <v>30</v>
      </c>
      <c r="P2893" s="1" t="s">
        <v>31</v>
      </c>
      <c r="Q2893" s="1" t="s">
        <v>1320</v>
      </c>
      <c r="R2893" s="1" t="s">
        <v>1320</v>
      </c>
      <c r="S2893" s="1" t="s">
        <v>54</v>
      </c>
      <c r="U2893" s="1">
        <v>1.00625588E8</v>
      </c>
      <c r="X2893" s="1" t="s">
        <v>375</v>
      </c>
      <c r="Y2893" s="1" t="s">
        <v>5589</v>
      </c>
      <c r="Z2893" s="1" t="s">
        <v>37</v>
      </c>
    </row>
    <row r="2894" hidden="1">
      <c r="A2894" s="1" t="s">
        <v>8724</v>
      </c>
      <c r="B2894" s="1" t="s">
        <v>2283</v>
      </c>
      <c r="C2894" s="1" t="s">
        <v>8725</v>
      </c>
      <c r="D2894" s="1" t="s">
        <v>27</v>
      </c>
      <c r="E2894" s="1" t="s">
        <v>28</v>
      </c>
      <c r="F2894" s="2">
        <v>320000.0</v>
      </c>
      <c r="G2894" s="4">
        <v>44656.0</v>
      </c>
      <c r="H2894" s="4">
        <f>IFERROR(__xludf.DUMMYFUNCTION("DATE(INDEX(SPLIT(G2894,""/""),,3),INDEX(SPLIT(G2894,""/""),,2),INDEX(SPLIT(G2894,""/""),,1))"),44685.0)</f>
        <v>44685</v>
      </c>
      <c r="I2894" s="4">
        <v>44752.0</v>
      </c>
      <c r="J2894" s="4">
        <f>IFERROR(__xludf.DUMMYFUNCTION("DATE(INDEX(SPLIT(I2894,""/""),,3),INDEX(SPLIT(I2894,""/""),,2),INDEX(SPLIT(I2894,""/""),,1))"),44841.0)</f>
        <v>44841</v>
      </c>
      <c r="L2894" s="1">
        <v>0.0</v>
      </c>
      <c r="M2894" s="1" t="s">
        <v>7598</v>
      </c>
      <c r="N2894" s="1"/>
      <c r="O2894" s="1" t="s">
        <v>30</v>
      </c>
      <c r="P2894" s="1" t="s">
        <v>31</v>
      </c>
      <c r="Q2894" s="1" t="s">
        <v>32</v>
      </c>
      <c r="R2894" s="1" t="s">
        <v>32</v>
      </c>
      <c r="S2894" s="1" t="s">
        <v>33</v>
      </c>
      <c r="T2894" s="1" t="s">
        <v>1386</v>
      </c>
      <c r="U2894" s="1">
        <v>1.00644939E8</v>
      </c>
      <c r="X2894" s="1" t="s">
        <v>490</v>
      </c>
      <c r="Y2894" s="1" t="s">
        <v>7599</v>
      </c>
      <c r="Z2894" s="1" t="s">
        <v>37</v>
      </c>
    </row>
    <row r="2895" hidden="1">
      <c r="A2895" s="1" t="s">
        <v>8726</v>
      </c>
      <c r="B2895" s="1" t="s">
        <v>296</v>
      </c>
      <c r="C2895" s="1" t="s">
        <v>8727</v>
      </c>
      <c r="D2895" s="1" t="s">
        <v>122</v>
      </c>
      <c r="E2895" s="1" t="s">
        <v>28</v>
      </c>
      <c r="F2895" s="2">
        <v>318000.0</v>
      </c>
      <c r="G2895" s="1" t="s">
        <v>934</v>
      </c>
      <c r="H2895" s="4">
        <f>IFERROR(__xludf.DUMMYFUNCTION("DATE(INDEX(SPLIT(G2895,""/""),,3),INDEX(SPLIT(G2895,""/""),,2),INDEX(SPLIT(G2895,""/""),,1))"),44681.0)</f>
        <v>44681</v>
      </c>
      <c r="I2895" s="1" t="s">
        <v>317</v>
      </c>
      <c r="J2895" s="4">
        <f>IFERROR(__xludf.DUMMYFUNCTION("DATE(INDEX(SPLIT(I2895,""/""),,3),INDEX(SPLIT(I2895,""/""),,2),INDEX(SPLIT(I2895,""/""),,1))"),44862.0)</f>
        <v>44862</v>
      </c>
      <c r="L2895" s="1">
        <v>0.0</v>
      </c>
      <c r="M2895" s="1" t="s">
        <v>6587</v>
      </c>
      <c r="N2895" s="1"/>
      <c r="O2895" s="1" t="s">
        <v>30</v>
      </c>
      <c r="P2895" s="1" t="s">
        <v>31</v>
      </c>
      <c r="Q2895" s="1" t="s">
        <v>71</v>
      </c>
      <c r="R2895" s="1" t="s">
        <v>71</v>
      </c>
      <c r="S2895" s="1" t="s">
        <v>72</v>
      </c>
      <c r="T2895" s="1" t="s">
        <v>136</v>
      </c>
      <c r="U2895" s="1">
        <v>1.00618376E8</v>
      </c>
      <c r="X2895" s="1" t="s">
        <v>74</v>
      </c>
      <c r="Y2895" s="1" t="s">
        <v>2593</v>
      </c>
      <c r="Z2895" s="1" t="s">
        <v>37</v>
      </c>
    </row>
    <row r="2896">
      <c r="A2896" s="1" t="s">
        <v>8728</v>
      </c>
      <c r="B2896" s="1" t="s">
        <v>8729</v>
      </c>
      <c r="C2896" s="1" t="s">
        <v>8730</v>
      </c>
      <c r="D2896" s="1" t="s">
        <v>122</v>
      </c>
      <c r="E2896" s="1" t="s">
        <v>28</v>
      </c>
      <c r="F2896" s="2">
        <v>315000.0</v>
      </c>
      <c r="G2896" s="4">
        <v>44567.0</v>
      </c>
      <c r="H2896" s="4">
        <f>IFERROR(__xludf.DUMMYFUNCTION("DATE(INDEX(SPLIT(G2896,""/""),,3),INDEX(SPLIT(G2896,""/""),,2),INDEX(SPLIT(G2896,""/""),,1))"),44713.0)</f>
        <v>44713</v>
      </c>
      <c r="I2896" s="1" t="s">
        <v>1244</v>
      </c>
      <c r="J2896" s="4">
        <f>IFERROR(__xludf.DUMMYFUNCTION("DATE(INDEX(SPLIT(I2896,""/""),,3),INDEX(SPLIT(I2896,""/""),,2),INDEX(SPLIT(I2896,""/""),,1))"),44742.0)</f>
        <v>44742</v>
      </c>
      <c r="L2896" s="1">
        <v>0.0</v>
      </c>
      <c r="M2896" s="1" t="s">
        <v>5017</v>
      </c>
      <c r="N2896" s="1"/>
      <c r="O2896" s="1" t="s">
        <v>30</v>
      </c>
      <c r="P2896" s="1" t="s">
        <v>31</v>
      </c>
      <c r="Q2896" s="1" t="s">
        <v>228</v>
      </c>
      <c r="R2896" s="1" t="s">
        <v>228</v>
      </c>
      <c r="S2896" s="1" t="s">
        <v>229</v>
      </c>
      <c r="T2896" s="1" t="s">
        <v>513</v>
      </c>
      <c r="U2896" s="1">
        <v>1.00620023E8</v>
      </c>
      <c r="X2896" s="1" t="s">
        <v>609</v>
      </c>
      <c r="Y2896" s="1" t="s">
        <v>5017</v>
      </c>
      <c r="Z2896" s="1" t="s">
        <v>37</v>
      </c>
    </row>
    <row r="2897" hidden="1">
      <c r="A2897" s="1" t="s">
        <v>8731</v>
      </c>
      <c r="B2897" s="1" t="s">
        <v>1144</v>
      </c>
      <c r="C2897" s="1" t="s">
        <v>8732</v>
      </c>
      <c r="D2897" s="1" t="s">
        <v>122</v>
      </c>
      <c r="E2897" s="1" t="s">
        <v>28</v>
      </c>
      <c r="F2897" s="2">
        <v>315000.0</v>
      </c>
      <c r="G2897" s="4">
        <v>44386.0</v>
      </c>
      <c r="H2897" s="4">
        <f>IFERROR(__xludf.DUMMYFUNCTION("DATE(INDEX(SPLIT(G2897,""/""),,3),INDEX(SPLIT(G2897,""/""),,2),INDEX(SPLIT(G2897,""/""),,1))"),44446.0)</f>
        <v>44446</v>
      </c>
      <c r="I2897" s="4">
        <v>44571.0</v>
      </c>
      <c r="J2897" s="4">
        <f>IFERROR(__xludf.DUMMYFUNCTION("DATE(INDEX(SPLIT(I2897,""/""),,3),INDEX(SPLIT(I2897,""/""),,2),INDEX(SPLIT(I2897,""/""),,1))"),44835.0)</f>
        <v>44835</v>
      </c>
      <c r="L2897" s="1">
        <v>0.0</v>
      </c>
      <c r="M2897" s="1" t="s">
        <v>1741</v>
      </c>
      <c r="N2897" s="1"/>
      <c r="O2897" s="1" t="s">
        <v>30</v>
      </c>
      <c r="P2897" s="1" t="s">
        <v>31</v>
      </c>
      <c r="Q2897" s="1" t="s">
        <v>32</v>
      </c>
      <c r="R2897" s="1" t="s">
        <v>32</v>
      </c>
      <c r="S2897" s="1" t="s">
        <v>33</v>
      </c>
      <c r="T2897" s="1" t="s">
        <v>103</v>
      </c>
      <c r="U2897" s="1">
        <v>1.00645852E8</v>
      </c>
      <c r="X2897" s="1" t="s">
        <v>63</v>
      </c>
      <c r="Y2897" s="1" t="s">
        <v>7271</v>
      </c>
      <c r="Z2897" s="1" t="s">
        <v>37</v>
      </c>
    </row>
    <row r="2898">
      <c r="A2898" s="1" t="s">
        <v>8733</v>
      </c>
      <c r="B2898" s="1" t="s">
        <v>516</v>
      </c>
      <c r="C2898" s="1" t="s">
        <v>8734</v>
      </c>
      <c r="D2898" s="1" t="s">
        <v>122</v>
      </c>
      <c r="E2898" s="1" t="s">
        <v>28</v>
      </c>
      <c r="F2898" s="2">
        <v>315000.0</v>
      </c>
      <c r="G2898" s="1" t="s">
        <v>298</v>
      </c>
      <c r="H2898" s="4">
        <f>IFERROR(__xludf.DUMMYFUNCTION("DATE(INDEX(SPLIT(G2898,""/""),,3),INDEX(SPLIT(G2898,""/""),,2),INDEX(SPLIT(G2898,""/""),,1))"),44762.0)</f>
        <v>44762</v>
      </c>
      <c r="I2898" s="1" t="s">
        <v>1141</v>
      </c>
      <c r="J2898" s="4">
        <f>IFERROR(__xludf.DUMMYFUNCTION("DATE(INDEX(SPLIT(I2898,""/""),,3),INDEX(SPLIT(I2898,""/""),,2),INDEX(SPLIT(I2898,""/""),,1))"),44767.0)</f>
        <v>44767</v>
      </c>
      <c r="L2898" s="1">
        <v>0.0</v>
      </c>
      <c r="M2898" s="1" t="s">
        <v>8735</v>
      </c>
      <c r="N2898" s="1"/>
      <c r="O2898" s="1" t="s">
        <v>30</v>
      </c>
      <c r="P2898" s="1" t="s">
        <v>31</v>
      </c>
      <c r="Q2898" s="1" t="s">
        <v>188</v>
      </c>
      <c r="R2898" s="1" t="s">
        <v>188</v>
      </c>
      <c r="S2898" s="1" t="s">
        <v>189</v>
      </c>
      <c r="U2898" s="1">
        <v>1.00629002E8</v>
      </c>
      <c r="X2898" s="1" t="s">
        <v>305</v>
      </c>
      <c r="Y2898" s="1" t="s">
        <v>8736</v>
      </c>
      <c r="Z2898" s="1" t="s">
        <v>37</v>
      </c>
    </row>
    <row r="2899" hidden="1">
      <c r="A2899" s="1" t="s">
        <v>8737</v>
      </c>
      <c r="B2899" s="1" t="s">
        <v>1492</v>
      </c>
      <c r="C2899" s="1" t="s">
        <v>8738</v>
      </c>
      <c r="D2899" s="1" t="s">
        <v>68</v>
      </c>
      <c r="E2899" s="1" t="s">
        <v>28</v>
      </c>
      <c r="F2899" s="2">
        <v>314700.0</v>
      </c>
      <c r="G2899" s="1" t="s">
        <v>2244</v>
      </c>
      <c r="H2899" s="4">
        <f>IFERROR(__xludf.DUMMYFUNCTION("DATE(INDEX(SPLIT(G2899,""/""),,3),INDEX(SPLIT(G2899,""/""),,2),INDEX(SPLIT(G2899,""/""),,1))"),44634.0)</f>
        <v>44634</v>
      </c>
      <c r="I2899" s="1" t="s">
        <v>109</v>
      </c>
      <c r="J2899" s="4">
        <f>IFERROR(__xludf.DUMMYFUNCTION("DATE(INDEX(SPLIT(I2899,""/""),,3),INDEX(SPLIT(I2899,""/""),,2),INDEX(SPLIT(I2899,""/""),,1))"),44834.0)</f>
        <v>44834</v>
      </c>
      <c r="L2899" s="1">
        <v>0.0</v>
      </c>
      <c r="M2899" s="1" t="s">
        <v>1496</v>
      </c>
      <c r="N2899" s="1"/>
      <c r="O2899" s="1" t="s">
        <v>30</v>
      </c>
      <c r="P2899" s="1" t="s">
        <v>31</v>
      </c>
      <c r="Q2899" s="1" t="s">
        <v>53</v>
      </c>
      <c r="R2899" s="1" t="s">
        <v>53</v>
      </c>
      <c r="S2899" s="1" t="s">
        <v>54</v>
      </c>
      <c r="T2899" s="1" t="s">
        <v>1386</v>
      </c>
      <c r="U2899" s="1">
        <v>1.00610014E8</v>
      </c>
      <c r="V2899" s="1" t="s">
        <v>8739</v>
      </c>
      <c r="W2899" s="1" t="s">
        <v>45</v>
      </c>
      <c r="X2899" s="1" t="s">
        <v>81</v>
      </c>
      <c r="Y2899" s="1" t="s">
        <v>8740</v>
      </c>
      <c r="Z2899" s="1" t="s">
        <v>37</v>
      </c>
    </row>
    <row r="2900">
      <c r="A2900" s="1" t="s">
        <v>8741</v>
      </c>
      <c r="B2900" s="1" t="s">
        <v>8742</v>
      </c>
      <c r="C2900" s="1" t="s">
        <v>8743</v>
      </c>
      <c r="D2900" s="1" t="s">
        <v>68</v>
      </c>
      <c r="E2900" s="1" t="s">
        <v>28</v>
      </c>
      <c r="F2900" s="2">
        <v>310000.0</v>
      </c>
      <c r="G2900" s="1" t="s">
        <v>343</v>
      </c>
      <c r="H2900" s="4">
        <f>IFERROR(__xludf.DUMMYFUNCTION("DATE(INDEX(SPLIT(G2900,""/""),,3),INDEX(SPLIT(G2900,""/""),,2),INDEX(SPLIT(G2900,""/""),,1))"),44761.0)</f>
        <v>44761</v>
      </c>
      <c r="I2900" s="1" t="s">
        <v>69</v>
      </c>
      <c r="J2900" s="4">
        <f>IFERROR(__xludf.DUMMYFUNCTION("DATE(INDEX(SPLIT(I2900,""/""),,3),INDEX(SPLIT(I2900,""/""),,2),INDEX(SPLIT(I2900,""/""),,1))"),44773.0)</f>
        <v>44773</v>
      </c>
      <c r="L2900" s="1">
        <v>0.0</v>
      </c>
      <c r="M2900" s="1" t="s">
        <v>211</v>
      </c>
      <c r="N2900" s="1"/>
      <c r="O2900" s="1" t="s">
        <v>30</v>
      </c>
      <c r="P2900" s="1" t="s">
        <v>31</v>
      </c>
      <c r="Q2900" s="1" t="s">
        <v>71</v>
      </c>
      <c r="R2900" s="1" t="s">
        <v>71</v>
      </c>
      <c r="S2900" s="1" t="s">
        <v>72</v>
      </c>
      <c r="U2900" s="1">
        <v>1.00590896E8</v>
      </c>
      <c r="X2900" s="1" t="s">
        <v>74</v>
      </c>
      <c r="Y2900" s="1" t="s">
        <v>8744</v>
      </c>
      <c r="Z2900" s="1" t="s">
        <v>37</v>
      </c>
    </row>
    <row r="2901" hidden="1">
      <c r="A2901" s="1" t="s">
        <v>8745</v>
      </c>
      <c r="B2901" s="1" t="s">
        <v>4151</v>
      </c>
      <c r="C2901" s="1" t="s">
        <v>8746</v>
      </c>
      <c r="D2901" s="1" t="s">
        <v>78</v>
      </c>
      <c r="E2901" s="1" t="s">
        <v>28</v>
      </c>
      <c r="F2901" s="2">
        <v>310000.0</v>
      </c>
      <c r="G2901" s="1" t="s">
        <v>225</v>
      </c>
      <c r="H2901" s="4">
        <f>IFERROR(__xludf.DUMMYFUNCTION("DATE(INDEX(SPLIT(G2901,""/""),,3),INDEX(SPLIT(G2901,""/""),,2),INDEX(SPLIT(G2901,""/""),,1))"),44518.0)</f>
        <v>44518</v>
      </c>
      <c r="I2901" s="1" t="s">
        <v>109</v>
      </c>
      <c r="J2901" s="4">
        <f>IFERROR(__xludf.DUMMYFUNCTION("DATE(INDEX(SPLIT(I2901,""/""),,3),INDEX(SPLIT(I2901,""/""),,2),INDEX(SPLIT(I2901,""/""),,1))"),44834.0)</f>
        <v>44834</v>
      </c>
      <c r="L2901" s="1">
        <v>0.0</v>
      </c>
      <c r="M2901" s="1" t="s">
        <v>1303</v>
      </c>
      <c r="N2901" s="1"/>
      <c r="O2901" s="1" t="s">
        <v>30</v>
      </c>
      <c r="P2901" s="1" t="s">
        <v>31</v>
      </c>
      <c r="Q2901" s="1" t="s">
        <v>235</v>
      </c>
      <c r="R2901" s="1" t="s">
        <v>235</v>
      </c>
      <c r="S2901" s="1" t="s">
        <v>236</v>
      </c>
      <c r="T2901" s="1" t="s">
        <v>442</v>
      </c>
      <c r="U2901" s="1">
        <v>1.00609073E8</v>
      </c>
      <c r="X2901" s="1" t="s">
        <v>88</v>
      </c>
      <c r="Y2901" s="1" t="s">
        <v>3124</v>
      </c>
      <c r="Z2901" s="1" t="s">
        <v>37</v>
      </c>
    </row>
    <row r="2902" hidden="1">
      <c r="A2902" s="1" t="s">
        <v>8747</v>
      </c>
      <c r="B2902" s="1" t="s">
        <v>2501</v>
      </c>
      <c r="C2902" s="1" t="s">
        <v>8748</v>
      </c>
      <c r="D2902" s="1" t="s">
        <v>122</v>
      </c>
      <c r="E2902" s="1" t="s">
        <v>28</v>
      </c>
      <c r="F2902" s="2">
        <v>310000.0</v>
      </c>
      <c r="G2902" s="1" t="s">
        <v>798</v>
      </c>
      <c r="H2902" s="4">
        <f>IFERROR(__xludf.DUMMYFUNCTION("DATE(INDEX(SPLIT(G2902,""/""),,3),INDEX(SPLIT(G2902,""/""),,2),INDEX(SPLIT(G2902,""/""),,1))"),44313.0)</f>
        <v>44313</v>
      </c>
      <c r="I2902" s="1" t="s">
        <v>281</v>
      </c>
      <c r="J2902" s="4">
        <f>IFERROR(__xludf.DUMMYFUNCTION("DATE(INDEX(SPLIT(I2902,""/""),,3),INDEX(SPLIT(I2902,""/""),,2),INDEX(SPLIT(I2902,""/""),,1))"),44865.0)</f>
        <v>44865</v>
      </c>
      <c r="L2902" s="1">
        <v>0.0</v>
      </c>
      <c r="M2902" s="1" t="s">
        <v>2517</v>
      </c>
      <c r="N2902" s="1"/>
      <c r="O2902" s="1" t="s">
        <v>30</v>
      </c>
      <c r="P2902" s="1" t="s">
        <v>31</v>
      </c>
      <c r="Q2902" s="1" t="s">
        <v>32</v>
      </c>
      <c r="R2902" s="1" t="s">
        <v>32</v>
      </c>
      <c r="S2902" s="1" t="s">
        <v>33</v>
      </c>
      <c r="T2902" s="1" t="s">
        <v>1195</v>
      </c>
      <c r="U2902" s="1">
        <v>1.01090216E8</v>
      </c>
      <c r="X2902" s="1" t="s">
        <v>490</v>
      </c>
      <c r="Y2902" s="1" t="s">
        <v>7448</v>
      </c>
      <c r="Z2902" s="1" t="s">
        <v>37</v>
      </c>
    </row>
    <row r="2903" hidden="1">
      <c r="A2903" s="1" t="s">
        <v>8749</v>
      </c>
      <c r="B2903" s="1" t="s">
        <v>1355</v>
      </c>
      <c r="C2903" s="1" t="s">
        <v>8750</v>
      </c>
      <c r="D2903" s="1" t="s">
        <v>78</v>
      </c>
      <c r="E2903" s="1" t="s">
        <v>28</v>
      </c>
      <c r="F2903" s="2">
        <v>301500.0</v>
      </c>
      <c r="G2903" s="4">
        <v>44083.0</v>
      </c>
      <c r="H2903" s="4">
        <f>IFERROR(__xludf.DUMMYFUNCTION("DATE(INDEX(SPLIT(G2903,""/""),,3),INDEX(SPLIT(G2903,""/""),,2),INDEX(SPLIT(G2903,""/""),,1))"),44083.0)</f>
        <v>44083</v>
      </c>
      <c r="I2903" s="1" t="s">
        <v>130</v>
      </c>
      <c r="J2903" s="4">
        <f>IFERROR(__xludf.DUMMYFUNCTION("DATE(INDEX(SPLIT(I2903,""/""),,3),INDEX(SPLIT(I2903,""/""),,2),INDEX(SPLIT(I2903,""/""),,1))"),44804.0)</f>
        <v>44804</v>
      </c>
      <c r="L2903" s="1">
        <v>0.0</v>
      </c>
      <c r="M2903" s="1" t="s">
        <v>5636</v>
      </c>
      <c r="N2903" s="1"/>
      <c r="O2903" s="1" t="s">
        <v>30</v>
      </c>
      <c r="P2903" s="1" t="s">
        <v>31</v>
      </c>
      <c r="Q2903" s="1" t="s">
        <v>228</v>
      </c>
      <c r="R2903" s="1" t="s">
        <v>228</v>
      </c>
      <c r="S2903" s="1" t="s">
        <v>229</v>
      </c>
      <c r="T2903" s="1" t="s">
        <v>513</v>
      </c>
      <c r="U2903" s="1">
        <v>1.00605581E8</v>
      </c>
      <c r="X2903" s="1" t="s">
        <v>35</v>
      </c>
      <c r="Y2903" s="1" t="s">
        <v>8751</v>
      </c>
      <c r="Z2903" s="1" t="s">
        <v>37</v>
      </c>
    </row>
    <row r="2904">
      <c r="A2904" s="1" t="s">
        <v>8752</v>
      </c>
      <c r="B2904" s="1" t="s">
        <v>8753</v>
      </c>
      <c r="C2904" s="1" t="s">
        <v>8754</v>
      </c>
      <c r="D2904" s="1" t="s">
        <v>78</v>
      </c>
      <c r="E2904" s="1" t="s">
        <v>28</v>
      </c>
      <c r="F2904" s="2">
        <v>300862.76</v>
      </c>
      <c r="G2904" s="1" t="s">
        <v>3158</v>
      </c>
      <c r="H2904" s="4">
        <f>IFERROR(__xludf.DUMMYFUNCTION("DATE(INDEX(SPLIT(G2904,""/""),,3),INDEX(SPLIT(G2904,""/""),,2),INDEX(SPLIT(G2904,""/""),,1))"),44468.0)</f>
        <v>44468</v>
      </c>
      <c r="I2904" s="1" t="s">
        <v>2300</v>
      </c>
      <c r="J2904" s="4">
        <f>IFERROR(__xludf.DUMMYFUNCTION("DATE(INDEX(SPLIT(I2904,""/""),,3),INDEX(SPLIT(I2904,""/""),,2),INDEX(SPLIT(I2904,""/""),,1))"),44712.0)</f>
        <v>44712</v>
      </c>
      <c r="L2904" s="1">
        <v>0.0</v>
      </c>
      <c r="M2904" s="1" t="s">
        <v>8755</v>
      </c>
      <c r="N2904" s="1"/>
      <c r="O2904" s="1" t="s">
        <v>30</v>
      </c>
      <c r="P2904" s="1" t="s">
        <v>31</v>
      </c>
      <c r="Q2904" s="1" t="s">
        <v>1320</v>
      </c>
      <c r="R2904" s="1" t="s">
        <v>1320</v>
      </c>
      <c r="S2904" s="1" t="s">
        <v>54</v>
      </c>
      <c r="T2904" s="1" t="s">
        <v>1386</v>
      </c>
      <c r="U2904" s="1">
        <v>1.00591676E8</v>
      </c>
      <c r="X2904" s="1" t="s">
        <v>375</v>
      </c>
      <c r="Y2904" s="1" t="s">
        <v>8054</v>
      </c>
      <c r="Z2904" s="1" t="s">
        <v>37</v>
      </c>
    </row>
    <row r="2905">
      <c r="A2905" s="1" t="s">
        <v>8756</v>
      </c>
      <c r="B2905" s="1" t="s">
        <v>8420</v>
      </c>
      <c r="C2905" s="1" t="s">
        <v>8757</v>
      </c>
      <c r="D2905" s="1" t="s">
        <v>27</v>
      </c>
      <c r="E2905" s="1" t="s">
        <v>28</v>
      </c>
      <c r="F2905" s="2">
        <v>300322.0</v>
      </c>
      <c r="G2905" s="4">
        <v>44324.0</v>
      </c>
      <c r="H2905" s="4">
        <f>IFERROR(__xludf.DUMMYFUNCTION("DATE(INDEX(SPLIT(G2905,""/""),,3),INDEX(SPLIT(G2905,""/""),,2),INDEX(SPLIT(G2905,""/""),,1))"),44413.0)</f>
        <v>44413</v>
      </c>
      <c r="I2905" s="1" t="s">
        <v>226</v>
      </c>
      <c r="J2905" s="4">
        <f>IFERROR(__xludf.DUMMYFUNCTION("DATE(INDEX(SPLIT(I2905,""/""),,3),INDEX(SPLIT(I2905,""/""),,2),INDEX(SPLIT(I2905,""/""),,1))"),44771.0)</f>
        <v>44771</v>
      </c>
      <c r="L2905" s="1">
        <v>0.0</v>
      </c>
      <c r="M2905" s="1" t="s">
        <v>780</v>
      </c>
      <c r="N2905" s="1"/>
      <c r="O2905" s="1" t="s">
        <v>30</v>
      </c>
      <c r="P2905" s="1" t="s">
        <v>31</v>
      </c>
      <c r="Q2905" s="1" t="s">
        <v>157</v>
      </c>
      <c r="R2905" s="1" t="s">
        <v>157</v>
      </c>
      <c r="S2905" s="1" t="s">
        <v>158</v>
      </c>
      <c r="T2905" s="1" t="s">
        <v>442</v>
      </c>
      <c r="U2905" s="1">
        <v>1.00654914E8</v>
      </c>
      <c r="X2905" s="1" t="s">
        <v>63</v>
      </c>
      <c r="Y2905" s="1" t="s">
        <v>3362</v>
      </c>
      <c r="Z2905" s="1" t="s">
        <v>37</v>
      </c>
    </row>
    <row r="2906" hidden="1">
      <c r="A2906" s="1" t="s">
        <v>8758</v>
      </c>
      <c r="B2906" s="1" t="s">
        <v>1066</v>
      </c>
      <c r="C2906" s="1" t="s">
        <v>8759</v>
      </c>
      <c r="D2906" s="1" t="s">
        <v>78</v>
      </c>
      <c r="E2906" s="1" t="s">
        <v>28</v>
      </c>
      <c r="F2906" s="2">
        <v>300000.0</v>
      </c>
      <c r="G2906" s="4">
        <v>44598.0</v>
      </c>
      <c r="H2906" s="4">
        <f>IFERROR(__xludf.DUMMYFUNCTION("DATE(INDEX(SPLIT(G2906,""/""),,3),INDEX(SPLIT(G2906,""/""),,2),INDEX(SPLIT(G2906,""/""),,1))"),44714.0)</f>
        <v>44714</v>
      </c>
      <c r="I2906" s="1" t="s">
        <v>109</v>
      </c>
      <c r="J2906" s="4">
        <f>IFERROR(__xludf.DUMMYFUNCTION("DATE(INDEX(SPLIT(I2906,""/""),,3),INDEX(SPLIT(I2906,""/""),,2),INDEX(SPLIT(I2906,""/""),,1))"),44834.0)</f>
        <v>44834</v>
      </c>
      <c r="L2906" s="1">
        <v>0.0</v>
      </c>
      <c r="M2906" s="1" t="s">
        <v>3565</v>
      </c>
      <c r="N2906" s="1"/>
      <c r="O2906" s="1" t="s">
        <v>30</v>
      </c>
      <c r="P2906" s="1" t="s">
        <v>31</v>
      </c>
      <c r="Q2906" s="1" t="s">
        <v>32</v>
      </c>
      <c r="R2906" s="1" t="s">
        <v>32</v>
      </c>
      <c r="S2906" s="1" t="s">
        <v>33</v>
      </c>
      <c r="T2906" s="1" t="s">
        <v>402</v>
      </c>
      <c r="U2906" s="1">
        <v>1.01088701E8</v>
      </c>
      <c r="X2906" s="1" t="s">
        <v>125</v>
      </c>
      <c r="Y2906" s="1" t="s">
        <v>1457</v>
      </c>
      <c r="Z2906" s="1" t="s">
        <v>37</v>
      </c>
    </row>
    <row r="2907">
      <c r="A2907" s="1" t="s">
        <v>8760</v>
      </c>
      <c r="B2907" s="1" t="s">
        <v>2650</v>
      </c>
      <c r="C2907" s="1" t="s">
        <v>8761</v>
      </c>
      <c r="D2907" s="1" t="s">
        <v>27</v>
      </c>
      <c r="E2907" s="1" t="s">
        <v>28</v>
      </c>
      <c r="F2907" s="2">
        <v>300000.0</v>
      </c>
      <c r="G2907" s="4">
        <v>44869.0</v>
      </c>
      <c r="H2907" s="4">
        <f>IFERROR(__xludf.DUMMYFUNCTION("DATE(INDEX(SPLIT(G2907,""/""),,3),INDEX(SPLIT(G2907,""/""),,2),INDEX(SPLIT(G2907,""/""),,1))"),44662.0)</f>
        <v>44662</v>
      </c>
      <c r="I2907" s="1" t="s">
        <v>226</v>
      </c>
      <c r="J2907" s="4">
        <f>IFERROR(__xludf.DUMMYFUNCTION("DATE(INDEX(SPLIT(I2907,""/""),,3),INDEX(SPLIT(I2907,""/""),,2),INDEX(SPLIT(I2907,""/""),,1))"),44771.0)</f>
        <v>44771</v>
      </c>
      <c r="L2907" s="1">
        <v>0.0</v>
      </c>
      <c r="M2907" s="1" t="s">
        <v>1032</v>
      </c>
      <c r="N2907" s="1"/>
      <c r="O2907" s="1" t="s">
        <v>30</v>
      </c>
      <c r="P2907" s="1" t="s">
        <v>31</v>
      </c>
      <c r="Q2907" s="1" t="s">
        <v>71</v>
      </c>
      <c r="R2907" s="1" t="s">
        <v>71</v>
      </c>
      <c r="S2907" s="1" t="s">
        <v>72</v>
      </c>
      <c r="T2907" s="1" t="s">
        <v>615</v>
      </c>
      <c r="U2907" s="1">
        <v>1.00609514E8</v>
      </c>
      <c r="X2907" s="1" t="s">
        <v>74</v>
      </c>
      <c r="Y2907" s="1" t="s">
        <v>1033</v>
      </c>
      <c r="Z2907" s="1" t="s">
        <v>37</v>
      </c>
    </row>
    <row r="2908" hidden="1">
      <c r="A2908" s="1" t="s">
        <v>8762</v>
      </c>
      <c r="B2908" s="1" t="s">
        <v>5976</v>
      </c>
      <c r="C2908" s="1" t="s">
        <v>8763</v>
      </c>
      <c r="D2908" s="1" t="s">
        <v>27</v>
      </c>
      <c r="E2908" s="1" t="s">
        <v>28</v>
      </c>
      <c r="F2908" s="2">
        <v>300000.0</v>
      </c>
      <c r="G2908" s="1" t="s">
        <v>5293</v>
      </c>
      <c r="H2908" s="4">
        <f>IFERROR(__xludf.DUMMYFUNCTION("DATE(INDEX(SPLIT(G2908,""/""),,3),INDEX(SPLIT(G2908,""/""),,2),INDEX(SPLIT(G2908,""/""),,1))"),44036.0)</f>
        <v>44036</v>
      </c>
      <c r="I2908" s="4">
        <v>44569.0</v>
      </c>
      <c r="J2908" s="4">
        <f>IFERROR(__xludf.DUMMYFUNCTION("DATE(INDEX(SPLIT(I2908,""/""),,3),INDEX(SPLIT(I2908,""/""),,2),INDEX(SPLIT(I2908,""/""),,1))"),44774.0)</f>
        <v>44774</v>
      </c>
      <c r="L2908" s="1">
        <v>0.0</v>
      </c>
      <c r="M2908" s="1" t="s">
        <v>1565</v>
      </c>
      <c r="N2908" s="1"/>
      <c r="O2908" s="1" t="s">
        <v>30</v>
      </c>
      <c r="P2908" s="1" t="s">
        <v>31</v>
      </c>
      <c r="Q2908" s="1" t="s">
        <v>157</v>
      </c>
      <c r="R2908" s="1" t="s">
        <v>157</v>
      </c>
      <c r="S2908" s="1" t="s">
        <v>158</v>
      </c>
      <c r="U2908" s="1">
        <v>1.00646908E8</v>
      </c>
      <c r="X2908" s="1" t="s">
        <v>190</v>
      </c>
      <c r="Y2908" s="1" t="s">
        <v>5294</v>
      </c>
      <c r="Z2908" s="1" t="s">
        <v>37</v>
      </c>
    </row>
    <row r="2909" hidden="1">
      <c r="A2909" s="1" t="s">
        <v>8764</v>
      </c>
      <c r="B2909" s="1" t="s">
        <v>3191</v>
      </c>
      <c r="C2909" s="1" t="s">
        <v>8765</v>
      </c>
      <c r="D2909" s="1" t="s">
        <v>122</v>
      </c>
      <c r="E2909" s="1" t="s">
        <v>28</v>
      </c>
      <c r="F2909" s="2">
        <v>300000.0</v>
      </c>
      <c r="G2909" s="1" t="s">
        <v>2387</v>
      </c>
      <c r="H2909" s="4">
        <f>IFERROR(__xludf.DUMMYFUNCTION("DATE(INDEX(SPLIT(G2909,""/""),,3),INDEX(SPLIT(G2909,""/""),,2),INDEX(SPLIT(G2909,""/""),,1))"),44274.0)</f>
        <v>44274</v>
      </c>
      <c r="I2909" s="1" t="s">
        <v>42</v>
      </c>
      <c r="J2909" s="4">
        <f>IFERROR(__xludf.DUMMYFUNCTION("DATE(INDEX(SPLIT(I2909,""/""),,3),INDEX(SPLIT(I2909,""/""),,2),INDEX(SPLIT(I2909,""/""),,1))"),44926.0)</f>
        <v>44926</v>
      </c>
      <c r="L2909" s="1">
        <v>0.0</v>
      </c>
      <c r="M2909" s="1" t="s">
        <v>1582</v>
      </c>
      <c r="N2909" s="1"/>
      <c r="O2909" s="1" t="s">
        <v>30</v>
      </c>
      <c r="P2909" s="1" t="s">
        <v>31</v>
      </c>
      <c r="Q2909" s="1" t="s">
        <v>235</v>
      </c>
      <c r="R2909" s="1" t="s">
        <v>235</v>
      </c>
      <c r="S2909" s="1" t="s">
        <v>236</v>
      </c>
      <c r="T2909" s="1" t="s">
        <v>438</v>
      </c>
      <c r="U2909" s="1">
        <v>1.00639226E8</v>
      </c>
      <c r="X2909" s="1" t="s">
        <v>88</v>
      </c>
      <c r="Y2909" s="1" t="s">
        <v>1582</v>
      </c>
      <c r="Z2909" s="1" t="s">
        <v>527</v>
      </c>
    </row>
    <row r="2910">
      <c r="A2910" s="1" t="s">
        <v>8766</v>
      </c>
      <c r="B2910" s="1" t="s">
        <v>1086</v>
      </c>
      <c r="C2910" s="1" t="s">
        <v>8767</v>
      </c>
      <c r="D2910" s="1" t="s">
        <v>122</v>
      </c>
      <c r="E2910" s="1" t="s">
        <v>28</v>
      </c>
      <c r="F2910" s="2">
        <v>300000.0</v>
      </c>
      <c r="G2910" s="4">
        <v>44594.0</v>
      </c>
      <c r="H2910" s="4">
        <f>IFERROR(__xludf.DUMMYFUNCTION("DATE(INDEX(SPLIT(G2910,""/""),,3),INDEX(SPLIT(G2910,""/""),,2),INDEX(SPLIT(G2910,""/""),,1))"),44594.0)</f>
        <v>44594</v>
      </c>
      <c r="I2910" s="4">
        <v>44872.0</v>
      </c>
      <c r="J2910" s="4">
        <f>IFERROR(__xludf.DUMMYFUNCTION("DATE(INDEX(SPLIT(I2910,""/""),,3),INDEX(SPLIT(I2910,""/""),,2),INDEX(SPLIT(I2910,""/""),,1))"),44753.0)</f>
        <v>44753</v>
      </c>
      <c r="L2910" s="1">
        <v>0.0</v>
      </c>
      <c r="M2910" s="1" t="s">
        <v>1333</v>
      </c>
      <c r="N2910" s="1"/>
      <c r="O2910" s="1" t="s">
        <v>30</v>
      </c>
      <c r="P2910" s="1" t="s">
        <v>31</v>
      </c>
      <c r="Q2910" s="1" t="s">
        <v>71</v>
      </c>
      <c r="R2910" s="1" t="s">
        <v>71</v>
      </c>
      <c r="S2910" s="1" t="s">
        <v>72</v>
      </c>
      <c r="T2910" s="1" t="s">
        <v>136</v>
      </c>
      <c r="U2910" s="1">
        <v>1.006299E8</v>
      </c>
      <c r="X2910" s="1" t="s">
        <v>74</v>
      </c>
      <c r="Y2910" s="1" t="s">
        <v>1334</v>
      </c>
      <c r="Z2910" s="1" t="s">
        <v>37</v>
      </c>
    </row>
    <row r="2911" hidden="1">
      <c r="A2911" s="1" t="s">
        <v>8768</v>
      </c>
      <c r="B2911" s="1" t="s">
        <v>76</v>
      </c>
      <c r="C2911" s="1" t="s">
        <v>8769</v>
      </c>
      <c r="D2911" s="1" t="s">
        <v>27</v>
      </c>
      <c r="E2911" s="1" t="s">
        <v>28</v>
      </c>
      <c r="F2911" s="2">
        <v>300000.0</v>
      </c>
      <c r="G2911" s="1" t="s">
        <v>424</v>
      </c>
      <c r="H2911" s="4">
        <f>IFERROR(__xludf.DUMMYFUNCTION("DATE(INDEX(SPLIT(G2911,""/""),,3),INDEX(SPLIT(G2911,""/""),,2),INDEX(SPLIT(G2911,""/""),,1))"),44405.0)</f>
        <v>44405</v>
      </c>
      <c r="I2911" s="4">
        <v>44689.0</v>
      </c>
      <c r="J2911" s="4">
        <f>IFERROR(__xludf.DUMMYFUNCTION("DATE(INDEX(SPLIT(I2911,""/""),,3),INDEX(SPLIT(I2911,""/""),,2),INDEX(SPLIT(I2911,""/""),,1))"),44778.0)</f>
        <v>44778</v>
      </c>
      <c r="L2911" s="1">
        <v>0.0</v>
      </c>
      <c r="M2911" s="1" t="s">
        <v>79</v>
      </c>
      <c r="N2911" s="1"/>
      <c r="O2911" s="1" t="s">
        <v>30</v>
      </c>
      <c r="P2911" s="1" t="s">
        <v>31</v>
      </c>
      <c r="Q2911" s="1" t="s">
        <v>32</v>
      </c>
      <c r="R2911" s="1" t="s">
        <v>32</v>
      </c>
      <c r="S2911" s="1" t="s">
        <v>33</v>
      </c>
      <c r="T2911" s="1" t="s">
        <v>34</v>
      </c>
      <c r="U2911" s="1">
        <v>1.00609569E8</v>
      </c>
      <c r="X2911" s="1" t="s">
        <v>81</v>
      </c>
      <c r="Y2911" s="1" t="s">
        <v>390</v>
      </c>
      <c r="Z2911" s="1" t="s">
        <v>37</v>
      </c>
    </row>
    <row r="2912" hidden="1">
      <c r="A2912" s="1" t="s">
        <v>8770</v>
      </c>
      <c r="B2912" s="1" t="s">
        <v>2131</v>
      </c>
      <c r="C2912" s="1" t="s">
        <v>8771</v>
      </c>
      <c r="D2912" s="1" t="s">
        <v>78</v>
      </c>
      <c r="E2912" s="1" t="s">
        <v>28</v>
      </c>
      <c r="F2912" s="2">
        <v>300000.0</v>
      </c>
      <c r="G2912" s="1" t="s">
        <v>2110</v>
      </c>
      <c r="H2912" s="4">
        <f>IFERROR(__xludf.DUMMYFUNCTION("DATE(INDEX(SPLIT(G2912,""/""),,3),INDEX(SPLIT(G2912,""/""),,2),INDEX(SPLIT(G2912,""/""),,1))"),44650.0)</f>
        <v>44650</v>
      </c>
      <c r="I2912" s="1" t="s">
        <v>130</v>
      </c>
      <c r="J2912" s="4">
        <f>IFERROR(__xludf.DUMMYFUNCTION("DATE(INDEX(SPLIT(I2912,""/""),,3),INDEX(SPLIT(I2912,""/""),,2),INDEX(SPLIT(I2912,""/""),,1))"),44804.0)</f>
        <v>44804</v>
      </c>
      <c r="L2912" s="1">
        <v>0.0</v>
      </c>
      <c r="M2912" s="1" t="s">
        <v>8772</v>
      </c>
      <c r="N2912" s="1"/>
      <c r="O2912" s="1" t="s">
        <v>30</v>
      </c>
      <c r="P2912" s="1" t="s">
        <v>31</v>
      </c>
      <c r="Q2912" s="1" t="s">
        <v>228</v>
      </c>
      <c r="R2912" s="1" t="s">
        <v>228</v>
      </c>
      <c r="S2912" s="1" t="s">
        <v>229</v>
      </c>
      <c r="U2912" s="1">
        <v>1.01078151E8</v>
      </c>
      <c r="X2912" s="1" t="s">
        <v>239</v>
      </c>
      <c r="Y2912" s="1" t="s">
        <v>3994</v>
      </c>
      <c r="Z2912" s="1" t="s">
        <v>527</v>
      </c>
    </row>
    <row r="2913" hidden="1">
      <c r="A2913" s="1" t="s">
        <v>8773</v>
      </c>
      <c r="B2913" s="1" t="s">
        <v>1734</v>
      </c>
      <c r="C2913" s="1" t="s">
        <v>8774</v>
      </c>
      <c r="D2913" s="1" t="s">
        <v>27</v>
      </c>
      <c r="E2913" s="1" t="s">
        <v>28</v>
      </c>
      <c r="F2913" s="2">
        <v>300000.0</v>
      </c>
      <c r="G2913" s="1" t="s">
        <v>359</v>
      </c>
      <c r="H2913" s="4">
        <f>IFERROR(__xludf.DUMMYFUNCTION("DATE(INDEX(SPLIT(G2913,""/""),,3),INDEX(SPLIT(G2913,""/""),,2),INDEX(SPLIT(G2913,""/""),,1))"),44740.0)</f>
        <v>44740</v>
      </c>
      <c r="I2913" s="1" t="s">
        <v>1361</v>
      </c>
      <c r="J2913" s="4">
        <f>IFERROR(__xludf.DUMMYFUNCTION("DATE(INDEX(SPLIT(I2913,""/""),,3),INDEX(SPLIT(I2913,""/""),,2),INDEX(SPLIT(I2913,""/""),,1))"),44827.0)</f>
        <v>44827</v>
      </c>
      <c r="L2913" s="1">
        <v>0.0</v>
      </c>
      <c r="M2913" s="1" t="s">
        <v>3625</v>
      </c>
      <c r="N2913" s="1"/>
      <c r="O2913" s="1" t="s">
        <v>30</v>
      </c>
      <c r="P2913" s="1" t="s">
        <v>31</v>
      </c>
      <c r="Q2913" s="1" t="s">
        <v>32</v>
      </c>
      <c r="R2913" s="1" t="s">
        <v>32</v>
      </c>
      <c r="S2913" s="1" t="s">
        <v>33</v>
      </c>
      <c r="T2913" s="1" t="s">
        <v>402</v>
      </c>
      <c r="U2913" s="1">
        <v>1.00642379E8</v>
      </c>
      <c r="X2913" s="1" t="s">
        <v>125</v>
      </c>
      <c r="Y2913" s="1" t="s">
        <v>3625</v>
      </c>
      <c r="Z2913" s="1" t="s">
        <v>37</v>
      </c>
    </row>
    <row r="2914" hidden="1">
      <c r="A2914" s="1" t="s">
        <v>8775</v>
      </c>
      <c r="B2914" s="1" t="s">
        <v>8776</v>
      </c>
      <c r="C2914" s="1" t="s">
        <v>8777</v>
      </c>
      <c r="D2914" s="1" t="s">
        <v>78</v>
      </c>
      <c r="E2914" s="1" t="s">
        <v>28</v>
      </c>
      <c r="F2914" s="2">
        <v>300000.0</v>
      </c>
      <c r="G2914" s="1" t="s">
        <v>983</v>
      </c>
      <c r="H2914" s="4">
        <f>IFERROR(__xludf.DUMMYFUNCTION("DATE(INDEX(SPLIT(G2914,""/""),,3),INDEX(SPLIT(G2914,""/""),,2),INDEX(SPLIT(G2914,""/""),,1))"),44393.0)</f>
        <v>44393</v>
      </c>
      <c r="I2914" s="1" t="s">
        <v>109</v>
      </c>
      <c r="J2914" s="4">
        <f>IFERROR(__xludf.DUMMYFUNCTION("DATE(INDEX(SPLIT(I2914,""/""),,3),INDEX(SPLIT(I2914,""/""),,2),INDEX(SPLIT(I2914,""/""),,1))"),44834.0)</f>
        <v>44834</v>
      </c>
      <c r="L2914" s="1">
        <v>0.0</v>
      </c>
      <c r="M2914" s="1" t="s">
        <v>2787</v>
      </c>
      <c r="N2914" s="1"/>
      <c r="O2914" s="1" t="s">
        <v>30</v>
      </c>
      <c r="P2914" s="1" t="s">
        <v>31</v>
      </c>
      <c r="Q2914" s="1" t="s">
        <v>157</v>
      </c>
      <c r="R2914" s="1" t="s">
        <v>157</v>
      </c>
      <c r="S2914" s="1" t="s">
        <v>158</v>
      </c>
      <c r="T2914" s="1" t="s">
        <v>442</v>
      </c>
      <c r="U2914" s="1">
        <v>1.00708984E8</v>
      </c>
      <c r="X2914" s="1" t="s">
        <v>117</v>
      </c>
      <c r="Y2914" s="1" t="s">
        <v>2787</v>
      </c>
      <c r="Z2914" s="1" t="s">
        <v>37</v>
      </c>
    </row>
    <row r="2915">
      <c r="A2915" s="1" t="s">
        <v>8778</v>
      </c>
      <c r="B2915" s="1" t="s">
        <v>2462</v>
      </c>
      <c r="C2915" s="1" t="s">
        <v>8779</v>
      </c>
      <c r="D2915" s="1" t="s">
        <v>27</v>
      </c>
      <c r="E2915" s="1" t="s">
        <v>28</v>
      </c>
      <c r="F2915" s="2">
        <v>300000.0</v>
      </c>
      <c r="G2915" s="1" t="s">
        <v>779</v>
      </c>
      <c r="H2915" s="4">
        <f>IFERROR(__xludf.DUMMYFUNCTION("DATE(INDEX(SPLIT(G2915,""/""),,3),INDEX(SPLIT(G2915,""/""),,2),INDEX(SPLIT(G2915,""/""),,1))"),44734.0)</f>
        <v>44734</v>
      </c>
      <c r="I2915" s="1" t="s">
        <v>69</v>
      </c>
      <c r="J2915" s="4">
        <f>IFERROR(__xludf.DUMMYFUNCTION("DATE(INDEX(SPLIT(I2915,""/""),,3),INDEX(SPLIT(I2915,""/""),,2),INDEX(SPLIT(I2915,""/""),,1))"),44773.0)</f>
        <v>44773</v>
      </c>
      <c r="L2915" s="1">
        <v>0.0</v>
      </c>
      <c r="M2915" s="1" t="s">
        <v>1828</v>
      </c>
      <c r="N2915" s="1"/>
      <c r="O2915" s="1" t="s">
        <v>30</v>
      </c>
      <c r="P2915" s="1" t="s">
        <v>31</v>
      </c>
      <c r="Q2915" s="1" t="s">
        <v>235</v>
      </c>
      <c r="R2915" s="1" t="s">
        <v>235</v>
      </c>
      <c r="S2915" s="1" t="s">
        <v>236</v>
      </c>
      <c r="U2915" s="1">
        <v>1.00593918E8</v>
      </c>
      <c r="X2915" s="1" t="s">
        <v>609</v>
      </c>
      <c r="Y2915" s="1" t="s">
        <v>1829</v>
      </c>
      <c r="Z2915" s="1" t="s">
        <v>37</v>
      </c>
    </row>
    <row r="2916" hidden="1">
      <c r="A2916" s="1" t="s">
        <v>8780</v>
      </c>
      <c r="B2916" s="1" t="s">
        <v>1144</v>
      </c>
      <c r="C2916" s="1" t="s">
        <v>8781</v>
      </c>
      <c r="D2916" s="1" t="s">
        <v>78</v>
      </c>
      <c r="E2916" s="1" t="s">
        <v>28</v>
      </c>
      <c r="F2916" s="2">
        <v>300000.0</v>
      </c>
      <c r="G2916" s="1" t="s">
        <v>779</v>
      </c>
      <c r="H2916" s="4">
        <f>IFERROR(__xludf.DUMMYFUNCTION("DATE(INDEX(SPLIT(G2916,""/""),,3),INDEX(SPLIT(G2916,""/""),,2),INDEX(SPLIT(G2916,""/""),,1))"),44734.0)</f>
        <v>44734</v>
      </c>
      <c r="I2916" s="1" t="s">
        <v>42</v>
      </c>
      <c r="J2916" s="4">
        <f>IFERROR(__xludf.DUMMYFUNCTION("DATE(INDEX(SPLIT(I2916,""/""),,3),INDEX(SPLIT(I2916,""/""),,2),INDEX(SPLIT(I2916,""/""),,1))"),44926.0)</f>
        <v>44926</v>
      </c>
      <c r="L2916" s="1">
        <v>0.0</v>
      </c>
      <c r="M2916" s="1" t="s">
        <v>7780</v>
      </c>
      <c r="N2916" s="1"/>
      <c r="O2916" s="1" t="s">
        <v>30</v>
      </c>
      <c r="P2916" s="1" t="s">
        <v>31</v>
      </c>
      <c r="Q2916" s="1" t="s">
        <v>157</v>
      </c>
      <c r="R2916" s="1" t="s">
        <v>157</v>
      </c>
      <c r="S2916" s="1" t="s">
        <v>158</v>
      </c>
      <c r="U2916" s="1">
        <v>1.00644077E8</v>
      </c>
      <c r="X2916" s="1" t="s">
        <v>63</v>
      </c>
      <c r="Y2916" s="1" t="s">
        <v>1147</v>
      </c>
      <c r="Z2916" s="1" t="s">
        <v>37</v>
      </c>
    </row>
    <row r="2917" hidden="1">
      <c r="A2917" s="1" t="s">
        <v>8782</v>
      </c>
      <c r="B2917" s="1" t="s">
        <v>1123</v>
      </c>
      <c r="C2917" s="1" t="s">
        <v>8783</v>
      </c>
      <c r="D2917" s="1" t="s">
        <v>122</v>
      </c>
      <c r="E2917" s="1" t="s">
        <v>28</v>
      </c>
      <c r="F2917" s="2">
        <v>300000.0</v>
      </c>
      <c r="G2917" s="1" t="s">
        <v>1521</v>
      </c>
      <c r="H2917" s="4">
        <f>IFERROR(__xludf.DUMMYFUNCTION("DATE(INDEX(SPLIT(G2917,""/""),,3),INDEX(SPLIT(G2917,""/""),,2),INDEX(SPLIT(G2917,""/""),,1))"),44756.0)</f>
        <v>44756</v>
      </c>
      <c r="I2917" s="1" t="s">
        <v>109</v>
      </c>
      <c r="J2917" s="4">
        <f>IFERROR(__xludf.DUMMYFUNCTION("DATE(INDEX(SPLIT(I2917,""/""),,3),INDEX(SPLIT(I2917,""/""),,2),INDEX(SPLIT(I2917,""/""),,1))"),44834.0)</f>
        <v>44834</v>
      </c>
      <c r="L2917" s="1">
        <v>0.0</v>
      </c>
      <c r="M2917" s="1" t="s">
        <v>5017</v>
      </c>
      <c r="N2917" s="1"/>
      <c r="O2917" s="1" t="s">
        <v>30</v>
      </c>
      <c r="P2917" s="1" t="s">
        <v>31</v>
      </c>
      <c r="Q2917" s="1" t="s">
        <v>228</v>
      </c>
      <c r="R2917" s="1" t="s">
        <v>228</v>
      </c>
      <c r="S2917" s="1" t="s">
        <v>229</v>
      </c>
      <c r="T2917" s="1" t="s">
        <v>513</v>
      </c>
      <c r="U2917" s="1">
        <v>1.00620023E8</v>
      </c>
      <c r="X2917" s="1" t="s">
        <v>117</v>
      </c>
      <c r="Y2917" s="1" t="s">
        <v>5017</v>
      </c>
      <c r="Z2917" s="1" t="s">
        <v>37</v>
      </c>
    </row>
    <row r="2918" hidden="1">
      <c r="A2918" s="1" t="s">
        <v>8784</v>
      </c>
      <c r="B2918" s="1" t="s">
        <v>315</v>
      </c>
      <c r="C2918" s="1" t="s">
        <v>8785</v>
      </c>
      <c r="D2918" s="1" t="s">
        <v>27</v>
      </c>
      <c r="E2918" s="1" t="s">
        <v>28</v>
      </c>
      <c r="F2918" s="2">
        <v>300000.0</v>
      </c>
      <c r="G2918" s="4">
        <v>44626.0</v>
      </c>
      <c r="H2918" s="4">
        <f>IFERROR(__xludf.DUMMYFUNCTION("DATE(INDEX(SPLIT(G2918,""/""),,3),INDEX(SPLIT(G2918,""/""),,2),INDEX(SPLIT(G2918,""/""),,1))"),44715.0)</f>
        <v>44715</v>
      </c>
      <c r="I2918" s="1" t="s">
        <v>134</v>
      </c>
      <c r="J2918" s="4">
        <f>IFERROR(__xludf.DUMMYFUNCTION("DATE(INDEX(SPLIT(I2918,""/""),,3),INDEX(SPLIT(I2918,""/""),,2),INDEX(SPLIT(I2918,""/""),,1))"),44792.0)</f>
        <v>44792</v>
      </c>
      <c r="L2918" s="1">
        <v>0.0</v>
      </c>
      <c r="M2918" s="1" t="s">
        <v>1137</v>
      </c>
      <c r="N2918" s="1"/>
      <c r="O2918" s="1" t="s">
        <v>30</v>
      </c>
      <c r="P2918" s="1" t="s">
        <v>31</v>
      </c>
      <c r="Q2918" s="1" t="s">
        <v>71</v>
      </c>
      <c r="R2918" s="1" t="s">
        <v>71</v>
      </c>
      <c r="S2918" s="1" t="s">
        <v>72</v>
      </c>
      <c r="T2918" s="1" t="s">
        <v>73</v>
      </c>
      <c r="U2918" s="1">
        <v>1.00589728E8</v>
      </c>
      <c r="X2918" s="1" t="s">
        <v>74</v>
      </c>
      <c r="Y2918" s="1" t="s">
        <v>8786</v>
      </c>
      <c r="Z2918" s="1" t="s">
        <v>37</v>
      </c>
    </row>
    <row r="2919">
      <c r="A2919" s="1" t="s">
        <v>8787</v>
      </c>
      <c r="B2919" s="1" t="s">
        <v>8788</v>
      </c>
      <c r="C2919" s="1" t="s">
        <v>8789</v>
      </c>
      <c r="D2919" s="1" t="s">
        <v>27</v>
      </c>
      <c r="E2919" s="1" t="s">
        <v>28</v>
      </c>
      <c r="F2919" s="2">
        <v>300000.0</v>
      </c>
      <c r="G2919" s="1" t="s">
        <v>5390</v>
      </c>
      <c r="H2919" s="4">
        <f>IFERROR(__xludf.DUMMYFUNCTION("DATE(INDEX(SPLIT(G2919,""/""),,3),INDEX(SPLIT(G2919,""/""),,2),INDEX(SPLIT(G2919,""/""),,1))"),44307.0)</f>
        <v>44307</v>
      </c>
      <c r="I2919" s="1" t="s">
        <v>226</v>
      </c>
      <c r="J2919" s="4">
        <f>IFERROR(__xludf.DUMMYFUNCTION("DATE(INDEX(SPLIT(I2919,""/""),,3),INDEX(SPLIT(I2919,""/""),,2),INDEX(SPLIT(I2919,""/""),,1))"),44771.0)</f>
        <v>44771</v>
      </c>
      <c r="L2919" s="1">
        <v>0.0</v>
      </c>
      <c r="M2919" s="1" t="s">
        <v>1621</v>
      </c>
      <c r="N2919" s="1"/>
      <c r="O2919" s="1" t="s">
        <v>30</v>
      </c>
      <c r="P2919" s="1" t="s">
        <v>31</v>
      </c>
      <c r="Q2919" s="1" t="s">
        <v>157</v>
      </c>
      <c r="R2919" s="1" t="s">
        <v>157</v>
      </c>
      <c r="S2919" s="1" t="s">
        <v>158</v>
      </c>
      <c r="T2919" s="1" t="s">
        <v>159</v>
      </c>
      <c r="U2919" s="1">
        <v>1.00650783E8</v>
      </c>
      <c r="X2919" s="1" t="s">
        <v>74</v>
      </c>
      <c r="Y2919" s="1" t="s">
        <v>1621</v>
      </c>
      <c r="Z2919" s="1" t="s">
        <v>37</v>
      </c>
    </row>
    <row r="2920" hidden="1">
      <c r="A2920" s="1" t="s">
        <v>8790</v>
      </c>
      <c r="B2920" s="1" t="s">
        <v>6131</v>
      </c>
      <c r="C2920" s="1" t="s">
        <v>8791</v>
      </c>
      <c r="D2920" s="1" t="s">
        <v>78</v>
      </c>
      <c r="E2920" s="1" t="s">
        <v>28</v>
      </c>
      <c r="F2920" s="2">
        <v>300000.0</v>
      </c>
      <c r="G2920" s="1" t="s">
        <v>41</v>
      </c>
      <c r="H2920" s="4">
        <f>IFERROR(__xludf.DUMMYFUNCTION("DATE(INDEX(SPLIT(G2920,""/""),,3),INDEX(SPLIT(G2920,""/""),,2),INDEX(SPLIT(G2920,""/""),,1))"),44607.0)</f>
        <v>44607</v>
      </c>
      <c r="I2920" s="1" t="s">
        <v>109</v>
      </c>
      <c r="J2920" s="4">
        <f>IFERROR(__xludf.DUMMYFUNCTION("DATE(INDEX(SPLIT(I2920,""/""),,3),INDEX(SPLIT(I2920,""/""),,2),INDEX(SPLIT(I2920,""/""),,1))"),44834.0)</f>
        <v>44834</v>
      </c>
      <c r="L2920" s="1">
        <v>0.0</v>
      </c>
      <c r="M2920" s="1" t="s">
        <v>5030</v>
      </c>
      <c r="N2920" s="1"/>
      <c r="O2920" s="1" t="s">
        <v>30</v>
      </c>
      <c r="P2920" s="1" t="s">
        <v>31</v>
      </c>
      <c r="Q2920" s="1" t="s">
        <v>228</v>
      </c>
      <c r="R2920" s="1" t="s">
        <v>228</v>
      </c>
      <c r="S2920" s="1" t="s">
        <v>229</v>
      </c>
      <c r="T2920" s="1" t="s">
        <v>640</v>
      </c>
      <c r="U2920" s="1">
        <v>1.00986592E8</v>
      </c>
      <c r="X2920" s="1" t="s">
        <v>375</v>
      </c>
      <c r="Y2920" s="1" t="s">
        <v>5030</v>
      </c>
      <c r="Z2920" s="1" t="s">
        <v>37</v>
      </c>
    </row>
    <row r="2921" hidden="1">
      <c r="A2921" s="1" t="s">
        <v>8792</v>
      </c>
      <c r="B2921" s="1" t="s">
        <v>8776</v>
      </c>
      <c r="C2921" s="1" t="s">
        <v>8793</v>
      </c>
      <c r="D2921" s="1" t="s">
        <v>78</v>
      </c>
      <c r="E2921" s="1" t="s">
        <v>28</v>
      </c>
      <c r="F2921" s="2">
        <v>300000.0</v>
      </c>
      <c r="G2921" s="1" t="s">
        <v>983</v>
      </c>
      <c r="H2921" s="4">
        <f>IFERROR(__xludf.DUMMYFUNCTION("DATE(INDEX(SPLIT(G2921,""/""),,3),INDEX(SPLIT(G2921,""/""),,2),INDEX(SPLIT(G2921,""/""),,1))"),44393.0)</f>
        <v>44393</v>
      </c>
      <c r="I2921" s="1" t="s">
        <v>109</v>
      </c>
      <c r="J2921" s="4">
        <f>IFERROR(__xludf.DUMMYFUNCTION("DATE(INDEX(SPLIT(I2921,""/""),,3),INDEX(SPLIT(I2921,""/""),,2),INDEX(SPLIT(I2921,""/""),,1))"),44834.0)</f>
        <v>44834</v>
      </c>
      <c r="L2921" s="1">
        <v>0.0</v>
      </c>
      <c r="M2921" s="1" t="s">
        <v>2787</v>
      </c>
      <c r="N2921" s="1"/>
      <c r="O2921" s="1" t="s">
        <v>30</v>
      </c>
      <c r="P2921" s="1" t="s">
        <v>31</v>
      </c>
      <c r="Q2921" s="1" t="s">
        <v>157</v>
      </c>
      <c r="R2921" s="1" t="s">
        <v>157</v>
      </c>
      <c r="S2921" s="1" t="s">
        <v>158</v>
      </c>
      <c r="T2921" s="1" t="s">
        <v>442</v>
      </c>
      <c r="U2921" s="1">
        <v>1.00708984E8</v>
      </c>
      <c r="X2921" s="1" t="s">
        <v>117</v>
      </c>
      <c r="Y2921" s="1" t="s">
        <v>2787</v>
      </c>
      <c r="Z2921" s="1" t="s">
        <v>37</v>
      </c>
    </row>
    <row r="2922" hidden="1">
      <c r="A2922" s="1" t="s">
        <v>8794</v>
      </c>
      <c r="B2922" s="1" t="s">
        <v>8795</v>
      </c>
      <c r="C2922" s="1" t="s">
        <v>8796</v>
      </c>
      <c r="D2922" s="1" t="s">
        <v>27</v>
      </c>
      <c r="E2922" s="1" t="s">
        <v>28</v>
      </c>
      <c r="F2922" s="2">
        <v>300000.0</v>
      </c>
      <c r="G2922" s="1" t="s">
        <v>1259</v>
      </c>
      <c r="H2922" s="4">
        <f>IFERROR(__xludf.DUMMYFUNCTION("DATE(INDEX(SPLIT(G2922,""/""),,3),INDEX(SPLIT(G2922,""/""),,2),INDEX(SPLIT(G2922,""/""),,1))"),44763.0)</f>
        <v>44763</v>
      </c>
      <c r="I2922" s="4">
        <v>44903.0</v>
      </c>
      <c r="J2922" s="4">
        <f>IFERROR(__xludf.DUMMYFUNCTION("DATE(INDEX(SPLIT(I2922,""/""),,3),INDEX(SPLIT(I2922,""/""),,2),INDEX(SPLIT(I2922,""/""),,1))"),44785.0)</f>
        <v>44785</v>
      </c>
      <c r="L2922" s="1">
        <v>0.0</v>
      </c>
      <c r="M2922" s="1" t="s">
        <v>6353</v>
      </c>
      <c r="N2922" s="1"/>
      <c r="O2922" s="1" t="s">
        <v>30</v>
      </c>
      <c r="P2922" s="1" t="s">
        <v>31</v>
      </c>
      <c r="Q2922" s="1" t="s">
        <v>53</v>
      </c>
      <c r="R2922" s="1" t="s">
        <v>53</v>
      </c>
      <c r="S2922" s="1" t="s">
        <v>54</v>
      </c>
      <c r="U2922" s="1">
        <v>1.00609257E8</v>
      </c>
      <c r="V2922" s="1" t="s">
        <v>8797</v>
      </c>
      <c r="W2922" s="1" t="s">
        <v>199</v>
      </c>
      <c r="X2922" s="1" t="s">
        <v>239</v>
      </c>
      <c r="Y2922" s="1" t="s">
        <v>2147</v>
      </c>
      <c r="Z2922" s="1" t="s">
        <v>37</v>
      </c>
    </row>
    <row r="2923">
      <c r="A2923" s="1" t="s">
        <v>8798</v>
      </c>
      <c r="B2923" s="1" t="s">
        <v>1152</v>
      </c>
      <c r="C2923" s="1" t="s">
        <v>8799</v>
      </c>
      <c r="D2923" s="1" t="s">
        <v>68</v>
      </c>
      <c r="E2923" s="1" t="s">
        <v>28</v>
      </c>
      <c r="F2923" s="2">
        <v>300000.0</v>
      </c>
      <c r="G2923" s="4">
        <v>44686.0</v>
      </c>
      <c r="H2923" s="4">
        <f>IFERROR(__xludf.DUMMYFUNCTION("DATE(INDEX(SPLIT(G2923,""/""),,3),INDEX(SPLIT(G2923,""/""),,2),INDEX(SPLIT(G2923,""/""),,1))"),44686.0)</f>
        <v>44686</v>
      </c>
      <c r="I2923" s="1" t="s">
        <v>518</v>
      </c>
      <c r="J2923" s="4">
        <f>IFERROR(__xludf.DUMMYFUNCTION("DATE(INDEX(SPLIT(I2923,""/""),,3),INDEX(SPLIT(I2923,""/""),,2),INDEX(SPLIT(I2923,""/""),,1))"),44757.0)</f>
        <v>44757</v>
      </c>
      <c r="L2923" s="1">
        <v>0.0</v>
      </c>
      <c r="M2923" s="1" t="s">
        <v>846</v>
      </c>
      <c r="N2923" s="1"/>
      <c r="O2923" s="1" t="s">
        <v>30</v>
      </c>
      <c r="P2923" s="1" t="s">
        <v>31</v>
      </c>
      <c r="Q2923" s="1" t="s">
        <v>157</v>
      </c>
      <c r="R2923" s="1" t="s">
        <v>157</v>
      </c>
      <c r="S2923" s="1" t="s">
        <v>158</v>
      </c>
      <c r="U2923" s="1">
        <v>1.00584422E8</v>
      </c>
      <c r="X2923" s="1" t="s">
        <v>125</v>
      </c>
      <c r="Y2923" s="1" t="s">
        <v>1155</v>
      </c>
      <c r="Z2923" s="1" t="s">
        <v>37</v>
      </c>
    </row>
    <row r="2924" hidden="1">
      <c r="A2924" s="1" t="s">
        <v>8800</v>
      </c>
      <c r="B2924" s="1" t="s">
        <v>981</v>
      </c>
      <c r="C2924" s="1" t="s">
        <v>8801</v>
      </c>
      <c r="D2924" s="1" t="s">
        <v>27</v>
      </c>
      <c r="E2924" s="1" t="s">
        <v>28</v>
      </c>
      <c r="F2924" s="2">
        <v>300000.0</v>
      </c>
      <c r="G2924" s="4">
        <v>44626.0</v>
      </c>
      <c r="H2924" s="4">
        <f>IFERROR(__xludf.DUMMYFUNCTION("DATE(INDEX(SPLIT(G2924,""/""),,3),INDEX(SPLIT(G2924,""/""),,2),INDEX(SPLIT(G2924,""/""),,1))"),44715.0)</f>
        <v>44715</v>
      </c>
      <c r="I2924" s="1" t="s">
        <v>1097</v>
      </c>
      <c r="J2924" s="4">
        <f>IFERROR(__xludf.DUMMYFUNCTION("DATE(INDEX(SPLIT(I2924,""/""),,3),INDEX(SPLIT(I2924,""/""),,2),INDEX(SPLIT(I2924,""/""),,1))"),45107.0)</f>
        <v>45107</v>
      </c>
      <c r="L2924" s="1">
        <v>0.0</v>
      </c>
      <c r="M2924" s="1" t="s">
        <v>984</v>
      </c>
      <c r="N2924" s="1"/>
      <c r="O2924" s="1" t="s">
        <v>30</v>
      </c>
      <c r="P2924" s="1" t="s">
        <v>31</v>
      </c>
      <c r="Q2924" s="1" t="s">
        <v>157</v>
      </c>
      <c r="R2924" s="1" t="s">
        <v>157</v>
      </c>
      <c r="S2924" s="1" t="s">
        <v>158</v>
      </c>
      <c r="U2924" s="1">
        <v>1.00611358E8</v>
      </c>
      <c r="X2924" s="1" t="s">
        <v>490</v>
      </c>
      <c r="Y2924" s="1" t="s">
        <v>985</v>
      </c>
      <c r="Z2924" s="1" t="s">
        <v>37</v>
      </c>
    </row>
    <row r="2925" hidden="1">
      <c r="A2925" s="1" t="s">
        <v>8802</v>
      </c>
      <c r="B2925" s="1" t="s">
        <v>3560</v>
      </c>
      <c r="C2925" s="1" t="s">
        <v>8803</v>
      </c>
      <c r="D2925" s="1" t="s">
        <v>78</v>
      </c>
      <c r="E2925" s="1" t="s">
        <v>28</v>
      </c>
      <c r="F2925" s="2">
        <v>300000.0</v>
      </c>
      <c r="G2925" s="4">
        <v>44597.0</v>
      </c>
      <c r="H2925" s="4">
        <f>IFERROR(__xludf.DUMMYFUNCTION("DATE(INDEX(SPLIT(G2925,""/""),,3),INDEX(SPLIT(G2925,""/""),,2),INDEX(SPLIT(G2925,""/""),,1))"),44683.0)</f>
        <v>44683</v>
      </c>
      <c r="I2925" s="1" t="s">
        <v>85</v>
      </c>
      <c r="J2925" s="4">
        <f>IFERROR(__xludf.DUMMYFUNCTION("DATE(INDEX(SPLIT(I2925,""/""),,3),INDEX(SPLIT(I2925,""/""),,2),INDEX(SPLIT(I2925,""/""),,1))"),44799.0)</f>
        <v>44799</v>
      </c>
      <c r="L2925" s="1">
        <v>0.0</v>
      </c>
      <c r="M2925" s="1" t="s">
        <v>3503</v>
      </c>
      <c r="N2925" s="1"/>
      <c r="O2925" s="1" t="s">
        <v>30</v>
      </c>
      <c r="P2925" s="1" t="s">
        <v>31</v>
      </c>
      <c r="Q2925" s="1" t="s">
        <v>95</v>
      </c>
      <c r="R2925" s="1" t="s">
        <v>95</v>
      </c>
      <c r="S2925" s="1" t="s">
        <v>96</v>
      </c>
      <c r="T2925" s="1" t="s">
        <v>311</v>
      </c>
      <c r="U2925" s="1">
        <v>1.00625578E8</v>
      </c>
      <c r="X2925" s="1" t="s">
        <v>190</v>
      </c>
      <c r="Y2925" s="1" t="s">
        <v>5040</v>
      </c>
      <c r="Z2925" s="1" t="s">
        <v>37</v>
      </c>
    </row>
    <row r="2926" hidden="1">
      <c r="A2926" s="1" t="s">
        <v>8804</v>
      </c>
      <c r="B2926" s="1" t="s">
        <v>4683</v>
      </c>
      <c r="C2926" s="1" t="s">
        <v>8805</v>
      </c>
      <c r="D2926" s="1" t="s">
        <v>122</v>
      </c>
      <c r="E2926" s="1" t="s">
        <v>28</v>
      </c>
      <c r="F2926" s="2">
        <v>300000.0</v>
      </c>
      <c r="G2926" s="1" t="s">
        <v>6301</v>
      </c>
      <c r="H2926" s="4">
        <f>IFERROR(__xludf.DUMMYFUNCTION("DATE(INDEX(SPLIT(G2926,""/""),,3),INDEX(SPLIT(G2926,""/""),,2),INDEX(SPLIT(G2926,""/""),,1))"),44635.0)</f>
        <v>44635</v>
      </c>
      <c r="I2926" s="1" t="s">
        <v>921</v>
      </c>
      <c r="J2926" s="4">
        <f>IFERROR(__xludf.DUMMYFUNCTION("DATE(INDEX(SPLIT(I2926,""/""),,3),INDEX(SPLIT(I2926,""/""),,2),INDEX(SPLIT(I2926,""/""),,1))"),44981.0)</f>
        <v>44981</v>
      </c>
      <c r="L2926" s="1">
        <v>0.0</v>
      </c>
      <c r="M2926" s="1" t="s">
        <v>318</v>
      </c>
      <c r="N2926" s="1"/>
      <c r="O2926" s="1" t="s">
        <v>30</v>
      </c>
      <c r="P2926" s="1" t="s">
        <v>31</v>
      </c>
      <c r="Q2926" s="1" t="s">
        <v>71</v>
      </c>
      <c r="R2926" s="1" t="s">
        <v>71</v>
      </c>
      <c r="S2926" s="1" t="s">
        <v>72</v>
      </c>
      <c r="T2926" s="1" t="s">
        <v>73</v>
      </c>
      <c r="U2926" s="1">
        <v>1.00654705E8</v>
      </c>
      <c r="X2926" s="1" t="s">
        <v>74</v>
      </c>
      <c r="Y2926" s="1" t="s">
        <v>318</v>
      </c>
      <c r="Z2926" s="1" t="s">
        <v>37</v>
      </c>
    </row>
    <row r="2927" hidden="1">
      <c r="A2927" s="1" t="s">
        <v>8806</v>
      </c>
      <c r="B2927" s="1" t="s">
        <v>484</v>
      </c>
      <c r="C2927" s="1" t="s">
        <v>8807</v>
      </c>
      <c r="D2927" s="1" t="s">
        <v>27</v>
      </c>
      <c r="E2927" s="1" t="s">
        <v>28</v>
      </c>
      <c r="F2927" s="2">
        <v>300000.0</v>
      </c>
      <c r="G2927" s="1" t="s">
        <v>8808</v>
      </c>
      <c r="H2927" s="4">
        <f>IFERROR(__xludf.DUMMYFUNCTION("DATE(INDEX(SPLIT(G2927,""/""),,3),INDEX(SPLIT(G2927,""/""),,2),INDEX(SPLIT(G2927,""/""),,1))"),44119.0)</f>
        <v>44119</v>
      </c>
      <c r="I2927" s="1" t="s">
        <v>281</v>
      </c>
      <c r="J2927" s="4">
        <f>IFERROR(__xludf.DUMMYFUNCTION("DATE(INDEX(SPLIT(I2927,""/""),,3),INDEX(SPLIT(I2927,""/""),,2),INDEX(SPLIT(I2927,""/""),,1))"),44865.0)</f>
        <v>44865</v>
      </c>
      <c r="L2927" s="1">
        <v>0.0</v>
      </c>
      <c r="M2927" s="1" t="s">
        <v>488</v>
      </c>
      <c r="N2927" s="1"/>
      <c r="O2927" s="1" t="s">
        <v>30</v>
      </c>
      <c r="P2927" s="1" t="s">
        <v>31</v>
      </c>
      <c r="Q2927" s="1" t="s">
        <v>95</v>
      </c>
      <c r="R2927" s="1" t="s">
        <v>95</v>
      </c>
      <c r="S2927" s="1" t="s">
        <v>96</v>
      </c>
      <c r="T2927" s="1" t="s">
        <v>489</v>
      </c>
      <c r="U2927" s="1">
        <v>1.00611486E8</v>
      </c>
      <c r="X2927" s="1" t="s">
        <v>490</v>
      </c>
      <c r="Y2927" s="1" t="s">
        <v>8809</v>
      </c>
      <c r="Z2927" s="1" t="s">
        <v>37</v>
      </c>
    </row>
    <row r="2928" hidden="1">
      <c r="A2928" s="1" t="s">
        <v>8810</v>
      </c>
      <c r="B2928" s="1" t="s">
        <v>8811</v>
      </c>
      <c r="C2928" s="1" t="s">
        <v>8812</v>
      </c>
      <c r="D2928" s="1" t="s">
        <v>78</v>
      </c>
      <c r="E2928" s="1" t="s">
        <v>28</v>
      </c>
      <c r="F2928" s="2">
        <v>300000.0</v>
      </c>
      <c r="G2928" s="4">
        <v>44872.0</v>
      </c>
      <c r="H2928" s="4">
        <f>IFERROR(__xludf.DUMMYFUNCTION("DATE(INDEX(SPLIT(G2928,""/""),,3),INDEX(SPLIT(G2928,""/""),,2),INDEX(SPLIT(G2928,""/""),,1))"),44753.0)</f>
        <v>44753</v>
      </c>
      <c r="I2928" s="1" t="s">
        <v>109</v>
      </c>
      <c r="J2928" s="4">
        <f>IFERROR(__xludf.DUMMYFUNCTION("DATE(INDEX(SPLIT(I2928,""/""),,3),INDEX(SPLIT(I2928,""/""),,2),INDEX(SPLIT(I2928,""/""),,1))"),44834.0)</f>
        <v>44834</v>
      </c>
      <c r="L2928" s="1">
        <v>0.0</v>
      </c>
      <c r="M2928" s="1" t="s">
        <v>960</v>
      </c>
      <c r="N2928" s="1"/>
      <c r="O2928" s="1" t="s">
        <v>30</v>
      </c>
      <c r="P2928" s="1" t="s">
        <v>31</v>
      </c>
      <c r="Q2928" s="1" t="s">
        <v>188</v>
      </c>
      <c r="R2928" s="1" t="s">
        <v>188</v>
      </c>
      <c r="S2928" s="1" t="s">
        <v>189</v>
      </c>
      <c r="U2928" s="1">
        <v>1.00595407E8</v>
      </c>
      <c r="X2928" s="1" t="s">
        <v>289</v>
      </c>
      <c r="Y2928" s="1" t="s">
        <v>960</v>
      </c>
      <c r="Z2928" s="1" t="s">
        <v>37</v>
      </c>
    </row>
    <row r="2929" hidden="1">
      <c r="A2929" s="1" t="s">
        <v>8813</v>
      </c>
      <c r="B2929" s="1" t="s">
        <v>645</v>
      </c>
      <c r="C2929" s="1" t="s">
        <v>8814</v>
      </c>
      <c r="D2929" s="1" t="s">
        <v>78</v>
      </c>
      <c r="E2929" s="1" t="s">
        <v>28</v>
      </c>
      <c r="F2929" s="2">
        <v>300000.0</v>
      </c>
      <c r="G2929" s="4">
        <v>44622.0</v>
      </c>
      <c r="H2929" s="4">
        <f>IFERROR(__xludf.DUMMYFUNCTION("DATE(INDEX(SPLIT(G2929,""/""),,3),INDEX(SPLIT(G2929,""/""),,2),INDEX(SPLIT(G2929,""/""),,1))"),44595.0)</f>
        <v>44595</v>
      </c>
      <c r="I2929" s="1" t="s">
        <v>109</v>
      </c>
      <c r="J2929" s="4">
        <f>IFERROR(__xludf.DUMMYFUNCTION("DATE(INDEX(SPLIT(I2929,""/""),,3),INDEX(SPLIT(I2929,""/""),,2),INDEX(SPLIT(I2929,""/""),,1))"),44834.0)</f>
        <v>44834</v>
      </c>
      <c r="L2929" s="1">
        <v>0.0</v>
      </c>
      <c r="M2929" s="1" t="s">
        <v>3625</v>
      </c>
      <c r="N2929" s="1"/>
      <c r="O2929" s="1" t="s">
        <v>30</v>
      </c>
      <c r="P2929" s="1" t="s">
        <v>31</v>
      </c>
      <c r="Q2929" s="1" t="s">
        <v>32</v>
      </c>
      <c r="R2929" s="1" t="s">
        <v>32</v>
      </c>
      <c r="S2929" s="1" t="s">
        <v>33</v>
      </c>
      <c r="T2929" s="1" t="s">
        <v>402</v>
      </c>
      <c r="U2929" s="1">
        <v>1.00642379E8</v>
      </c>
      <c r="X2929" s="1" t="s">
        <v>190</v>
      </c>
      <c r="Y2929" s="1" t="s">
        <v>3625</v>
      </c>
      <c r="Z2929" s="1" t="s">
        <v>37</v>
      </c>
    </row>
    <row r="2930" hidden="1">
      <c r="A2930" s="1" t="s">
        <v>8815</v>
      </c>
      <c r="B2930" s="1" t="s">
        <v>8816</v>
      </c>
      <c r="C2930" s="1" t="s">
        <v>8817</v>
      </c>
      <c r="D2930" s="1" t="s">
        <v>27</v>
      </c>
      <c r="E2930" s="1" t="s">
        <v>28</v>
      </c>
      <c r="F2930" s="2">
        <v>300000.0</v>
      </c>
      <c r="G2930" s="1" t="s">
        <v>6537</v>
      </c>
      <c r="H2930" s="4">
        <f>IFERROR(__xludf.DUMMYFUNCTION("DATE(INDEX(SPLIT(G2930,""/""),,3),INDEX(SPLIT(G2930,""/""),,2),INDEX(SPLIT(G2930,""/""),,1))"),44097.0)</f>
        <v>44097</v>
      </c>
      <c r="I2930" s="4">
        <v>44662.0</v>
      </c>
      <c r="J2930" s="4">
        <f>IFERROR(__xludf.DUMMYFUNCTION("DATE(INDEX(SPLIT(I2930,""/""),,3),INDEX(SPLIT(I2930,""/""),,2),INDEX(SPLIT(I2930,""/""),,1))"),44869.0)</f>
        <v>44869</v>
      </c>
      <c r="L2930" s="1">
        <v>0.0</v>
      </c>
      <c r="M2930" s="1" t="s">
        <v>4111</v>
      </c>
      <c r="N2930" s="1"/>
      <c r="O2930" s="1" t="s">
        <v>30</v>
      </c>
      <c r="P2930" s="1" t="s">
        <v>31</v>
      </c>
      <c r="Q2930" s="1" t="s">
        <v>32</v>
      </c>
      <c r="R2930" s="1" t="s">
        <v>32</v>
      </c>
      <c r="S2930" s="1" t="s">
        <v>33</v>
      </c>
      <c r="T2930" s="1" t="s">
        <v>402</v>
      </c>
      <c r="U2930" s="1">
        <v>1.00586786E8</v>
      </c>
      <c r="X2930" s="1" t="s">
        <v>781</v>
      </c>
      <c r="Y2930" s="1" t="s">
        <v>4111</v>
      </c>
      <c r="Z2930" s="1" t="s">
        <v>37</v>
      </c>
    </row>
    <row r="2931">
      <c r="A2931" s="1" t="s">
        <v>8818</v>
      </c>
      <c r="B2931" s="1" t="s">
        <v>1762</v>
      </c>
      <c r="C2931" s="1" t="s">
        <v>8819</v>
      </c>
      <c r="D2931" s="1" t="s">
        <v>27</v>
      </c>
      <c r="E2931" s="1" t="s">
        <v>28</v>
      </c>
      <c r="F2931" s="2">
        <v>300000.0</v>
      </c>
      <c r="G2931" s="4">
        <v>44266.0</v>
      </c>
      <c r="H2931" s="4">
        <f>IFERROR(__xludf.DUMMYFUNCTION("DATE(INDEX(SPLIT(G2931,""/""),,3),INDEX(SPLIT(G2931,""/""),,2),INDEX(SPLIT(G2931,""/""),,1))"),44503.0)</f>
        <v>44503</v>
      </c>
      <c r="I2931" s="1" t="s">
        <v>226</v>
      </c>
      <c r="J2931" s="4">
        <f>IFERROR(__xludf.DUMMYFUNCTION("DATE(INDEX(SPLIT(I2931,""/""),,3),INDEX(SPLIT(I2931,""/""),,2),INDEX(SPLIT(I2931,""/""),,1))"),44771.0)</f>
        <v>44771</v>
      </c>
      <c r="L2931" s="1">
        <v>0.0</v>
      </c>
      <c r="M2931" s="1" t="s">
        <v>3485</v>
      </c>
      <c r="N2931" s="1"/>
      <c r="O2931" s="1" t="s">
        <v>30</v>
      </c>
      <c r="P2931" s="1" t="s">
        <v>31</v>
      </c>
      <c r="Q2931" s="1" t="s">
        <v>71</v>
      </c>
      <c r="R2931" s="1" t="s">
        <v>71</v>
      </c>
      <c r="S2931" s="1" t="s">
        <v>72</v>
      </c>
      <c r="T2931" s="1" t="s">
        <v>615</v>
      </c>
      <c r="U2931" s="1">
        <v>1.01080198E8</v>
      </c>
      <c r="X2931" s="1" t="s">
        <v>490</v>
      </c>
      <c r="Y2931" s="1" t="s">
        <v>3485</v>
      </c>
      <c r="Z2931" s="1" t="s">
        <v>206</v>
      </c>
    </row>
    <row r="2932" hidden="1">
      <c r="A2932" s="1" t="s">
        <v>8820</v>
      </c>
      <c r="B2932" s="1" t="s">
        <v>1845</v>
      </c>
      <c r="C2932" s="1" t="s">
        <v>8821</v>
      </c>
      <c r="D2932" s="1" t="s">
        <v>27</v>
      </c>
      <c r="E2932" s="1" t="s">
        <v>28</v>
      </c>
      <c r="F2932" s="2">
        <v>300000.0</v>
      </c>
      <c r="G2932" s="1" t="s">
        <v>429</v>
      </c>
      <c r="H2932" s="4">
        <f>IFERROR(__xludf.DUMMYFUNCTION("DATE(INDEX(SPLIT(G2932,""/""),,3),INDEX(SPLIT(G2932,""/""),,2),INDEX(SPLIT(G2932,""/""),,1))"),44739.0)</f>
        <v>44739</v>
      </c>
      <c r="I2932" s="4">
        <v>44601.0</v>
      </c>
      <c r="J2932" s="4">
        <f>IFERROR(__xludf.DUMMYFUNCTION("DATE(INDEX(SPLIT(I2932,""/""),,3),INDEX(SPLIT(I2932,""/""),,2),INDEX(SPLIT(I2932,""/""),,1))"),44806.0)</f>
        <v>44806</v>
      </c>
      <c r="L2932" s="1">
        <v>0.0</v>
      </c>
      <c r="M2932" s="1" t="s">
        <v>7023</v>
      </c>
      <c r="N2932" s="1"/>
      <c r="O2932" s="1" t="s">
        <v>30</v>
      </c>
      <c r="P2932" s="1" t="s">
        <v>31</v>
      </c>
      <c r="Q2932" s="1" t="s">
        <v>71</v>
      </c>
      <c r="R2932" s="1" t="s">
        <v>71</v>
      </c>
      <c r="S2932" s="1" t="s">
        <v>72</v>
      </c>
      <c r="T2932" s="1" t="s">
        <v>615</v>
      </c>
      <c r="U2932" s="1">
        <v>1.00623906E8</v>
      </c>
      <c r="X2932" s="1" t="s">
        <v>490</v>
      </c>
      <c r="Y2932" s="1" t="s">
        <v>1033</v>
      </c>
      <c r="Z2932" s="1" t="s">
        <v>206</v>
      </c>
    </row>
    <row r="2933" hidden="1">
      <c r="A2933" s="1" t="s">
        <v>8822</v>
      </c>
      <c r="B2933" s="1" t="s">
        <v>1144</v>
      </c>
      <c r="C2933" s="1" t="s">
        <v>8823</v>
      </c>
      <c r="D2933" s="1" t="s">
        <v>27</v>
      </c>
      <c r="E2933" s="1" t="s">
        <v>28</v>
      </c>
      <c r="F2933" s="2">
        <v>300000.0</v>
      </c>
      <c r="G2933" s="1" t="s">
        <v>1722</v>
      </c>
      <c r="H2933" s="4">
        <f>IFERROR(__xludf.DUMMYFUNCTION("DATE(INDEX(SPLIT(G2933,""/""),,3),INDEX(SPLIT(G2933,""/""),,2),INDEX(SPLIT(G2933,""/""),,1))"),44271.0)</f>
        <v>44271</v>
      </c>
      <c r="I2933" s="1" t="s">
        <v>1097</v>
      </c>
      <c r="J2933" s="4">
        <f>IFERROR(__xludf.DUMMYFUNCTION("DATE(INDEX(SPLIT(I2933,""/""),,3),INDEX(SPLIT(I2933,""/""),,2),INDEX(SPLIT(I2933,""/""),,1))"),45107.0)</f>
        <v>45107</v>
      </c>
      <c r="L2933" s="1">
        <v>0.0</v>
      </c>
      <c r="M2933" s="1" t="s">
        <v>2614</v>
      </c>
      <c r="N2933" s="1"/>
      <c r="O2933" s="1" t="s">
        <v>30</v>
      </c>
      <c r="P2933" s="1" t="s">
        <v>31</v>
      </c>
      <c r="Q2933" s="1" t="s">
        <v>53</v>
      </c>
      <c r="R2933" s="1" t="s">
        <v>53</v>
      </c>
      <c r="S2933" s="1" t="s">
        <v>54</v>
      </c>
      <c r="T2933" s="1" t="s">
        <v>197</v>
      </c>
      <c r="U2933" s="1">
        <v>1.00592932E8</v>
      </c>
      <c r="X2933" s="1" t="s">
        <v>63</v>
      </c>
      <c r="Y2933" s="1" t="s">
        <v>2614</v>
      </c>
      <c r="Z2933" s="1" t="s">
        <v>37</v>
      </c>
    </row>
    <row r="2934" hidden="1">
      <c r="A2934" s="1" t="s">
        <v>8824</v>
      </c>
      <c r="B2934" s="1" t="s">
        <v>39</v>
      </c>
      <c r="C2934" s="1" t="s">
        <v>8825</v>
      </c>
      <c r="D2934" s="1" t="s">
        <v>78</v>
      </c>
      <c r="E2934" s="1" t="s">
        <v>28</v>
      </c>
      <c r="F2934" s="2">
        <v>300000.0</v>
      </c>
      <c r="G2934" s="1" t="s">
        <v>3849</v>
      </c>
      <c r="H2934" s="4">
        <f>IFERROR(__xludf.DUMMYFUNCTION("DATE(INDEX(SPLIT(G2934,""/""),,3),INDEX(SPLIT(G2934,""/""),,2),INDEX(SPLIT(G2934,""/""),,1))"),44551.0)</f>
        <v>44551</v>
      </c>
      <c r="I2934" s="1" t="s">
        <v>5970</v>
      </c>
      <c r="J2934" s="4">
        <f>IFERROR(__xludf.DUMMYFUNCTION("DATE(INDEX(SPLIT(I2934,""/""),,3),INDEX(SPLIT(I2934,""/""),,2),INDEX(SPLIT(I2934,""/""),,1))"),44800.0)</f>
        <v>44800</v>
      </c>
      <c r="L2934" s="1">
        <v>0.0</v>
      </c>
      <c r="M2934" s="1" t="s">
        <v>277</v>
      </c>
      <c r="N2934" s="1"/>
      <c r="O2934" s="1" t="s">
        <v>30</v>
      </c>
      <c r="P2934" s="1" t="s">
        <v>31</v>
      </c>
      <c r="Q2934" s="1" t="s">
        <v>32</v>
      </c>
      <c r="R2934" s="1" t="s">
        <v>32</v>
      </c>
      <c r="S2934" s="1" t="s">
        <v>33</v>
      </c>
      <c r="T2934" s="1" t="s">
        <v>103</v>
      </c>
      <c r="U2934" s="1">
        <v>1.00608828E8</v>
      </c>
      <c r="X2934" s="1" t="s">
        <v>46</v>
      </c>
      <c r="Y2934" s="1" t="s">
        <v>104</v>
      </c>
      <c r="Z2934" s="1" t="s">
        <v>37</v>
      </c>
    </row>
    <row r="2935" hidden="1">
      <c r="A2935" s="1" t="s">
        <v>8826</v>
      </c>
      <c r="B2935" s="1" t="s">
        <v>806</v>
      </c>
      <c r="C2935" s="1" t="s">
        <v>8827</v>
      </c>
      <c r="D2935" s="1" t="s">
        <v>27</v>
      </c>
      <c r="E2935" s="1" t="s">
        <v>28</v>
      </c>
      <c r="F2935" s="2">
        <v>300000.0</v>
      </c>
      <c r="G2935" s="1" t="s">
        <v>1244</v>
      </c>
      <c r="H2935" s="4">
        <f>IFERROR(__xludf.DUMMYFUNCTION("DATE(INDEX(SPLIT(G2935,""/""),,3),INDEX(SPLIT(G2935,""/""),,2),INDEX(SPLIT(G2935,""/""),,1))"),44742.0)</f>
        <v>44742</v>
      </c>
      <c r="I2935" s="1" t="s">
        <v>130</v>
      </c>
      <c r="J2935" s="4">
        <f>IFERROR(__xludf.DUMMYFUNCTION("DATE(INDEX(SPLIT(I2935,""/""),,3),INDEX(SPLIT(I2935,""/""),,2),INDEX(SPLIT(I2935,""/""),,1))"),44804.0)</f>
        <v>44804</v>
      </c>
      <c r="L2935" s="1">
        <v>0.0</v>
      </c>
      <c r="M2935" s="1" t="s">
        <v>2510</v>
      </c>
      <c r="N2935" s="1"/>
      <c r="O2935" s="1" t="s">
        <v>30</v>
      </c>
      <c r="P2935" s="1" t="s">
        <v>31</v>
      </c>
      <c r="Q2935" s="1" t="s">
        <v>157</v>
      </c>
      <c r="R2935" s="1" t="s">
        <v>157</v>
      </c>
      <c r="S2935" s="1" t="s">
        <v>158</v>
      </c>
      <c r="U2935" s="1">
        <v>1.00634919E8</v>
      </c>
      <c r="X2935" s="1" t="s">
        <v>117</v>
      </c>
      <c r="Y2935" s="1" t="s">
        <v>2510</v>
      </c>
      <c r="Z2935" s="1" t="s">
        <v>37</v>
      </c>
    </row>
    <row r="2936">
      <c r="A2936" s="1" t="s">
        <v>8828</v>
      </c>
      <c r="B2936" s="1" t="s">
        <v>806</v>
      </c>
      <c r="C2936" s="1" t="s">
        <v>8829</v>
      </c>
      <c r="D2936" s="1" t="s">
        <v>27</v>
      </c>
      <c r="E2936" s="1" t="s">
        <v>28</v>
      </c>
      <c r="F2936" s="2">
        <v>300000.0</v>
      </c>
      <c r="G2936" s="1" t="s">
        <v>1244</v>
      </c>
      <c r="H2936" s="4">
        <f>IFERROR(__xludf.DUMMYFUNCTION("DATE(INDEX(SPLIT(G2936,""/""),,3),INDEX(SPLIT(G2936,""/""),,2),INDEX(SPLIT(G2936,""/""),,1))"),44742.0)</f>
        <v>44742</v>
      </c>
      <c r="I2936" s="1" t="s">
        <v>226</v>
      </c>
      <c r="J2936" s="4">
        <f>IFERROR(__xludf.DUMMYFUNCTION("DATE(INDEX(SPLIT(I2936,""/""),,3),INDEX(SPLIT(I2936,""/""),,2),INDEX(SPLIT(I2936,""/""),,1))"),44771.0)</f>
        <v>44771</v>
      </c>
      <c r="L2936" s="1">
        <v>0.0</v>
      </c>
      <c r="M2936" s="1" t="s">
        <v>2510</v>
      </c>
      <c r="N2936" s="1"/>
      <c r="O2936" s="1" t="s">
        <v>30</v>
      </c>
      <c r="P2936" s="1" t="s">
        <v>31</v>
      </c>
      <c r="Q2936" s="1" t="s">
        <v>157</v>
      </c>
      <c r="R2936" s="1" t="s">
        <v>157</v>
      </c>
      <c r="S2936" s="1" t="s">
        <v>158</v>
      </c>
      <c r="U2936" s="1">
        <v>1.00634919E8</v>
      </c>
      <c r="X2936" s="1" t="s">
        <v>117</v>
      </c>
      <c r="Y2936" s="1" t="s">
        <v>2510</v>
      </c>
      <c r="Z2936" s="1" t="s">
        <v>37</v>
      </c>
    </row>
    <row r="2937" hidden="1">
      <c r="A2937" s="1" t="s">
        <v>8830</v>
      </c>
      <c r="B2937" s="1" t="s">
        <v>8831</v>
      </c>
      <c r="C2937" s="1" t="s">
        <v>8832</v>
      </c>
      <c r="D2937" s="1" t="s">
        <v>27</v>
      </c>
      <c r="E2937" s="1" t="s">
        <v>28</v>
      </c>
      <c r="F2937" s="2">
        <v>300000.0</v>
      </c>
      <c r="G2937" s="4">
        <v>44533.0</v>
      </c>
      <c r="H2937" s="4">
        <f>IFERROR(__xludf.DUMMYFUNCTION("DATE(INDEX(SPLIT(G2937,""/""),,3),INDEX(SPLIT(G2937,""/""),,2),INDEX(SPLIT(G2937,""/""),,1))"),44267.0)</f>
        <v>44267</v>
      </c>
      <c r="I2937" s="1" t="s">
        <v>109</v>
      </c>
      <c r="J2937" s="4">
        <f>IFERROR(__xludf.DUMMYFUNCTION("DATE(INDEX(SPLIT(I2937,""/""),,3),INDEX(SPLIT(I2937,""/""),,2),INDEX(SPLIT(I2937,""/""),,1))"),44834.0)</f>
        <v>44834</v>
      </c>
      <c r="L2937" s="1">
        <v>0.0</v>
      </c>
      <c r="M2937" s="1" t="s">
        <v>1129</v>
      </c>
      <c r="N2937" s="1"/>
      <c r="O2937" s="1" t="s">
        <v>30</v>
      </c>
      <c r="P2937" s="1" t="s">
        <v>31</v>
      </c>
      <c r="Q2937" s="1" t="s">
        <v>157</v>
      </c>
      <c r="R2937" s="1" t="s">
        <v>157</v>
      </c>
      <c r="S2937" s="1" t="s">
        <v>158</v>
      </c>
      <c r="T2937" s="1" t="s">
        <v>442</v>
      </c>
      <c r="U2937" s="1">
        <v>1.00650786E8</v>
      </c>
      <c r="X2937" s="1" t="s">
        <v>46</v>
      </c>
      <c r="Y2937" s="1" t="s">
        <v>3676</v>
      </c>
      <c r="Z2937" s="1" t="s">
        <v>37</v>
      </c>
    </row>
    <row r="2938" hidden="1">
      <c r="A2938" s="1" t="s">
        <v>8833</v>
      </c>
      <c r="B2938" s="1" t="s">
        <v>8834</v>
      </c>
      <c r="C2938" s="1" t="s">
        <v>8835</v>
      </c>
      <c r="D2938" s="1" t="s">
        <v>27</v>
      </c>
      <c r="E2938" s="1" t="s">
        <v>28</v>
      </c>
      <c r="F2938" s="2">
        <v>300000.0</v>
      </c>
      <c r="G2938" s="4">
        <v>44533.0</v>
      </c>
      <c r="H2938" s="4">
        <f>IFERROR(__xludf.DUMMYFUNCTION("DATE(INDEX(SPLIT(G2938,""/""),,3),INDEX(SPLIT(G2938,""/""),,2),INDEX(SPLIT(G2938,""/""),,1))"),44267.0)</f>
        <v>44267</v>
      </c>
      <c r="I2938" s="1" t="s">
        <v>109</v>
      </c>
      <c r="J2938" s="4">
        <f>IFERROR(__xludf.DUMMYFUNCTION("DATE(INDEX(SPLIT(I2938,""/""),,3),INDEX(SPLIT(I2938,""/""),,2),INDEX(SPLIT(I2938,""/""),,1))"),44834.0)</f>
        <v>44834</v>
      </c>
      <c r="L2938" s="1">
        <v>0.0</v>
      </c>
      <c r="M2938" s="1" t="s">
        <v>1129</v>
      </c>
      <c r="N2938" s="1"/>
      <c r="O2938" s="1" t="s">
        <v>30</v>
      </c>
      <c r="P2938" s="1" t="s">
        <v>31</v>
      </c>
      <c r="Q2938" s="1" t="s">
        <v>157</v>
      </c>
      <c r="R2938" s="1" t="s">
        <v>157</v>
      </c>
      <c r="S2938" s="1" t="s">
        <v>158</v>
      </c>
      <c r="T2938" s="1" t="s">
        <v>442</v>
      </c>
      <c r="U2938" s="1">
        <v>1.00650786E8</v>
      </c>
      <c r="X2938" s="1" t="s">
        <v>125</v>
      </c>
      <c r="Y2938" s="1" t="s">
        <v>3676</v>
      </c>
      <c r="Z2938" s="1" t="s">
        <v>37</v>
      </c>
    </row>
    <row r="2939">
      <c r="A2939" s="1" t="s">
        <v>8836</v>
      </c>
      <c r="B2939" s="1" t="s">
        <v>5208</v>
      </c>
      <c r="C2939" s="1" t="s">
        <v>8837</v>
      </c>
      <c r="D2939" s="1" t="s">
        <v>27</v>
      </c>
      <c r="E2939" s="1" t="s">
        <v>28</v>
      </c>
      <c r="F2939" s="2">
        <v>300000.0</v>
      </c>
      <c r="G2939" s="1" t="s">
        <v>429</v>
      </c>
      <c r="H2939" s="4">
        <f>IFERROR(__xludf.DUMMYFUNCTION("DATE(INDEX(SPLIT(G2939,""/""),,3),INDEX(SPLIT(G2939,""/""),,2),INDEX(SPLIT(G2939,""/""),,1))"),44739.0)</f>
        <v>44739</v>
      </c>
      <c r="I2939" s="1" t="s">
        <v>935</v>
      </c>
      <c r="J2939" s="4">
        <f>IFERROR(__xludf.DUMMYFUNCTION("DATE(INDEX(SPLIT(I2939,""/""),,3),INDEX(SPLIT(I2939,""/""),,2),INDEX(SPLIT(I2939,""/""),,1))"),44764.0)</f>
        <v>44764</v>
      </c>
      <c r="L2939" s="1">
        <v>0.0</v>
      </c>
      <c r="M2939" s="1" t="s">
        <v>3625</v>
      </c>
      <c r="N2939" s="1"/>
      <c r="O2939" s="1" t="s">
        <v>30</v>
      </c>
      <c r="P2939" s="1" t="s">
        <v>31</v>
      </c>
      <c r="Q2939" s="1" t="s">
        <v>32</v>
      </c>
      <c r="R2939" s="1" t="s">
        <v>32</v>
      </c>
      <c r="S2939" s="1" t="s">
        <v>33</v>
      </c>
      <c r="U2939" s="1">
        <v>1.00642379E8</v>
      </c>
      <c r="X2939" s="1" t="s">
        <v>117</v>
      </c>
      <c r="Y2939" s="1" t="s">
        <v>3625</v>
      </c>
      <c r="Z2939" s="1" t="s">
        <v>37</v>
      </c>
    </row>
    <row r="2940" hidden="1">
      <c r="A2940" s="1" t="s">
        <v>8838</v>
      </c>
      <c r="B2940" s="1" t="s">
        <v>8839</v>
      </c>
      <c r="C2940" s="1" t="s">
        <v>8840</v>
      </c>
      <c r="D2940" s="1" t="s">
        <v>27</v>
      </c>
      <c r="E2940" s="1" t="s">
        <v>28</v>
      </c>
      <c r="F2940" s="2">
        <v>300000.0</v>
      </c>
      <c r="G2940" s="4">
        <v>44533.0</v>
      </c>
      <c r="H2940" s="4">
        <f>IFERROR(__xludf.DUMMYFUNCTION("DATE(INDEX(SPLIT(G2940,""/""),,3),INDEX(SPLIT(G2940,""/""),,2),INDEX(SPLIT(G2940,""/""),,1))"),44267.0)</f>
        <v>44267</v>
      </c>
      <c r="I2940" s="1" t="s">
        <v>109</v>
      </c>
      <c r="J2940" s="4">
        <f>IFERROR(__xludf.DUMMYFUNCTION("DATE(INDEX(SPLIT(I2940,""/""),,3),INDEX(SPLIT(I2940,""/""),,2),INDEX(SPLIT(I2940,""/""),,1))"),44834.0)</f>
        <v>44834</v>
      </c>
      <c r="L2940" s="1">
        <v>0.0</v>
      </c>
      <c r="M2940" s="1" t="s">
        <v>1129</v>
      </c>
      <c r="N2940" s="1"/>
      <c r="O2940" s="1" t="s">
        <v>30</v>
      </c>
      <c r="P2940" s="1" t="s">
        <v>31</v>
      </c>
      <c r="Q2940" s="1" t="s">
        <v>157</v>
      </c>
      <c r="R2940" s="1" t="s">
        <v>157</v>
      </c>
      <c r="S2940" s="1" t="s">
        <v>158</v>
      </c>
      <c r="T2940" s="1" t="s">
        <v>442</v>
      </c>
      <c r="U2940" s="1">
        <v>1.00650786E8</v>
      </c>
      <c r="X2940" s="1" t="s">
        <v>125</v>
      </c>
      <c r="Y2940" s="1" t="s">
        <v>3676</v>
      </c>
      <c r="Z2940" s="1" t="s">
        <v>37</v>
      </c>
    </row>
    <row r="2941" hidden="1">
      <c r="A2941" s="1" t="s">
        <v>8841</v>
      </c>
      <c r="B2941" s="1" t="s">
        <v>612</v>
      </c>
      <c r="C2941" s="1" t="s">
        <v>8842</v>
      </c>
      <c r="D2941" s="1" t="s">
        <v>78</v>
      </c>
      <c r="E2941" s="1" t="s">
        <v>28</v>
      </c>
      <c r="F2941" s="2">
        <v>300000.0</v>
      </c>
      <c r="G2941" s="4">
        <v>44564.0</v>
      </c>
      <c r="H2941" s="4">
        <f>IFERROR(__xludf.DUMMYFUNCTION("DATE(INDEX(SPLIT(G2941,""/""),,3),INDEX(SPLIT(G2941,""/""),,2),INDEX(SPLIT(G2941,""/""),,1))"),44621.0)</f>
        <v>44621</v>
      </c>
      <c r="I2941" s="1" t="s">
        <v>109</v>
      </c>
      <c r="J2941" s="4">
        <f>IFERROR(__xludf.DUMMYFUNCTION("DATE(INDEX(SPLIT(I2941,""/""),,3),INDEX(SPLIT(I2941,""/""),,2),INDEX(SPLIT(I2941,""/""),,1))"),44834.0)</f>
        <v>44834</v>
      </c>
      <c r="L2941" s="1">
        <v>0.0</v>
      </c>
      <c r="M2941" s="1" t="s">
        <v>614</v>
      </c>
      <c r="N2941" s="1"/>
      <c r="O2941" s="1" t="s">
        <v>30</v>
      </c>
      <c r="P2941" s="1" t="s">
        <v>31</v>
      </c>
      <c r="Q2941" s="1" t="s">
        <v>71</v>
      </c>
      <c r="R2941" s="1" t="s">
        <v>71</v>
      </c>
      <c r="S2941" s="1" t="s">
        <v>72</v>
      </c>
      <c r="T2941" s="1" t="s">
        <v>615</v>
      </c>
      <c r="U2941" s="1">
        <v>1.00869732E8</v>
      </c>
      <c r="X2941" s="1" t="s">
        <v>490</v>
      </c>
      <c r="Y2941" s="1" t="s">
        <v>614</v>
      </c>
      <c r="Z2941" s="1" t="s">
        <v>37</v>
      </c>
    </row>
    <row r="2942" hidden="1">
      <c r="A2942" s="1" t="s">
        <v>8843</v>
      </c>
      <c r="B2942" s="1" t="s">
        <v>8844</v>
      </c>
      <c r="C2942" s="1" t="s">
        <v>8845</v>
      </c>
      <c r="D2942" s="1" t="s">
        <v>27</v>
      </c>
      <c r="E2942" s="1" t="s">
        <v>28</v>
      </c>
      <c r="F2942" s="2">
        <v>300000.0</v>
      </c>
      <c r="G2942" s="4">
        <v>44533.0</v>
      </c>
      <c r="H2942" s="4">
        <f>IFERROR(__xludf.DUMMYFUNCTION("DATE(INDEX(SPLIT(G2942,""/""),,3),INDEX(SPLIT(G2942,""/""),,2),INDEX(SPLIT(G2942,""/""),,1))"),44267.0)</f>
        <v>44267</v>
      </c>
      <c r="I2942" s="1" t="s">
        <v>109</v>
      </c>
      <c r="J2942" s="4">
        <f>IFERROR(__xludf.DUMMYFUNCTION("DATE(INDEX(SPLIT(I2942,""/""),,3),INDEX(SPLIT(I2942,""/""),,2),INDEX(SPLIT(I2942,""/""),,1))"),44834.0)</f>
        <v>44834</v>
      </c>
      <c r="L2942" s="1">
        <v>0.0</v>
      </c>
      <c r="M2942" s="1" t="s">
        <v>1129</v>
      </c>
      <c r="N2942" s="1"/>
      <c r="O2942" s="1" t="s">
        <v>30</v>
      </c>
      <c r="P2942" s="1" t="s">
        <v>31</v>
      </c>
      <c r="Q2942" s="1" t="s">
        <v>157</v>
      </c>
      <c r="R2942" s="1" t="s">
        <v>157</v>
      </c>
      <c r="S2942" s="1" t="s">
        <v>158</v>
      </c>
      <c r="T2942" s="1" t="s">
        <v>442</v>
      </c>
      <c r="U2942" s="1">
        <v>1.00650786E8</v>
      </c>
      <c r="X2942" s="1" t="s">
        <v>125</v>
      </c>
      <c r="Y2942" s="1" t="s">
        <v>3676</v>
      </c>
      <c r="Z2942" s="1" t="s">
        <v>37</v>
      </c>
    </row>
    <row r="2943" hidden="1">
      <c r="A2943" s="1" t="s">
        <v>8846</v>
      </c>
      <c r="B2943" s="1" t="s">
        <v>39</v>
      </c>
      <c r="C2943" s="1" t="s">
        <v>8847</v>
      </c>
      <c r="D2943" s="1" t="s">
        <v>27</v>
      </c>
      <c r="E2943" s="1" t="s">
        <v>28</v>
      </c>
      <c r="F2943" s="2">
        <v>300000.0</v>
      </c>
      <c r="G2943" s="1" t="s">
        <v>2455</v>
      </c>
      <c r="H2943" s="4">
        <f>IFERROR(__xludf.DUMMYFUNCTION("DATE(INDEX(SPLIT(G2943,""/""),,3),INDEX(SPLIT(G2943,""/""),,2),INDEX(SPLIT(G2943,""/""),,1))"),44606.0)</f>
        <v>44606</v>
      </c>
      <c r="I2943" s="1" t="s">
        <v>8848</v>
      </c>
      <c r="J2943" s="4">
        <f>IFERROR(__xludf.DUMMYFUNCTION("DATE(INDEX(SPLIT(I2943,""/""),,3),INDEX(SPLIT(I2943,""/""),,2),INDEX(SPLIT(I2943,""/""),,1))"),44828.0)</f>
        <v>44828</v>
      </c>
      <c r="L2943" s="1">
        <v>0.0</v>
      </c>
      <c r="M2943" s="1" t="s">
        <v>277</v>
      </c>
      <c r="N2943" s="1"/>
      <c r="O2943" s="1" t="s">
        <v>30</v>
      </c>
      <c r="P2943" s="1" t="s">
        <v>31</v>
      </c>
      <c r="Q2943" s="1" t="s">
        <v>32</v>
      </c>
      <c r="R2943" s="1" t="s">
        <v>32</v>
      </c>
      <c r="S2943" s="1" t="s">
        <v>33</v>
      </c>
      <c r="T2943" s="1" t="s">
        <v>103</v>
      </c>
      <c r="U2943" s="1">
        <v>1.00608828E8</v>
      </c>
      <c r="X2943" s="1" t="s">
        <v>46</v>
      </c>
      <c r="Y2943" s="1" t="s">
        <v>104</v>
      </c>
      <c r="Z2943" s="1" t="s">
        <v>37</v>
      </c>
    </row>
    <row r="2944" hidden="1">
      <c r="A2944" s="1" t="s">
        <v>8849</v>
      </c>
      <c r="B2944" s="1" t="s">
        <v>6955</v>
      </c>
      <c r="C2944" s="1" t="s">
        <v>8850</v>
      </c>
      <c r="D2944" s="1" t="s">
        <v>27</v>
      </c>
      <c r="E2944" s="1" t="s">
        <v>28</v>
      </c>
      <c r="F2944" s="2">
        <v>300000.0</v>
      </c>
      <c r="G2944" s="1" t="s">
        <v>458</v>
      </c>
      <c r="H2944" s="4">
        <f>IFERROR(__xludf.DUMMYFUNCTION("DATE(INDEX(SPLIT(G2944,""/""),,3),INDEX(SPLIT(G2944,""/""),,2),INDEX(SPLIT(G2944,""/""),,1))"),44649.0)</f>
        <v>44649</v>
      </c>
      <c r="I2944" s="1" t="s">
        <v>8851</v>
      </c>
      <c r="J2944" s="4">
        <f>IFERROR(__xludf.DUMMYFUNCTION("DATE(INDEX(SPLIT(I2944,""/""),,3),INDEX(SPLIT(I2944,""/""),,2),INDEX(SPLIT(I2944,""/""),,1))"),44916.0)</f>
        <v>44916</v>
      </c>
      <c r="L2944" s="1">
        <v>0.0</v>
      </c>
      <c r="M2944" s="1" t="s">
        <v>3580</v>
      </c>
      <c r="N2944" s="1"/>
      <c r="O2944" s="1" t="s">
        <v>30</v>
      </c>
      <c r="P2944" s="1" t="s">
        <v>31</v>
      </c>
      <c r="Q2944" s="1" t="s">
        <v>157</v>
      </c>
      <c r="R2944" s="1" t="s">
        <v>157</v>
      </c>
      <c r="S2944" s="1" t="s">
        <v>158</v>
      </c>
      <c r="U2944" s="1">
        <v>1.00956516E8</v>
      </c>
      <c r="X2944" s="1" t="s">
        <v>239</v>
      </c>
      <c r="Y2944" s="1" t="s">
        <v>8852</v>
      </c>
      <c r="Z2944" s="1" t="s">
        <v>37</v>
      </c>
    </row>
    <row r="2945">
      <c r="A2945" s="1" t="s">
        <v>8853</v>
      </c>
      <c r="B2945" s="1" t="s">
        <v>8390</v>
      </c>
      <c r="C2945" s="1" t="s">
        <v>8854</v>
      </c>
      <c r="D2945" s="1" t="s">
        <v>27</v>
      </c>
      <c r="E2945" s="1" t="s">
        <v>28</v>
      </c>
      <c r="F2945" s="2">
        <v>300000.0</v>
      </c>
      <c r="G2945" s="1" t="s">
        <v>2110</v>
      </c>
      <c r="H2945" s="4">
        <f>IFERROR(__xludf.DUMMYFUNCTION("DATE(INDEX(SPLIT(G2945,""/""),,3),INDEX(SPLIT(G2945,""/""),,2),INDEX(SPLIT(G2945,""/""),,1))"),44650.0)</f>
        <v>44650</v>
      </c>
      <c r="I2945" s="1" t="s">
        <v>233</v>
      </c>
      <c r="J2945" s="4">
        <f>IFERROR(__xludf.DUMMYFUNCTION("DATE(INDEX(SPLIT(I2945,""/""),,3),INDEX(SPLIT(I2945,""/""),,2),INDEX(SPLIT(I2945,""/""),,1))"),44729.0)</f>
        <v>44729</v>
      </c>
      <c r="L2945" s="1">
        <v>0.0</v>
      </c>
      <c r="M2945" s="1" t="s">
        <v>4598</v>
      </c>
      <c r="N2945" s="1"/>
      <c r="O2945" s="1" t="s">
        <v>30</v>
      </c>
      <c r="P2945" s="1" t="s">
        <v>31</v>
      </c>
      <c r="Q2945" s="1" t="s">
        <v>157</v>
      </c>
      <c r="R2945" s="1" t="s">
        <v>157</v>
      </c>
      <c r="S2945" s="1" t="s">
        <v>158</v>
      </c>
      <c r="U2945" s="1">
        <v>1.00650304E8</v>
      </c>
      <c r="X2945" s="1" t="s">
        <v>239</v>
      </c>
      <c r="Y2945" s="1" t="s">
        <v>6354</v>
      </c>
      <c r="Z2945" s="1" t="s">
        <v>37</v>
      </c>
    </row>
    <row r="2946" hidden="1">
      <c r="A2946" s="1" t="s">
        <v>8855</v>
      </c>
      <c r="B2946" s="1" t="s">
        <v>363</v>
      </c>
      <c r="C2946" s="1" t="s">
        <v>8856</v>
      </c>
      <c r="D2946" s="1" t="s">
        <v>27</v>
      </c>
      <c r="E2946" s="1" t="s">
        <v>28</v>
      </c>
      <c r="F2946" s="2">
        <v>300000.0</v>
      </c>
      <c r="G2946" s="4">
        <v>44263.0</v>
      </c>
      <c r="H2946" s="4">
        <f>IFERROR(__xludf.DUMMYFUNCTION("DATE(INDEX(SPLIT(G2946,""/""),,3),INDEX(SPLIT(G2946,""/""),,2),INDEX(SPLIT(G2946,""/""),,1))"),44411.0)</f>
        <v>44411</v>
      </c>
      <c r="I2946" s="1" t="s">
        <v>109</v>
      </c>
      <c r="J2946" s="4">
        <f>IFERROR(__xludf.DUMMYFUNCTION("DATE(INDEX(SPLIT(I2946,""/""),,3),INDEX(SPLIT(I2946,""/""),,2),INDEX(SPLIT(I2946,""/""),,1))"),44834.0)</f>
        <v>44834</v>
      </c>
      <c r="L2946" s="1">
        <v>0.0</v>
      </c>
      <c r="M2946" s="1" t="s">
        <v>367</v>
      </c>
      <c r="N2946" s="1"/>
      <c r="O2946" s="1" t="s">
        <v>30</v>
      </c>
      <c r="P2946" s="1" t="s">
        <v>31</v>
      </c>
      <c r="Q2946" s="1" t="s">
        <v>235</v>
      </c>
      <c r="R2946" s="1" t="s">
        <v>235</v>
      </c>
      <c r="S2946" s="1" t="s">
        <v>236</v>
      </c>
      <c r="T2946" s="1" t="s">
        <v>237</v>
      </c>
      <c r="U2946" s="1">
        <v>1.01072617E8</v>
      </c>
      <c r="X2946" s="1" t="s">
        <v>239</v>
      </c>
      <c r="Y2946" s="1" t="s">
        <v>2336</v>
      </c>
      <c r="Z2946" s="1" t="s">
        <v>206</v>
      </c>
    </row>
    <row r="2947">
      <c r="A2947" s="1" t="s">
        <v>8857</v>
      </c>
      <c r="B2947" s="1" t="s">
        <v>516</v>
      </c>
      <c r="C2947" s="1" t="s">
        <v>8858</v>
      </c>
      <c r="D2947" s="1" t="s">
        <v>122</v>
      </c>
      <c r="E2947" s="1" t="s">
        <v>28</v>
      </c>
      <c r="F2947" s="2">
        <v>300000.0</v>
      </c>
      <c r="G2947" s="1" t="s">
        <v>429</v>
      </c>
      <c r="H2947" s="4">
        <f>IFERROR(__xludf.DUMMYFUNCTION("DATE(INDEX(SPLIT(G2947,""/""),,3),INDEX(SPLIT(G2947,""/""),,2),INDEX(SPLIT(G2947,""/""),,1))"),44739.0)</f>
        <v>44739</v>
      </c>
      <c r="I2947" s="4">
        <v>44780.0</v>
      </c>
      <c r="J2947" s="4">
        <f>IFERROR(__xludf.DUMMYFUNCTION("DATE(INDEX(SPLIT(I2947,""/""),,3),INDEX(SPLIT(I2947,""/""),,2),INDEX(SPLIT(I2947,""/""),,1))"),44750.0)</f>
        <v>44750</v>
      </c>
      <c r="L2947" s="1">
        <v>0.0</v>
      </c>
      <c r="M2947" s="1" t="s">
        <v>8859</v>
      </c>
      <c r="N2947" s="1"/>
      <c r="O2947" s="1" t="s">
        <v>30</v>
      </c>
      <c r="P2947" s="1" t="s">
        <v>31</v>
      </c>
      <c r="Q2947" s="1" t="s">
        <v>228</v>
      </c>
      <c r="R2947" s="1" t="s">
        <v>228</v>
      </c>
      <c r="S2947" s="1" t="s">
        <v>229</v>
      </c>
      <c r="T2947" s="1" t="s">
        <v>513</v>
      </c>
      <c r="U2947" s="1">
        <v>1.00604296E8</v>
      </c>
      <c r="X2947" s="1" t="s">
        <v>254</v>
      </c>
      <c r="Y2947" s="1" t="s">
        <v>3949</v>
      </c>
      <c r="Z2947" s="1" t="s">
        <v>37</v>
      </c>
    </row>
    <row r="2948" hidden="1">
      <c r="A2948" s="1" t="s">
        <v>8860</v>
      </c>
      <c r="B2948" s="1" t="s">
        <v>8861</v>
      </c>
      <c r="C2948" s="1" t="s">
        <v>8862</v>
      </c>
      <c r="D2948" s="1" t="s">
        <v>122</v>
      </c>
      <c r="E2948" s="1" t="s">
        <v>28</v>
      </c>
      <c r="F2948" s="2">
        <v>300000.0</v>
      </c>
      <c r="G2948" s="1" t="s">
        <v>8863</v>
      </c>
      <c r="H2948" s="4">
        <f>IFERROR(__xludf.DUMMYFUNCTION("DATE(INDEX(SPLIT(G2948,""/""),,3),INDEX(SPLIT(G2948,""/""),,2),INDEX(SPLIT(G2948,""/""),,1))"),44459.0)</f>
        <v>44459</v>
      </c>
      <c r="I2948" s="1" t="s">
        <v>2709</v>
      </c>
      <c r="J2948" s="4">
        <f>IFERROR(__xludf.DUMMYFUNCTION("DATE(INDEX(SPLIT(I2948,""/""),,3),INDEX(SPLIT(I2948,""/""),,2),INDEX(SPLIT(I2948,""/""),,1))"),44889.0)</f>
        <v>44889</v>
      </c>
      <c r="L2948" s="1">
        <v>0.0</v>
      </c>
      <c r="M2948" s="1" t="s">
        <v>1741</v>
      </c>
      <c r="N2948" s="1"/>
      <c r="O2948" s="1" t="s">
        <v>30</v>
      </c>
      <c r="P2948" s="1" t="s">
        <v>31</v>
      </c>
      <c r="Q2948" s="1" t="s">
        <v>32</v>
      </c>
      <c r="R2948" s="1" t="s">
        <v>32</v>
      </c>
      <c r="S2948" s="1" t="s">
        <v>33</v>
      </c>
      <c r="T2948" s="1" t="s">
        <v>103</v>
      </c>
      <c r="U2948" s="1">
        <v>1.00645852E8</v>
      </c>
      <c r="X2948" s="1" t="s">
        <v>289</v>
      </c>
      <c r="Y2948" s="1" t="s">
        <v>1741</v>
      </c>
      <c r="Z2948" s="1" t="s">
        <v>37</v>
      </c>
    </row>
    <row r="2949" hidden="1">
      <c r="A2949" s="1" t="s">
        <v>8864</v>
      </c>
      <c r="B2949" s="1" t="s">
        <v>1994</v>
      </c>
      <c r="C2949" s="1" t="s">
        <v>8865</v>
      </c>
      <c r="D2949" s="1" t="s">
        <v>27</v>
      </c>
      <c r="E2949" s="1" t="s">
        <v>28</v>
      </c>
      <c r="F2949" s="2">
        <v>300000.0</v>
      </c>
      <c r="G2949" s="1" t="s">
        <v>3595</v>
      </c>
      <c r="H2949" s="4">
        <f>IFERROR(__xludf.DUMMYFUNCTION("DATE(INDEX(SPLIT(G2949,""/""),,3),INDEX(SPLIT(G2949,""/""),,2),INDEX(SPLIT(G2949,""/""),,1))"),44460.0)</f>
        <v>44460</v>
      </c>
      <c r="I2949" s="4">
        <v>44628.0</v>
      </c>
      <c r="J2949" s="4">
        <f>IFERROR(__xludf.DUMMYFUNCTION("DATE(INDEX(SPLIT(I2949,""/""),,3),INDEX(SPLIT(I2949,""/""),,2),INDEX(SPLIT(I2949,""/""),,1))"),44776.0)</f>
        <v>44776</v>
      </c>
      <c r="L2949" s="1">
        <v>0.0</v>
      </c>
      <c r="M2949" s="1" t="s">
        <v>2856</v>
      </c>
      <c r="N2949" s="1"/>
      <c r="O2949" s="1" t="s">
        <v>30</v>
      </c>
      <c r="P2949" s="1" t="s">
        <v>31</v>
      </c>
      <c r="Q2949" s="1" t="s">
        <v>71</v>
      </c>
      <c r="R2949" s="1" t="s">
        <v>71</v>
      </c>
      <c r="S2949" s="1" t="s">
        <v>72</v>
      </c>
      <c r="T2949" s="1" t="s">
        <v>615</v>
      </c>
      <c r="U2949" s="1">
        <v>1.00637221E8</v>
      </c>
      <c r="X2949" s="1" t="s">
        <v>490</v>
      </c>
      <c r="Y2949" s="1" t="s">
        <v>2856</v>
      </c>
      <c r="Z2949" s="1" t="s">
        <v>37</v>
      </c>
    </row>
    <row r="2950">
      <c r="A2950" s="1" t="s">
        <v>8866</v>
      </c>
      <c r="B2950" s="1" t="s">
        <v>8867</v>
      </c>
      <c r="C2950" s="1" t="s">
        <v>8868</v>
      </c>
      <c r="D2950" s="1" t="s">
        <v>27</v>
      </c>
      <c r="E2950" s="1" t="s">
        <v>28</v>
      </c>
      <c r="F2950" s="2">
        <v>300000.0</v>
      </c>
      <c r="G2950" s="4">
        <v>44598.0</v>
      </c>
      <c r="H2950" s="4">
        <f>IFERROR(__xludf.DUMMYFUNCTION("DATE(INDEX(SPLIT(G2950,""/""),,3),INDEX(SPLIT(G2950,""/""),,2),INDEX(SPLIT(G2950,""/""),,1))"),44714.0)</f>
        <v>44714</v>
      </c>
      <c r="I2950" s="1" t="s">
        <v>226</v>
      </c>
      <c r="J2950" s="4">
        <f>IFERROR(__xludf.DUMMYFUNCTION("DATE(INDEX(SPLIT(I2950,""/""),,3),INDEX(SPLIT(I2950,""/""),,2),INDEX(SPLIT(I2950,""/""),,1))"),44771.0)</f>
        <v>44771</v>
      </c>
      <c r="L2950" s="1">
        <v>0.0</v>
      </c>
      <c r="M2950" s="1" t="s">
        <v>1737</v>
      </c>
      <c r="N2950" s="1"/>
      <c r="O2950" s="1" t="s">
        <v>30</v>
      </c>
      <c r="P2950" s="1" t="s">
        <v>31</v>
      </c>
      <c r="Q2950" s="1" t="s">
        <v>53</v>
      </c>
      <c r="R2950" s="1" t="s">
        <v>53</v>
      </c>
      <c r="S2950" s="1" t="s">
        <v>54</v>
      </c>
      <c r="T2950" s="1" t="s">
        <v>1386</v>
      </c>
      <c r="U2950" s="1">
        <v>1.00642067E8</v>
      </c>
      <c r="X2950" s="1" t="s">
        <v>88</v>
      </c>
      <c r="Y2950" s="1" t="s">
        <v>1737</v>
      </c>
      <c r="Z2950" s="1" t="s">
        <v>37</v>
      </c>
    </row>
    <row r="2951">
      <c r="A2951" s="1" t="s">
        <v>8869</v>
      </c>
      <c r="B2951" s="1" t="s">
        <v>8870</v>
      </c>
      <c r="C2951" s="1" t="s">
        <v>8871</v>
      </c>
      <c r="D2951" s="1" t="s">
        <v>68</v>
      </c>
      <c r="E2951" s="1" t="s">
        <v>28</v>
      </c>
      <c r="F2951" s="2">
        <v>300000.0</v>
      </c>
      <c r="G2951" s="1" t="s">
        <v>394</v>
      </c>
      <c r="H2951" s="4">
        <f>IFERROR(__xludf.DUMMYFUNCTION("DATE(INDEX(SPLIT(G2951,""/""),,3),INDEX(SPLIT(G2951,""/""),,2),INDEX(SPLIT(G2951,""/""),,1))"),44677.0)</f>
        <v>44677</v>
      </c>
      <c r="I2951" s="1" t="s">
        <v>1244</v>
      </c>
      <c r="J2951" s="4">
        <f>IFERROR(__xludf.DUMMYFUNCTION("DATE(INDEX(SPLIT(I2951,""/""),,3),INDEX(SPLIT(I2951,""/""),,2),INDEX(SPLIT(I2951,""/""),,1))"),44742.0)</f>
        <v>44742</v>
      </c>
      <c r="L2951" s="1">
        <v>0.0</v>
      </c>
      <c r="M2951" s="1" t="s">
        <v>4645</v>
      </c>
      <c r="N2951" s="1"/>
      <c r="O2951" s="1" t="s">
        <v>30</v>
      </c>
      <c r="P2951" s="1" t="s">
        <v>31</v>
      </c>
      <c r="Q2951" s="1" t="s">
        <v>95</v>
      </c>
      <c r="R2951" s="1" t="s">
        <v>95</v>
      </c>
      <c r="S2951" s="1" t="s">
        <v>96</v>
      </c>
      <c r="T2951" s="1" t="s">
        <v>97</v>
      </c>
      <c r="U2951" s="1">
        <v>1.0062141E8</v>
      </c>
      <c r="X2951" s="1" t="s">
        <v>117</v>
      </c>
      <c r="Y2951" s="1" t="s">
        <v>1059</v>
      </c>
      <c r="Z2951" s="1" t="s">
        <v>37</v>
      </c>
    </row>
    <row r="2952" hidden="1">
      <c r="A2952" s="1" t="s">
        <v>8872</v>
      </c>
      <c r="B2952" s="1" t="s">
        <v>3489</v>
      </c>
      <c r="C2952" s="1" t="s">
        <v>8873</v>
      </c>
      <c r="D2952" s="1" t="s">
        <v>122</v>
      </c>
      <c r="E2952" s="1" t="s">
        <v>28</v>
      </c>
      <c r="F2952" s="2">
        <v>300000.0</v>
      </c>
      <c r="G2952" s="1" t="s">
        <v>8874</v>
      </c>
      <c r="H2952" s="4">
        <f>IFERROR(__xludf.DUMMYFUNCTION("DATE(INDEX(SPLIT(G2952,""/""),,3),INDEX(SPLIT(G2952,""/""),,2),INDEX(SPLIT(G2952,""/""),,1))"),44375.0)</f>
        <v>44375</v>
      </c>
      <c r="I2952" s="1" t="s">
        <v>109</v>
      </c>
      <c r="J2952" s="4">
        <f>IFERROR(__xludf.DUMMYFUNCTION("DATE(INDEX(SPLIT(I2952,""/""),,3),INDEX(SPLIT(I2952,""/""),,2),INDEX(SPLIT(I2952,""/""),,1))"),44834.0)</f>
        <v>44834</v>
      </c>
      <c r="L2952" s="1">
        <v>0.0</v>
      </c>
      <c r="M2952" s="1" t="s">
        <v>1200</v>
      </c>
      <c r="N2952" s="1"/>
      <c r="O2952" s="1" t="s">
        <v>30</v>
      </c>
      <c r="P2952" s="1" t="s">
        <v>31</v>
      </c>
      <c r="Q2952" s="1" t="s">
        <v>235</v>
      </c>
      <c r="R2952" s="1" t="s">
        <v>235</v>
      </c>
      <c r="S2952" s="1" t="s">
        <v>236</v>
      </c>
      <c r="T2952" s="1" t="s">
        <v>438</v>
      </c>
      <c r="U2952" s="1">
        <v>1.00586959E8</v>
      </c>
      <c r="X2952" s="1" t="s">
        <v>88</v>
      </c>
      <c r="Y2952" s="1" t="s">
        <v>1200</v>
      </c>
      <c r="Z2952" s="1" t="s">
        <v>37</v>
      </c>
    </row>
    <row r="2953">
      <c r="A2953" s="1" t="s">
        <v>8875</v>
      </c>
      <c r="B2953" s="1" t="s">
        <v>605</v>
      </c>
      <c r="C2953" s="1" t="s">
        <v>8876</v>
      </c>
      <c r="D2953" s="1" t="s">
        <v>78</v>
      </c>
      <c r="E2953" s="1" t="s">
        <v>28</v>
      </c>
      <c r="F2953" s="2">
        <v>300000.0</v>
      </c>
      <c r="G2953" s="1" t="s">
        <v>1190</v>
      </c>
      <c r="H2953" s="4">
        <f>IFERROR(__xludf.DUMMYFUNCTION("DATE(INDEX(SPLIT(G2953,""/""),,3),INDEX(SPLIT(G2953,""/""),,2),INDEX(SPLIT(G2953,""/""),,1))"),44397.0)</f>
        <v>44397</v>
      </c>
      <c r="I2953" s="1" t="s">
        <v>69</v>
      </c>
      <c r="J2953" s="4">
        <f>IFERROR(__xludf.DUMMYFUNCTION("DATE(INDEX(SPLIT(I2953,""/""),,3),INDEX(SPLIT(I2953,""/""),,2),INDEX(SPLIT(I2953,""/""),,1))"),44773.0)</f>
        <v>44773</v>
      </c>
      <c r="L2953" s="1">
        <v>0.0</v>
      </c>
      <c r="M2953" s="1" t="s">
        <v>1828</v>
      </c>
      <c r="N2953" s="1"/>
      <c r="O2953" s="1" t="s">
        <v>30</v>
      </c>
      <c r="P2953" s="1" t="s">
        <v>31</v>
      </c>
      <c r="Q2953" s="1" t="s">
        <v>235</v>
      </c>
      <c r="R2953" s="1" t="s">
        <v>235</v>
      </c>
      <c r="S2953" s="1" t="s">
        <v>236</v>
      </c>
      <c r="T2953" s="1" t="s">
        <v>1349</v>
      </c>
      <c r="U2953" s="1">
        <v>1.00593918E8</v>
      </c>
      <c r="X2953" s="1" t="s">
        <v>88</v>
      </c>
      <c r="Y2953" s="1" t="s">
        <v>1350</v>
      </c>
      <c r="Z2953" s="1" t="s">
        <v>37</v>
      </c>
    </row>
    <row r="2954" hidden="1">
      <c r="A2954" s="1" t="s">
        <v>8877</v>
      </c>
      <c r="B2954" s="1" t="s">
        <v>8878</v>
      </c>
      <c r="C2954" s="1" t="s">
        <v>8879</v>
      </c>
      <c r="D2954" s="1" t="s">
        <v>122</v>
      </c>
      <c r="E2954" s="1" t="s">
        <v>28</v>
      </c>
      <c r="F2954" s="2">
        <v>300000.0</v>
      </c>
      <c r="G2954" s="1" t="s">
        <v>343</v>
      </c>
      <c r="H2954" s="4">
        <f>IFERROR(__xludf.DUMMYFUNCTION("DATE(INDEX(SPLIT(G2954,""/""),,3),INDEX(SPLIT(G2954,""/""),,2),INDEX(SPLIT(G2954,""/""),,1))"),44761.0)</f>
        <v>44761</v>
      </c>
      <c r="I2954" s="1" t="s">
        <v>281</v>
      </c>
      <c r="J2954" s="4">
        <f>IFERROR(__xludf.DUMMYFUNCTION("DATE(INDEX(SPLIT(I2954,""/""),,3),INDEX(SPLIT(I2954,""/""),,2),INDEX(SPLIT(I2954,""/""),,1))"),44865.0)</f>
        <v>44865</v>
      </c>
      <c r="L2954" s="1">
        <v>0.0</v>
      </c>
      <c r="M2954" s="1" t="s">
        <v>1373</v>
      </c>
      <c r="N2954" s="1"/>
      <c r="O2954" s="1" t="s">
        <v>30</v>
      </c>
      <c r="P2954" s="1" t="s">
        <v>31</v>
      </c>
      <c r="Q2954" s="1" t="s">
        <v>95</v>
      </c>
      <c r="R2954" s="1" t="s">
        <v>95</v>
      </c>
      <c r="S2954" s="1" t="s">
        <v>96</v>
      </c>
      <c r="U2954" s="1">
        <v>1.00626753E8</v>
      </c>
      <c r="X2954" s="1" t="s">
        <v>63</v>
      </c>
      <c r="Y2954" s="1" t="s">
        <v>4705</v>
      </c>
      <c r="Z2954" s="1" t="s">
        <v>37</v>
      </c>
    </row>
    <row r="2955" hidden="1">
      <c r="A2955" s="1" t="s">
        <v>8880</v>
      </c>
      <c r="B2955" s="1" t="s">
        <v>6001</v>
      </c>
      <c r="C2955" s="1" t="s">
        <v>8881</v>
      </c>
      <c r="D2955" s="1" t="s">
        <v>27</v>
      </c>
      <c r="E2955" s="1" t="s">
        <v>28</v>
      </c>
      <c r="F2955" s="2">
        <v>300000.0</v>
      </c>
      <c r="G2955" s="1" t="s">
        <v>2329</v>
      </c>
      <c r="H2955" s="4">
        <f>IFERROR(__xludf.DUMMYFUNCTION("DATE(INDEX(SPLIT(G2955,""/""),,3),INDEX(SPLIT(G2955,""/""),,2),INDEX(SPLIT(G2955,""/""),,1))"),44732.0)</f>
        <v>44732</v>
      </c>
      <c r="I2955" s="4">
        <v>44689.0</v>
      </c>
      <c r="J2955" s="4">
        <f>IFERROR(__xludf.DUMMYFUNCTION("DATE(INDEX(SPLIT(I2955,""/""),,3),INDEX(SPLIT(I2955,""/""),,2),INDEX(SPLIT(I2955,""/""),,1))"),44778.0)</f>
        <v>44778</v>
      </c>
      <c r="L2955" s="1">
        <v>0.0</v>
      </c>
      <c r="M2955" s="1" t="s">
        <v>6003</v>
      </c>
      <c r="N2955" s="1"/>
      <c r="O2955" s="1" t="s">
        <v>30</v>
      </c>
      <c r="P2955" s="1" t="s">
        <v>31</v>
      </c>
      <c r="Q2955" s="1" t="s">
        <v>235</v>
      </c>
      <c r="R2955" s="1" t="s">
        <v>235</v>
      </c>
      <c r="S2955" s="1" t="s">
        <v>236</v>
      </c>
      <c r="T2955" s="1" t="s">
        <v>753</v>
      </c>
      <c r="U2955" s="1">
        <v>1.00623535E8</v>
      </c>
      <c r="X2955" s="1" t="s">
        <v>88</v>
      </c>
      <c r="Y2955" s="1" t="s">
        <v>6003</v>
      </c>
      <c r="Z2955" s="1" t="s">
        <v>37</v>
      </c>
    </row>
    <row r="2956" hidden="1">
      <c r="A2956" s="1" t="s">
        <v>8882</v>
      </c>
      <c r="B2956" s="1" t="s">
        <v>2131</v>
      </c>
      <c r="C2956" s="1" t="s">
        <v>8883</v>
      </c>
      <c r="D2956" s="1" t="s">
        <v>78</v>
      </c>
      <c r="E2956" s="1" t="s">
        <v>28</v>
      </c>
      <c r="F2956" s="2">
        <v>300000.0</v>
      </c>
      <c r="G2956" s="4">
        <v>44716.0</v>
      </c>
      <c r="H2956" s="4">
        <f>IFERROR(__xludf.DUMMYFUNCTION("DATE(INDEX(SPLIT(G2956,""/""),,3),INDEX(SPLIT(G2956,""/""),,2),INDEX(SPLIT(G2956,""/""),,1))"),44657.0)</f>
        <v>44657</v>
      </c>
      <c r="I2956" s="1" t="s">
        <v>109</v>
      </c>
      <c r="J2956" s="4">
        <f>IFERROR(__xludf.DUMMYFUNCTION("DATE(INDEX(SPLIT(I2956,""/""),,3),INDEX(SPLIT(I2956,""/""),,2),INDEX(SPLIT(I2956,""/""),,1))"),44834.0)</f>
        <v>44834</v>
      </c>
      <c r="L2956" s="1">
        <v>0.0</v>
      </c>
      <c r="M2956" s="1" t="s">
        <v>2371</v>
      </c>
      <c r="N2956" s="1"/>
      <c r="O2956" s="1" t="s">
        <v>30</v>
      </c>
      <c r="P2956" s="1" t="s">
        <v>31</v>
      </c>
      <c r="Q2956" s="1" t="s">
        <v>53</v>
      </c>
      <c r="R2956" s="1" t="s">
        <v>53</v>
      </c>
      <c r="S2956" s="1" t="s">
        <v>54</v>
      </c>
      <c r="U2956" s="1">
        <v>1.00649936E8</v>
      </c>
      <c r="X2956" s="1" t="s">
        <v>239</v>
      </c>
      <c r="Y2956" s="1" t="s">
        <v>3994</v>
      </c>
      <c r="Z2956" s="1" t="s">
        <v>37</v>
      </c>
    </row>
    <row r="2957" hidden="1">
      <c r="A2957" s="1" t="s">
        <v>8884</v>
      </c>
      <c r="B2957" s="1" t="s">
        <v>1081</v>
      </c>
      <c r="C2957" s="1" t="s">
        <v>8885</v>
      </c>
      <c r="D2957" s="1" t="s">
        <v>27</v>
      </c>
      <c r="E2957" s="1" t="s">
        <v>28</v>
      </c>
      <c r="F2957" s="2">
        <v>300000.0</v>
      </c>
      <c r="G2957" s="1" t="s">
        <v>6537</v>
      </c>
      <c r="H2957" s="4">
        <f>IFERROR(__xludf.DUMMYFUNCTION("DATE(INDEX(SPLIT(G2957,""/""),,3),INDEX(SPLIT(G2957,""/""),,2),INDEX(SPLIT(G2957,""/""),,1))"),44097.0)</f>
        <v>44097</v>
      </c>
      <c r="I2957" s="4">
        <v>44630.0</v>
      </c>
      <c r="J2957" s="4">
        <f>IFERROR(__xludf.DUMMYFUNCTION("DATE(INDEX(SPLIT(I2957,""/""),,3),INDEX(SPLIT(I2957,""/""),,2),INDEX(SPLIT(I2957,""/""),,1))"),44837.0)</f>
        <v>44837</v>
      </c>
      <c r="L2957" s="1">
        <v>0.0</v>
      </c>
      <c r="M2957" s="1" t="s">
        <v>620</v>
      </c>
      <c r="N2957" s="1"/>
      <c r="O2957" s="1" t="s">
        <v>30</v>
      </c>
      <c r="P2957" s="1" t="s">
        <v>31</v>
      </c>
      <c r="Q2957" s="1" t="s">
        <v>32</v>
      </c>
      <c r="R2957" s="1" t="s">
        <v>32</v>
      </c>
      <c r="S2957" s="1" t="s">
        <v>33</v>
      </c>
      <c r="T2957" s="1" t="s">
        <v>34</v>
      </c>
      <c r="U2957" s="1">
        <v>1.00609607E8</v>
      </c>
      <c r="X2957" s="1" t="s">
        <v>81</v>
      </c>
      <c r="Y2957" s="1" t="s">
        <v>1925</v>
      </c>
      <c r="Z2957" s="1" t="s">
        <v>37</v>
      </c>
    </row>
    <row r="2958" hidden="1">
      <c r="A2958" s="1" t="s">
        <v>8886</v>
      </c>
      <c r="B2958" s="1" t="s">
        <v>1492</v>
      </c>
      <c r="C2958" s="1" t="s">
        <v>8887</v>
      </c>
      <c r="D2958" s="1" t="s">
        <v>78</v>
      </c>
      <c r="E2958" s="1" t="s">
        <v>28</v>
      </c>
      <c r="F2958" s="2">
        <v>300000.0</v>
      </c>
      <c r="G2958" s="1" t="s">
        <v>8888</v>
      </c>
      <c r="H2958" s="4">
        <f>IFERROR(__xludf.DUMMYFUNCTION("DATE(INDEX(SPLIT(G2958,""/""),,3),INDEX(SPLIT(G2958,""/""),,2),INDEX(SPLIT(G2958,""/""),,1))"),43916.0)</f>
        <v>43916</v>
      </c>
      <c r="I2958" s="4">
        <v>44571.0</v>
      </c>
      <c r="J2958" s="4">
        <f>IFERROR(__xludf.DUMMYFUNCTION("DATE(INDEX(SPLIT(I2958,""/""),,3),INDEX(SPLIT(I2958,""/""),,2),INDEX(SPLIT(I2958,""/""),,1))"),44835.0)</f>
        <v>44835</v>
      </c>
      <c r="L2958" s="1">
        <v>0.0</v>
      </c>
      <c r="M2958" s="1" t="s">
        <v>730</v>
      </c>
      <c r="N2958" s="1"/>
      <c r="O2958" s="1" t="s">
        <v>30</v>
      </c>
      <c r="P2958" s="1" t="s">
        <v>31</v>
      </c>
      <c r="Q2958" s="1" t="s">
        <v>95</v>
      </c>
      <c r="R2958" s="1" t="s">
        <v>95</v>
      </c>
      <c r="S2958" s="1" t="s">
        <v>96</v>
      </c>
      <c r="T2958" s="1" t="s">
        <v>62</v>
      </c>
      <c r="U2958" s="1">
        <v>1.00629293E8</v>
      </c>
      <c r="X2958" s="1" t="s">
        <v>81</v>
      </c>
      <c r="Y2958" s="1" t="s">
        <v>104</v>
      </c>
      <c r="Z2958" s="1" t="s">
        <v>37</v>
      </c>
    </row>
    <row r="2959" hidden="1">
      <c r="A2959" s="1" t="s">
        <v>8889</v>
      </c>
      <c r="B2959" s="1" t="s">
        <v>4929</v>
      </c>
      <c r="C2959" s="1" t="s">
        <v>8890</v>
      </c>
      <c r="D2959" s="1" t="s">
        <v>27</v>
      </c>
      <c r="E2959" s="1" t="s">
        <v>28</v>
      </c>
      <c r="F2959" s="2">
        <v>300000.0</v>
      </c>
      <c r="G2959" s="1" t="s">
        <v>2629</v>
      </c>
      <c r="H2959" s="4">
        <f>IFERROR(__xludf.DUMMYFUNCTION("DATE(INDEX(SPLIT(G2959,""/""),,3),INDEX(SPLIT(G2959,""/""),,2),INDEX(SPLIT(G2959,""/""),,1))"),44651.0)</f>
        <v>44651</v>
      </c>
      <c r="I2959" s="1" t="s">
        <v>130</v>
      </c>
      <c r="J2959" s="4">
        <f>IFERROR(__xludf.DUMMYFUNCTION("DATE(INDEX(SPLIT(I2959,""/""),,3),INDEX(SPLIT(I2959,""/""),,2),INDEX(SPLIT(I2959,""/""),,1))"),44804.0)</f>
        <v>44804</v>
      </c>
      <c r="L2959" s="1">
        <v>0.0</v>
      </c>
      <c r="M2959" s="1" t="s">
        <v>1723</v>
      </c>
      <c r="N2959" s="1"/>
      <c r="O2959" s="1" t="s">
        <v>30</v>
      </c>
      <c r="P2959" s="1" t="s">
        <v>31</v>
      </c>
      <c r="Q2959" s="1" t="s">
        <v>157</v>
      </c>
      <c r="R2959" s="1" t="s">
        <v>157</v>
      </c>
      <c r="S2959" s="1" t="s">
        <v>158</v>
      </c>
      <c r="U2959" s="1">
        <v>1.00654085E8</v>
      </c>
      <c r="X2959" s="1" t="s">
        <v>63</v>
      </c>
      <c r="Y2959" s="1" t="s">
        <v>6503</v>
      </c>
      <c r="Z2959" s="1" t="s">
        <v>37</v>
      </c>
    </row>
    <row r="2960" hidden="1">
      <c r="A2960" s="1" t="s">
        <v>8891</v>
      </c>
      <c r="B2960" s="1" t="s">
        <v>5454</v>
      </c>
      <c r="C2960" s="1" t="s">
        <v>8892</v>
      </c>
      <c r="D2960" s="1" t="s">
        <v>122</v>
      </c>
      <c r="E2960" s="1" t="s">
        <v>28</v>
      </c>
      <c r="F2960" s="2">
        <v>300000.0</v>
      </c>
      <c r="G2960" s="1" t="s">
        <v>2455</v>
      </c>
      <c r="H2960" s="4">
        <f>IFERROR(__xludf.DUMMYFUNCTION("DATE(INDEX(SPLIT(G2960,""/""),,3),INDEX(SPLIT(G2960,""/""),,2),INDEX(SPLIT(G2960,""/""),,1))"),44606.0)</f>
        <v>44606</v>
      </c>
      <c r="I2960" s="4">
        <v>44813.0</v>
      </c>
      <c r="J2960" s="4">
        <f>IFERROR(__xludf.DUMMYFUNCTION("DATE(INDEX(SPLIT(I2960,""/""),,3),INDEX(SPLIT(I2960,""/""),,2),INDEX(SPLIT(I2960,""/""),,1))"),44813.0)</f>
        <v>44813</v>
      </c>
      <c r="L2960" s="1">
        <v>0.0</v>
      </c>
      <c r="M2960" s="1" t="s">
        <v>1723</v>
      </c>
      <c r="N2960" s="1"/>
      <c r="O2960" s="1" t="s">
        <v>30</v>
      </c>
      <c r="P2960" s="1" t="s">
        <v>31</v>
      </c>
      <c r="Q2960" s="1" t="s">
        <v>157</v>
      </c>
      <c r="R2960" s="1" t="s">
        <v>157</v>
      </c>
      <c r="S2960" s="1" t="s">
        <v>158</v>
      </c>
      <c r="T2960" s="1" t="s">
        <v>159</v>
      </c>
      <c r="U2960" s="1">
        <v>1.00654085E8</v>
      </c>
      <c r="X2960" s="1" t="s">
        <v>74</v>
      </c>
      <c r="Y2960" s="1" t="s">
        <v>1723</v>
      </c>
      <c r="Z2960" s="1" t="s">
        <v>37</v>
      </c>
    </row>
    <row r="2961" hidden="1">
      <c r="A2961" s="1" t="s">
        <v>8893</v>
      </c>
      <c r="B2961" s="1" t="s">
        <v>8894</v>
      </c>
      <c r="C2961" s="1" t="s">
        <v>8895</v>
      </c>
      <c r="D2961" s="1" t="s">
        <v>122</v>
      </c>
      <c r="E2961" s="1" t="s">
        <v>28</v>
      </c>
      <c r="F2961" s="2">
        <v>300000.0</v>
      </c>
      <c r="G2961" s="4">
        <v>44566.0</v>
      </c>
      <c r="H2961" s="4">
        <f>IFERROR(__xludf.DUMMYFUNCTION("DATE(INDEX(SPLIT(G2961,""/""),,3),INDEX(SPLIT(G2961,""/""),,2),INDEX(SPLIT(G2961,""/""),,1))"),44682.0)</f>
        <v>44682</v>
      </c>
      <c r="I2961" s="1" t="s">
        <v>130</v>
      </c>
      <c r="J2961" s="4">
        <f>IFERROR(__xludf.DUMMYFUNCTION("DATE(INDEX(SPLIT(I2961,""/""),,3),INDEX(SPLIT(I2961,""/""),,2),INDEX(SPLIT(I2961,""/""),,1))"),44804.0)</f>
        <v>44804</v>
      </c>
      <c r="L2961" s="1">
        <v>0.0</v>
      </c>
      <c r="M2961" s="1" t="s">
        <v>4282</v>
      </c>
      <c r="N2961" s="1"/>
      <c r="O2961" s="1" t="s">
        <v>30</v>
      </c>
      <c r="P2961" s="1" t="s">
        <v>31</v>
      </c>
      <c r="Q2961" s="1" t="s">
        <v>53</v>
      </c>
      <c r="R2961" s="1" t="s">
        <v>53</v>
      </c>
      <c r="S2961" s="1" t="s">
        <v>54</v>
      </c>
      <c r="T2961" s="1" t="s">
        <v>55</v>
      </c>
      <c r="U2961" s="1">
        <v>1.01238292E8</v>
      </c>
      <c r="X2961" s="1" t="s">
        <v>125</v>
      </c>
      <c r="Y2961" s="1" t="s">
        <v>4282</v>
      </c>
      <c r="Z2961" s="1" t="s">
        <v>37</v>
      </c>
    </row>
    <row r="2962" hidden="1">
      <c r="A2962" s="1" t="s">
        <v>8896</v>
      </c>
      <c r="B2962" s="1" t="s">
        <v>434</v>
      </c>
      <c r="C2962" s="1" t="s">
        <v>6062</v>
      </c>
      <c r="D2962" s="1" t="s">
        <v>27</v>
      </c>
      <c r="E2962" s="1" t="s">
        <v>28</v>
      </c>
      <c r="F2962" s="2">
        <v>300000.0</v>
      </c>
      <c r="G2962" s="1" t="s">
        <v>3178</v>
      </c>
      <c r="H2962" s="4">
        <f>IFERROR(__xludf.DUMMYFUNCTION("DATE(INDEX(SPLIT(G2962,""/""),,3),INDEX(SPLIT(G2962,""/""),,2),INDEX(SPLIT(G2962,""/""),,1))"),44644.0)</f>
        <v>44644</v>
      </c>
      <c r="I2962" s="1" t="s">
        <v>109</v>
      </c>
      <c r="J2962" s="4">
        <f>IFERROR(__xludf.DUMMYFUNCTION("DATE(INDEX(SPLIT(I2962,""/""),,3),INDEX(SPLIT(I2962,""/""),,2),INDEX(SPLIT(I2962,""/""),,1))"),44834.0)</f>
        <v>44834</v>
      </c>
      <c r="L2962" s="1">
        <v>0.0</v>
      </c>
      <c r="M2962" s="1" t="s">
        <v>1814</v>
      </c>
      <c r="N2962" s="1"/>
      <c r="O2962" s="1" t="s">
        <v>30</v>
      </c>
      <c r="P2962" s="1" t="s">
        <v>31</v>
      </c>
      <c r="Q2962" s="1" t="s">
        <v>95</v>
      </c>
      <c r="R2962" s="1" t="s">
        <v>95</v>
      </c>
      <c r="S2962" s="1" t="s">
        <v>96</v>
      </c>
      <c r="T2962" s="1" t="s">
        <v>602</v>
      </c>
      <c r="U2962" s="1">
        <v>1.00597983E8</v>
      </c>
      <c r="X2962" s="1" t="s">
        <v>88</v>
      </c>
      <c r="Y2962" s="1" t="s">
        <v>2133</v>
      </c>
      <c r="Z2962" s="1" t="s">
        <v>206</v>
      </c>
    </row>
    <row r="2963" hidden="1">
      <c r="A2963" s="1" t="s">
        <v>8897</v>
      </c>
      <c r="B2963" s="1" t="s">
        <v>2265</v>
      </c>
      <c r="C2963" s="1" t="s">
        <v>8898</v>
      </c>
      <c r="D2963" s="1" t="s">
        <v>78</v>
      </c>
      <c r="E2963" s="1" t="s">
        <v>28</v>
      </c>
      <c r="F2963" s="2">
        <v>300000.0</v>
      </c>
      <c r="G2963" s="1" t="s">
        <v>1767</v>
      </c>
      <c r="H2963" s="4">
        <f>IFERROR(__xludf.DUMMYFUNCTION("DATE(INDEX(SPLIT(G2963,""/""),,3),INDEX(SPLIT(G2963,""/""),,2),INDEX(SPLIT(G2963,""/""),,1))"),44698.0)</f>
        <v>44698</v>
      </c>
      <c r="I2963" s="1" t="s">
        <v>130</v>
      </c>
      <c r="J2963" s="4">
        <f>IFERROR(__xludf.DUMMYFUNCTION("DATE(INDEX(SPLIT(I2963,""/""),,3),INDEX(SPLIT(I2963,""/""),,2),INDEX(SPLIT(I2963,""/""),,1))"),44804.0)</f>
        <v>44804</v>
      </c>
      <c r="L2963" s="1">
        <v>0.0</v>
      </c>
      <c r="M2963" s="1" t="s">
        <v>6175</v>
      </c>
      <c r="N2963" s="1"/>
      <c r="O2963" s="1" t="s">
        <v>30</v>
      </c>
      <c r="P2963" s="1" t="s">
        <v>31</v>
      </c>
      <c r="Q2963" s="1" t="s">
        <v>235</v>
      </c>
      <c r="R2963" s="1" t="s">
        <v>235</v>
      </c>
      <c r="S2963" s="1" t="s">
        <v>236</v>
      </c>
      <c r="U2963" s="1">
        <v>1.00624257E8</v>
      </c>
      <c r="X2963" s="1" t="s">
        <v>239</v>
      </c>
      <c r="Y2963" s="1" t="s">
        <v>6175</v>
      </c>
      <c r="Z2963" s="1" t="s">
        <v>37</v>
      </c>
    </row>
    <row r="2964" hidden="1">
      <c r="A2964" s="1" t="s">
        <v>8899</v>
      </c>
      <c r="B2964" s="1" t="s">
        <v>8900</v>
      </c>
      <c r="C2964" s="1" t="s">
        <v>8901</v>
      </c>
      <c r="D2964" s="1" t="s">
        <v>78</v>
      </c>
      <c r="E2964" s="1" t="s">
        <v>28</v>
      </c>
      <c r="F2964" s="2">
        <v>300000.0</v>
      </c>
      <c r="G2964" s="4">
        <v>43864.0</v>
      </c>
      <c r="H2964" s="4">
        <f>IFERROR(__xludf.DUMMYFUNCTION("DATE(INDEX(SPLIT(G2964,""/""),,3),INDEX(SPLIT(G2964,""/""),,2),INDEX(SPLIT(G2964,""/""),,1))"),43892.0)</f>
        <v>43892</v>
      </c>
      <c r="I2964" s="1" t="s">
        <v>1097</v>
      </c>
      <c r="J2964" s="4">
        <f>IFERROR(__xludf.DUMMYFUNCTION("DATE(INDEX(SPLIT(I2964,""/""),,3),INDEX(SPLIT(I2964,""/""),,2),INDEX(SPLIT(I2964,""/""),,1))"),45107.0)</f>
        <v>45107</v>
      </c>
      <c r="L2964" s="1">
        <v>0.0</v>
      </c>
      <c r="M2964" s="1" t="s">
        <v>2592</v>
      </c>
      <c r="N2964" s="1"/>
      <c r="O2964" s="1" t="s">
        <v>30</v>
      </c>
      <c r="P2964" s="1" t="s">
        <v>31</v>
      </c>
      <c r="Q2964" s="1" t="s">
        <v>71</v>
      </c>
      <c r="R2964" s="1" t="s">
        <v>71</v>
      </c>
      <c r="S2964" s="1" t="s">
        <v>72</v>
      </c>
      <c r="T2964" s="1" t="s">
        <v>136</v>
      </c>
      <c r="U2964" s="1">
        <v>1.00586452E8</v>
      </c>
      <c r="X2964" s="1" t="s">
        <v>74</v>
      </c>
      <c r="Y2964" s="1" t="s">
        <v>2593</v>
      </c>
      <c r="Z2964" s="1" t="s">
        <v>37</v>
      </c>
    </row>
    <row r="2965">
      <c r="A2965" s="1" t="s">
        <v>8902</v>
      </c>
      <c r="B2965" s="1" t="s">
        <v>8903</v>
      </c>
      <c r="C2965" s="1" t="s">
        <v>8904</v>
      </c>
      <c r="D2965" s="1" t="s">
        <v>78</v>
      </c>
      <c r="E2965" s="1" t="s">
        <v>28</v>
      </c>
      <c r="F2965" s="2">
        <v>300000.0</v>
      </c>
      <c r="G2965" s="4">
        <v>44626.0</v>
      </c>
      <c r="H2965" s="4">
        <f>IFERROR(__xludf.DUMMYFUNCTION("DATE(INDEX(SPLIT(G2965,""/""),,3),INDEX(SPLIT(G2965,""/""),,2),INDEX(SPLIT(G2965,""/""),,1))"),44715.0)</f>
        <v>44715</v>
      </c>
      <c r="I2965" s="4">
        <v>44780.0</v>
      </c>
      <c r="J2965" s="4">
        <f>IFERROR(__xludf.DUMMYFUNCTION("DATE(INDEX(SPLIT(I2965,""/""),,3),INDEX(SPLIT(I2965,""/""),,2),INDEX(SPLIT(I2965,""/""),,1))"),44750.0)</f>
        <v>44750</v>
      </c>
      <c r="L2965" s="1">
        <v>0.0</v>
      </c>
      <c r="M2965" s="1" t="s">
        <v>1166</v>
      </c>
      <c r="N2965" s="1"/>
      <c r="O2965" s="1" t="s">
        <v>30</v>
      </c>
      <c r="P2965" s="1" t="s">
        <v>31</v>
      </c>
      <c r="Q2965" s="1" t="s">
        <v>235</v>
      </c>
      <c r="R2965" s="1" t="s">
        <v>235</v>
      </c>
      <c r="S2965" s="1" t="s">
        <v>236</v>
      </c>
      <c r="T2965" s="1" t="s">
        <v>237</v>
      </c>
      <c r="U2965" s="1">
        <v>1.0065102E8</v>
      </c>
      <c r="X2965" s="1" t="s">
        <v>239</v>
      </c>
      <c r="Y2965" s="1" t="s">
        <v>8905</v>
      </c>
      <c r="Z2965" s="1" t="s">
        <v>37</v>
      </c>
    </row>
    <row r="2966" hidden="1">
      <c r="A2966" s="1" t="s">
        <v>8906</v>
      </c>
      <c r="B2966" s="1" t="s">
        <v>337</v>
      </c>
      <c r="C2966" s="1" t="s">
        <v>8907</v>
      </c>
      <c r="D2966" s="1" t="s">
        <v>78</v>
      </c>
      <c r="E2966" s="1" t="s">
        <v>28</v>
      </c>
      <c r="F2966" s="2">
        <v>300000.0</v>
      </c>
      <c r="G2966" s="1" t="s">
        <v>8908</v>
      </c>
      <c r="H2966" s="4">
        <f>IFERROR(__xludf.DUMMYFUNCTION("DATE(INDEX(SPLIT(G2966,""/""),,3),INDEX(SPLIT(G2966,""/""),,2),INDEX(SPLIT(G2966,""/""),,1))"),44249.0)</f>
        <v>44249</v>
      </c>
      <c r="I2966" s="1" t="s">
        <v>130</v>
      </c>
      <c r="J2966" s="4">
        <f>IFERROR(__xludf.DUMMYFUNCTION("DATE(INDEX(SPLIT(I2966,""/""),,3),INDEX(SPLIT(I2966,""/""),,2),INDEX(SPLIT(I2966,""/""),,1))"),44804.0)</f>
        <v>44804</v>
      </c>
      <c r="L2966" s="1">
        <v>0.0</v>
      </c>
      <c r="M2966" s="1" t="s">
        <v>2371</v>
      </c>
      <c r="N2966" s="1"/>
      <c r="O2966" s="1" t="s">
        <v>30</v>
      </c>
      <c r="P2966" s="1" t="s">
        <v>31</v>
      </c>
      <c r="Q2966" s="1" t="s">
        <v>53</v>
      </c>
      <c r="R2966" s="1" t="s">
        <v>53</v>
      </c>
      <c r="S2966" s="1" t="s">
        <v>54</v>
      </c>
      <c r="T2966" s="1" t="s">
        <v>2372</v>
      </c>
      <c r="U2966" s="1">
        <v>1.00649936E8</v>
      </c>
      <c r="X2966" s="1" t="s">
        <v>239</v>
      </c>
      <c r="Y2966" s="1" t="s">
        <v>2977</v>
      </c>
      <c r="Z2966" s="1" t="s">
        <v>37</v>
      </c>
    </row>
    <row r="2967">
      <c r="A2967" s="1" t="s">
        <v>8909</v>
      </c>
      <c r="B2967" s="1" t="s">
        <v>8910</v>
      </c>
      <c r="C2967" s="1" t="s">
        <v>8911</v>
      </c>
      <c r="D2967" s="1" t="s">
        <v>27</v>
      </c>
      <c r="E2967" s="1" t="s">
        <v>28</v>
      </c>
      <c r="F2967" s="2">
        <v>300000.0</v>
      </c>
      <c r="G2967" s="1" t="s">
        <v>1004</v>
      </c>
      <c r="H2967" s="4">
        <f>IFERROR(__xludf.DUMMYFUNCTION("DATE(INDEX(SPLIT(G2967,""/""),,3),INDEX(SPLIT(G2967,""/""),,2),INDEX(SPLIT(G2967,""/""),,1))"),44582.0)</f>
        <v>44582</v>
      </c>
      <c r="I2967" s="1" t="s">
        <v>1244</v>
      </c>
      <c r="J2967" s="4">
        <f>IFERROR(__xludf.DUMMYFUNCTION("DATE(INDEX(SPLIT(I2967,""/""),,3),INDEX(SPLIT(I2967,""/""),,2),INDEX(SPLIT(I2967,""/""),,1))"),44742.0)</f>
        <v>44742</v>
      </c>
      <c r="L2967" s="1">
        <v>0.0</v>
      </c>
      <c r="M2967" s="1" t="s">
        <v>868</v>
      </c>
      <c r="N2967" s="1"/>
      <c r="O2967" s="1" t="s">
        <v>30</v>
      </c>
      <c r="P2967" s="1" t="s">
        <v>31</v>
      </c>
      <c r="Q2967" s="1" t="s">
        <v>157</v>
      </c>
      <c r="R2967" s="1" t="s">
        <v>157</v>
      </c>
      <c r="S2967" s="1" t="s">
        <v>158</v>
      </c>
      <c r="T2967" s="1" t="s">
        <v>8075</v>
      </c>
      <c r="U2967" s="1">
        <v>1.00655091E8</v>
      </c>
      <c r="X2967" s="1" t="s">
        <v>125</v>
      </c>
      <c r="Y2967" s="1" t="s">
        <v>6623</v>
      </c>
      <c r="Z2967" s="1" t="s">
        <v>37</v>
      </c>
    </row>
    <row r="2968" hidden="1">
      <c r="A2968" s="1" t="s">
        <v>8912</v>
      </c>
      <c r="B2968" s="1" t="s">
        <v>8913</v>
      </c>
      <c r="C2968" s="1" t="s">
        <v>8914</v>
      </c>
      <c r="D2968" s="1" t="s">
        <v>27</v>
      </c>
      <c r="E2968" s="1" t="s">
        <v>28</v>
      </c>
      <c r="F2968" s="2">
        <v>300000.0</v>
      </c>
      <c r="G2968" s="4">
        <v>44716.0</v>
      </c>
      <c r="H2968" s="4">
        <f>IFERROR(__xludf.DUMMYFUNCTION("DATE(INDEX(SPLIT(G2968,""/""),,3),INDEX(SPLIT(G2968,""/""),,2),INDEX(SPLIT(G2968,""/""),,1))"),44657.0)</f>
        <v>44657</v>
      </c>
      <c r="I2968" s="4">
        <v>44571.0</v>
      </c>
      <c r="J2968" s="4">
        <f>IFERROR(__xludf.DUMMYFUNCTION("DATE(INDEX(SPLIT(I2968,""/""),,3),INDEX(SPLIT(I2968,""/""),,2),INDEX(SPLIT(I2968,""/""),,1))"),44835.0)</f>
        <v>44835</v>
      </c>
      <c r="L2968" s="1">
        <v>0.0</v>
      </c>
      <c r="M2968" s="1" t="s">
        <v>6565</v>
      </c>
      <c r="N2968" s="1"/>
      <c r="O2968" s="1" t="s">
        <v>30</v>
      </c>
      <c r="P2968" s="1" t="s">
        <v>31</v>
      </c>
      <c r="Q2968" s="1" t="s">
        <v>157</v>
      </c>
      <c r="R2968" s="1" t="s">
        <v>157</v>
      </c>
      <c r="S2968" s="1" t="s">
        <v>158</v>
      </c>
      <c r="U2968" s="1">
        <v>1.01148201E8</v>
      </c>
      <c r="X2968" s="1" t="s">
        <v>46</v>
      </c>
      <c r="Y2968" s="1" t="s">
        <v>6565</v>
      </c>
      <c r="Z2968" s="1" t="s">
        <v>527</v>
      </c>
    </row>
    <row r="2969" hidden="1">
      <c r="A2969" s="1" t="s">
        <v>8915</v>
      </c>
      <c r="B2969" s="1" t="s">
        <v>39</v>
      </c>
      <c r="C2969" s="1" t="s">
        <v>8916</v>
      </c>
      <c r="D2969" s="1" t="s">
        <v>27</v>
      </c>
      <c r="E2969" s="1" t="s">
        <v>28</v>
      </c>
      <c r="F2969" s="2">
        <v>300000.0</v>
      </c>
      <c r="G2969" s="1" t="s">
        <v>2329</v>
      </c>
      <c r="H2969" s="4">
        <f>IFERROR(__xludf.DUMMYFUNCTION("DATE(INDEX(SPLIT(G2969,""/""),,3),INDEX(SPLIT(G2969,""/""),,2),INDEX(SPLIT(G2969,""/""),,1))"),44732.0)</f>
        <v>44732</v>
      </c>
      <c r="I2969" s="1" t="s">
        <v>109</v>
      </c>
      <c r="J2969" s="4">
        <f>IFERROR(__xludf.DUMMYFUNCTION("DATE(INDEX(SPLIT(I2969,""/""),,3),INDEX(SPLIT(I2969,""/""),,2),INDEX(SPLIT(I2969,""/""),,1))"),44834.0)</f>
        <v>44834</v>
      </c>
      <c r="L2969" s="1">
        <v>0.0</v>
      </c>
      <c r="M2969" s="1" t="s">
        <v>43</v>
      </c>
      <c r="N2969" s="1"/>
      <c r="O2969" s="1" t="s">
        <v>30</v>
      </c>
      <c r="P2969" s="1" t="s">
        <v>31</v>
      </c>
      <c r="Q2969" s="1" t="s">
        <v>32</v>
      </c>
      <c r="R2969" s="1" t="s">
        <v>32</v>
      </c>
      <c r="S2969" s="1" t="s">
        <v>33</v>
      </c>
      <c r="T2969" s="1" t="s">
        <v>103</v>
      </c>
      <c r="U2969" s="1">
        <v>1.00587944E8</v>
      </c>
      <c r="X2969" s="1" t="s">
        <v>46</v>
      </c>
      <c r="Y2969" s="1" t="s">
        <v>104</v>
      </c>
      <c r="Z2969" s="1" t="s">
        <v>37</v>
      </c>
    </row>
    <row r="2970">
      <c r="A2970" s="1" t="s">
        <v>8917</v>
      </c>
      <c r="B2970" s="1" t="s">
        <v>223</v>
      </c>
      <c r="C2970" s="1" t="s">
        <v>8918</v>
      </c>
      <c r="D2970" s="1" t="s">
        <v>78</v>
      </c>
      <c r="E2970" s="1" t="s">
        <v>28</v>
      </c>
      <c r="F2970" s="2">
        <v>300000.0</v>
      </c>
      <c r="G2970" s="1" t="s">
        <v>2064</v>
      </c>
      <c r="H2970" s="4">
        <f>IFERROR(__xludf.DUMMYFUNCTION("DATE(INDEX(SPLIT(G2970,""/""),,3),INDEX(SPLIT(G2970,""/""),,2),INDEX(SPLIT(G2970,""/""),,1))"),44616.0)</f>
        <v>44616</v>
      </c>
      <c r="I2970" s="4">
        <v>44568.0</v>
      </c>
      <c r="J2970" s="4">
        <f>IFERROR(__xludf.DUMMYFUNCTION("DATE(INDEX(SPLIT(I2970,""/""),,3),INDEX(SPLIT(I2970,""/""),,2),INDEX(SPLIT(I2970,""/""),,1))"),44743.0)</f>
        <v>44743</v>
      </c>
      <c r="L2970" s="1">
        <v>0.0</v>
      </c>
      <c r="M2970" s="1" t="s">
        <v>1685</v>
      </c>
      <c r="N2970" s="1"/>
      <c r="O2970" s="1" t="s">
        <v>30</v>
      </c>
      <c r="P2970" s="1" t="s">
        <v>31</v>
      </c>
      <c r="Q2970" s="1" t="s">
        <v>228</v>
      </c>
      <c r="R2970" s="1" t="s">
        <v>228</v>
      </c>
      <c r="S2970" s="1" t="s">
        <v>229</v>
      </c>
      <c r="T2970" s="1" t="s">
        <v>505</v>
      </c>
      <c r="U2970" s="1">
        <v>1.00612055E8</v>
      </c>
      <c r="X2970" s="1" t="s">
        <v>81</v>
      </c>
      <c r="Y2970" s="1" t="s">
        <v>8919</v>
      </c>
      <c r="Z2970" s="1" t="s">
        <v>37</v>
      </c>
    </row>
    <row r="2971" hidden="1">
      <c r="A2971" s="1" t="s">
        <v>8920</v>
      </c>
      <c r="B2971" s="1" t="s">
        <v>2884</v>
      </c>
      <c r="C2971" s="1" t="s">
        <v>8921</v>
      </c>
      <c r="D2971" s="1" t="s">
        <v>27</v>
      </c>
      <c r="E2971" s="1" t="s">
        <v>28</v>
      </c>
      <c r="F2971" s="2">
        <v>300000.0</v>
      </c>
      <c r="G2971" s="4">
        <v>44083.0</v>
      </c>
      <c r="H2971" s="4">
        <f>IFERROR(__xludf.DUMMYFUNCTION("DATE(INDEX(SPLIT(G2971,""/""),,3),INDEX(SPLIT(G2971,""/""),,2),INDEX(SPLIT(G2971,""/""),,1))"),44083.0)</f>
        <v>44083</v>
      </c>
      <c r="I2971" s="4">
        <v>44601.0</v>
      </c>
      <c r="J2971" s="4">
        <f>IFERROR(__xludf.DUMMYFUNCTION("DATE(INDEX(SPLIT(I2971,""/""),,3),INDEX(SPLIT(I2971,""/""),,2),INDEX(SPLIT(I2971,""/""),,1))"),44806.0)</f>
        <v>44806</v>
      </c>
      <c r="L2971" s="1">
        <v>0.0</v>
      </c>
      <c r="M2971" s="1" t="s">
        <v>1027</v>
      </c>
      <c r="N2971" s="1"/>
      <c r="O2971" s="1" t="s">
        <v>30</v>
      </c>
      <c r="P2971" s="1" t="s">
        <v>31</v>
      </c>
      <c r="Q2971" s="1" t="s">
        <v>53</v>
      </c>
      <c r="R2971" s="1" t="s">
        <v>53</v>
      </c>
      <c r="S2971" s="1" t="s">
        <v>54</v>
      </c>
      <c r="T2971" s="1" t="s">
        <v>181</v>
      </c>
      <c r="U2971" s="1">
        <v>1.00879751E8</v>
      </c>
      <c r="X2971" s="1" t="s">
        <v>74</v>
      </c>
      <c r="Y2971" s="1" t="s">
        <v>3653</v>
      </c>
      <c r="Z2971" s="1" t="s">
        <v>37</v>
      </c>
    </row>
    <row r="2972">
      <c r="A2972" s="1" t="s">
        <v>8922</v>
      </c>
      <c r="B2972" s="1" t="s">
        <v>6711</v>
      </c>
      <c r="C2972" s="1" t="s">
        <v>8923</v>
      </c>
      <c r="D2972" s="1" t="s">
        <v>27</v>
      </c>
      <c r="E2972" s="1" t="s">
        <v>28</v>
      </c>
      <c r="F2972" s="2">
        <v>300000.0</v>
      </c>
      <c r="G2972" s="1" t="s">
        <v>3037</v>
      </c>
      <c r="H2972" s="4">
        <f>IFERROR(__xludf.DUMMYFUNCTION("DATE(INDEX(SPLIT(G2972,""/""),,3),INDEX(SPLIT(G2972,""/""),,2),INDEX(SPLIT(G2972,""/""),,1))"),44487.0)</f>
        <v>44487</v>
      </c>
      <c r="I2972" s="1" t="s">
        <v>69</v>
      </c>
      <c r="J2972" s="4">
        <f>IFERROR(__xludf.DUMMYFUNCTION("DATE(INDEX(SPLIT(I2972,""/""),,3),INDEX(SPLIT(I2972,""/""),,2),INDEX(SPLIT(I2972,""/""),,1))"),44773.0)</f>
        <v>44773</v>
      </c>
      <c r="L2972" s="1">
        <v>0.0</v>
      </c>
      <c r="M2972" s="1" t="s">
        <v>3187</v>
      </c>
      <c r="N2972" s="1"/>
      <c r="O2972" s="1" t="s">
        <v>30</v>
      </c>
      <c r="P2972" s="1" t="s">
        <v>31</v>
      </c>
      <c r="Q2972" s="1" t="s">
        <v>228</v>
      </c>
      <c r="R2972" s="1" t="s">
        <v>228</v>
      </c>
      <c r="S2972" s="1" t="s">
        <v>229</v>
      </c>
      <c r="T2972" s="1" t="s">
        <v>80</v>
      </c>
      <c r="U2972" s="1">
        <v>1.00638978E8</v>
      </c>
      <c r="X2972" s="1" t="s">
        <v>781</v>
      </c>
      <c r="Y2972" s="1" t="s">
        <v>173</v>
      </c>
      <c r="Z2972" s="1" t="s">
        <v>37</v>
      </c>
    </row>
    <row r="2973">
      <c r="A2973" s="1" t="s">
        <v>8924</v>
      </c>
      <c r="B2973" s="1" t="s">
        <v>1748</v>
      </c>
      <c r="C2973" s="1" t="s">
        <v>8925</v>
      </c>
      <c r="D2973" s="1" t="s">
        <v>27</v>
      </c>
      <c r="E2973" s="1" t="s">
        <v>28</v>
      </c>
      <c r="F2973" s="2">
        <v>300000.0</v>
      </c>
      <c r="G2973" s="4">
        <v>44564.0</v>
      </c>
      <c r="H2973" s="4">
        <f>IFERROR(__xludf.DUMMYFUNCTION("DATE(INDEX(SPLIT(G2973,""/""),,3),INDEX(SPLIT(G2973,""/""),,2),INDEX(SPLIT(G2973,""/""),,1))"),44621.0)</f>
        <v>44621</v>
      </c>
      <c r="I2973" s="1" t="s">
        <v>414</v>
      </c>
      <c r="J2973" s="4">
        <f>IFERROR(__xludf.DUMMYFUNCTION("DATE(INDEX(SPLIT(I2973,""/""),,3),INDEX(SPLIT(I2973,""/""),,2),INDEX(SPLIT(I2973,""/""),,1))"),44772.0)</f>
        <v>44772</v>
      </c>
      <c r="L2973" s="1">
        <v>0.0</v>
      </c>
      <c r="M2973" s="1" t="s">
        <v>6003</v>
      </c>
      <c r="N2973" s="1"/>
      <c r="O2973" s="1" t="s">
        <v>30</v>
      </c>
      <c r="P2973" s="1" t="s">
        <v>31</v>
      </c>
      <c r="Q2973" s="1" t="s">
        <v>235</v>
      </c>
      <c r="R2973" s="1" t="s">
        <v>235</v>
      </c>
      <c r="S2973" s="1" t="s">
        <v>236</v>
      </c>
      <c r="T2973" s="1" t="s">
        <v>753</v>
      </c>
      <c r="U2973" s="1">
        <v>1.00623535E8</v>
      </c>
      <c r="X2973" s="1" t="s">
        <v>88</v>
      </c>
      <c r="Y2973" s="1" t="s">
        <v>3414</v>
      </c>
      <c r="Z2973" s="1" t="s">
        <v>37</v>
      </c>
    </row>
    <row r="2974">
      <c r="A2974" s="1" t="s">
        <v>8926</v>
      </c>
      <c r="B2974" s="1" t="s">
        <v>8927</v>
      </c>
      <c r="C2974" s="1" t="s">
        <v>8928</v>
      </c>
      <c r="D2974" s="1" t="s">
        <v>27</v>
      </c>
      <c r="E2974" s="1" t="s">
        <v>28</v>
      </c>
      <c r="F2974" s="2">
        <v>300000.0</v>
      </c>
      <c r="G2974" s="1" t="s">
        <v>2419</v>
      </c>
      <c r="H2974" s="4">
        <f>IFERROR(__xludf.DUMMYFUNCTION("DATE(INDEX(SPLIT(G2974,""/""),,3),INDEX(SPLIT(G2974,""/""),,2),INDEX(SPLIT(G2974,""/""),,1))"),44482.0)</f>
        <v>44482</v>
      </c>
      <c r="I2974" s="1" t="s">
        <v>226</v>
      </c>
      <c r="J2974" s="4">
        <f>IFERROR(__xludf.DUMMYFUNCTION("DATE(INDEX(SPLIT(I2974,""/""),,3),INDEX(SPLIT(I2974,""/""),,2),INDEX(SPLIT(I2974,""/""),,1))"),44771.0)</f>
        <v>44771</v>
      </c>
      <c r="L2974" s="1">
        <v>0.0</v>
      </c>
      <c r="M2974" s="1" t="s">
        <v>8929</v>
      </c>
      <c r="N2974" s="1"/>
      <c r="O2974" s="1" t="s">
        <v>30</v>
      </c>
      <c r="P2974" s="1" t="s">
        <v>31</v>
      </c>
      <c r="Q2974" s="1" t="s">
        <v>188</v>
      </c>
      <c r="R2974" s="1" t="s">
        <v>188</v>
      </c>
      <c r="S2974" s="1" t="s">
        <v>189</v>
      </c>
      <c r="U2974" s="1">
        <v>1.00642211E8</v>
      </c>
      <c r="X2974" s="1" t="s">
        <v>361</v>
      </c>
      <c r="Y2974" s="1" t="s">
        <v>8930</v>
      </c>
      <c r="Z2974" s="1" t="s">
        <v>37</v>
      </c>
    </row>
    <row r="2975">
      <c r="A2975" s="1" t="s">
        <v>8931</v>
      </c>
      <c r="B2975" s="1" t="s">
        <v>704</v>
      </c>
      <c r="C2975" s="1" t="s">
        <v>8932</v>
      </c>
      <c r="D2975" s="1" t="s">
        <v>78</v>
      </c>
      <c r="E2975" s="1" t="s">
        <v>28</v>
      </c>
      <c r="F2975" s="2">
        <v>300000.0</v>
      </c>
      <c r="G2975" s="1" t="s">
        <v>1058</v>
      </c>
      <c r="H2975" s="4">
        <f>IFERROR(__xludf.DUMMYFUNCTION("DATE(INDEX(SPLIT(G2975,""/""),,3),INDEX(SPLIT(G2975,""/""),,2),INDEX(SPLIT(G2975,""/""),,1))"),44733.0)</f>
        <v>44733</v>
      </c>
      <c r="I2975" s="1" t="s">
        <v>503</v>
      </c>
      <c r="J2975" s="4">
        <f>IFERROR(__xludf.DUMMYFUNCTION("DATE(INDEX(SPLIT(I2975,""/""),,3),INDEX(SPLIT(I2975,""/""),,2),INDEX(SPLIT(I2975,""/""),,1))"),44736.0)</f>
        <v>44736</v>
      </c>
      <c r="L2975" s="1">
        <v>0.0</v>
      </c>
      <c r="M2975" s="1" t="s">
        <v>4508</v>
      </c>
      <c r="N2975" s="1"/>
      <c r="O2975" s="1" t="s">
        <v>30</v>
      </c>
      <c r="P2975" s="1" t="s">
        <v>31</v>
      </c>
      <c r="Q2975" s="1" t="s">
        <v>228</v>
      </c>
      <c r="R2975" s="1" t="s">
        <v>228</v>
      </c>
      <c r="S2975" s="1" t="s">
        <v>229</v>
      </c>
      <c r="T2975" s="1" t="s">
        <v>640</v>
      </c>
      <c r="U2975" s="1">
        <v>1.00657185E8</v>
      </c>
      <c r="X2975" s="1" t="s">
        <v>35</v>
      </c>
      <c r="Y2975" s="1" t="s">
        <v>8933</v>
      </c>
      <c r="Z2975" s="1" t="s">
        <v>37</v>
      </c>
    </row>
    <row r="2976">
      <c r="A2976" s="1" t="s">
        <v>8934</v>
      </c>
      <c r="B2976" s="1" t="s">
        <v>39</v>
      </c>
      <c r="C2976" s="1" t="s">
        <v>8935</v>
      </c>
      <c r="D2976" s="1" t="s">
        <v>27</v>
      </c>
      <c r="E2976" s="1" t="s">
        <v>28</v>
      </c>
      <c r="F2976" s="2">
        <v>300000.0</v>
      </c>
      <c r="G2976" s="1" t="s">
        <v>3149</v>
      </c>
      <c r="H2976" s="4">
        <f>IFERROR(__xludf.DUMMYFUNCTION("DATE(INDEX(SPLIT(G2976,""/""),,3),INDEX(SPLIT(G2976,""/""),,2),INDEX(SPLIT(G2976,""/""),,1))"),44301.0)</f>
        <v>44301</v>
      </c>
      <c r="I2976" s="1" t="s">
        <v>1244</v>
      </c>
      <c r="J2976" s="4">
        <f>IFERROR(__xludf.DUMMYFUNCTION("DATE(INDEX(SPLIT(I2976,""/""),,3),INDEX(SPLIT(I2976,""/""),,2),INDEX(SPLIT(I2976,""/""),,1))"),44742.0)</f>
        <v>44742</v>
      </c>
      <c r="L2976" s="1">
        <v>0.0</v>
      </c>
      <c r="M2976" s="1" t="s">
        <v>43</v>
      </c>
      <c r="N2976" s="1"/>
      <c r="O2976" s="1" t="s">
        <v>30</v>
      </c>
      <c r="P2976" s="1" t="s">
        <v>31</v>
      </c>
      <c r="Q2976" s="1" t="s">
        <v>32</v>
      </c>
      <c r="R2976" s="1" t="s">
        <v>32</v>
      </c>
      <c r="S2976" s="1" t="s">
        <v>33</v>
      </c>
      <c r="U2976" s="1">
        <v>1.00587944E8</v>
      </c>
      <c r="X2976" s="1" t="s">
        <v>46</v>
      </c>
      <c r="Y2976" s="1" t="s">
        <v>104</v>
      </c>
      <c r="Z2976" s="1" t="s">
        <v>37</v>
      </c>
    </row>
    <row r="2977" hidden="1">
      <c r="A2977" s="1" t="s">
        <v>8936</v>
      </c>
      <c r="B2977" s="1" t="s">
        <v>5291</v>
      </c>
      <c r="C2977" s="1" t="s">
        <v>6786</v>
      </c>
      <c r="D2977" s="1" t="s">
        <v>78</v>
      </c>
      <c r="E2977" s="1" t="s">
        <v>28</v>
      </c>
      <c r="F2977" s="2">
        <v>300000.0</v>
      </c>
      <c r="G2977" s="1" t="s">
        <v>453</v>
      </c>
      <c r="H2977" s="4">
        <f>IFERROR(__xludf.DUMMYFUNCTION("DATE(INDEX(SPLIT(G2977,""/""),,3),INDEX(SPLIT(G2977,""/""),,2),INDEX(SPLIT(G2977,""/""),,1))"),44029.0)</f>
        <v>44029</v>
      </c>
      <c r="I2977" s="4">
        <v>44569.0</v>
      </c>
      <c r="J2977" s="4">
        <f>IFERROR(__xludf.DUMMYFUNCTION("DATE(INDEX(SPLIT(I2977,""/""),,3),INDEX(SPLIT(I2977,""/""),,2),INDEX(SPLIT(I2977,""/""),,1))"),44774.0)</f>
        <v>44774</v>
      </c>
      <c r="L2977" s="1">
        <v>0.0</v>
      </c>
      <c r="M2977" s="1" t="s">
        <v>1565</v>
      </c>
      <c r="N2977" s="1"/>
      <c r="O2977" s="1" t="s">
        <v>30</v>
      </c>
      <c r="P2977" s="1" t="s">
        <v>31</v>
      </c>
      <c r="Q2977" s="1" t="s">
        <v>157</v>
      </c>
      <c r="R2977" s="1" t="s">
        <v>157</v>
      </c>
      <c r="S2977" s="1" t="s">
        <v>158</v>
      </c>
      <c r="U2977" s="1">
        <v>1.00646908E8</v>
      </c>
      <c r="X2977" s="1" t="s">
        <v>190</v>
      </c>
      <c r="Y2977" s="1" t="s">
        <v>8937</v>
      </c>
      <c r="Z2977" s="1" t="s">
        <v>37</v>
      </c>
    </row>
    <row r="2978" hidden="1">
      <c r="A2978" s="1" t="s">
        <v>8938</v>
      </c>
      <c r="B2978" s="1" t="s">
        <v>106</v>
      </c>
      <c r="C2978" s="1" t="s">
        <v>8939</v>
      </c>
      <c r="D2978" s="1" t="s">
        <v>78</v>
      </c>
      <c r="E2978" s="1" t="s">
        <v>28</v>
      </c>
      <c r="F2978" s="2">
        <v>300000.0</v>
      </c>
      <c r="G2978" s="4">
        <v>44897.0</v>
      </c>
      <c r="H2978" s="4">
        <f>IFERROR(__xludf.DUMMYFUNCTION("DATE(INDEX(SPLIT(G2978,""/""),,3),INDEX(SPLIT(G2978,""/""),,2),INDEX(SPLIT(G2978,""/""),,1))"),44604.0)</f>
        <v>44604</v>
      </c>
      <c r="I2978" s="1" t="s">
        <v>109</v>
      </c>
      <c r="J2978" s="4">
        <f>IFERROR(__xludf.DUMMYFUNCTION("DATE(INDEX(SPLIT(I2978,""/""),,3),INDEX(SPLIT(I2978,""/""),,2),INDEX(SPLIT(I2978,""/""),,1))"),44834.0)</f>
        <v>44834</v>
      </c>
      <c r="L2978" s="1">
        <v>0.0</v>
      </c>
      <c r="M2978" s="1" t="s">
        <v>5894</v>
      </c>
      <c r="N2978" s="1"/>
      <c r="O2978" s="1" t="s">
        <v>30</v>
      </c>
      <c r="P2978" s="1" t="s">
        <v>31</v>
      </c>
      <c r="Q2978" s="1" t="s">
        <v>32</v>
      </c>
      <c r="R2978" s="1" t="s">
        <v>32</v>
      </c>
      <c r="S2978" s="1" t="s">
        <v>33</v>
      </c>
      <c r="T2978" s="1" t="s">
        <v>1195</v>
      </c>
      <c r="U2978" s="1">
        <v>1.00580806E8</v>
      </c>
      <c r="X2978" s="1" t="s">
        <v>63</v>
      </c>
      <c r="Y2978" s="1" t="s">
        <v>8940</v>
      </c>
      <c r="Z2978" s="1" t="s">
        <v>37</v>
      </c>
    </row>
    <row r="2979">
      <c r="A2979" s="1" t="s">
        <v>8941</v>
      </c>
      <c r="B2979" s="1" t="s">
        <v>1070</v>
      </c>
      <c r="C2979" s="1" t="s">
        <v>8942</v>
      </c>
      <c r="D2979" s="1" t="s">
        <v>78</v>
      </c>
      <c r="E2979" s="1" t="s">
        <v>28</v>
      </c>
      <c r="F2979" s="2">
        <v>300000.0</v>
      </c>
      <c r="G2979" s="4">
        <v>44716.0</v>
      </c>
      <c r="H2979" s="4">
        <f>IFERROR(__xludf.DUMMYFUNCTION("DATE(INDEX(SPLIT(G2979,""/""),,3),INDEX(SPLIT(G2979,""/""),,2),INDEX(SPLIT(G2979,""/""),,1))"),44657.0)</f>
        <v>44657</v>
      </c>
      <c r="I2979" s="1" t="s">
        <v>1244</v>
      </c>
      <c r="J2979" s="4">
        <f>IFERROR(__xludf.DUMMYFUNCTION("DATE(INDEX(SPLIT(I2979,""/""),,3),INDEX(SPLIT(I2979,""/""),,2),INDEX(SPLIT(I2979,""/""),,1))"),44742.0)</f>
        <v>44742</v>
      </c>
      <c r="L2979" s="1">
        <v>0.0</v>
      </c>
      <c r="M2979" s="1" t="s">
        <v>1484</v>
      </c>
      <c r="N2979" s="1"/>
      <c r="O2979" s="1" t="s">
        <v>30</v>
      </c>
      <c r="P2979" s="1" t="s">
        <v>31</v>
      </c>
      <c r="Q2979" s="1" t="s">
        <v>95</v>
      </c>
      <c r="R2979" s="1" t="s">
        <v>95</v>
      </c>
      <c r="S2979" s="1" t="s">
        <v>96</v>
      </c>
      <c r="T2979" s="1" t="s">
        <v>111</v>
      </c>
      <c r="U2979" s="1">
        <v>1.00585718E8</v>
      </c>
      <c r="V2979" s="1" t="s">
        <v>8943</v>
      </c>
      <c r="W2979" s="1" t="s">
        <v>2556</v>
      </c>
      <c r="X2979" s="1" t="s">
        <v>305</v>
      </c>
      <c r="Y2979" s="1" t="s">
        <v>1770</v>
      </c>
      <c r="Z2979" s="1" t="s">
        <v>37</v>
      </c>
    </row>
    <row r="2980">
      <c r="A2980" s="1" t="s">
        <v>8944</v>
      </c>
      <c r="B2980" s="1" t="s">
        <v>2000</v>
      </c>
      <c r="C2980" s="1" t="s">
        <v>8945</v>
      </c>
      <c r="D2980" s="1" t="s">
        <v>27</v>
      </c>
      <c r="E2980" s="1" t="s">
        <v>28</v>
      </c>
      <c r="F2980" s="2">
        <v>300000.0</v>
      </c>
      <c r="G2980" s="1" t="s">
        <v>523</v>
      </c>
      <c r="H2980" s="4">
        <f>IFERROR(__xludf.DUMMYFUNCTION("DATE(INDEX(SPLIT(G2980,""/""),,3),INDEX(SPLIT(G2980,""/""),,2),INDEX(SPLIT(G2980,""/""),,1))"),44517.0)</f>
        <v>44517</v>
      </c>
      <c r="I2980" s="1" t="s">
        <v>226</v>
      </c>
      <c r="J2980" s="4">
        <f>IFERROR(__xludf.DUMMYFUNCTION("DATE(INDEX(SPLIT(I2980,""/""),,3),INDEX(SPLIT(I2980,""/""),,2),INDEX(SPLIT(I2980,""/""),,1))"),44771.0)</f>
        <v>44771</v>
      </c>
      <c r="L2980" s="1">
        <v>0.0</v>
      </c>
      <c r="M2980" s="1" t="s">
        <v>8315</v>
      </c>
      <c r="N2980" s="1"/>
      <c r="O2980" s="1" t="s">
        <v>30</v>
      </c>
      <c r="P2980" s="1" t="s">
        <v>31</v>
      </c>
      <c r="Q2980" s="1" t="s">
        <v>95</v>
      </c>
      <c r="R2980" s="1" t="s">
        <v>95</v>
      </c>
      <c r="S2980" s="1" t="s">
        <v>96</v>
      </c>
      <c r="T2980" s="1" t="s">
        <v>97</v>
      </c>
      <c r="U2980" s="1">
        <v>1.00625107E8</v>
      </c>
      <c r="X2980" s="1" t="s">
        <v>125</v>
      </c>
      <c r="Y2980" s="1" t="s">
        <v>282</v>
      </c>
      <c r="Z2980" s="1" t="s">
        <v>206</v>
      </c>
    </row>
    <row r="2981" hidden="1">
      <c r="A2981" s="1" t="s">
        <v>8946</v>
      </c>
      <c r="B2981" s="1" t="s">
        <v>3560</v>
      </c>
      <c r="C2981" s="1" t="s">
        <v>6786</v>
      </c>
      <c r="D2981" s="1" t="s">
        <v>27</v>
      </c>
      <c r="E2981" s="1" t="s">
        <v>28</v>
      </c>
      <c r="F2981" s="2">
        <v>300000.0</v>
      </c>
      <c r="G2981" s="1" t="s">
        <v>8947</v>
      </c>
      <c r="H2981" s="4">
        <f>IFERROR(__xludf.DUMMYFUNCTION("DATE(INDEX(SPLIT(G2981,""/""),,3),INDEX(SPLIT(G2981,""/""),,2),INDEX(SPLIT(G2981,""/""),,1))"),44034.0)</f>
        <v>44034</v>
      </c>
      <c r="I2981" s="4">
        <v>44569.0</v>
      </c>
      <c r="J2981" s="4">
        <f>IFERROR(__xludf.DUMMYFUNCTION("DATE(INDEX(SPLIT(I2981,""/""),,3),INDEX(SPLIT(I2981,""/""),,2),INDEX(SPLIT(I2981,""/""),,1))"),44774.0)</f>
        <v>44774</v>
      </c>
      <c r="L2981" s="1">
        <v>0.0</v>
      </c>
      <c r="M2981" s="1" t="s">
        <v>1565</v>
      </c>
      <c r="N2981" s="1"/>
      <c r="O2981" s="1" t="s">
        <v>30</v>
      </c>
      <c r="P2981" s="1" t="s">
        <v>31</v>
      </c>
      <c r="Q2981" s="1" t="s">
        <v>157</v>
      </c>
      <c r="R2981" s="1" t="s">
        <v>157</v>
      </c>
      <c r="S2981" s="1" t="s">
        <v>158</v>
      </c>
      <c r="U2981" s="1">
        <v>1.00646908E8</v>
      </c>
      <c r="X2981" s="1" t="s">
        <v>190</v>
      </c>
      <c r="Y2981" s="1" t="s">
        <v>5294</v>
      </c>
      <c r="Z2981" s="1" t="s">
        <v>37</v>
      </c>
    </row>
    <row r="2982">
      <c r="A2982" s="1" t="s">
        <v>8948</v>
      </c>
      <c r="B2982" s="1" t="s">
        <v>1144</v>
      </c>
      <c r="C2982" s="1" t="s">
        <v>8949</v>
      </c>
      <c r="D2982" s="1" t="s">
        <v>122</v>
      </c>
      <c r="E2982" s="1" t="s">
        <v>28</v>
      </c>
      <c r="F2982" s="2">
        <v>300000.0</v>
      </c>
      <c r="G2982" s="4">
        <v>44810.0</v>
      </c>
      <c r="H2982" s="4">
        <f>IFERROR(__xludf.DUMMYFUNCTION("DATE(INDEX(SPLIT(G2982,""/""),,3),INDEX(SPLIT(G2982,""/""),,2),INDEX(SPLIT(G2982,""/""),,1))"),44721.0)</f>
        <v>44721</v>
      </c>
      <c r="I2982" s="1" t="s">
        <v>1244</v>
      </c>
      <c r="J2982" s="4">
        <f>IFERROR(__xludf.DUMMYFUNCTION("DATE(INDEX(SPLIT(I2982,""/""),,3),INDEX(SPLIT(I2982,""/""),,2),INDEX(SPLIT(I2982,""/""),,1))"),44742.0)</f>
        <v>44742</v>
      </c>
      <c r="K2982" s="1" t="s">
        <v>8950</v>
      </c>
      <c r="L2982" s="1">
        <v>0.0</v>
      </c>
      <c r="M2982" s="1" t="s">
        <v>7780</v>
      </c>
      <c r="N2982" s="1"/>
      <c r="O2982" s="1" t="s">
        <v>30</v>
      </c>
      <c r="P2982" s="1" t="s">
        <v>31</v>
      </c>
      <c r="Q2982" s="1" t="s">
        <v>157</v>
      </c>
      <c r="R2982" s="1" t="s">
        <v>157</v>
      </c>
      <c r="S2982" s="1" t="s">
        <v>158</v>
      </c>
      <c r="U2982" s="1">
        <v>1.00644077E8</v>
      </c>
      <c r="X2982" s="1" t="s">
        <v>63</v>
      </c>
      <c r="Y2982" s="1" t="s">
        <v>8951</v>
      </c>
      <c r="Z2982" s="1" t="s">
        <v>37</v>
      </c>
    </row>
    <row r="2983">
      <c r="A2983" s="1" t="s">
        <v>8952</v>
      </c>
      <c r="B2983" s="1" t="s">
        <v>2515</v>
      </c>
      <c r="C2983" s="1" t="s">
        <v>8953</v>
      </c>
      <c r="D2983" s="1" t="s">
        <v>27</v>
      </c>
      <c r="E2983" s="1" t="s">
        <v>28</v>
      </c>
      <c r="F2983" s="2">
        <v>300000.0</v>
      </c>
      <c r="G2983" s="4">
        <v>44809.0</v>
      </c>
      <c r="H2983" s="4">
        <f>IFERROR(__xludf.DUMMYFUNCTION("DATE(INDEX(SPLIT(G2983,""/""),,3),INDEX(SPLIT(G2983,""/""),,2),INDEX(SPLIT(G2983,""/""),,1))"),44690.0)</f>
        <v>44690</v>
      </c>
      <c r="I2983" s="1" t="s">
        <v>69</v>
      </c>
      <c r="J2983" s="4">
        <f>IFERROR(__xludf.DUMMYFUNCTION("DATE(INDEX(SPLIT(I2983,""/""),,3),INDEX(SPLIT(I2983,""/""),,2),INDEX(SPLIT(I2983,""/""),,1))"),44773.0)</f>
        <v>44773</v>
      </c>
      <c r="L2983" s="1">
        <v>0.0</v>
      </c>
      <c r="M2983" s="1" t="s">
        <v>2517</v>
      </c>
      <c r="N2983" s="1"/>
      <c r="O2983" s="1" t="s">
        <v>30</v>
      </c>
      <c r="P2983" s="1" t="s">
        <v>31</v>
      </c>
      <c r="Q2983" s="1" t="s">
        <v>32</v>
      </c>
      <c r="R2983" s="1" t="s">
        <v>32</v>
      </c>
      <c r="S2983" s="1" t="s">
        <v>33</v>
      </c>
      <c r="T2983" s="1" t="s">
        <v>1195</v>
      </c>
      <c r="U2983" s="1">
        <v>1.01090216E8</v>
      </c>
      <c r="X2983" s="1" t="s">
        <v>490</v>
      </c>
      <c r="Y2983" s="1" t="s">
        <v>2517</v>
      </c>
      <c r="Z2983" s="1" t="s">
        <v>37</v>
      </c>
    </row>
    <row r="2984" hidden="1">
      <c r="A2984" s="1" t="s">
        <v>8954</v>
      </c>
      <c r="B2984" s="1" t="s">
        <v>2358</v>
      </c>
      <c r="C2984" s="1" t="s">
        <v>8955</v>
      </c>
      <c r="D2984" s="1" t="s">
        <v>27</v>
      </c>
      <c r="E2984" s="1" t="s">
        <v>28</v>
      </c>
      <c r="F2984" s="2">
        <v>300000.0</v>
      </c>
      <c r="G2984" s="4">
        <v>44872.0</v>
      </c>
      <c r="H2984" s="4">
        <f>IFERROR(__xludf.DUMMYFUNCTION("DATE(INDEX(SPLIT(G2984,""/""),,3),INDEX(SPLIT(G2984,""/""),,2),INDEX(SPLIT(G2984,""/""),,1))"),44753.0)</f>
        <v>44753</v>
      </c>
      <c r="I2984" s="4">
        <v>44569.0</v>
      </c>
      <c r="J2984" s="4">
        <f>IFERROR(__xludf.DUMMYFUNCTION("DATE(INDEX(SPLIT(I2984,""/""),,3),INDEX(SPLIT(I2984,""/""),,2),INDEX(SPLIT(I2984,""/""),,1))"),44774.0)</f>
        <v>44774</v>
      </c>
      <c r="L2984" s="1">
        <v>0.0</v>
      </c>
      <c r="M2984" s="1" t="s">
        <v>2856</v>
      </c>
      <c r="N2984" s="1"/>
      <c r="O2984" s="1" t="s">
        <v>30</v>
      </c>
      <c r="P2984" s="1" t="s">
        <v>31</v>
      </c>
      <c r="Q2984" s="1" t="s">
        <v>71</v>
      </c>
      <c r="R2984" s="1" t="s">
        <v>71</v>
      </c>
      <c r="S2984" s="1" t="s">
        <v>72</v>
      </c>
      <c r="U2984" s="1">
        <v>1.00637221E8</v>
      </c>
      <c r="X2984" s="1" t="s">
        <v>490</v>
      </c>
      <c r="Y2984" s="1" t="s">
        <v>5759</v>
      </c>
      <c r="Z2984" s="1" t="s">
        <v>37</v>
      </c>
    </row>
    <row r="2985">
      <c r="A2985" s="1" t="s">
        <v>8956</v>
      </c>
      <c r="B2985" s="1" t="s">
        <v>2501</v>
      </c>
      <c r="C2985" s="1" t="s">
        <v>8957</v>
      </c>
      <c r="D2985" s="1" t="s">
        <v>27</v>
      </c>
      <c r="E2985" s="1" t="s">
        <v>28</v>
      </c>
      <c r="F2985" s="2">
        <v>300000.0</v>
      </c>
      <c r="G2985" s="1" t="s">
        <v>4036</v>
      </c>
      <c r="H2985" s="4">
        <f>IFERROR(__xludf.DUMMYFUNCTION("DATE(INDEX(SPLIT(G2985,""/""),,3),INDEX(SPLIT(G2985,""/""),,2),INDEX(SPLIT(G2985,""/""),,1))"),44592.0)</f>
        <v>44592</v>
      </c>
      <c r="I2985" s="1" t="s">
        <v>1244</v>
      </c>
      <c r="J2985" s="4">
        <f>IFERROR(__xludf.DUMMYFUNCTION("DATE(INDEX(SPLIT(I2985,""/""),,3),INDEX(SPLIT(I2985,""/""),,2),INDEX(SPLIT(I2985,""/""),,1))"),44742.0)</f>
        <v>44742</v>
      </c>
      <c r="L2985" s="1">
        <v>0.0</v>
      </c>
      <c r="M2985" s="1" t="s">
        <v>819</v>
      </c>
      <c r="N2985" s="1"/>
      <c r="O2985" s="1" t="s">
        <v>30</v>
      </c>
      <c r="P2985" s="1" t="s">
        <v>31</v>
      </c>
      <c r="Q2985" s="1" t="s">
        <v>53</v>
      </c>
      <c r="R2985" s="1" t="s">
        <v>53</v>
      </c>
      <c r="S2985" s="1" t="s">
        <v>54</v>
      </c>
      <c r="T2985" s="1" t="s">
        <v>634</v>
      </c>
      <c r="U2985" s="1">
        <v>1.00661738E8</v>
      </c>
      <c r="X2985" s="1" t="s">
        <v>490</v>
      </c>
      <c r="Y2985" s="1" t="s">
        <v>2504</v>
      </c>
      <c r="Z2985" s="1" t="s">
        <v>37</v>
      </c>
    </row>
    <row r="2986" hidden="1">
      <c r="A2986" s="1" t="s">
        <v>8958</v>
      </c>
      <c r="B2986" s="1" t="s">
        <v>1820</v>
      </c>
      <c r="C2986" s="1" t="s">
        <v>8959</v>
      </c>
      <c r="D2986" s="1" t="s">
        <v>27</v>
      </c>
      <c r="E2986" s="1" t="s">
        <v>28</v>
      </c>
      <c r="F2986" s="2">
        <v>300000.0</v>
      </c>
      <c r="G2986" s="4">
        <v>44384.0</v>
      </c>
      <c r="H2986" s="4">
        <f>IFERROR(__xludf.DUMMYFUNCTION("DATE(INDEX(SPLIT(G2986,""/""),,3),INDEX(SPLIT(G2986,""/""),,2),INDEX(SPLIT(G2986,""/""),,1))"),44384.0)</f>
        <v>44384</v>
      </c>
      <c r="I2986" s="1" t="s">
        <v>203</v>
      </c>
      <c r="J2986" s="4">
        <f>IFERROR(__xludf.DUMMYFUNCTION("DATE(INDEX(SPLIT(I2986,""/""),,3),INDEX(SPLIT(I2986,""/""),,2),INDEX(SPLIT(I2986,""/""),,1))"),44925.0)</f>
        <v>44925</v>
      </c>
      <c r="L2986" s="1">
        <v>0.0</v>
      </c>
      <c r="M2986" s="1" t="s">
        <v>437</v>
      </c>
      <c r="N2986" s="1"/>
      <c r="O2986" s="1" t="s">
        <v>30</v>
      </c>
      <c r="P2986" s="1" t="s">
        <v>31</v>
      </c>
      <c r="Q2986" s="1" t="s">
        <v>235</v>
      </c>
      <c r="R2986" s="1" t="s">
        <v>235</v>
      </c>
      <c r="S2986" s="1" t="s">
        <v>236</v>
      </c>
      <c r="U2986" s="1">
        <v>1.00650375E8</v>
      </c>
      <c r="X2986" s="1" t="s">
        <v>74</v>
      </c>
      <c r="Y2986" s="1" t="s">
        <v>437</v>
      </c>
      <c r="Z2986" s="1" t="s">
        <v>37</v>
      </c>
    </row>
    <row r="2987">
      <c r="A2987" s="1" t="s">
        <v>8960</v>
      </c>
      <c r="B2987" s="1" t="s">
        <v>308</v>
      </c>
      <c r="C2987" s="1" t="s">
        <v>8961</v>
      </c>
      <c r="D2987" s="1" t="s">
        <v>78</v>
      </c>
      <c r="E2987" s="1" t="s">
        <v>28</v>
      </c>
      <c r="F2987" s="2">
        <v>300000.0</v>
      </c>
      <c r="G2987" s="4">
        <v>44779.0</v>
      </c>
      <c r="H2987" s="4">
        <f>IFERROR(__xludf.DUMMYFUNCTION("DATE(INDEX(SPLIT(G2987,""/""),,3),INDEX(SPLIT(G2987,""/""),,2),INDEX(SPLIT(G2987,""/""),,1))"),44720.0)</f>
        <v>44720</v>
      </c>
      <c r="I2987" s="1" t="s">
        <v>233</v>
      </c>
      <c r="J2987" s="4">
        <f>IFERROR(__xludf.DUMMYFUNCTION("DATE(INDEX(SPLIT(I2987,""/""),,3),INDEX(SPLIT(I2987,""/""),,2),INDEX(SPLIT(I2987,""/""),,1))"),44729.0)</f>
        <v>44729</v>
      </c>
      <c r="L2987" s="1">
        <v>0.0</v>
      </c>
      <c r="M2987" s="1" t="s">
        <v>1689</v>
      </c>
      <c r="N2987" s="1"/>
      <c r="O2987" s="1" t="s">
        <v>30</v>
      </c>
      <c r="P2987" s="1" t="s">
        <v>31</v>
      </c>
      <c r="Q2987" s="1" t="s">
        <v>53</v>
      </c>
      <c r="R2987" s="1" t="s">
        <v>53</v>
      </c>
      <c r="S2987" s="1" t="s">
        <v>54</v>
      </c>
      <c r="U2987" s="1">
        <v>1.00650657E8</v>
      </c>
      <c r="X2987" s="1" t="s">
        <v>312</v>
      </c>
      <c r="Y2987" s="1" t="s">
        <v>1443</v>
      </c>
      <c r="Z2987" s="1" t="s">
        <v>37</v>
      </c>
    </row>
    <row r="2988" hidden="1">
      <c r="A2988" s="1" t="s">
        <v>8962</v>
      </c>
      <c r="B2988" s="1" t="s">
        <v>2000</v>
      </c>
      <c r="C2988" s="1" t="s">
        <v>8963</v>
      </c>
      <c r="D2988" s="1" t="s">
        <v>27</v>
      </c>
      <c r="E2988" s="1" t="s">
        <v>28</v>
      </c>
      <c r="F2988" s="2">
        <v>300000.0</v>
      </c>
      <c r="G2988" s="4">
        <v>43750.0</v>
      </c>
      <c r="H2988" s="4">
        <f>IFERROR(__xludf.DUMMYFUNCTION("DATE(INDEX(SPLIT(G2988,""/""),,3),INDEX(SPLIT(G2988,""/""),,2),INDEX(SPLIT(G2988,""/""),,1))"),43809.0)</f>
        <v>43809</v>
      </c>
      <c r="I2988" s="1" t="s">
        <v>317</v>
      </c>
      <c r="J2988" s="4">
        <f>IFERROR(__xludf.DUMMYFUNCTION("DATE(INDEX(SPLIT(I2988,""/""),,3),INDEX(SPLIT(I2988,""/""),,2),INDEX(SPLIT(I2988,""/""),,1))"),44862.0)</f>
        <v>44862</v>
      </c>
      <c r="L2988" s="1">
        <v>0.0</v>
      </c>
      <c r="M2988" s="1" t="s">
        <v>4979</v>
      </c>
      <c r="N2988" s="1"/>
      <c r="O2988" s="1" t="s">
        <v>30</v>
      </c>
      <c r="P2988" s="1" t="s">
        <v>31</v>
      </c>
      <c r="Q2988" s="1" t="s">
        <v>235</v>
      </c>
      <c r="R2988" s="1" t="s">
        <v>235</v>
      </c>
      <c r="S2988" s="1" t="s">
        <v>236</v>
      </c>
      <c r="T2988" s="1" t="s">
        <v>1349</v>
      </c>
      <c r="U2988" s="1">
        <v>1.00637587E8</v>
      </c>
      <c r="X2988" s="1" t="s">
        <v>609</v>
      </c>
      <c r="Y2988" s="1" t="s">
        <v>5864</v>
      </c>
      <c r="Z2988" s="1" t="s">
        <v>37</v>
      </c>
    </row>
    <row r="2989" hidden="1">
      <c r="A2989" s="1" t="s">
        <v>8964</v>
      </c>
      <c r="B2989" s="1" t="s">
        <v>3429</v>
      </c>
      <c r="C2989" s="1" t="s">
        <v>8965</v>
      </c>
      <c r="D2989" s="1" t="s">
        <v>27</v>
      </c>
      <c r="E2989" s="1" t="s">
        <v>28</v>
      </c>
      <c r="F2989" s="2">
        <v>300000.0</v>
      </c>
      <c r="G2989" s="1" t="s">
        <v>4901</v>
      </c>
      <c r="H2989" s="4">
        <f>IFERROR(__xludf.DUMMYFUNCTION("DATE(INDEX(SPLIT(G2989,""/""),,3),INDEX(SPLIT(G2989,""/""),,2),INDEX(SPLIT(G2989,""/""),,1))"),44488.0)</f>
        <v>44488</v>
      </c>
      <c r="I2989" s="1" t="s">
        <v>109</v>
      </c>
      <c r="J2989" s="4">
        <f>IFERROR(__xludf.DUMMYFUNCTION("DATE(INDEX(SPLIT(I2989,""/""),,3),INDEX(SPLIT(I2989,""/""),,2),INDEX(SPLIT(I2989,""/""),,1))"),44834.0)</f>
        <v>44834</v>
      </c>
      <c r="L2989" s="1">
        <v>0.0</v>
      </c>
      <c r="M2989" s="1" t="s">
        <v>61</v>
      </c>
      <c r="N2989" s="1"/>
      <c r="O2989" s="1" t="s">
        <v>30</v>
      </c>
      <c r="P2989" s="1" t="s">
        <v>31</v>
      </c>
      <c r="Q2989" s="1" t="s">
        <v>32</v>
      </c>
      <c r="R2989" s="1" t="s">
        <v>32</v>
      </c>
      <c r="S2989" s="1" t="s">
        <v>33</v>
      </c>
      <c r="T2989" s="1" t="s">
        <v>103</v>
      </c>
      <c r="U2989" s="1">
        <v>1.0060843E8</v>
      </c>
      <c r="X2989" s="1" t="s">
        <v>63</v>
      </c>
      <c r="Y2989" s="1" t="s">
        <v>3053</v>
      </c>
      <c r="Z2989" s="1" t="s">
        <v>37</v>
      </c>
    </row>
    <row r="2990">
      <c r="A2990" s="1" t="s">
        <v>8966</v>
      </c>
      <c r="B2990" s="1" t="s">
        <v>8967</v>
      </c>
      <c r="C2990" s="1" t="s">
        <v>8968</v>
      </c>
      <c r="D2990" s="1" t="s">
        <v>78</v>
      </c>
      <c r="E2990" s="1" t="s">
        <v>28</v>
      </c>
      <c r="F2990" s="2">
        <v>300000.0</v>
      </c>
      <c r="G2990" s="4">
        <v>44809.0</v>
      </c>
      <c r="H2990" s="4">
        <f>IFERROR(__xludf.DUMMYFUNCTION("DATE(INDEX(SPLIT(G2990,""/""),,3),INDEX(SPLIT(G2990,""/""),,2),INDEX(SPLIT(G2990,""/""),,1))"),44690.0)</f>
        <v>44690</v>
      </c>
      <c r="I2990" s="1" t="s">
        <v>2300</v>
      </c>
      <c r="J2990" s="4">
        <f>IFERROR(__xludf.DUMMYFUNCTION("DATE(INDEX(SPLIT(I2990,""/""),,3),INDEX(SPLIT(I2990,""/""),,2),INDEX(SPLIT(I2990,""/""),,1))"),44712.0)</f>
        <v>44712</v>
      </c>
      <c r="L2990" s="1">
        <v>0.0</v>
      </c>
      <c r="M2990" s="1" t="s">
        <v>355</v>
      </c>
      <c r="N2990" s="1"/>
      <c r="O2990" s="1" t="s">
        <v>30</v>
      </c>
      <c r="P2990" s="1" t="s">
        <v>31</v>
      </c>
      <c r="Q2990" s="1" t="s">
        <v>53</v>
      </c>
      <c r="R2990" s="1" t="s">
        <v>53</v>
      </c>
      <c r="S2990" s="1" t="s">
        <v>54</v>
      </c>
      <c r="U2990" s="1">
        <v>1.01170594E8</v>
      </c>
      <c r="X2990" s="1" t="s">
        <v>88</v>
      </c>
      <c r="Y2990" s="1" t="s">
        <v>355</v>
      </c>
      <c r="Z2990" s="1" t="s">
        <v>37</v>
      </c>
    </row>
    <row r="2991" hidden="1">
      <c r="A2991" s="1" t="s">
        <v>8969</v>
      </c>
      <c r="B2991" s="1" t="s">
        <v>1634</v>
      </c>
      <c r="C2991" s="1" t="s">
        <v>8970</v>
      </c>
      <c r="D2991" s="1" t="s">
        <v>68</v>
      </c>
      <c r="E2991" s="1" t="s">
        <v>28</v>
      </c>
      <c r="F2991" s="2">
        <v>300000.0</v>
      </c>
      <c r="G2991" s="4">
        <v>44807.0</v>
      </c>
      <c r="H2991" s="4">
        <f>IFERROR(__xludf.DUMMYFUNCTION("DATE(INDEX(SPLIT(G2991,""/""),,3),INDEX(SPLIT(G2991,""/""),,2),INDEX(SPLIT(G2991,""/""),,1))"),44629.0)</f>
        <v>44629</v>
      </c>
      <c r="I2991" s="4">
        <v>45202.0</v>
      </c>
      <c r="J2991" s="4">
        <f>IFERROR(__xludf.DUMMYFUNCTION("DATE(INDEX(SPLIT(I2991,""/""),,3),INDEX(SPLIT(I2991,""/""),,2),INDEX(SPLIT(I2991,""/""),,1))"),44995.0)</f>
        <v>44995</v>
      </c>
      <c r="L2991" s="1">
        <v>0.0</v>
      </c>
      <c r="M2991" s="1" t="s">
        <v>488</v>
      </c>
      <c r="N2991" s="1"/>
      <c r="O2991" s="1" t="s">
        <v>30</v>
      </c>
      <c r="P2991" s="1" t="s">
        <v>31</v>
      </c>
      <c r="Q2991" s="1" t="s">
        <v>95</v>
      </c>
      <c r="R2991" s="1" t="s">
        <v>95</v>
      </c>
      <c r="S2991" s="1" t="s">
        <v>96</v>
      </c>
      <c r="T2991" s="1" t="s">
        <v>489</v>
      </c>
      <c r="U2991" s="1">
        <v>1.00611486E8</v>
      </c>
      <c r="V2991" s="1" t="s">
        <v>8970</v>
      </c>
      <c r="W2991" s="1" t="s">
        <v>2556</v>
      </c>
      <c r="X2991" s="1" t="s">
        <v>490</v>
      </c>
      <c r="Y2991" s="1" t="s">
        <v>8971</v>
      </c>
      <c r="Z2991" s="1" t="s">
        <v>37</v>
      </c>
    </row>
    <row r="2992" hidden="1">
      <c r="A2992" s="1" t="s">
        <v>8972</v>
      </c>
      <c r="B2992" s="1" t="s">
        <v>450</v>
      </c>
      <c r="C2992" s="1" t="s">
        <v>8973</v>
      </c>
      <c r="D2992" s="1" t="s">
        <v>27</v>
      </c>
      <c r="E2992" s="1" t="s">
        <v>28</v>
      </c>
      <c r="F2992" s="2">
        <v>300000.0</v>
      </c>
      <c r="G2992" s="4">
        <v>44317.0</v>
      </c>
      <c r="H2992" s="4">
        <f>IFERROR(__xludf.DUMMYFUNCTION("DATE(INDEX(SPLIT(G2992,""/""),,3),INDEX(SPLIT(G2992,""/""),,2),INDEX(SPLIT(G2992,""/""),,1))"),44201.0)</f>
        <v>44201</v>
      </c>
      <c r="I2992" s="1" t="s">
        <v>109</v>
      </c>
      <c r="J2992" s="4">
        <f>IFERROR(__xludf.DUMMYFUNCTION("DATE(INDEX(SPLIT(I2992,""/""),,3),INDEX(SPLIT(I2992,""/""),,2),INDEX(SPLIT(I2992,""/""),,1))"),44834.0)</f>
        <v>44834</v>
      </c>
      <c r="L2992" s="1">
        <v>0.0</v>
      </c>
      <c r="M2992" s="1" t="s">
        <v>1723</v>
      </c>
      <c r="N2992" s="1"/>
      <c r="O2992" s="1" t="s">
        <v>30</v>
      </c>
      <c r="P2992" s="1" t="s">
        <v>31</v>
      </c>
      <c r="Q2992" s="1" t="s">
        <v>157</v>
      </c>
      <c r="R2992" s="1" t="s">
        <v>157</v>
      </c>
      <c r="S2992" s="1" t="s">
        <v>158</v>
      </c>
      <c r="T2992" s="1" t="s">
        <v>159</v>
      </c>
      <c r="U2992" s="1">
        <v>1.00654085E8</v>
      </c>
      <c r="X2992" s="1" t="s">
        <v>74</v>
      </c>
      <c r="Y2992" s="1" t="s">
        <v>4761</v>
      </c>
      <c r="Z2992" s="1" t="s">
        <v>37</v>
      </c>
    </row>
    <row r="2993">
      <c r="A2993" s="1" t="s">
        <v>8974</v>
      </c>
      <c r="B2993" s="1" t="s">
        <v>8975</v>
      </c>
      <c r="C2993" s="1" t="s">
        <v>8976</v>
      </c>
      <c r="D2993" s="1" t="s">
        <v>78</v>
      </c>
      <c r="E2993" s="1" t="s">
        <v>28</v>
      </c>
      <c r="F2993" s="2">
        <v>300000.0</v>
      </c>
      <c r="G2993" s="1" t="s">
        <v>2324</v>
      </c>
      <c r="H2993" s="4">
        <f>IFERROR(__xludf.DUMMYFUNCTION("DATE(INDEX(SPLIT(G2993,""/""),,3),INDEX(SPLIT(G2993,""/""),,2),INDEX(SPLIT(G2993,""/""),,1))"),44705.0)</f>
        <v>44705</v>
      </c>
      <c r="I2993" s="1" t="s">
        <v>1244</v>
      </c>
      <c r="J2993" s="4">
        <f>IFERROR(__xludf.DUMMYFUNCTION("DATE(INDEX(SPLIT(I2993,""/""),,3),INDEX(SPLIT(I2993,""/""),,2),INDEX(SPLIT(I2993,""/""),,1))"),44742.0)</f>
        <v>44742</v>
      </c>
      <c r="L2993" s="1">
        <v>0.0</v>
      </c>
      <c r="M2993" s="1" t="s">
        <v>1639</v>
      </c>
      <c r="N2993" s="1"/>
      <c r="O2993" s="1" t="s">
        <v>30</v>
      </c>
      <c r="P2993" s="1" t="s">
        <v>31</v>
      </c>
      <c r="Q2993" s="1" t="s">
        <v>53</v>
      </c>
      <c r="R2993" s="1" t="s">
        <v>53</v>
      </c>
      <c r="S2993" s="1" t="s">
        <v>54</v>
      </c>
      <c r="T2993" s="1" t="s">
        <v>634</v>
      </c>
      <c r="U2993" s="1">
        <v>1.0065462E8</v>
      </c>
      <c r="X2993" s="1" t="s">
        <v>74</v>
      </c>
      <c r="Y2993" s="1" t="s">
        <v>1639</v>
      </c>
      <c r="Z2993" s="1" t="s">
        <v>37</v>
      </c>
    </row>
    <row r="2994" hidden="1">
      <c r="A2994" s="1" t="s">
        <v>8977</v>
      </c>
      <c r="B2994" s="1" t="s">
        <v>4407</v>
      </c>
      <c r="C2994" s="1" t="s">
        <v>8978</v>
      </c>
      <c r="D2994" s="1" t="s">
        <v>27</v>
      </c>
      <c r="E2994" s="1" t="s">
        <v>28</v>
      </c>
      <c r="F2994" s="2">
        <v>300000.0</v>
      </c>
      <c r="G2994" s="4">
        <v>44685.0</v>
      </c>
      <c r="H2994" s="4">
        <f>IFERROR(__xludf.DUMMYFUNCTION("DATE(INDEX(SPLIT(G2994,""/""),,3),INDEX(SPLIT(G2994,""/""),,2),INDEX(SPLIT(G2994,""/""),,1))"),44656.0)</f>
        <v>44656</v>
      </c>
      <c r="I2994" s="1" t="s">
        <v>109</v>
      </c>
      <c r="J2994" s="4">
        <f>IFERROR(__xludf.DUMMYFUNCTION("DATE(INDEX(SPLIT(I2994,""/""),,3),INDEX(SPLIT(I2994,""/""),,2),INDEX(SPLIT(I2994,""/""),,1))"),44834.0)</f>
        <v>44834</v>
      </c>
      <c r="L2994" s="1">
        <v>0.0</v>
      </c>
      <c r="M2994" s="1" t="s">
        <v>620</v>
      </c>
      <c r="N2994" s="1"/>
      <c r="O2994" s="1" t="s">
        <v>30</v>
      </c>
      <c r="P2994" s="1" t="s">
        <v>31</v>
      </c>
      <c r="Q2994" s="1" t="s">
        <v>32</v>
      </c>
      <c r="R2994" s="1" t="s">
        <v>32</v>
      </c>
      <c r="S2994" s="1" t="s">
        <v>33</v>
      </c>
      <c r="U2994" s="1">
        <v>1.00609607E8</v>
      </c>
      <c r="X2994" s="1" t="s">
        <v>81</v>
      </c>
      <c r="Y2994" s="1" t="s">
        <v>8979</v>
      </c>
      <c r="Z2994" s="1" t="s">
        <v>37</v>
      </c>
    </row>
    <row r="2995" hidden="1">
      <c r="A2995" s="1" t="s">
        <v>8980</v>
      </c>
      <c r="B2995" s="1" t="s">
        <v>6402</v>
      </c>
      <c r="C2995" s="1" t="s">
        <v>8981</v>
      </c>
      <c r="D2995" s="1" t="s">
        <v>78</v>
      </c>
      <c r="E2995" s="1" t="s">
        <v>28</v>
      </c>
      <c r="F2995" s="2">
        <v>300000.0</v>
      </c>
      <c r="G2995" s="4">
        <v>44230.0</v>
      </c>
      <c r="H2995" s="4">
        <f>IFERROR(__xludf.DUMMYFUNCTION("DATE(INDEX(SPLIT(G2995,""/""),,3),INDEX(SPLIT(G2995,""/""),,2),INDEX(SPLIT(G2995,""/""),,1))"),44257.0)</f>
        <v>44257</v>
      </c>
      <c r="I2995" s="1" t="s">
        <v>130</v>
      </c>
      <c r="J2995" s="4">
        <f>IFERROR(__xludf.DUMMYFUNCTION("DATE(INDEX(SPLIT(I2995,""/""),,3),INDEX(SPLIT(I2995,""/""),,2),INDEX(SPLIT(I2995,""/""),,1))"),44804.0)</f>
        <v>44804</v>
      </c>
      <c r="L2995" s="1">
        <v>0.0</v>
      </c>
      <c r="M2995" s="1" t="s">
        <v>234</v>
      </c>
      <c r="N2995" s="1"/>
      <c r="O2995" s="1" t="s">
        <v>30</v>
      </c>
      <c r="P2995" s="1" t="s">
        <v>31</v>
      </c>
      <c r="Q2995" s="1" t="s">
        <v>235</v>
      </c>
      <c r="R2995" s="1" t="s">
        <v>235</v>
      </c>
      <c r="S2995" s="1" t="s">
        <v>236</v>
      </c>
      <c r="T2995" s="1" t="s">
        <v>237</v>
      </c>
      <c r="U2995" s="1">
        <v>1.00658132E8</v>
      </c>
      <c r="X2995" s="1" t="s">
        <v>239</v>
      </c>
      <c r="Y2995" s="1" t="s">
        <v>4675</v>
      </c>
      <c r="Z2995" s="1" t="s">
        <v>37</v>
      </c>
    </row>
    <row r="2996">
      <c r="A2996" s="1" t="s">
        <v>8982</v>
      </c>
      <c r="B2996" s="1" t="s">
        <v>3424</v>
      </c>
      <c r="C2996" s="1" t="s">
        <v>8983</v>
      </c>
      <c r="D2996" s="1" t="s">
        <v>27</v>
      </c>
      <c r="E2996" s="1" t="s">
        <v>28</v>
      </c>
      <c r="F2996" s="2">
        <v>300000.0</v>
      </c>
      <c r="G2996" s="1" t="s">
        <v>3883</v>
      </c>
      <c r="H2996" s="4">
        <f>IFERROR(__xludf.DUMMYFUNCTION("DATE(INDEX(SPLIT(G2996,""/""),,3),INDEX(SPLIT(G2996,""/""),,2),INDEX(SPLIT(G2996,""/""),,1))"),44666.0)</f>
        <v>44666</v>
      </c>
      <c r="I2996" s="1" t="s">
        <v>503</v>
      </c>
      <c r="J2996" s="4">
        <f>IFERROR(__xludf.DUMMYFUNCTION("DATE(INDEX(SPLIT(I2996,""/""),,3),INDEX(SPLIT(I2996,""/""),,2),INDEX(SPLIT(I2996,""/""),,1))"),44736.0)</f>
        <v>44736</v>
      </c>
      <c r="L2996" s="1">
        <v>0.0</v>
      </c>
      <c r="M2996" s="1" t="s">
        <v>653</v>
      </c>
      <c r="N2996" s="1"/>
      <c r="O2996" s="1" t="s">
        <v>30</v>
      </c>
      <c r="P2996" s="1" t="s">
        <v>31</v>
      </c>
      <c r="Q2996" s="1" t="s">
        <v>157</v>
      </c>
      <c r="R2996" s="1" t="s">
        <v>157</v>
      </c>
      <c r="S2996" s="1" t="s">
        <v>158</v>
      </c>
      <c r="U2996" s="1">
        <v>1.00591141E8</v>
      </c>
      <c r="X2996" s="1" t="s">
        <v>63</v>
      </c>
      <c r="Y2996" s="1" t="s">
        <v>2255</v>
      </c>
      <c r="Z2996" s="1" t="s">
        <v>37</v>
      </c>
    </row>
    <row r="2997">
      <c r="A2997" s="1" t="s">
        <v>8984</v>
      </c>
      <c r="B2997" s="1" t="s">
        <v>1748</v>
      </c>
      <c r="C2997" s="1" t="s">
        <v>8985</v>
      </c>
      <c r="D2997" s="1" t="s">
        <v>78</v>
      </c>
      <c r="E2997" s="1" t="s">
        <v>28</v>
      </c>
      <c r="F2997" s="2">
        <v>300000.0</v>
      </c>
      <c r="G2997" s="1" t="s">
        <v>8986</v>
      </c>
      <c r="H2997" s="4">
        <f>IFERROR(__xludf.DUMMYFUNCTION("DATE(INDEX(SPLIT(G2997,""/""),,3),INDEX(SPLIT(G2997,""/""),,2),INDEX(SPLIT(G2997,""/""),,1))"),44180.0)</f>
        <v>44180</v>
      </c>
      <c r="I2997" s="1" t="s">
        <v>2329</v>
      </c>
      <c r="J2997" s="4">
        <f>IFERROR(__xludf.DUMMYFUNCTION("DATE(INDEX(SPLIT(I2997,""/""),,3),INDEX(SPLIT(I2997,""/""),,2),INDEX(SPLIT(I2997,""/""),,1))"),44732.0)</f>
        <v>44732</v>
      </c>
      <c r="L2997" s="1">
        <v>0.0</v>
      </c>
      <c r="M2997" s="1" t="s">
        <v>2488</v>
      </c>
      <c r="N2997" s="1"/>
      <c r="O2997" s="1" t="s">
        <v>30</v>
      </c>
      <c r="P2997" s="1" t="s">
        <v>31</v>
      </c>
      <c r="Q2997" s="1" t="s">
        <v>95</v>
      </c>
      <c r="R2997" s="1" t="s">
        <v>95</v>
      </c>
      <c r="S2997" s="1" t="s">
        <v>96</v>
      </c>
      <c r="T2997" s="1" t="s">
        <v>602</v>
      </c>
      <c r="U2997" s="1">
        <v>1.00646485E8</v>
      </c>
      <c r="X2997" s="1" t="s">
        <v>88</v>
      </c>
      <c r="Y2997" s="1" t="s">
        <v>4920</v>
      </c>
      <c r="Z2997" s="1" t="s">
        <v>527</v>
      </c>
    </row>
    <row r="2998">
      <c r="A2998" s="1" t="s">
        <v>8987</v>
      </c>
      <c r="B2998" s="1" t="s">
        <v>8420</v>
      </c>
      <c r="C2998" s="1" t="s">
        <v>8988</v>
      </c>
      <c r="D2998" s="1" t="s">
        <v>27</v>
      </c>
      <c r="E2998" s="1" t="s">
        <v>28</v>
      </c>
      <c r="F2998" s="2">
        <v>300000.0</v>
      </c>
      <c r="G2998" s="4">
        <v>44563.0</v>
      </c>
      <c r="H2998" s="4">
        <f>IFERROR(__xludf.DUMMYFUNCTION("DATE(INDEX(SPLIT(G2998,""/""),,3),INDEX(SPLIT(G2998,""/""),,2),INDEX(SPLIT(G2998,""/""),,1))"),44593.0)</f>
        <v>44593</v>
      </c>
      <c r="I2998" s="1" t="s">
        <v>69</v>
      </c>
      <c r="J2998" s="4">
        <f>IFERROR(__xludf.DUMMYFUNCTION("DATE(INDEX(SPLIT(I2998,""/""),,3),INDEX(SPLIT(I2998,""/""),,2),INDEX(SPLIT(I2998,""/""),,1))"),44773.0)</f>
        <v>44773</v>
      </c>
      <c r="L2998" s="1">
        <v>0.0</v>
      </c>
      <c r="M2998" s="1" t="s">
        <v>780</v>
      </c>
      <c r="N2998" s="1"/>
      <c r="O2998" s="1" t="s">
        <v>30</v>
      </c>
      <c r="P2998" s="1" t="s">
        <v>31</v>
      </c>
      <c r="Q2998" s="1" t="s">
        <v>157</v>
      </c>
      <c r="R2998" s="1" t="s">
        <v>157</v>
      </c>
      <c r="S2998" s="1" t="s">
        <v>158</v>
      </c>
      <c r="T2998" s="1" t="s">
        <v>442</v>
      </c>
      <c r="U2998" s="1">
        <v>1.00654914E8</v>
      </c>
      <c r="X2998" s="1" t="s">
        <v>63</v>
      </c>
      <c r="Y2998" s="1" t="s">
        <v>3362</v>
      </c>
      <c r="Z2998" s="1" t="s">
        <v>37</v>
      </c>
    </row>
    <row r="2999" hidden="1">
      <c r="A2999" s="1" t="s">
        <v>8989</v>
      </c>
      <c r="B2999" s="1" t="s">
        <v>3044</v>
      </c>
      <c r="C2999" s="1" t="s">
        <v>8990</v>
      </c>
      <c r="D2999" s="1" t="s">
        <v>78</v>
      </c>
      <c r="E2999" s="1" t="s">
        <v>28</v>
      </c>
      <c r="F2999" s="2">
        <v>300000.0</v>
      </c>
      <c r="G2999" s="1" t="s">
        <v>3853</v>
      </c>
      <c r="H2999" s="4">
        <f>IFERROR(__xludf.DUMMYFUNCTION("DATE(INDEX(SPLIT(G2999,""/""),,3),INDEX(SPLIT(G2999,""/""),,2),INDEX(SPLIT(G2999,""/""),,1))"),44679.0)</f>
        <v>44679</v>
      </c>
      <c r="I2999" s="4">
        <v>44630.0</v>
      </c>
      <c r="J2999" s="4">
        <f>IFERROR(__xludf.DUMMYFUNCTION("DATE(INDEX(SPLIT(I2999,""/""),,3),INDEX(SPLIT(I2999,""/""),,2),INDEX(SPLIT(I2999,""/""),,1))"),44837.0)</f>
        <v>44837</v>
      </c>
      <c r="L2999" s="1">
        <v>0.0</v>
      </c>
      <c r="M2999" s="1" t="s">
        <v>2171</v>
      </c>
      <c r="N2999" s="1"/>
      <c r="O2999" s="1" t="s">
        <v>30</v>
      </c>
      <c r="P2999" s="1" t="s">
        <v>31</v>
      </c>
      <c r="Q2999" s="1" t="s">
        <v>53</v>
      </c>
      <c r="R2999" s="1" t="s">
        <v>53</v>
      </c>
      <c r="S2999" s="1" t="s">
        <v>54</v>
      </c>
      <c r="T2999" s="1" t="s">
        <v>1386</v>
      </c>
      <c r="U2999" s="1">
        <v>1.00638494E8</v>
      </c>
      <c r="X2999" s="1" t="s">
        <v>63</v>
      </c>
      <c r="Y2999" s="1" t="s">
        <v>2172</v>
      </c>
      <c r="Z2999" s="1" t="s">
        <v>527</v>
      </c>
    </row>
    <row r="3000" hidden="1">
      <c r="A3000" s="1" t="s">
        <v>8991</v>
      </c>
      <c r="B3000" s="1" t="s">
        <v>8992</v>
      </c>
      <c r="C3000" s="1" t="s">
        <v>8993</v>
      </c>
      <c r="D3000" s="1" t="s">
        <v>27</v>
      </c>
      <c r="E3000" s="1" t="s">
        <v>28</v>
      </c>
      <c r="F3000" s="2">
        <v>300000.0</v>
      </c>
      <c r="G3000" s="1" t="s">
        <v>4036</v>
      </c>
      <c r="H3000" s="4">
        <f>IFERROR(__xludf.DUMMYFUNCTION("DATE(INDEX(SPLIT(G3000,""/""),,3),INDEX(SPLIT(G3000,""/""),,2),INDEX(SPLIT(G3000,""/""),,1))"),44592.0)</f>
        <v>44592</v>
      </c>
      <c r="I3000" s="1" t="s">
        <v>130</v>
      </c>
      <c r="J3000" s="4">
        <f>IFERROR(__xludf.DUMMYFUNCTION("DATE(INDEX(SPLIT(I3000,""/""),,3),INDEX(SPLIT(I3000,""/""),,2),INDEX(SPLIT(I3000,""/""),,1))"),44804.0)</f>
        <v>44804</v>
      </c>
      <c r="L3000" s="1">
        <v>0.0</v>
      </c>
      <c r="M3000" s="1" t="s">
        <v>891</v>
      </c>
      <c r="N3000" s="1"/>
      <c r="O3000" s="1" t="s">
        <v>30</v>
      </c>
      <c r="P3000" s="1" t="s">
        <v>31</v>
      </c>
      <c r="Q3000" s="1" t="s">
        <v>32</v>
      </c>
      <c r="R3000" s="1" t="s">
        <v>32</v>
      </c>
      <c r="S3000" s="1" t="s">
        <v>33</v>
      </c>
      <c r="T3000" s="1" t="s">
        <v>402</v>
      </c>
      <c r="U3000" s="1">
        <v>1.00866856E8</v>
      </c>
      <c r="X3000" s="1" t="s">
        <v>190</v>
      </c>
      <c r="Y3000" s="1" t="s">
        <v>891</v>
      </c>
      <c r="Z3000" s="1" t="s">
        <v>37</v>
      </c>
    </row>
    <row r="3001" hidden="1">
      <c r="A3001" s="1" t="s">
        <v>8994</v>
      </c>
      <c r="B3001" s="1" t="s">
        <v>8992</v>
      </c>
      <c r="C3001" s="1" t="s">
        <v>8995</v>
      </c>
      <c r="D3001" s="1" t="s">
        <v>27</v>
      </c>
      <c r="E3001" s="1" t="s">
        <v>28</v>
      </c>
      <c r="F3001" s="2">
        <v>300000.0</v>
      </c>
      <c r="G3001" s="1" t="s">
        <v>4036</v>
      </c>
      <c r="H3001" s="4">
        <f>IFERROR(__xludf.DUMMYFUNCTION("DATE(INDEX(SPLIT(G3001,""/""),,3),INDEX(SPLIT(G3001,""/""),,2),INDEX(SPLIT(G3001,""/""),,1))"),44592.0)</f>
        <v>44592</v>
      </c>
      <c r="I3001" s="1" t="s">
        <v>130</v>
      </c>
      <c r="J3001" s="4">
        <f>IFERROR(__xludf.DUMMYFUNCTION("DATE(INDEX(SPLIT(I3001,""/""),,3),INDEX(SPLIT(I3001,""/""),,2),INDEX(SPLIT(I3001,""/""),,1))"),44804.0)</f>
        <v>44804</v>
      </c>
      <c r="L3001" s="1">
        <v>0.0</v>
      </c>
      <c r="M3001" s="1" t="s">
        <v>891</v>
      </c>
      <c r="N3001" s="1"/>
      <c r="O3001" s="1" t="s">
        <v>30</v>
      </c>
      <c r="P3001" s="1" t="s">
        <v>31</v>
      </c>
      <c r="Q3001" s="1" t="s">
        <v>32</v>
      </c>
      <c r="R3001" s="1" t="s">
        <v>32</v>
      </c>
      <c r="S3001" s="1" t="s">
        <v>33</v>
      </c>
      <c r="T3001" s="1" t="s">
        <v>402</v>
      </c>
      <c r="U3001" s="1">
        <v>1.00866856E8</v>
      </c>
      <c r="X3001" s="1" t="s">
        <v>190</v>
      </c>
      <c r="Y3001" s="1" t="s">
        <v>891</v>
      </c>
      <c r="Z3001" s="1" t="s">
        <v>37</v>
      </c>
    </row>
    <row r="3002" hidden="1">
      <c r="A3002" s="1" t="s">
        <v>8996</v>
      </c>
      <c r="B3002" s="1" t="s">
        <v>8992</v>
      </c>
      <c r="C3002" s="1" t="s">
        <v>8997</v>
      </c>
      <c r="D3002" s="1" t="s">
        <v>27</v>
      </c>
      <c r="E3002" s="1" t="s">
        <v>28</v>
      </c>
      <c r="F3002" s="2">
        <v>300000.0</v>
      </c>
      <c r="G3002" s="1" t="s">
        <v>4036</v>
      </c>
      <c r="H3002" s="4">
        <f>IFERROR(__xludf.DUMMYFUNCTION("DATE(INDEX(SPLIT(G3002,""/""),,3),INDEX(SPLIT(G3002,""/""),,2),INDEX(SPLIT(G3002,""/""),,1))"),44592.0)</f>
        <v>44592</v>
      </c>
      <c r="I3002" s="1" t="s">
        <v>130</v>
      </c>
      <c r="J3002" s="4">
        <f>IFERROR(__xludf.DUMMYFUNCTION("DATE(INDEX(SPLIT(I3002,""/""),,3),INDEX(SPLIT(I3002,""/""),,2),INDEX(SPLIT(I3002,""/""),,1))"),44804.0)</f>
        <v>44804</v>
      </c>
      <c r="L3002" s="1">
        <v>0.0</v>
      </c>
      <c r="M3002" s="1" t="s">
        <v>891</v>
      </c>
      <c r="N3002" s="1"/>
      <c r="O3002" s="1" t="s">
        <v>30</v>
      </c>
      <c r="P3002" s="1" t="s">
        <v>31</v>
      </c>
      <c r="Q3002" s="1" t="s">
        <v>32</v>
      </c>
      <c r="R3002" s="1" t="s">
        <v>32</v>
      </c>
      <c r="S3002" s="1" t="s">
        <v>33</v>
      </c>
      <c r="T3002" s="1" t="s">
        <v>442</v>
      </c>
      <c r="U3002" s="1">
        <v>1.00866856E8</v>
      </c>
      <c r="X3002" s="1" t="s">
        <v>190</v>
      </c>
      <c r="Y3002" s="1" t="s">
        <v>891</v>
      </c>
      <c r="Z3002" s="1" t="s">
        <v>37</v>
      </c>
    </row>
    <row r="3003">
      <c r="A3003" s="1" t="s">
        <v>8998</v>
      </c>
      <c r="B3003" s="1" t="s">
        <v>8999</v>
      </c>
      <c r="C3003" s="1" t="s">
        <v>9000</v>
      </c>
      <c r="D3003" s="1" t="s">
        <v>27</v>
      </c>
      <c r="E3003" s="1" t="s">
        <v>28</v>
      </c>
      <c r="F3003" s="2">
        <v>300000.0</v>
      </c>
      <c r="G3003" s="4">
        <v>44868.0</v>
      </c>
      <c r="H3003" s="4">
        <f>IFERROR(__xludf.DUMMYFUNCTION("DATE(INDEX(SPLIT(G3003,""/""),,3),INDEX(SPLIT(G3003,""/""),,2),INDEX(SPLIT(G3003,""/""),,1))"),44631.0)</f>
        <v>44631</v>
      </c>
      <c r="I3003" s="1" t="s">
        <v>226</v>
      </c>
      <c r="J3003" s="4">
        <f>IFERROR(__xludf.DUMMYFUNCTION("DATE(INDEX(SPLIT(I3003,""/""),,3),INDEX(SPLIT(I3003,""/""),,2),INDEX(SPLIT(I3003,""/""),,1))"),44771.0)</f>
        <v>44771</v>
      </c>
      <c r="L3003" s="1">
        <v>0.0</v>
      </c>
      <c r="M3003" s="1" t="s">
        <v>913</v>
      </c>
      <c r="N3003" s="1"/>
      <c r="O3003" s="1" t="s">
        <v>30</v>
      </c>
      <c r="P3003" s="1" t="s">
        <v>31</v>
      </c>
      <c r="Q3003" s="1" t="s">
        <v>71</v>
      </c>
      <c r="R3003" s="1" t="s">
        <v>71</v>
      </c>
      <c r="S3003" s="1" t="s">
        <v>72</v>
      </c>
      <c r="U3003" s="1">
        <v>1.0112897E8</v>
      </c>
      <c r="X3003" s="1" t="s">
        <v>74</v>
      </c>
      <c r="Y3003" s="1" t="s">
        <v>913</v>
      </c>
      <c r="Z3003" s="1" t="s">
        <v>37</v>
      </c>
    </row>
    <row r="3004" hidden="1">
      <c r="A3004" s="1" t="s">
        <v>9001</v>
      </c>
      <c r="B3004" s="1" t="s">
        <v>2009</v>
      </c>
      <c r="C3004" s="1" t="s">
        <v>9002</v>
      </c>
      <c r="D3004" s="1" t="s">
        <v>78</v>
      </c>
      <c r="E3004" s="1" t="s">
        <v>28</v>
      </c>
      <c r="F3004" s="2">
        <v>300000.0</v>
      </c>
      <c r="G3004" s="4">
        <v>43959.0</v>
      </c>
      <c r="H3004" s="4">
        <f>IFERROR(__xludf.DUMMYFUNCTION("DATE(INDEX(SPLIT(G3004,""/""),,3),INDEX(SPLIT(G3004,""/""),,2),INDEX(SPLIT(G3004,""/""),,1))"),44048.0)</f>
        <v>44048</v>
      </c>
      <c r="I3004" s="1" t="s">
        <v>1097</v>
      </c>
      <c r="J3004" s="4">
        <f>IFERROR(__xludf.DUMMYFUNCTION("DATE(INDEX(SPLIT(I3004,""/""),,3),INDEX(SPLIT(I3004,""/""),,2),INDEX(SPLIT(I3004,""/""),,1))"),45107.0)</f>
        <v>45107</v>
      </c>
      <c r="L3004" s="1">
        <v>0.0</v>
      </c>
      <c r="M3004" s="1" t="s">
        <v>3123</v>
      </c>
      <c r="N3004" s="1"/>
      <c r="O3004" s="1" t="s">
        <v>30</v>
      </c>
      <c r="P3004" s="1" t="s">
        <v>31</v>
      </c>
      <c r="Q3004" s="1" t="s">
        <v>157</v>
      </c>
      <c r="R3004" s="1" t="s">
        <v>157</v>
      </c>
      <c r="S3004" s="1" t="s">
        <v>158</v>
      </c>
      <c r="T3004" s="1" t="s">
        <v>571</v>
      </c>
      <c r="U3004" s="1">
        <v>1.00875111E8</v>
      </c>
      <c r="X3004" s="1" t="s">
        <v>239</v>
      </c>
      <c r="Y3004" s="1" t="s">
        <v>3124</v>
      </c>
      <c r="Z3004" s="1" t="s">
        <v>37</v>
      </c>
    </row>
    <row r="3005">
      <c r="A3005" s="1" t="s">
        <v>9003</v>
      </c>
      <c r="B3005" s="1" t="s">
        <v>1371</v>
      </c>
      <c r="C3005" s="1" t="s">
        <v>9004</v>
      </c>
      <c r="D3005" s="1" t="s">
        <v>122</v>
      </c>
      <c r="E3005" s="1" t="s">
        <v>28</v>
      </c>
      <c r="F3005" s="2">
        <v>300000.0</v>
      </c>
      <c r="G3005" s="1" t="s">
        <v>624</v>
      </c>
      <c r="H3005" s="4">
        <f>IFERROR(__xludf.DUMMYFUNCTION("DATE(INDEX(SPLIT(G3005,""/""),,3),INDEX(SPLIT(G3005,""/""),,2),INDEX(SPLIT(G3005,""/""),,1))"),44642.0)</f>
        <v>44642</v>
      </c>
      <c r="I3005" s="1" t="s">
        <v>1501</v>
      </c>
      <c r="J3005" s="4">
        <f>IFERROR(__xludf.DUMMYFUNCTION("DATE(INDEX(SPLIT(I3005,""/""),,3),INDEX(SPLIT(I3005,""/""),,2),INDEX(SPLIT(I3005,""/""),,1))"),44711.0)</f>
        <v>44711</v>
      </c>
      <c r="L3005" s="1">
        <v>0.0</v>
      </c>
      <c r="M3005" s="1" t="s">
        <v>4129</v>
      </c>
      <c r="N3005" s="1"/>
      <c r="O3005" s="1" t="s">
        <v>30</v>
      </c>
      <c r="P3005" s="1" t="s">
        <v>31</v>
      </c>
      <c r="Q3005" s="1" t="s">
        <v>228</v>
      </c>
      <c r="R3005" s="1" t="s">
        <v>228</v>
      </c>
      <c r="S3005" s="1" t="s">
        <v>229</v>
      </c>
      <c r="T3005" s="1" t="s">
        <v>640</v>
      </c>
      <c r="U3005" s="1">
        <v>1.00599268E8</v>
      </c>
      <c r="X3005" s="1" t="s">
        <v>63</v>
      </c>
      <c r="Y3005" s="1" t="s">
        <v>9005</v>
      </c>
      <c r="Z3005" s="1" t="s">
        <v>37</v>
      </c>
    </row>
    <row r="3006" hidden="1">
      <c r="A3006" s="1" t="s">
        <v>9006</v>
      </c>
      <c r="B3006" s="1" t="s">
        <v>1237</v>
      </c>
      <c r="C3006" s="1" t="s">
        <v>9007</v>
      </c>
      <c r="D3006" s="1" t="s">
        <v>27</v>
      </c>
      <c r="E3006" s="1" t="s">
        <v>28</v>
      </c>
      <c r="F3006" s="2">
        <v>300000.0</v>
      </c>
      <c r="G3006" s="1" t="s">
        <v>4047</v>
      </c>
      <c r="H3006" s="4">
        <f>IFERROR(__xludf.DUMMYFUNCTION("DATE(INDEX(SPLIT(G3006,""/""),,3),INDEX(SPLIT(G3006,""/""),,2),INDEX(SPLIT(G3006,""/""),,1))"),44580.0)</f>
        <v>44580</v>
      </c>
      <c r="I3006" s="4">
        <v>44689.0</v>
      </c>
      <c r="J3006" s="4">
        <f>IFERROR(__xludf.DUMMYFUNCTION("DATE(INDEX(SPLIT(I3006,""/""),,3),INDEX(SPLIT(I3006,""/""),,2),INDEX(SPLIT(I3006,""/""),,1))"),44778.0)</f>
        <v>44778</v>
      </c>
      <c r="L3006" s="1">
        <v>0.0</v>
      </c>
      <c r="M3006" s="1" t="s">
        <v>929</v>
      </c>
      <c r="N3006" s="1"/>
      <c r="O3006" s="1" t="s">
        <v>30</v>
      </c>
      <c r="P3006" s="1" t="s">
        <v>31</v>
      </c>
      <c r="Q3006" s="1" t="s">
        <v>71</v>
      </c>
      <c r="R3006" s="1" t="s">
        <v>71</v>
      </c>
      <c r="S3006" s="1" t="s">
        <v>72</v>
      </c>
      <c r="T3006" s="1" t="s">
        <v>73</v>
      </c>
      <c r="U3006" s="1">
        <v>1.00649698E8</v>
      </c>
      <c r="X3006" s="1" t="s">
        <v>74</v>
      </c>
      <c r="Y3006" s="1" t="s">
        <v>929</v>
      </c>
      <c r="Z3006" s="1" t="s">
        <v>37</v>
      </c>
    </row>
    <row r="3007" hidden="1">
      <c r="A3007" s="1" t="s">
        <v>9008</v>
      </c>
      <c r="B3007" s="1" t="s">
        <v>2128</v>
      </c>
      <c r="C3007" s="1" t="s">
        <v>9009</v>
      </c>
      <c r="D3007" s="1" t="s">
        <v>78</v>
      </c>
      <c r="E3007" s="1" t="s">
        <v>28</v>
      </c>
      <c r="F3007" s="2">
        <v>300000.0</v>
      </c>
      <c r="G3007" s="4">
        <v>44205.0</v>
      </c>
      <c r="H3007" s="4">
        <f>IFERROR(__xludf.DUMMYFUNCTION("DATE(INDEX(SPLIT(G3007,""/""),,3),INDEX(SPLIT(G3007,""/""),,2),INDEX(SPLIT(G3007,""/""),,1))"),44440.0)</f>
        <v>44440</v>
      </c>
      <c r="I3007" s="1" t="s">
        <v>109</v>
      </c>
      <c r="J3007" s="4">
        <f>IFERROR(__xludf.DUMMYFUNCTION("DATE(INDEX(SPLIT(I3007,""/""),,3),INDEX(SPLIT(I3007,""/""),,2),INDEX(SPLIT(I3007,""/""),,1))"),44834.0)</f>
        <v>44834</v>
      </c>
      <c r="L3007" s="1">
        <v>0.0</v>
      </c>
      <c r="M3007" s="1" t="s">
        <v>1027</v>
      </c>
      <c r="N3007" s="1"/>
      <c r="O3007" s="1" t="s">
        <v>30</v>
      </c>
      <c r="P3007" s="1" t="s">
        <v>31</v>
      </c>
      <c r="Q3007" s="1" t="s">
        <v>53</v>
      </c>
      <c r="R3007" s="1" t="s">
        <v>53</v>
      </c>
      <c r="S3007" s="1" t="s">
        <v>54</v>
      </c>
      <c r="T3007" s="1" t="s">
        <v>181</v>
      </c>
      <c r="U3007" s="1">
        <v>1.00879751E8</v>
      </c>
      <c r="X3007" s="1" t="s">
        <v>88</v>
      </c>
      <c r="Y3007" s="1" t="s">
        <v>6561</v>
      </c>
      <c r="Z3007" s="1" t="s">
        <v>37</v>
      </c>
    </row>
    <row r="3008" hidden="1">
      <c r="A3008" s="1" t="s">
        <v>9010</v>
      </c>
      <c r="B3008" s="1" t="s">
        <v>66</v>
      </c>
      <c r="C3008" s="1" t="s">
        <v>9011</v>
      </c>
      <c r="D3008" s="1" t="s">
        <v>27</v>
      </c>
      <c r="E3008" s="1" t="s">
        <v>28</v>
      </c>
      <c r="F3008" s="2">
        <v>300000.0</v>
      </c>
      <c r="G3008" s="4">
        <v>44654.0</v>
      </c>
      <c r="H3008" s="4">
        <f>IFERROR(__xludf.DUMMYFUNCTION("DATE(INDEX(SPLIT(G3008,""/""),,3),INDEX(SPLIT(G3008,""/""),,2),INDEX(SPLIT(G3008,""/""),,1))"),44624.0)</f>
        <v>44624</v>
      </c>
      <c r="I3008" s="1" t="s">
        <v>109</v>
      </c>
      <c r="J3008" s="4">
        <f>IFERROR(__xludf.DUMMYFUNCTION("DATE(INDEX(SPLIT(I3008,""/""),,3),INDEX(SPLIT(I3008,""/""),,2),INDEX(SPLIT(I3008,""/""),,1))"),44834.0)</f>
        <v>44834</v>
      </c>
      <c r="L3008" s="1">
        <v>0.0</v>
      </c>
      <c r="M3008" s="1" t="s">
        <v>7296</v>
      </c>
      <c r="N3008" s="1"/>
      <c r="O3008" s="1" t="s">
        <v>30</v>
      </c>
      <c r="P3008" s="1" t="s">
        <v>31</v>
      </c>
      <c r="Q3008" s="1" t="s">
        <v>71</v>
      </c>
      <c r="R3008" s="1" t="s">
        <v>71</v>
      </c>
      <c r="S3008" s="1" t="s">
        <v>72</v>
      </c>
      <c r="T3008" s="1" t="s">
        <v>73</v>
      </c>
      <c r="U3008" s="1">
        <v>1.00594243E8</v>
      </c>
      <c r="X3008" s="1" t="s">
        <v>74</v>
      </c>
      <c r="Y3008" s="1" t="s">
        <v>7629</v>
      </c>
      <c r="Z3008" s="1" t="s">
        <v>206</v>
      </c>
    </row>
    <row r="3009" hidden="1">
      <c r="A3009" s="1" t="s">
        <v>9012</v>
      </c>
      <c r="B3009" s="1" t="s">
        <v>83</v>
      </c>
      <c r="C3009" s="1" t="s">
        <v>9013</v>
      </c>
      <c r="D3009" s="1" t="s">
        <v>27</v>
      </c>
      <c r="E3009" s="1" t="s">
        <v>28</v>
      </c>
      <c r="F3009" s="2">
        <v>300000.0</v>
      </c>
      <c r="G3009" s="4">
        <v>44208.0</v>
      </c>
      <c r="H3009" s="4">
        <f>IFERROR(__xludf.DUMMYFUNCTION("DATE(INDEX(SPLIT(G3009,""/""),,3),INDEX(SPLIT(G3009,""/""),,2),INDEX(SPLIT(G3009,""/""),,1))"),44531.0)</f>
        <v>44531</v>
      </c>
      <c r="I3009" s="1" t="s">
        <v>42</v>
      </c>
      <c r="J3009" s="4">
        <f>IFERROR(__xludf.DUMMYFUNCTION("DATE(INDEX(SPLIT(I3009,""/""),,3),INDEX(SPLIT(I3009,""/""),,2),INDEX(SPLIT(I3009,""/""),,1))"),44926.0)</f>
        <v>44926</v>
      </c>
      <c r="L3009" s="1">
        <v>0.0</v>
      </c>
      <c r="M3009" s="1" t="s">
        <v>1944</v>
      </c>
      <c r="N3009" s="1"/>
      <c r="O3009" s="1" t="s">
        <v>30</v>
      </c>
      <c r="P3009" s="1" t="s">
        <v>31</v>
      </c>
      <c r="Q3009" s="1" t="s">
        <v>235</v>
      </c>
      <c r="R3009" s="1" t="s">
        <v>235</v>
      </c>
      <c r="S3009" s="1" t="s">
        <v>236</v>
      </c>
      <c r="T3009" s="1" t="s">
        <v>753</v>
      </c>
      <c r="U3009" s="1">
        <v>1.00628186E8</v>
      </c>
      <c r="X3009" s="1" t="s">
        <v>88</v>
      </c>
      <c r="Y3009" s="1" t="s">
        <v>3030</v>
      </c>
      <c r="Z3009" s="1" t="s">
        <v>37</v>
      </c>
    </row>
    <row r="3010" hidden="1">
      <c r="A3010" s="1" t="s">
        <v>9014</v>
      </c>
      <c r="B3010" s="1" t="s">
        <v>492</v>
      </c>
      <c r="C3010" s="1" t="s">
        <v>9015</v>
      </c>
      <c r="D3010" s="1" t="s">
        <v>78</v>
      </c>
      <c r="E3010" s="1" t="s">
        <v>28</v>
      </c>
      <c r="F3010" s="2">
        <v>300000.0</v>
      </c>
      <c r="G3010" s="1" t="s">
        <v>394</v>
      </c>
      <c r="H3010" s="4">
        <f>IFERROR(__xludf.DUMMYFUNCTION("DATE(INDEX(SPLIT(G3010,""/""),,3),INDEX(SPLIT(G3010,""/""),,2),INDEX(SPLIT(G3010,""/""),,1))"),44677.0)</f>
        <v>44677</v>
      </c>
      <c r="I3010" s="1" t="s">
        <v>109</v>
      </c>
      <c r="J3010" s="4">
        <f>IFERROR(__xludf.DUMMYFUNCTION("DATE(INDEX(SPLIT(I3010,""/""),,3),INDEX(SPLIT(I3010,""/""),,2),INDEX(SPLIT(I3010,""/""),,1))"),44834.0)</f>
        <v>44834</v>
      </c>
      <c r="L3010" s="1">
        <v>0.0</v>
      </c>
      <c r="M3010" s="1" t="s">
        <v>5888</v>
      </c>
      <c r="N3010" s="1"/>
      <c r="O3010" s="1" t="s">
        <v>30</v>
      </c>
      <c r="P3010" s="1" t="s">
        <v>31</v>
      </c>
      <c r="Q3010" s="1" t="s">
        <v>32</v>
      </c>
      <c r="R3010" s="1" t="s">
        <v>32</v>
      </c>
      <c r="S3010" s="1" t="s">
        <v>33</v>
      </c>
      <c r="U3010" s="1">
        <v>1.00586334E8</v>
      </c>
      <c r="X3010" s="1" t="s">
        <v>46</v>
      </c>
      <c r="Y3010" s="1" t="s">
        <v>698</v>
      </c>
      <c r="Z3010" s="1" t="s">
        <v>37</v>
      </c>
    </row>
    <row r="3011" hidden="1">
      <c r="A3011" s="1" t="s">
        <v>9016</v>
      </c>
      <c r="B3011" s="1" t="s">
        <v>9017</v>
      </c>
      <c r="C3011" s="1" t="s">
        <v>9018</v>
      </c>
      <c r="D3011" s="1" t="s">
        <v>122</v>
      </c>
      <c r="E3011" s="1" t="s">
        <v>28</v>
      </c>
      <c r="F3011" s="2">
        <v>300000.0</v>
      </c>
      <c r="G3011" s="4">
        <v>44719.0</v>
      </c>
      <c r="H3011" s="4">
        <f>IFERROR(__xludf.DUMMYFUNCTION("DATE(INDEX(SPLIT(G3011,""/""),,3),INDEX(SPLIT(G3011,""/""),,2),INDEX(SPLIT(G3011,""/""),,1))"),44748.0)</f>
        <v>44748</v>
      </c>
      <c r="I3011" s="1" t="s">
        <v>130</v>
      </c>
      <c r="J3011" s="4">
        <f>IFERROR(__xludf.DUMMYFUNCTION("DATE(INDEX(SPLIT(I3011,""/""),,3),INDEX(SPLIT(I3011,""/""),,2),INDEX(SPLIT(I3011,""/""),,1))"),44804.0)</f>
        <v>44804</v>
      </c>
      <c r="L3011" s="1">
        <v>0.0</v>
      </c>
      <c r="M3011" s="1" t="s">
        <v>7725</v>
      </c>
      <c r="N3011" s="1"/>
      <c r="O3011" s="1" t="s">
        <v>30</v>
      </c>
      <c r="P3011" s="1" t="s">
        <v>31</v>
      </c>
      <c r="Q3011" s="1" t="s">
        <v>157</v>
      </c>
      <c r="R3011" s="1" t="s">
        <v>157</v>
      </c>
      <c r="S3011" s="1" t="s">
        <v>158</v>
      </c>
      <c r="U3011" s="1">
        <v>1.0065252E8</v>
      </c>
      <c r="X3011" s="1" t="s">
        <v>2769</v>
      </c>
      <c r="Y3011" s="1" t="s">
        <v>7725</v>
      </c>
      <c r="Z3011" s="1" t="s">
        <v>527</v>
      </c>
    </row>
    <row r="3012" hidden="1">
      <c r="A3012" s="1" t="s">
        <v>9019</v>
      </c>
      <c r="B3012" s="1" t="s">
        <v>106</v>
      </c>
      <c r="C3012" s="1" t="s">
        <v>9020</v>
      </c>
      <c r="D3012" s="1" t="s">
        <v>27</v>
      </c>
      <c r="E3012" s="1" t="s">
        <v>28</v>
      </c>
      <c r="F3012" s="2">
        <v>300000.0</v>
      </c>
      <c r="G3012" s="1" t="s">
        <v>1244</v>
      </c>
      <c r="H3012" s="4">
        <f>IFERROR(__xludf.DUMMYFUNCTION("DATE(INDEX(SPLIT(G3012,""/""),,3),INDEX(SPLIT(G3012,""/""),,2),INDEX(SPLIT(G3012,""/""),,1))"),44742.0)</f>
        <v>44742</v>
      </c>
      <c r="I3012" s="1" t="s">
        <v>109</v>
      </c>
      <c r="J3012" s="4">
        <f>IFERROR(__xludf.DUMMYFUNCTION("DATE(INDEX(SPLIT(I3012,""/""),,3),INDEX(SPLIT(I3012,""/""),,2),INDEX(SPLIT(I3012,""/""),,1))"),44834.0)</f>
        <v>44834</v>
      </c>
      <c r="L3012" s="1">
        <v>0.0</v>
      </c>
      <c r="M3012" s="1" t="s">
        <v>3182</v>
      </c>
      <c r="N3012" s="1"/>
      <c r="O3012" s="1" t="s">
        <v>30</v>
      </c>
      <c r="P3012" s="1" t="s">
        <v>31</v>
      </c>
      <c r="Q3012" s="1" t="s">
        <v>32</v>
      </c>
      <c r="R3012" s="1" t="s">
        <v>32</v>
      </c>
      <c r="S3012" s="1" t="s">
        <v>33</v>
      </c>
      <c r="U3012" s="1">
        <v>1.00592587E8</v>
      </c>
      <c r="X3012" s="1" t="s">
        <v>63</v>
      </c>
      <c r="Y3012" s="1" t="s">
        <v>3182</v>
      </c>
      <c r="Z3012" s="1" t="s">
        <v>37</v>
      </c>
    </row>
    <row r="3013" hidden="1">
      <c r="A3013" s="1" t="s">
        <v>9021</v>
      </c>
      <c r="B3013" s="1" t="s">
        <v>1619</v>
      </c>
      <c r="C3013" s="1" t="s">
        <v>9022</v>
      </c>
      <c r="D3013" s="1" t="s">
        <v>27</v>
      </c>
      <c r="E3013" s="1" t="s">
        <v>28</v>
      </c>
      <c r="F3013" s="2">
        <v>300000.0</v>
      </c>
      <c r="G3013" s="4">
        <v>44866.0</v>
      </c>
      <c r="H3013" s="4">
        <f>IFERROR(__xludf.DUMMYFUNCTION("DATE(INDEX(SPLIT(G3013,""/""),,3),INDEX(SPLIT(G3013,""/""),,2),INDEX(SPLIT(G3013,""/""),,1))"),44572.0)</f>
        <v>44572</v>
      </c>
      <c r="I3013" s="1" t="s">
        <v>130</v>
      </c>
      <c r="J3013" s="4">
        <f>IFERROR(__xludf.DUMMYFUNCTION("DATE(INDEX(SPLIT(I3013,""/""),,3),INDEX(SPLIT(I3013,""/""),,2),INDEX(SPLIT(I3013,""/""),,1))"),44804.0)</f>
        <v>44804</v>
      </c>
      <c r="L3013" s="1">
        <v>0.0</v>
      </c>
      <c r="M3013" s="1" t="s">
        <v>1621</v>
      </c>
      <c r="N3013" s="1"/>
      <c r="O3013" s="1" t="s">
        <v>30</v>
      </c>
      <c r="P3013" s="1" t="s">
        <v>31</v>
      </c>
      <c r="Q3013" s="1" t="s">
        <v>157</v>
      </c>
      <c r="R3013" s="1" t="s">
        <v>157</v>
      </c>
      <c r="S3013" s="1" t="s">
        <v>158</v>
      </c>
      <c r="T3013" s="1" t="s">
        <v>159</v>
      </c>
      <c r="U3013" s="1">
        <v>1.00650783E8</v>
      </c>
      <c r="X3013" s="1" t="s">
        <v>117</v>
      </c>
      <c r="Y3013" s="1" t="s">
        <v>1621</v>
      </c>
      <c r="Z3013" s="1" t="s">
        <v>37</v>
      </c>
    </row>
    <row r="3014" hidden="1">
      <c r="A3014" s="1" t="s">
        <v>9023</v>
      </c>
      <c r="B3014" s="1" t="s">
        <v>6188</v>
      </c>
      <c r="C3014" s="1" t="s">
        <v>9024</v>
      </c>
      <c r="D3014" s="1" t="s">
        <v>27</v>
      </c>
      <c r="E3014" s="1" t="s">
        <v>28</v>
      </c>
      <c r="F3014" s="2">
        <v>300000.0</v>
      </c>
      <c r="G3014" s="1" t="s">
        <v>1244</v>
      </c>
      <c r="H3014" s="4">
        <f>IFERROR(__xludf.DUMMYFUNCTION("DATE(INDEX(SPLIT(G3014,""/""),,3),INDEX(SPLIT(G3014,""/""),,2),INDEX(SPLIT(G3014,""/""),,1))"),44742.0)</f>
        <v>44742</v>
      </c>
      <c r="I3014" s="1" t="s">
        <v>102</v>
      </c>
      <c r="J3014" s="4">
        <f>IFERROR(__xludf.DUMMYFUNCTION("DATE(INDEX(SPLIT(I3014,""/""),,3),INDEX(SPLIT(I3014,""/""),,2),INDEX(SPLIT(I3014,""/""),,1))"),45046.0)</f>
        <v>45046</v>
      </c>
      <c r="L3014" s="1">
        <v>0.0</v>
      </c>
      <c r="M3014" s="1" t="s">
        <v>3182</v>
      </c>
      <c r="N3014" s="1"/>
      <c r="O3014" s="1" t="s">
        <v>30</v>
      </c>
      <c r="P3014" s="1" t="s">
        <v>31</v>
      </c>
      <c r="Q3014" s="1" t="s">
        <v>32</v>
      </c>
      <c r="R3014" s="1" t="s">
        <v>32</v>
      </c>
      <c r="S3014" s="1" t="s">
        <v>33</v>
      </c>
      <c r="U3014" s="1">
        <v>1.00592587E8</v>
      </c>
      <c r="X3014" s="1" t="s">
        <v>63</v>
      </c>
      <c r="Y3014" s="1" t="s">
        <v>3182</v>
      </c>
      <c r="Z3014" s="1" t="s">
        <v>37</v>
      </c>
    </row>
    <row r="3015" hidden="1">
      <c r="A3015" s="1" t="s">
        <v>9025</v>
      </c>
      <c r="B3015" s="1" t="s">
        <v>9026</v>
      </c>
      <c r="C3015" s="1" t="s">
        <v>9027</v>
      </c>
      <c r="D3015" s="1" t="s">
        <v>78</v>
      </c>
      <c r="E3015" s="1" t="s">
        <v>28</v>
      </c>
      <c r="F3015" s="2">
        <v>300000.0</v>
      </c>
      <c r="G3015" s="1" t="s">
        <v>935</v>
      </c>
      <c r="H3015" s="4">
        <f>IFERROR(__xludf.DUMMYFUNCTION("DATE(INDEX(SPLIT(G3015,""/""),,3),INDEX(SPLIT(G3015,""/""),,2),INDEX(SPLIT(G3015,""/""),,1))"),44764.0)</f>
        <v>44764</v>
      </c>
      <c r="I3015" s="1" t="s">
        <v>109</v>
      </c>
      <c r="J3015" s="4">
        <f>IFERROR(__xludf.DUMMYFUNCTION("DATE(INDEX(SPLIT(I3015,""/""),,3),INDEX(SPLIT(I3015,""/""),,2),INDEX(SPLIT(I3015,""/""),,1))"),44834.0)</f>
        <v>44834</v>
      </c>
      <c r="L3015" s="1">
        <v>0.0</v>
      </c>
      <c r="M3015" s="1" t="s">
        <v>9028</v>
      </c>
      <c r="N3015" s="1"/>
      <c r="O3015" s="1" t="s">
        <v>30</v>
      </c>
      <c r="P3015" s="1" t="s">
        <v>31</v>
      </c>
      <c r="Q3015" s="1" t="s">
        <v>71</v>
      </c>
      <c r="R3015" s="1" t="s">
        <v>71</v>
      </c>
      <c r="S3015" s="1" t="s">
        <v>72</v>
      </c>
      <c r="U3015" s="1">
        <v>1.01249415E8</v>
      </c>
      <c r="X3015" s="1" t="s">
        <v>74</v>
      </c>
      <c r="Y3015" s="1" t="s">
        <v>9029</v>
      </c>
      <c r="Z3015" s="1" t="s">
        <v>206</v>
      </c>
    </row>
    <row r="3016" hidden="1">
      <c r="A3016" s="1" t="s">
        <v>9030</v>
      </c>
      <c r="B3016" s="1" t="s">
        <v>301</v>
      </c>
      <c r="C3016" s="1" t="s">
        <v>9031</v>
      </c>
      <c r="D3016" s="1" t="s">
        <v>78</v>
      </c>
      <c r="E3016" s="1" t="s">
        <v>28</v>
      </c>
      <c r="F3016" s="2">
        <v>300000.0</v>
      </c>
      <c r="G3016" s="1" t="s">
        <v>6460</v>
      </c>
      <c r="H3016" s="4">
        <f>IFERROR(__xludf.DUMMYFUNCTION("DATE(INDEX(SPLIT(G3016,""/""),,3),INDEX(SPLIT(G3016,""/""),,2),INDEX(SPLIT(G3016,""/""),,1))"),44433.0)</f>
        <v>44433</v>
      </c>
      <c r="I3016" s="1" t="s">
        <v>134</v>
      </c>
      <c r="J3016" s="4">
        <f>IFERROR(__xludf.DUMMYFUNCTION("DATE(INDEX(SPLIT(I3016,""/""),,3),INDEX(SPLIT(I3016,""/""),,2),INDEX(SPLIT(I3016,""/""),,1))"),44792.0)</f>
        <v>44792</v>
      </c>
      <c r="L3016" s="1">
        <v>0.0</v>
      </c>
      <c r="M3016" s="1" t="s">
        <v>873</v>
      </c>
      <c r="N3016" s="1"/>
      <c r="O3016" s="1" t="s">
        <v>30</v>
      </c>
      <c r="P3016" s="1" t="s">
        <v>31</v>
      </c>
      <c r="Q3016" s="1" t="s">
        <v>157</v>
      </c>
      <c r="R3016" s="1" t="s">
        <v>157</v>
      </c>
      <c r="S3016" s="1" t="s">
        <v>158</v>
      </c>
      <c r="T3016" s="1" t="s">
        <v>442</v>
      </c>
      <c r="U3016" s="1">
        <v>1.00586701E8</v>
      </c>
      <c r="X3016" s="1" t="s">
        <v>305</v>
      </c>
      <c r="Y3016" s="1" t="s">
        <v>1103</v>
      </c>
      <c r="Z3016" s="1" t="s">
        <v>37</v>
      </c>
    </row>
    <row r="3017" hidden="1">
      <c r="A3017" s="1" t="s">
        <v>9032</v>
      </c>
      <c r="B3017" s="1" t="s">
        <v>25</v>
      </c>
      <c r="C3017" s="1" t="s">
        <v>9033</v>
      </c>
      <c r="D3017" s="1" t="s">
        <v>78</v>
      </c>
      <c r="E3017" s="1" t="s">
        <v>28</v>
      </c>
      <c r="F3017" s="2">
        <v>300000.0</v>
      </c>
      <c r="G3017" s="4">
        <v>44294.0</v>
      </c>
      <c r="H3017" s="4">
        <f>IFERROR(__xludf.DUMMYFUNCTION("DATE(INDEX(SPLIT(G3017,""/""),,3),INDEX(SPLIT(G3017,""/""),,2),INDEX(SPLIT(G3017,""/""),,1))"),44412.0)</f>
        <v>44412</v>
      </c>
      <c r="I3017" s="4">
        <v>44601.0</v>
      </c>
      <c r="J3017" s="4">
        <f>IFERROR(__xludf.DUMMYFUNCTION("DATE(INDEX(SPLIT(I3017,""/""),,3),INDEX(SPLIT(I3017,""/""),,2),INDEX(SPLIT(I3017,""/""),,1))"),44806.0)</f>
        <v>44806</v>
      </c>
      <c r="L3017" s="1">
        <v>0.0</v>
      </c>
      <c r="M3017" s="1" t="s">
        <v>4609</v>
      </c>
      <c r="N3017" s="1"/>
      <c r="O3017" s="1" t="s">
        <v>30</v>
      </c>
      <c r="P3017" s="1" t="s">
        <v>31</v>
      </c>
      <c r="Q3017" s="1" t="s">
        <v>157</v>
      </c>
      <c r="R3017" s="1" t="s">
        <v>157</v>
      </c>
      <c r="S3017" s="1" t="s">
        <v>158</v>
      </c>
      <c r="U3017" s="1">
        <v>1.00660061E8</v>
      </c>
      <c r="X3017" s="1" t="s">
        <v>35</v>
      </c>
      <c r="Y3017" s="1" t="s">
        <v>3411</v>
      </c>
      <c r="Z3017" s="1" t="s">
        <v>206</v>
      </c>
    </row>
    <row r="3018" hidden="1">
      <c r="A3018" s="1" t="s">
        <v>9034</v>
      </c>
      <c r="B3018" s="1" t="s">
        <v>532</v>
      </c>
      <c r="C3018" s="1" t="s">
        <v>9035</v>
      </c>
      <c r="D3018" s="1" t="s">
        <v>27</v>
      </c>
      <c r="E3018" s="1" t="s">
        <v>28</v>
      </c>
      <c r="F3018" s="2">
        <v>300000.0</v>
      </c>
      <c r="G3018" s="4">
        <v>44107.0</v>
      </c>
      <c r="H3018" s="4">
        <f>IFERROR(__xludf.DUMMYFUNCTION("DATE(INDEX(SPLIT(G3018,""/""),,3),INDEX(SPLIT(G3018,""/""),,2),INDEX(SPLIT(G3018,""/""),,1))"),43900.0)</f>
        <v>43900</v>
      </c>
      <c r="I3018" s="1" t="s">
        <v>109</v>
      </c>
      <c r="J3018" s="4">
        <f>IFERROR(__xludf.DUMMYFUNCTION("DATE(INDEX(SPLIT(I3018,""/""),,3),INDEX(SPLIT(I3018,""/""),,2),INDEX(SPLIT(I3018,""/""),,1))"),44834.0)</f>
        <v>44834</v>
      </c>
      <c r="L3018" s="1">
        <v>0.0</v>
      </c>
      <c r="M3018" s="1" t="s">
        <v>488</v>
      </c>
      <c r="N3018" s="1"/>
      <c r="O3018" s="1" t="s">
        <v>30</v>
      </c>
      <c r="P3018" s="1" t="s">
        <v>31</v>
      </c>
      <c r="Q3018" s="1" t="s">
        <v>95</v>
      </c>
      <c r="R3018" s="1" t="s">
        <v>95</v>
      </c>
      <c r="S3018" s="1" t="s">
        <v>96</v>
      </c>
      <c r="T3018" s="1" t="s">
        <v>159</v>
      </c>
      <c r="U3018" s="1">
        <v>1.00611486E8</v>
      </c>
      <c r="X3018" s="1" t="s">
        <v>490</v>
      </c>
      <c r="Y3018" s="1" t="s">
        <v>1649</v>
      </c>
      <c r="Z3018" s="1" t="s">
        <v>37</v>
      </c>
    </row>
    <row r="3019">
      <c r="A3019" s="1" t="s">
        <v>9036</v>
      </c>
      <c r="B3019" s="1" t="s">
        <v>774</v>
      </c>
      <c r="C3019" s="1" t="s">
        <v>9037</v>
      </c>
      <c r="D3019" s="1" t="s">
        <v>27</v>
      </c>
      <c r="E3019" s="1" t="s">
        <v>28</v>
      </c>
      <c r="F3019" s="2">
        <v>300000.0</v>
      </c>
      <c r="G3019" s="1" t="s">
        <v>9038</v>
      </c>
      <c r="H3019" s="4">
        <f>IFERROR(__xludf.DUMMYFUNCTION("DATE(INDEX(SPLIT(G3019,""/""),,3),INDEX(SPLIT(G3019,""/""),,2),INDEX(SPLIT(G3019,""/""),,1))"),44132.0)</f>
        <v>44132</v>
      </c>
      <c r="I3019" s="1" t="s">
        <v>2422</v>
      </c>
      <c r="J3019" s="4">
        <f>IFERROR(__xludf.DUMMYFUNCTION("DATE(INDEX(SPLIT(I3019,""/""),,3),INDEX(SPLIT(I3019,""/""),,2),INDEX(SPLIT(I3019,""/""),,1))"),44769.0)</f>
        <v>44769</v>
      </c>
      <c r="L3019" s="1">
        <v>0.0</v>
      </c>
      <c r="M3019" s="1" t="s">
        <v>2336</v>
      </c>
      <c r="N3019" s="1"/>
      <c r="O3019" s="1" t="s">
        <v>30</v>
      </c>
      <c r="P3019" s="1" t="s">
        <v>31</v>
      </c>
      <c r="Q3019" s="1" t="s">
        <v>235</v>
      </c>
      <c r="R3019" s="1" t="s">
        <v>235</v>
      </c>
      <c r="S3019" s="1" t="s">
        <v>236</v>
      </c>
      <c r="T3019" s="1" t="s">
        <v>9039</v>
      </c>
      <c r="U3019" s="1">
        <v>1.00608366E8</v>
      </c>
      <c r="X3019" s="1" t="s">
        <v>239</v>
      </c>
      <c r="Y3019" s="1" t="s">
        <v>2336</v>
      </c>
      <c r="Z3019" s="1" t="s">
        <v>37</v>
      </c>
    </row>
    <row r="3020" hidden="1">
      <c r="A3020" s="1" t="s">
        <v>9040</v>
      </c>
      <c r="B3020" s="1" t="s">
        <v>7571</v>
      </c>
      <c r="C3020" s="1" t="s">
        <v>9041</v>
      </c>
      <c r="D3020" s="1" t="s">
        <v>122</v>
      </c>
      <c r="E3020" s="1" t="s">
        <v>28</v>
      </c>
      <c r="F3020" s="2">
        <v>300000.0</v>
      </c>
      <c r="G3020" s="1" t="s">
        <v>779</v>
      </c>
      <c r="H3020" s="4">
        <f>IFERROR(__xludf.DUMMYFUNCTION("DATE(INDEX(SPLIT(G3020,""/""),,3),INDEX(SPLIT(G3020,""/""),,2),INDEX(SPLIT(G3020,""/""),,1))"),44734.0)</f>
        <v>44734</v>
      </c>
      <c r="I3020" s="4">
        <v>44903.0</v>
      </c>
      <c r="J3020" s="4">
        <f>IFERROR(__xludf.DUMMYFUNCTION("DATE(INDEX(SPLIT(I3020,""/""),,3),INDEX(SPLIT(I3020,""/""),,2),INDEX(SPLIT(I3020,""/""),,1))"),44785.0)</f>
        <v>44785</v>
      </c>
      <c r="L3020" s="1">
        <v>0.0</v>
      </c>
      <c r="M3020" s="1" t="s">
        <v>3617</v>
      </c>
      <c r="N3020" s="1"/>
      <c r="O3020" s="1" t="s">
        <v>30</v>
      </c>
      <c r="P3020" s="1" t="s">
        <v>31</v>
      </c>
      <c r="Q3020" s="1" t="s">
        <v>53</v>
      </c>
      <c r="R3020" s="1" t="s">
        <v>53</v>
      </c>
      <c r="S3020" s="1" t="s">
        <v>54</v>
      </c>
      <c r="T3020" s="1" t="s">
        <v>634</v>
      </c>
      <c r="U3020" s="1">
        <v>1.00568413E8</v>
      </c>
      <c r="X3020" s="1" t="s">
        <v>74</v>
      </c>
      <c r="Y3020" s="1" t="s">
        <v>3617</v>
      </c>
      <c r="Z3020" s="1" t="s">
        <v>37</v>
      </c>
    </row>
    <row r="3021">
      <c r="A3021" s="1" t="s">
        <v>9042</v>
      </c>
      <c r="B3021" s="1" t="s">
        <v>1720</v>
      </c>
      <c r="C3021" s="1" t="s">
        <v>9043</v>
      </c>
      <c r="D3021" s="1" t="s">
        <v>122</v>
      </c>
      <c r="E3021" s="1" t="s">
        <v>28</v>
      </c>
      <c r="F3021" s="2">
        <v>300000.0</v>
      </c>
      <c r="G3021" s="1" t="s">
        <v>2963</v>
      </c>
      <c r="H3021" s="4">
        <f>IFERROR(__xludf.DUMMYFUNCTION("DATE(INDEX(SPLIT(G3021,""/""),,3),INDEX(SPLIT(G3021,""/""),,2),INDEX(SPLIT(G3021,""/""),,1))"),44524.0)</f>
        <v>44524</v>
      </c>
      <c r="I3021" s="1" t="s">
        <v>226</v>
      </c>
      <c r="J3021" s="4">
        <f>IFERROR(__xludf.DUMMYFUNCTION("DATE(INDEX(SPLIT(I3021,""/""),,3),INDEX(SPLIT(I3021,""/""),,2),INDEX(SPLIT(I3021,""/""),,1))"),44771.0)</f>
        <v>44771</v>
      </c>
      <c r="L3021" s="1">
        <v>0.0</v>
      </c>
      <c r="M3021" s="1" t="s">
        <v>1723</v>
      </c>
      <c r="N3021" s="1"/>
      <c r="O3021" s="1" t="s">
        <v>30</v>
      </c>
      <c r="P3021" s="1" t="s">
        <v>31</v>
      </c>
      <c r="Q3021" s="1" t="s">
        <v>157</v>
      </c>
      <c r="R3021" s="1" t="s">
        <v>157</v>
      </c>
      <c r="S3021" s="1" t="s">
        <v>158</v>
      </c>
      <c r="T3021" s="1" t="s">
        <v>159</v>
      </c>
      <c r="U3021" s="1">
        <v>1.00654085E8</v>
      </c>
      <c r="X3021" s="1" t="s">
        <v>74</v>
      </c>
      <c r="Y3021" s="1" t="s">
        <v>6503</v>
      </c>
      <c r="Z3021" s="1" t="s">
        <v>37</v>
      </c>
    </row>
    <row r="3022">
      <c r="A3022" s="1" t="s">
        <v>9044</v>
      </c>
      <c r="B3022" s="1" t="s">
        <v>3661</v>
      </c>
      <c r="C3022" s="1" t="s">
        <v>9045</v>
      </c>
      <c r="D3022" s="1" t="s">
        <v>27</v>
      </c>
      <c r="E3022" s="1" t="s">
        <v>28</v>
      </c>
      <c r="F3022" s="2">
        <v>300000.0</v>
      </c>
      <c r="G3022" s="4">
        <v>44481.0</v>
      </c>
      <c r="H3022" s="4">
        <f>IFERROR(__xludf.DUMMYFUNCTION("DATE(INDEX(SPLIT(G3022,""/""),,3),INDEX(SPLIT(G3022,""/""),,2),INDEX(SPLIT(G3022,""/""),,1))"),44540.0)</f>
        <v>44540</v>
      </c>
      <c r="I3022" s="1" t="s">
        <v>226</v>
      </c>
      <c r="J3022" s="4">
        <f>IFERROR(__xludf.DUMMYFUNCTION("DATE(INDEX(SPLIT(I3022,""/""),,3),INDEX(SPLIT(I3022,""/""),,2),INDEX(SPLIT(I3022,""/""),,1))"),44771.0)</f>
        <v>44771</v>
      </c>
      <c r="L3022" s="1">
        <v>0.0</v>
      </c>
      <c r="M3022" s="1" t="s">
        <v>913</v>
      </c>
      <c r="N3022" s="1"/>
      <c r="O3022" s="1" t="s">
        <v>30</v>
      </c>
      <c r="P3022" s="1" t="s">
        <v>31</v>
      </c>
      <c r="Q3022" s="1" t="s">
        <v>71</v>
      </c>
      <c r="R3022" s="1" t="s">
        <v>71</v>
      </c>
      <c r="S3022" s="1" t="s">
        <v>72</v>
      </c>
      <c r="U3022" s="1">
        <v>1.0112897E8</v>
      </c>
      <c r="X3022" s="1" t="s">
        <v>74</v>
      </c>
      <c r="Y3022" s="1" t="s">
        <v>913</v>
      </c>
      <c r="Z3022" s="1" t="s">
        <v>37</v>
      </c>
    </row>
    <row r="3023" hidden="1">
      <c r="A3023" s="1" t="s">
        <v>9046</v>
      </c>
      <c r="B3023" s="1" t="s">
        <v>756</v>
      </c>
      <c r="C3023" s="1" t="s">
        <v>9047</v>
      </c>
      <c r="D3023" s="1" t="s">
        <v>68</v>
      </c>
      <c r="E3023" s="1" t="s">
        <v>28</v>
      </c>
      <c r="F3023" s="2">
        <v>300000.0</v>
      </c>
      <c r="G3023" s="4">
        <v>44565.0</v>
      </c>
      <c r="H3023" s="4">
        <f>IFERROR(__xludf.DUMMYFUNCTION("DATE(INDEX(SPLIT(G3023,""/""),,3),INDEX(SPLIT(G3023,""/""),,2),INDEX(SPLIT(G3023,""/""),,1))"),44652.0)</f>
        <v>44652</v>
      </c>
      <c r="I3023" s="1" t="s">
        <v>130</v>
      </c>
      <c r="J3023" s="4">
        <f>IFERROR(__xludf.DUMMYFUNCTION("DATE(INDEX(SPLIT(I3023,""/""),,3),INDEX(SPLIT(I3023,""/""),,2),INDEX(SPLIT(I3023,""/""),,1))"),44804.0)</f>
        <v>44804</v>
      </c>
      <c r="L3023" s="1">
        <v>0.0</v>
      </c>
      <c r="M3023" s="1" t="s">
        <v>459</v>
      </c>
      <c r="N3023" s="1"/>
      <c r="O3023" s="1" t="s">
        <v>30</v>
      </c>
      <c r="P3023" s="1" t="s">
        <v>31</v>
      </c>
      <c r="Q3023" s="1" t="s">
        <v>53</v>
      </c>
      <c r="R3023" s="1" t="s">
        <v>53</v>
      </c>
      <c r="S3023" s="1" t="s">
        <v>54</v>
      </c>
      <c r="T3023" s="1" t="s">
        <v>87</v>
      </c>
      <c r="U3023" s="1">
        <v>1.00653756E8</v>
      </c>
      <c r="X3023" s="1" t="s">
        <v>88</v>
      </c>
      <c r="Y3023" s="1" t="s">
        <v>9048</v>
      </c>
      <c r="Z3023" s="1" t="s">
        <v>37</v>
      </c>
    </row>
    <row r="3024">
      <c r="A3024" s="1" t="s">
        <v>9049</v>
      </c>
      <c r="B3024" s="1" t="s">
        <v>1144</v>
      </c>
      <c r="C3024" s="1" t="s">
        <v>9050</v>
      </c>
      <c r="D3024" s="1" t="s">
        <v>27</v>
      </c>
      <c r="E3024" s="1" t="s">
        <v>28</v>
      </c>
      <c r="F3024" s="2">
        <v>300000.0</v>
      </c>
      <c r="G3024" s="4">
        <v>44900.0</v>
      </c>
      <c r="H3024" s="4">
        <f>IFERROR(__xludf.DUMMYFUNCTION("DATE(INDEX(SPLIT(G3024,""/""),,3),INDEX(SPLIT(G3024,""/""),,2),INDEX(SPLIT(G3024,""/""),,1))"),44693.0)</f>
        <v>44693</v>
      </c>
      <c r="I3024" s="1" t="s">
        <v>1244</v>
      </c>
      <c r="J3024" s="4">
        <f>IFERROR(__xludf.DUMMYFUNCTION("DATE(INDEX(SPLIT(I3024,""/""),,3),INDEX(SPLIT(I3024,""/""),,2),INDEX(SPLIT(I3024,""/""),,1))"),44742.0)</f>
        <v>44742</v>
      </c>
      <c r="L3024" s="1">
        <v>0.0</v>
      </c>
      <c r="M3024" s="1" t="s">
        <v>2614</v>
      </c>
      <c r="N3024" s="1"/>
      <c r="O3024" s="1" t="s">
        <v>30</v>
      </c>
      <c r="P3024" s="1" t="s">
        <v>31</v>
      </c>
      <c r="Q3024" s="1" t="s">
        <v>53</v>
      </c>
      <c r="R3024" s="1" t="s">
        <v>53</v>
      </c>
      <c r="S3024" s="1" t="s">
        <v>54</v>
      </c>
      <c r="U3024" s="1">
        <v>1.00592932E8</v>
      </c>
      <c r="V3024" s="1" t="s">
        <v>9050</v>
      </c>
      <c r="W3024" s="1" t="s">
        <v>717</v>
      </c>
      <c r="X3024" s="1" t="s">
        <v>63</v>
      </c>
      <c r="Y3024" s="1" t="s">
        <v>9051</v>
      </c>
      <c r="Z3024" s="1" t="s">
        <v>37</v>
      </c>
    </row>
    <row r="3025">
      <c r="A3025" s="1" t="s">
        <v>9052</v>
      </c>
      <c r="B3025" s="1" t="s">
        <v>4582</v>
      </c>
      <c r="C3025" s="1" t="s">
        <v>9053</v>
      </c>
      <c r="D3025" s="1" t="s">
        <v>68</v>
      </c>
      <c r="E3025" s="1" t="s">
        <v>28</v>
      </c>
      <c r="F3025" s="2">
        <v>300000.0</v>
      </c>
      <c r="G3025" s="4">
        <v>44869.0</v>
      </c>
      <c r="H3025" s="4">
        <f>IFERROR(__xludf.DUMMYFUNCTION("DATE(INDEX(SPLIT(G3025,""/""),,3),INDEX(SPLIT(G3025,""/""),,2),INDEX(SPLIT(G3025,""/""),,1))"),44662.0)</f>
        <v>44662</v>
      </c>
      <c r="I3025" s="1" t="s">
        <v>935</v>
      </c>
      <c r="J3025" s="4">
        <f>IFERROR(__xludf.DUMMYFUNCTION("DATE(INDEX(SPLIT(I3025,""/""),,3),INDEX(SPLIT(I3025,""/""),,2),INDEX(SPLIT(I3025,""/""),,1))"),44764.0)</f>
        <v>44764</v>
      </c>
      <c r="L3025" s="1">
        <v>0.0</v>
      </c>
      <c r="M3025" s="1" t="s">
        <v>542</v>
      </c>
      <c r="N3025" s="1"/>
      <c r="O3025" s="1" t="s">
        <v>30</v>
      </c>
      <c r="P3025" s="1" t="s">
        <v>31</v>
      </c>
      <c r="Q3025" s="1" t="s">
        <v>53</v>
      </c>
      <c r="R3025" s="1" t="s">
        <v>53</v>
      </c>
      <c r="S3025" s="1" t="s">
        <v>54</v>
      </c>
      <c r="T3025" s="1" t="s">
        <v>181</v>
      </c>
      <c r="U3025" s="1">
        <v>1.01001596E8</v>
      </c>
      <c r="V3025" s="1" t="s">
        <v>9054</v>
      </c>
      <c r="W3025" s="1" t="s">
        <v>717</v>
      </c>
      <c r="X3025" s="1" t="s">
        <v>74</v>
      </c>
      <c r="Y3025" s="1" t="s">
        <v>4925</v>
      </c>
      <c r="Z3025" s="1" t="s">
        <v>37</v>
      </c>
    </row>
    <row r="3026" hidden="1">
      <c r="A3026" s="1" t="s">
        <v>9055</v>
      </c>
      <c r="B3026" s="1" t="s">
        <v>4747</v>
      </c>
      <c r="C3026" s="1" t="s">
        <v>9056</v>
      </c>
      <c r="D3026" s="1" t="s">
        <v>27</v>
      </c>
      <c r="E3026" s="1" t="s">
        <v>28</v>
      </c>
      <c r="F3026" s="2">
        <v>300000.0</v>
      </c>
      <c r="G3026" s="1" t="s">
        <v>600</v>
      </c>
      <c r="H3026" s="4">
        <f>IFERROR(__xludf.DUMMYFUNCTION("DATE(INDEX(SPLIT(G3026,""/""),,3),INDEX(SPLIT(G3026,""/""),,2),INDEX(SPLIT(G3026,""/""),,1))"),44665.0)</f>
        <v>44665</v>
      </c>
      <c r="I3026" s="1" t="s">
        <v>130</v>
      </c>
      <c r="J3026" s="4">
        <f>IFERROR(__xludf.DUMMYFUNCTION("DATE(INDEX(SPLIT(I3026,""/""),,3),INDEX(SPLIT(I3026,""/""),,2),INDEX(SPLIT(I3026,""/""),,1))"),44804.0)</f>
        <v>44804</v>
      </c>
      <c r="L3026" s="1">
        <v>0.0</v>
      </c>
      <c r="M3026" s="1" t="s">
        <v>4323</v>
      </c>
      <c r="N3026" s="1"/>
      <c r="O3026" s="1" t="s">
        <v>30</v>
      </c>
      <c r="P3026" s="1" t="s">
        <v>31</v>
      </c>
      <c r="Q3026" s="1" t="s">
        <v>157</v>
      </c>
      <c r="R3026" s="1" t="s">
        <v>157</v>
      </c>
      <c r="S3026" s="1" t="s">
        <v>158</v>
      </c>
      <c r="U3026" s="1">
        <v>1.00607244E8</v>
      </c>
      <c r="X3026" s="1" t="s">
        <v>305</v>
      </c>
      <c r="Y3026" s="1" t="s">
        <v>4323</v>
      </c>
      <c r="Z3026" s="1" t="s">
        <v>37</v>
      </c>
    </row>
    <row r="3027" hidden="1">
      <c r="A3027" s="1" t="s">
        <v>9057</v>
      </c>
      <c r="B3027" s="1" t="s">
        <v>4747</v>
      </c>
      <c r="C3027" s="1" t="s">
        <v>9058</v>
      </c>
      <c r="D3027" s="1" t="s">
        <v>27</v>
      </c>
      <c r="E3027" s="1" t="s">
        <v>28</v>
      </c>
      <c r="F3027" s="2">
        <v>300000.0</v>
      </c>
      <c r="G3027" s="1" t="s">
        <v>600</v>
      </c>
      <c r="H3027" s="4">
        <f>IFERROR(__xludf.DUMMYFUNCTION("DATE(INDEX(SPLIT(G3027,""/""),,3),INDEX(SPLIT(G3027,""/""),,2),INDEX(SPLIT(G3027,""/""),,1))"),44665.0)</f>
        <v>44665</v>
      </c>
      <c r="I3027" s="1" t="s">
        <v>130</v>
      </c>
      <c r="J3027" s="4">
        <f>IFERROR(__xludf.DUMMYFUNCTION("DATE(INDEX(SPLIT(I3027,""/""),,3),INDEX(SPLIT(I3027,""/""),,2),INDEX(SPLIT(I3027,""/""),,1))"),44804.0)</f>
        <v>44804</v>
      </c>
      <c r="L3027" s="1">
        <v>0.0</v>
      </c>
      <c r="M3027" s="1" t="s">
        <v>4323</v>
      </c>
      <c r="N3027" s="1"/>
      <c r="O3027" s="1" t="s">
        <v>30</v>
      </c>
      <c r="P3027" s="1" t="s">
        <v>31</v>
      </c>
      <c r="Q3027" s="1" t="s">
        <v>157</v>
      </c>
      <c r="R3027" s="1" t="s">
        <v>157</v>
      </c>
      <c r="S3027" s="1" t="s">
        <v>158</v>
      </c>
      <c r="U3027" s="1">
        <v>1.00607244E8</v>
      </c>
      <c r="X3027" s="1" t="s">
        <v>305</v>
      </c>
      <c r="Y3027" s="1" t="s">
        <v>4323</v>
      </c>
      <c r="Z3027" s="1" t="s">
        <v>37</v>
      </c>
    </row>
    <row r="3028" hidden="1">
      <c r="A3028" s="1" t="s">
        <v>9059</v>
      </c>
      <c r="B3028" s="1" t="s">
        <v>4080</v>
      </c>
      <c r="C3028" s="1" t="s">
        <v>9060</v>
      </c>
      <c r="D3028" s="1" t="s">
        <v>78</v>
      </c>
      <c r="E3028" s="1" t="s">
        <v>28</v>
      </c>
      <c r="F3028" s="2">
        <v>300000.0</v>
      </c>
      <c r="G3028" s="4">
        <v>44866.0</v>
      </c>
      <c r="H3028" s="4">
        <f>IFERROR(__xludf.DUMMYFUNCTION("DATE(INDEX(SPLIT(G3028,""/""),,3),INDEX(SPLIT(G3028,""/""),,2),INDEX(SPLIT(G3028,""/""),,1))"),44572.0)</f>
        <v>44572</v>
      </c>
      <c r="I3028" s="1" t="s">
        <v>130</v>
      </c>
      <c r="J3028" s="4">
        <f>IFERROR(__xludf.DUMMYFUNCTION("DATE(INDEX(SPLIT(I3028,""/""),,3),INDEX(SPLIT(I3028,""/""),,2),INDEX(SPLIT(I3028,""/""),,1))"),44804.0)</f>
        <v>44804</v>
      </c>
      <c r="L3028" s="1">
        <v>0.0</v>
      </c>
      <c r="M3028" s="1" t="s">
        <v>344</v>
      </c>
      <c r="N3028" s="1"/>
      <c r="O3028" s="1" t="s">
        <v>30</v>
      </c>
      <c r="P3028" s="1" t="s">
        <v>31</v>
      </c>
      <c r="Q3028" s="1" t="s">
        <v>188</v>
      </c>
      <c r="R3028" s="1" t="s">
        <v>188</v>
      </c>
      <c r="S3028" s="1" t="s">
        <v>189</v>
      </c>
      <c r="U3028" s="1">
        <v>1.00646804E8</v>
      </c>
      <c r="X3028" s="1" t="s">
        <v>239</v>
      </c>
      <c r="Y3028" s="1" t="s">
        <v>9061</v>
      </c>
      <c r="Z3028" s="1" t="s">
        <v>37</v>
      </c>
    </row>
    <row r="3029" hidden="1">
      <c r="A3029" s="1" t="s">
        <v>9062</v>
      </c>
      <c r="B3029" s="1" t="s">
        <v>645</v>
      </c>
      <c r="C3029" s="1" t="s">
        <v>9063</v>
      </c>
      <c r="D3029" s="1" t="s">
        <v>78</v>
      </c>
      <c r="E3029" s="1" t="s">
        <v>28</v>
      </c>
      <c r="F3029" s="2">
        <v>300000.0</v>
      </c>
      <c r="G3029" s="4">
        <v>44567.0</v>
      </c>
      <c r="H3029" s="4">
        <f>IFERROR(__xludf.DUMMYFUNCTION("DATE(INDEX(SPLIT(G3029,""/""),,3),INDEX(SPLIT(G3029,""/""),,2),INDEX(SPLIT(G3029,""/""),,1))"),44713.0)</f>
        <v>44713</v>
      </c>
      <c r="I3029" s="4">
        <v>45170.0</v>
      </c>
      <c r="J3029" s="4">
        <f>IFERROR(__xludf.DUMMYFUNCTION("DATE(INDEX(SPLIT(I3029,""/""),,3),INDEX(SPLIT(I3029,""/""),,2),INDEX(SPLIT(I3029,""/""),,1))"),44935.0)</f>
        <v>44935</v>
      </c>
      <c r="L3029" s="1">
        <v>0.0</v>
      </c>
      <c r="M3029" s="1" t="s">
        <v>1614</v>
      </c>
      <c r="N3029" s="1"/>
      <c r="O3029" s="1" t="s">
        <v>30</v>
      </c>
      <c r="P3029" s="1" t="s">
        <v>31</v>
      </c>
      <c r="Q3029" s="1" t="s">
        <v>32</v>
      </c>
      <c r="R3029" s="1" t="s">
        <v>32</v>
      </c>
      <c r="S3029" s="1" t="s">
        <v>33</v>
      </c>
      <c r="U3029" s="1">
        <v>1.00587799E8</v>
      </c>
      <c r="X3029" s="1" t="s">
        <v>46</v>
      </c>
      <c r="Y3029" s="1" t="s">
        <v>9064</v>
      </c>
      <c r="Z3029" s="1" t="s">
        <v>37</v>
      </c>
    </row>
    <row r="3030" hidden="1">
      <c r="A3030" s="1" t="s">
        <v>9065</v>
      </c>
      <c r="B3030" s="1" t="s">
        <v>2609</v>
      </c>
      <c r="C3030" s="1" t="s">
        <v>9066</v>
      </c>
      <c r="D3030" s="1" t="s">
        <v>27</v>
      </c>
      <c r="E3030" s="1" t="s">
        <v>28</v>
      </c>
      <c r="F3030" s="2">
        <v>300000.0</v>
      </c>
      <c r="G3030" s="1" t="s">
        <v>624</v>
      </c>
      <c r="H3030" s="4">
        <f>IFERROR(__xludf.DUMMYFUNCTION("DATE(INDEX(SPLIT(G3030,""/""),,3),INDEX(SPLIT(G3030,""/""),,2),INDEX(SPLIT(G3030,""/""),,1))"),44642.0)</f>
        <v>44642</v>
      </c>
      <c r="I3030" s="1" t="s">
        <v>317</v>
      </c>
      <c r="J3030" s="4">
        <f>IFERROR(__xludf.DUMMYFUNCTION("DATE(INDEX(SPLIT(I3030,""/""),,3),INDEX(SPLIT(I3030,""/""),,2),INDEX(SPLIT(I3030,""/""),,1))"),44862.0)</f>
        <v>44862</v>
      </c>
      <c r="L3030" s="1">
        <v>0.0</v>
      </c>
      <c r="M3030" s="1" t="s">
        <v>1514</v>
      </c>
      <c r="N3030" s="1"/>
      <c r="O3030" s="1" t="s">
        <v>30</v>
      </c>
      <c r="P3030" s="1" t="s">
        <v>31</v>
      </c>
      <c r="Q3030" s="1" t="s">
        <v>71</v>
      </c>
      <c r="R3030" s="1" t="s">
        <v>71</v>
      </c>
      <c r="S3030" s="1" t="s">
        <v>72</v>
      </c>
      <c r="T3030" s="1" t="s">
        <v>615</v>
      </c>
      <c r="U3030" s="1">
        <v>1.006324E8</v>
      </c>
      <c r="X3030" s="1" t="s">
        <v>490</v>
      </c>
      <c r="Y3030" s="1" t="s">
        <v>1514</v>
      </c>
      <c r="Z3030" s="1" t="s">
        <v>37</v>
      </c>
    </row>
    <row r="3031" hidden="1">
      <c r="A3031" s="1" t="s">
        <v>9067</v>
      </c>
      <c r="B3031" s="1" t="s">
        <v>1535</v>
      </c>
      <c r="C3031" s="1" t="s">
        <v>9068</v>
      </c>
      <c r="D3031" s="1" t="s">
        <v>27</v>
      </c>
      <c r="E3031" s="1" t="s">
        <v>28</v>
      </c>
      <c r="F3031" s="2">
        <v>300000.0</v>
      </c>
      <c r="G3031" s="4">
        <v>44840.0</v>
      </c>
      <c r="H3031" s="4">
        <f>IFERROR(__xludf.DUMMYFUNCTION("DATE(INDEX(SPLIT(G3031,""/""),,3),INDEX(SPLIT(G3031,""/""),,2),INDEX(SPLIT(G3031,""/""),,1))"),44722.0)</f>
        <v>44722</v>
      </c>
      <c r="I3031" s="1" t="s">
        <v>1909</v>
      </c>
      <c r="J3031" s="4">
        <f>IFERROR(__xludf.DUMMYFUNCTION("DATE(INDEX(SPLIT(I3031,""/""),,3),INDEX(SPLIT(I3031,""/""),,2),INDEX(SPLIT(I3031,""/""),,1))"),44883.0)</f>
        <v>44883</v>
      </c>
      <c r="L3031" s="1">
        <v>0.0</v>
      </c>
      <c r="M3031" s="1" t="s">
        <v>1704</v>
      </c>
      <c r="N3031" s="1"/>
      <c r="O3031" s="1" t="s">
        <v>30</v>
      </c>
      <c r="P3031" s="1" t="s">
        <v>31</v>
      </c>
      <c r="Q3031" s="1" t="s">
        <v>157</v>
      </c>
      <c r="R3031" s="1" t="s">
        <v>157</v>
      </c>
      <c r="S3031" s="1" t="s">
        <v>158</v>
      </c>
      <c r="T3031" s="1" t="s">
        <v>442</v>
      </c>
      <c r="U3031" s="1">
        <v>1.00654991E8</v>
      </c>
      <c r="X3031" s="1" t="s">
        <v>490</v>
      </c>
      <c r="Y3031" s="1" t="s">
        <v>1969</v>
      </c>
      <c r="Z3031" s="1" t="s">
        <v>37</v>
      </c>
    </row>
    <row r="3032" hidden="1">
      <c r="A3032" s="1" t="s">
        <v>9069</v>
      </c>
      <c r="B3032" s="1" t="s">
        <v>9070</v>
      </c>
      <c r="C3032" s="1" t="s">
        <v>9071</v>
      </c>
      <c r="D3032" s="1" t="s">
        <v>122</v>
      </c>
      <c r="E3032" s="1" t="s">
        <v>28</v>
      </c>
      <c r="F3032" s="2">
        <v>300000.0</v>
      </c>
      <c r="G3032" s="4">
        <v>44565.0</v>
      </c>
      <c r="H3032" s="4">
        <f>IFERROR(__xludf.DUMMYFUNCTION("DATE(INDEX(SPLIT(G3032,""/""),,3),INDEX(SPLIT(G3032,""/""),,2),INDEX(SPLIT(G3032,""/""),,1))"),44652.0)</f>
        <v>44652</v>
      </c>
      <c r="I3032" s="1" t="s">
        <v>109</v>
      </c>
      <c r="J3032" s="4">
        <f>IFERROR(__xludf.DUMMYFUNCTION("DATE(INDEX(SPLIT(I3032,""/""),,3),INDEX(SPLIT(I3032,""/""),,2),INDEX(SPLIT(I3032,""/""),,1))"),44834.0)</f>
        <v>44834</v>
      </c>
      <c r="L3032" s="1">
        <v>0.0</v>
      </c>
      <c r="M3032" s="1" t="s">
        <v>979</v>
      </c>
      <c r="N3032" s="1"/>
      <c r="O3032" s="1" t="s">
        <v>30</v>
      </c>
      <c r="P3032" s="1" t="s">
        <v>31</v>
      </c>
      <c r="Q3032" s="1" t="s">
        <v>235</v>
      </c>
      <c r="R3032" s="1" t="s">
        <v>235</v>
      </c>
      <c r="S3032" s="1" t="s">
        <v>236</v>
      </c>
      <c r="T3032" s="1" t="s">
        <v>438</v>
      </c>
      <c r="U3032" s="1">
        <v>1.00647262E8</v>
      </c>
      <c r="X3032" s="1" t="s">
        <v>88</v>
      </c>
      <c r="Y3032" s="1" t="s">
        <v>1582</v>
      </c>
      <c r="Z3032" s="1" t="s">
        <v>37</v>
      </c>
    </row>
    <row r="3033" hidden="1">
      <c r="A3033" s="1" t="s">
        <v>9072</v>
      </c>
      <c r="B3033" s="1" t="s">
        <v>1854</v>
      </c>
      <c r="C3033" s="1" t="s">
        <v>9073</v>
      </c>
      <c r="D3033" s="1" t="s">
        <v>27</v>
      </c>
      <c r="E3033" s="1" t="s">
        <v>28</v>
      </c>
      <c r="F3033" s="2">
        <v>300000.0</v>
      </c>
      <c r="G3033" s="4">
        <v>44837.0</v>
      </c>
      <c r="H3033" s="4">
        <f>IFERROR(__xludf.DUMMYFUNCTION("DATE(INDEX(SPLIT(G3033,""/""),,3),INDEX(SPLIT(G3033,""/""),,2),INDEX(SPLIT(G3033,""/""),,1))"),44630.0)</f>
        <v>44630</v>
      </c>
      <c r="I3033" s="1" t="s">
        <v>130</v>
      </c>
      <c r="J3033" s="4">
        <f>IFERROR(__xludf.DUMMYFUNCTION("DATE(INDEX(SPLIT(I3033,""/""),,3),INDEX(SPLIT(I3033,""/""),,2),INDEX(SPLIT(I3033,""/""),,1))"),44804.0)</f>
        <v>44804</v>
      </c>
      <c r="L3033" s="1">
        <v>0.0</v>
      </c>
      <c r="M3033" s="1" t="s">
        <v>3236</v>
      </c>
      <c r="N3033" s="1"/>
      <c r="O3033" s="1" t="s">
        <v>30</v>
      </c>
      <c r="P3033" s="1" t="s">
        <v>31</v>
      </c>
      <c r="Q3033" s="1" t="s">
        <v>53</v>
      </c>
      <c r="R3033" s="1" t="s">
        <v>53</v>
      </c>
      <c r="S3033" s="1" t="s">
        <v>54</v>
      </c>
      <c r="U3033" s="1">
        <v>1.00650453E8</v>
      </c>
      <c r="X3033" s="1" t="s">
        <v>63</v>
      </c>
      <c r="Y3033" s="1" t="s">
        <v>3236</v>
      </c>
      <c r="Z3033" s="1" t="s">
        <v>37</v>
      </c>
    </row>
    <row r="3034" hidden="1">
      <c r="A3034" s="1" t="s">
        <v>9074</v>
      </c>
      <c r="B3034" s="1" t="s">
        <v>2620</v>
      </c>
      <c r="C3034" s="1" t="s">
        <v>9075</v>
      </c>
      <c r="D3034" s="1" t="s">
        <v>78</v>
      </c>
      <c r="E3034" s="1" t="s">
        <v>28</v>
      </c>
      <c r="F3034" s="2">
        <v>300000.0</v>
      </c>
      <c r="G3034" s="1" t="s">
        <v>1521</v>
      </c>
      <c r="H3034" s="4">
        <f>IFERROR(__xludf.DUMMYFUNCTION("DATE(INDEX(SPLIT(G3034,""/""),,3),INDEX(SPLIT(G3034,""/""),,2),INDEX(SPLIT(G3034,""/""),,1))"),44756.0)</f>
        <v>44756</v>
      </c>
      <c r="I3034" s="1" t="s">
        <v>130</v>
      </c>
      <c r="J3034" s="4">
        <f>IFERROR(__xludf.DUMMYFUNCTION("DATE(INDEX(SPLIT(I3034,""/""),,3),INDEX(SPLIT(I3034,""/""),,2),INDEX(SPLIT(I3034,""/""),,1))"),44804.0)</f>
        <v>44804</v>
      </c>
      <c r="L3034" s="1">
        <v>0.0</v>
      </c>
      <c r="M3034" s="1" t="s">
        <v>2623</v>
      </c>
      <c r="N3034" s="1"/>
      <c r="O3034" s="1" t="s">
        <v>30</v>
      </c>
      <c r="P3034" s="1" t="s">
        <v>31</v>
      </c>
      <c r="Q3034" s="1" t="s">
        <v>71</v>
      </c>
      <c r="R3034" s="1" t="s">
        <v>71</v>
      </c>
      <c r="S3034" s="1" t="s">
        <v>72</v>
      </c>
      <c r="T3034" s="1" t="s">
        <v>73</v>
      </c>
      <c r="U3034" s="1">
        <v>1.00618842E8</v>
      </c>
      <c r="X3034" s="1" t="s">
        <v>74</v>
      </c>
      <c r="Y3034" s="1" t="s">
        <v>8445</v>
      </c>
      <c r="Z3034" s="1" t="s">
        <v>37</v>
      </c>
    </row>
    <row r="3035" hidden="1">
      <c r="A3035" s="1" t="s">
        <v>9076</v>
      </c>
      <c r="B3035" s="1" t="s">
        <v>784</v>
      </c>
      <c r="C3035" s="1" t="s">
        <v>9077</v>
      </c>
      <c r="D3035" s="1" t="s">
        <v>27</v>
      </c>
      <c r="E3035" s="1" t="s">
        <v>28</v>
      </c>
      <c r="F3035" s="2">
        <v>300000.0</v>
      </c>
      <c r="G3035" s="1" t="s">
        <v>185</v>
      </c>
      <c r="H3035" s="4">
        <f>IFERROR(__xludf.DUMMYFUNCTION("DATE(INDEX(SPLIT(G3035,""/""),,3),INDEX(SPLIT(G3035,""/""),,2),INDEX(SPLIT(G3035,""/""),,1))"),44741.0)</f>
        <v>44741</v>
      </c>
      <c r="I3035" s="1" t="s">
        <v>109</v>
      </c>
      <c r="J3035" s="4">
        <f>IFERROR(__xludf.DUMMYFUNCTION("DATE(INDEX(SPLIT(I3035,""/""),,3),INDEX(SPLIT(I3035,""/""),,2),INDEX(SPLIT(I3035,""/""),,1))"),44834.0)</f>
        <v>44834</v>
      </c>
      <c r="L3035" s="1">
        <v>0.0</v>
      </c>
      <c r="M3035" s="1" t="s">
        <v>7686</v>
      </c>
      <c r="N3035" s="1"/>
      <c r="O3035" s="1" t="s">
        <v>30</v>
      </c>
      <c r="P3035" s="1" t="s">
        <v>31</v>
      </c>
      <c r="Q3035" s="1" t="s">
        <v>188</v>
      </c>
      <c r="R3035" s="1" t="s">
        <v>188</v>
      </c>
      <c r="S3035" s="1" t="s">
        <v>189</v>
      </c>
      <c r="T3035" s="1" t="s">
        <v>1344</v>
      </c>
      <c r="U3035" s="1">
        <v>1.00623248E8</v>
      </c>
      <c r="V3035" s="1" t="s">
        <v>9078</v>
      </c>
      <c r="W3035" s="1" t="s">
        <v>717</v>
      </c>
      <c r="X3035" s="1" t="s">
        <v>63</v>
      </c>
      <c r="Y3035" s="1" t="s">
        <v>7686</v>
      </c>
      <c r="Z3035" s="1" t="s">
        <v>206</v>
      </c>
    </row>
    <row r="3036">
      <c r="A3036" s="1" t="s">
        <v>9079</v>
      </c>
      <c r="B3036" s="1" t="s">
        <v>1866</v>
      </c>
      <c r="C3036" s="1" t="s">
        <v>9080</v>
      </c>
      <c r="D3036" s="1" t="s">
        <v>78</v>
      </c>
      <c r="E3036" s="1" t="s">
        <v>28</v>
      </c>
      <c r="F3036" s="2">
        <v>300000.0</v>
      </c>
      <c r="G3036" s="1" t="s">
        <v>534</v>
      </c>
      <c r="H3036" s="4">
        <f>IFERROR(__xludf.DUMMYFUNCTION("DATE(INDEX(SPLIT(G3036,""/""),,3),INDEX(SPLIT(G3036,""/""),,2),INDEX(SPLIT(G3036,""/""),,1))"),44704.0)</f>
        <v>44704</v>
      </c>
      <c r="I3036" s="4">
        <v>44626.0</v>
      </c>
      <c r="J3036" s="4">
        <f>IFERROR(__xludf.DUMMYFUNCTION("DATE(INDEX(SPLIT(I3036,""/""),,3),INDEX(SPLIT(I3036,""/""),,2),INDEX(SPLIT(I3036,""/""),,1))"),44715.0)</f>
        <v>44715</v>
      </c>
      <c r="L3036" s="1">
        <v>0.0</v>
      </c>
      <c r="M3036" s="1" t="s">
        <v>3768</v>
      </c>
      <c r="N3036" s="1"/>
      <c r="O3036" s="1" t="s">
        <v>30</v>
      </c>
      <c r="P3036" s="1" t="s">
        <v>31</v>
      </c>
      <c r="Q3036" s="1" t="s">
        <v>157</v>
      </c>
      <c r="R3036" s="1" t="s">
        <v>157</v>
      </c>
      <c r="S3036" s="1" t="s">
        <v>158</v>
      </c>
      <c r="U3036" s="1">
        <v>1.00633763E8</v>
      </c>
      <c r="X3036" s="1" t="s">
        <v>63</v>
      </c>
      <c r="Y3036" s="1" t="s">
        <v>9081</v>
      </c>
      <c r="Z3036" s="1" t="s">
        <v>37</v>
      </c>
    </row>
    <row r="3037">
      <c r="A3037" s="1" t="s">
        <v>9082</v>
      </c>
      <c r="B3037" s="1" t="s">
        <v>2598</v>
      </c>
      <c r="C3037" s="1" t="s">
        <v>9083</v>
      </c>
      <c r="D3037" s="1" t="s">
        <v>122</v>
      </c>
      <c r="E3037" s="1" t="s">
        <v>28</v>
      </c>
      <c r="F3037" s="2">
        <v>300000.0</v>
      </c>
      <c r="G3037" s="4">
        <v>44567.0</v>
      </c>
      <c r="H3037" s="4">
        <f>IFERROR(__xludf.DUMMYFUNCTION("DATE(INDEX(SPLIT(G3037,""/""),,3),INDEX(SPLIT(G3037,""/""),,2),INDEX(SPLIT(G3037,""/""),,1))"),44713.0)</f>
        <v>44713</v>
      </c>
      <c r="I3037" s="1" t="s">
        <v>226</v>
      </c>
      <c r="J3037" s="4">
        <f>IFERROR(__xludf.DUMMYFUNCTION("DATE(INDEX(SPLIT(I3037,""/""),,3),INDEX(SPLIT(I3037,""/""),,2),INDEX(SPLIT(I3037,""/""),,1))"),44771.0)</f>
        <v>44771</v>
      </c>
      <c r="L3037" s="1">
        <v>0.0</v>
      </c>
      <c r="M3037" s="1" t="s">
        <v>2371</v>
      </c>
      <c r="N3037" s="1"/>
      <c r="O3037" s="1" t="s">
        <v>30</v>
      </c>
      <c r="P3037" s="1" t="s">
        <v>31</v>
      </c>
      <c r="Q3037" s="1" t="s">
        <v>53</v>
      </c>
      <c r="R3037" s="1" t="s">
        <v>53</v>
      </c>
      <c r="S3037" s="1" t="s">
        <v>54</v>
      </c>
      <c r="T3037" s="1" t="s">
        <v>2372</v>
      </c>
      <c r="U3037" s="1">
        <v>1.00649936E8</v>
      </c>
      <c r="X3037" s="1" t="s">
        <v>239</v>
      </c>
      <c r="Y3037" s="1" t="s">
        <v>4413</v>
      </c>
      <c r="Z3037" s="1" t="s">
        <v>37</v>
      </c>
    </row>
    <row r="3038">
      <c r="A3038" s="1" t="s">
        <v>9084</v>
      </c>
      <c r="B3038" s="1" t="s">
        <v>2735</v>
      </c>
      <c r="C3038" s="1" t="s">
        <v>9085</v>
      </c>
      <c r="D3038" s="1" t="s">
        <v>27</v>
      </c>
      <c r="E3038" s="1" t="s">
        <v>28</v>
      </c>
      <c r="F3038" s="2">
        <v>300000.0</v>
      </c>
      <c r="G3038" s="4">
        <v>44567.0</v>
      </c>
      <c r="H3038" s="4">
        <f>IFERROR(__xludf.DUMMYFUNCTION("DATE(INDEX(SPLIT(G3038,""/""),,3),INDEX(SPLIT(G3038,""/""),,2),INDEX(SPLIT(G3038,""/""),,1))"),44713.0)</f>
        <v>44713</v>
      </c>
      <c r="I3038" s="1" t="s">
        <v>226</v>
      </c>
      <c r="J3038" s="4">
        <f>IFERROR(__xludf.DUMMYFUNCTION("DATE(INDEX(SPLIT(I3038,""/""),,3),INDEX(SPLIT(I3038,""/""),,2),INDEX(SPLIT(I3038,""/""),,1))"),44771.0)</f>
        <v>44771</v>
      </c>
      <c r="L3038" s="1">
        <v>0.0</v>
      </c>
      <c r="M3038" s="1" t="s">
        <v>570</v>
      </c>
      <c r="N3038" s="1"/>
      <c r="O3038" s="1" t="s">
        <v>30</v>
      </c>
      <c r="P3038" s="1" t="s">
        <v>31</v>
      </c>
      <c r="Q3038" s="1" t="s">
        <v>157</v>
      </c>
      <c r="R3038" s="1" t="s">
        <v>157</v>
      </c>
      <c r="S3038" s="1" t="s">
        <v>158</v>
      </c>
      <c r="T3038" s="1" t="s">
        <v>571</v>
      </c>
      <c r="U3038" s="1">
        <v>1.00586314E8</v>
      </c>
      <c r="X3038" s="1" t="s">
        <v>490</v>
      </c>
      <c r="Y3038" s="1" t="s">
        <v>5186</v>
      </c>
      <c r="Z3038" s="1" t="s">
        <v>37</v>
      </c>
    </row>
    <row r="3039">
      <c r="A3039" s="1" t="s">
        <v>9086</v>
      </c>
      <c r="B3039" s="1" t="s">
        <v>3957</v>
      </c>
      <c r="C3039" s="1" t="s">
        <v>9087</v>
      </c>
      <c r="D3039" s="1" t="s">
        <v>78</v>
      </c>
      <c r="E3039" s="1" t="s">
        <v>28</v>
      </c>
      <c r="F3039" s="2">
        <v>300000.0</v>
      </c>
      <c r="G3039" s="4">
        <v>44686.0</v>
      </c>
      <c r="H3039" s="4">
        <f>IFERROR(__xludf.DUMMYFUNCTION("DATE(INDEX(SPLIT(G3039,""/""),,3),INDEX(SPLIT(G3039,""/""),,2),INDEX(SPLIT(G3039,""/""),,1))"),44686.0)</f>
        <v>44686</v>
      </c>
      <c r="I3039" s="1" t="s">
        <v>69</v>
      </c>
      <c r="J3039" s="4">
        <f>IFERROR(__xludf.DUMMYFUNCTION("DATE(INDEX(SPLIT(I3039,""/""),,3),INDEX(SPLIT(I3039,""/""),,2),INDEX(SPLIT(I3039,""/""),,1))"),44773.0)</f>
        <v>44773</v>
      </c>
      <c r="L3039" s="1">
        <v>0.0</v>
      </c>
      <c r="M3039" s="1" t="s">
        <v>780</v>
      </c>
      <c r="N3039" s="1"/>
      <c r="O3039" s="1" t="s">
        <v>30</v>
      </c>
      <c r="P3039" s="1" t="s">
        <v>31</v>
      </c>
      <c r="Q3039" s="1" t="s">
        <v>157</v>
      </c>
      <c r="R3039" s="1" t="s">
        <v>157</v>
      </c>
      <c r="S3039" s="1" t="s">
        <v>158</v>
      </c>
      <c r="U3039" s="1">
        <v>1.00654914E8</v>
      </c>
      <c r="X3039" s="1" t="s">
        <v>117</v>
      </c>
      <c r="Y3039" s="1" t="s">
        <v>3520</v>
      </c>
      <c r="Z3039" s="1" t="s">
        <v>37</v>
      </c>
    </row>
    <row r="3040" hidden="1">
      <c r="A3040" s="1" t="s">
        <v>9088</v>
      </c>
      <c r="B3040" s="1" t="s">
        <v>2400</v>
      </c>
      <c r="C3040" s="1" t="s">
        <v>9089</v>
      </c>
      <c r="D3040" s="1" t="s">
        <v>27</v>
      </c>
      <c r="E3040" s="1" t="s">
        <v>28</v>
      </c>
      <c r="F3040" s="2">
        <v>300000.0</v>
      </c>
      <c r="G3040" s="1" t="s">
        <v>1004</v>
      </c>
      <c r="H3040" s="4">
        <f>IFERROR(__xludf.DUMMYFUNCTION("DATE(INDEX(SPLIT(G3040,""/""),,3),INDEX(SPLIT(G3040,""/""),,2),INDEX(SPLIT(G3040,""/""),,1))"),44582.0)</f>
        <v>44582</v>
      </c>
      <c r="I3040" s="1" t="s">
        <v>109</v>
      </c>
      <c r="J3040" s="4">
        <f>IFERROR(__xludf.DUMMYFUNCTION("DATE(INDEX(SPLIT(I3040,""/""),,3),INDEX(SPLIT(I3040,""/""),,2),INDEX(SPLIT(I3040,""/""),,1))"),44834.0)</f>
        <v>44834</v>
      </c>
      <c r="L3040" s="1">
        <v>0.0</v>
      </c>
      <c r="M3040" s="1" t="s">
        <v>852</v>
      </c>
      <c r="N3040" s="1"/>
      <c r="O3040" s="1" t="s">
        <v>30</v>
      </c>
      <c r="P3040" s="1" t="s">
        <v>31</v>
      </c>
      <c r="Q3040" s="1" t="s">
        <v>157</v>
      </c>
      <c r="R3040" s="1" t="s">
        <v>157</v>
      </c>
      <c r="S3040" s="1" t="s">
        <v>158</v>
      </c>
      <c r="T3040" s="1" t="s">
        <v>442</v>
      </c>
      <c r="U3040" s="1">
        <v>1.00648457E8</v>
      </c>
      <c r="X3040" s="1" t="s">
        <v>781</v>
      </c>
      <c r="Y3040" s="1" t="s">
        <v>2402</v>
      </c>
      <c r="Z3040" s="1" t="s">
        <v>37</v>
      </c>
    </row>
    <row r="3041" hidden="1">
      <c r="A3041" s="1" t="s">
        <v>9090</v>
      </c>
      <c r="B3041" s="1" t="s">
        <v>3429</v>
      </c>
      <c r="C3041" s="1" t="s">
        <v>9091</v>
      </c>
      <c r="D3041" s="1" t="s">
        <v>78</v>
      </c>
      <c r="E3041" s="1" t="s">
        <v>28</v>
      </c>
      <c r="F3041" s="2">
        <v>300000.0</v>
      </c>
      <c r="G3041" s="1" t="s">
        <v>711</v>
      </c>
      <c r="H3041" s="4">
        <f>IFERROR(__xludf.DUMMYFUNCTION("DATE(INDEX(SPLIT(G3041,""/""),,3),INDEX(SPLIT(G3041,""/""),,2),INDEX(SPLIT(G3041,""/""),,1))"),44279.0)</f>
        <v>44279</v>
      </c>
      <c r="I3041" s="1" t="s">
        <v>317</v>
      </c>
      <c r="J3041" s="4">
        <f>IFERROR(__xludf.DUMMYFUNCTION("DATE(INDEX(SPLIT(I3041,""/""),,3),INDEX(SPLIT(I3041,""/""),,2),INDEX(SPLIT(I3041,""/""),,1))"),44862.0)</f>
        <v>44862</v>
      </c>
      <c r="K3041" s="1" t="s">
        <v>9092</v>
      </c>
      <c r="L3041" s="1">
        <v>0.0</v>
      </c>
      <c r="M3041" s="1" t="s">
        <v>61</v>
      </c>
      <c r="N3041" s="1"/>
      <c r="O3041" s="1" t="s">
        <v>30</v>
      </c>
      <c r="P3041" s="1" t="s">
        <v>31</v>
      </c>
      <c r="Q3041" s="1" t="s">
        <v>32</v>
      </c>
      <c r="R3041" s="1" t="s">
        <v>32</v>
      </c>
      <c r="S3041" s="1" t="s">
        <v>33</v>
      </c>
      <c r="T3041" s="1" t="s">
        <v>103</v>
      </c>
      <c r="U3041" s="1">
        <v>1.0060843E8</v>
      </c>
      <c r="X3041" s="1" t="s">
        <v>63</v>
      </c>
      <c r="Y3041" s="1" t="s">
        <v>61</v>
      </c>
      <c r="Z3041" s="1" t="s">
        <v>37</v>
      </c>
    </row>
    <row r="3042" hidden="1">
      <c r="A3042" s="1" t="s">
        <v>9093</v>
      </c>
      <c r="B3042" s="1" t="s">
        <v>9094</v>
      </c>
      <c r="C3042" s="1" t="s">
        <v>9095</v>
      </c>
      <c r="D3042" s="1" t="s">
        <v>78</v>
      </c>
      <c r="E3042" s="1" t="s">
        <v>28</v>
      </c>
      <c r="F3042" s="2">
        <v>300000.0</v>
      </c>
      <c r="G3042" s="1" t="s">
        <v>935</v>
      </c>
      <c r="H3042" s="4">
        <f>IFERROR(__xludf.DUMMYFUNCTION("DATE(INDEX(SPLIT(G3042,""/""),,3),INDEX(SPLIT(G3042,""/""),,2),INDEX(SPLIT(G3042,""/""),,1))"),44764.0)</f>
        <v>44764</v>
      </c>
      <c r="I3042" s="1" t="s">
        <v>130</v>
      </c>
      <c r="J3042" s="4">
        <f>IFERROR(__xludf.DUMMYFUNCTION("DATE(INDEX(SPLIT(I3042,""/""),,3),INDEX(SPLIT(I3042,""/""),,2),INDEX(SPLIT(I3042,""/""),,1))"),44804.0)</f>
        <v>44804</v>
      </c>
      <c r="L3042" s="1">
        <v>0.0</v>
      </c>
      <c r="M3042" s="1" t="s">
        <v>1027</v>
      </c>
      <c r="N3042" s="1"/>
      <c r="O3042" s="1" t="s">
        <v>30</v>
      </c>
      <c r="P3042" s="1" t="s">
        <v>31</v>
      </c>
      <c r="Q3042" s="1" t="s">
        <v>53</v>
      </c>
      <c r="R3042" s="1" t="s">
        <v>53</v>
      </c>
      <c r="S3042" s="1" t="s">
        <v>54</v>
      </c>
      <c r="U3042" s="1">
        <v>1.00879751E8</v>
      </c>
      <c r="X3042" s="1" t="s">
        <v>88</v>
      </c>
      <c r="Y3042" s="1" t="s">
        <v>2437</v>
      </c>
      <c r="Z3042" s="1" t="s">
        <v>37</v>
      </c>
    </row>
    <row r="3043" hidden="1">
      <c r="A3043" s="1" t="s">
        <v>9096</v>
      </c>
      <c r="B3043" s="1" t="s">
        <v>1216</v>
      </c>
      <c r="C3043" s="1" t="s">
        <v>9097</v>
      </c>
      <c r="D3043" s="1" t="s">
        <v>27</v>
      </c>
      <c r="E3043" s="1" t="s">
        <v>28</v>
      </c>
      <c r="F3043" s="2">
        <v>300000.0</v>
      </c>
      <c r="G3043" s="4">
        <v>44206.0</v>
      </c>
      <c r="H3043" s="4">
        <f>IFERROR(__xludf.DUMMYFUNCTION("DATE(INDEX(SPLIT(G3043,""/""),,3),INDEX(SPLIT(G3043,""/""),,2),INDEX(SPLIT(G3043,""/""),,1))"),44470.0)</f>
        <v>44470</v>
      </c>
      <c r="I3043" s="1" t="s">
        <v>130</v>
      </c>
      <c r="J3043" s="4">
        <f>IFERROR(__xludf.DUMMYFUNCTION("DATE(INDEX(SPLIT(I3043,""/""),,3),INDEX(SPLIT(I3043,""/""),,2),INDEX(SPLIT(I3043,""/""),,1))"),44804.0)</f>
        <v>44804</v>
      </c>
      <c r="L3043" s="1">
        <v>0.0</v>
      </c>
      <c r="M3043" s="1" t="s">
        <v>3216</v>
      </c>
      <c r="N3043" s="1"/>
      <c r="O3043" s="1" t="s">
        <v>30</v>
      </c>
      <c r="P3043" s="1" t="s">
        <v>31</v>
      </c>
      <c r="Q3043" s="1" t="s">
        <v>32</v>
      </c>
      <c r="R3043" s="1" t="s">
        <v>32</v>
      </c>
      <c r="S3043" s="1" t="s">
        <v>33</v>
      </c>
      <c r="T3043" s="1" t="s">
        <v>438</v>
      </c>
      <c r="U3043" s="1">
        <v>1.00622716E8</v>
      </c>
      <c r="X3043" s="1" t="s">
        <v>88</v>
      </c>
      <c r="Y3043" s="1" t="s">
        <v>3216</v>
      </c>
      <c r="Z3043" s="1" t="s">
        <v>37</v>
      </c>
    </row>
    <row r="3044">
      <c r="A3044" s="1" t="s">
        <v>9098</v>
      </c>
      <c r="B3044" s="1" t="s">
        <v>9099</v>
      </c>
      <c r="C3044" s="1" t="s">
        <v>9100</v>
      </c>
      <c r="D3044" s="1" t="s">
        <v>122</v>
      </c>
      <c r="E3044" s="1" t="s">
        <v>28</v>
      </c>
      <c r="F3044" s="2">
        <v>300000.0</v>
      </c>
      <c r="G3044" s="4">
        <v>44900.0</v>
      </c>
      <c r="H3044" s="4">
        <f>IFERROR(__xludf.DUMMYFUNCTION("DATE(INDEX(SPLIT(G3044,""/""),,3),INDEX(SPLIT(G3044,""/""),,2),INDEX(SPLIT(G3044,""/""),,1))"),44693.0)</f>
        <v>44693</v>
      </c>
      <c r="I3044" s="1" t="s">
        <v>226</v>
      </c>
      <c r="J3044" s="4">
        <f>IFERROR(__xludf.DUMMYFUNCTION("DATE(INDEX(SPLIT(I3044,""/""),,3),INDEX(SPLIT(I3044,""/""),,2),INDEX(SPLIT(I3044,""/""),,1))"),44771.0)</f>
        <v>44771</v>
      </c>
      <c r="L3044" s="1">
        <v>0.0</v>
      </c>
      <c r="M3044" s="1" t="s">
        <v>1019</v>
      </c>
      <c r="N3044" s="1"/>
      <c r="O3044" s="1" t="s">
        <v>30</v>
      </c>
      <c r="P3044" s="1" t="s">
        <v>31</v>
      </c>
      <c r="Q3044" s="1" t="s">
        <v>95</v>
      </c>
      <c r="R3044" s="1" t="s">
        <v>95</v>
      </c>
      <c r="S3044" s="1" t="s">
        <v>96</v>
      </c>
      <c r="T3044" s="1" t="s">
        <v>311</v>
      </c>
      <c r="U3044" s="1">
        <v>1.00607644E8</v>
      </c>
      <c r="X3044" s="1" t="s">
        <v>410</v>
      </c>
      <c r="Y3044" s="1" t="s">
        <v>9101</v>
      </c>
      <c r="Z3044" s="1" t="s">
        <v>37</v>
      </c>
    </row>
    <row r="3045" hidden="1">
      <c r="A3045" s="1" t="s">
        <v>9102</v>
      </c>
      <c r="B3045" s="1" t="s">
        <v>9103</v>
      </c>
      <c r="C3045" s="1" t="s">
        <v>9104</v>
      </c>
      <c r="D3045" s="1" t="s">
        <v>27</v>
      </c>
      <c r="E3045" s="1" t="s">
        <v>28</v>
      </c>
      <c r="F3045" s="2">
        <v>300000.0</v>
      </c>
      <c r="G3045" s="1" t="s">
        <v>2900</v>
      </c>
      <c r="H3045" s="4">
        <f>IFERROR(__xludf.DUMMYFUNCTION("DATE(INDEX(SPLIT(G3045,""/""),,3),INDEX(SPLIT(G3045,""/""),,2),INDEX(SPLIT(G3045,""/""),,1))"),44678.0)</f>
        <v>44678</v>
      </c>
      <c r="I3045" s="1" t="s">
        <v>4015</v>
      </c>
      <c r="J3045" s="4">
        <f>IFERROR(__xludf.DUMMYFUNCTION("DATE(INDEX(SPLIT(I3045,""/""),,3),INDEX(SPLIT(I3045,""/""),,2),INDEX(SPLIT(I3045,""/""),,1))"),44851.0)</f>
        <v>44851</v>
      </c>
      <c r="L3045" s="1">
        <v>0.0</v>
      </c>
      <c r="M3045" s="1" t="s">
        <v>7023</v>
      </c>
      <c r="N3045" s="1"/>
      <c r="O3045" s="1" t="s">
        <v>30</v>
      </c>
      <c r="P3045" s="1" t="s">
        <v>31</v>
      </c>
      <c r="Q3045" s="1" t="s">
        <v>71</v>
      </c>
      <c r="R3045" s="1" t="s">
        <v>71</v>
      </c>
      <c r="S3045" s="1" t="s">
        <v>72</v>
      </c>
      <c r="U3045" s="1">
        <v>1.00623906E8</v>
      </c>
      <c r="X3045" s="1" t="s">
        <v>2028</v>
      </c>
      <c r="Y3045" s="1" t="s">
        <v>9105</v>
      </c>
      <c r="Z3045" s="1" t="s">
        <v>206</v>
      </c>
    </row>
    <row r="3046" hidden="1">
      <c r="A3046" s="1" t="s">
        <v>9106</v>
      </c>
      <c r="B3046" s="1" t="s">
        <v>7034</v>
      </c>
      <c r="C3046" s="1" t="s">
        <v>9107</v>
      </c>
      <c r="D3046" s="1" t="s">
        <v>27</v>
      </c>
      <c r="E3046" s="1" t="s">
        <v>28</v>
      </c>
      <c r="F3046" s="2">
        <v>300000.0</v>
      </c>
      <c r="G3046" s="1" t="s">
        <v>2900</v>
      </c>
      <c r="H3046" s="4">
        <f>IFERROR(__xludf.DUMMYFUNCTION("DATE(INDEX(SPLIT(G3046,""/""),,3),INDEX(SPLIT(G3046,""/""),,2),INDEX(SPLIT(G3046,""/""),,1))"),44678.0)</f>
        <v>44678</v>
      </c>
      <c r="I3046" s="1" t="s">
        <v>109</v>
      </c>
      <c r="J3046" s="4">
        <f>IFERROR(__xludf.DUMMYFUNCTION("DATE(INDEX(SPLIT(I3046,""/""),,3),INDEX(SPLIT(I3046,""/""),,2),INDEX(SPLIT(I3046,""/""),,1))"),44834.0)</f>
        <v>44834</v>
      </c>
      <c r="L3046" s="1">
        <v>0.0</v>
      </c>
      <c r="M3046" s="1" t="s">
        <v>9108</v>
      </c>
      <c r="N3046" s="1"/>
      <c r="O3046" s="1" t="s">
        <v>30</v>
      </c>
      <c r="P3046" s="1" t="s">
        <v>31</v>
      </c>
      <c r="Q3046" s="1" t="s">
        <v>32</v>
      </c>
      <c r="R3046" s="1" t="s">
        <v>32</v>
      </c>
      <c r="S3046" s="1" t="s">
        <v>33</v>
      </c>
      <c r="T3046" s="1" t="s">
        <v>1386</v>
      </c>
      <c r="U3046" s="1">
        <v>1.01083148E8</v>
      </c>
      <c r="X3046" s="1" t="s">
        <v>361</v>
      </c>
      <c r="Y3046" s="1" t="s">
        <v>9108</v>
      </c>
      <c r="Z3046" s="1" t="s">
        <v>527</v>
      </c>
    </row>
    <row r="3047">
      <c r="A3047" s="1" t="s">
        <v>9109</v>
      </c>
      <c r="B3047" s="1" t="s">
        <v>427</v>
      </c>
      <c r="C3047" s="1" t="s">
        <v>9110</v>
      </c>
      <c r="D3047" s="1" t="s">
        <v>78</v>
      </c>
      <c r="E3047" s="1" t="s">
        <v>28</v>
      </c>
      <c r="F3047" s="2">
        <v>300000.0</v>
      </c>
      <c r="G3047" s="4">
        <v>44866.0</v>
      </c>
      <c r="H3047" s="4">
        <f>IFERROR(__xludf.DUMMYFUNCTION("DATE(INDEX(SPLIT(G3047,""/""),,3),INDEX(SPLIT(G3047,""/""),,2),INDEX(SPLIT(G3047,""/""),,1))"),44572.0)</f>
        <v>44572</v>
      </c>
      <c r="I3047" s="1" t="s">
        <v>1244</v>
      </c>
      <c r="J3047" s="4">
        <f>IFERROR(__xludf.DUMMYFUNCTION("DATE(INDEX(SPLIT(I3047,""/""),,3),INDEX(SPLIT(I3047,""/""),,2),INDEX(SPLIT(I3047,""/""),,1))"),44742.0)</f>
        <v>44742</v>
      </c>
      <c r="L3047" s="1">
        <v>0.0</v>
      </c>
      <c r="M3047" s="1" t="s">
        <v>891</v>
      </c>
      <c r="N3047" s="1"/>
      <c r="O3047" s="1" t="s">
        <v>30</v>
      </c>
      <c r="P3047" s="1" t="s">
        <v>31</v>
      </c>
      <c r="Q3047" s="1" t="s">
        <v>32</v>
      </c>
      <c r="R3047" s="1" t="s">
        <v>32</v>
      </c>
      <c r="S3047" s="1" t="s">
        <v>33</v>
      </c>
      <c r="T3047" s="1" t="s">
        <v>402</v>
      </c>
      <c r="U3047" s="1">
        <v>1.00866856E8</v>
      </c>
      <c r="X3047" s="1" t="s">
        <v>125</v>
      </c>
      <c r="Y3047" s="1" t="s">
        <v>891</v>
      </c>
      <c r="Z3047" s="1" t="s">
        <v>37</v>
      </c>
    </row>
    <row r="3048">
      <c r="A3048" s="1" t="s">
        <v>9111</v>
      </c>
      <c r="B3048" s="1" t="s">
        <v>9112</v>
      </c>
      <c r="C3048" s="1" t="s">
        <v>9113</v>
      </c>
      <c r="D3048" s="1" t="s">
        <v>122</v>
      </c>
      <c r="E3048" s="1" t="s">
        <v>28</v>
      </c>
      <c r="F3048" s="2">
        <v>300000.0</v>
      </c>
      <c r="G3048" s="1" t="s">
        <v>1364</v>
      </c>
      <c r="H3048" s="4">
        <f>IFERROR(__xludf.DUMMYFUNCTION("DATE(INDEX(SPLIT(G3048,""/""),,3),INDEX(SPLIT(G3048,""/""),,2),INDEX(SPLIT(G3048,""/""),,1))"),44676.0)</f>
        <v>44676</v>
      </c>
      <c r="I3048" s="1" t="s">
        <v>503</v>
      </c>
      <c r="J3048" s="4">
        <f>IFERROR(__xludf.DUMMYFUNCTION("DATE(INDEX(SPLIT(I3048,""/""),,3),INDEX(SPLIT(I3048,""/""),,2),INDEX(SPLIT(I3048,""/""),,1))"),44736.0)</f>
        <v>44736</v>
      </c>
      <c r="L3048" s="1">
        <v>0.0</v>
      </c>
      <c r="M3048" s="1" t="s">
        <v>7725</v>
      </c>
      <c r="N3048" s="1"/>
      <c r="O3048" s="1" t="s">
        <v>30</v>
      </c>
      <c r="P3048" s="1" t="s">
        <v>31</v>
      </c>
      <c r="Q3048" s="1" t="s">
        <v>157</v>
      </c>
      <c r="R3048" s="1" t="s">
        <v>157</v>
      </c>
      <c r="S3048" s="1" t="s">
        <v>158</v>
      </c>
      <c r="U3048" s="1">
        <v>1.0065252E8</v>
      </c>
      <c r="X3048" s="1" t="s">
        <v>98</v>
      </c>
      <c r="Y3048" s="1" t="s">
        <v>7725</v>
      </c>
      <c r="Z3048" s="1" t="s">
        <v>527</v>
      </c>
    </row>
    <row r="3049" hidden="1">
      <c r="A3049" s="1" t="s">
        <v>9114</v>
      </c>
      <c r="B3049" s="1" t="s">
        <v>9115</v>
      </c>
      <c r="C3049" s="1" t="s">
        <v>9116</v>
      </c>
      <c r="D3049" s="1" t="s">
        <v>78</v>
      </c>
      <c r="E3049" s="1" t="s">
        <v>28</v>
      </c>
      <c r="F3049" s="2">
        <v>300000.0</v>
      </c>
      <c r="G3049" s="1" t="s">
        <v>2025</v>
      </c>
      <c r="H3049" s="4">
        <f>IFERROR(__xludf.DUMMYFUNCTION("DATE(INDEX(SPLIT(G3049,""/""),,3),INDEX(SPLIT(G3049,""/""),,2),INDEX(SPLIT(G3049,""/""),,1))"),44664.0)</f>
        <v>44664</v>
      </c>
      <c r="I3049" s="1" t="s">
        <v>109</v>
      </c>
      <c r="J3049" s="4">
        <f>IFERROR(__xludf.DUMMYFUNCTION("DATE(INDEX(SPLIT(I3049,""/""),,3),INDEX(SPLIT(I3049,""/""),,2),INDEX(SPLIT(I3049,""/""),,1))"),44834.0)</f>
        <v>44834</v>
      </c>
      <c r="L3049" s="1">
        <v>0.0</v>
      </c>
      <c r="M3049" s="1" t="s">
        <v>2133</v>
      </c>
      <c r="N3049" s="1"/>
      <c r="O3049" s="1" t="s">
        <v>30</v>
      </c>
      <c r="P3049" s="1" t="s">
        <v>31</v>
      </c>
      <c r="Q3049" s="1" t="s">
        <v>95</v>
      </c>
      <c r="R3049" s="1" t="s">
        <v>95</v>
      </c>
      <c r="S3049" s="1" t="s">
        <v>96</v>
      </c>
      <c r="U3049" s="1">
        <v>1.00927997E8</v>
      </c>
      <c r="X3049" s="1" t="s">
        <v>375</v>
      </c>
      <c r="Y3049" s="1" t="s">
        <v>2133</v>
      </c>
      <c r="Z3049" s="1" t="s">
        <v>527</v>
      </c>
    </row>
    <row r="3050" hidden="1">
      <c r="A3050" s="1" t="s">
        <v>9117</v>
      </c>
      <c r="B3050" s="1" t="s">
        <v>291</v>
      </c>
      <c r="C3050" s="1" t="s">
        <v>9118</v>
      </c>
      <c r="D3050" s="1" t="s">
        <v>27</v>
      </c>
      <c r="E3050" s="1" t="s">
        <v>28</v>
      </c>
      <c r="F3050" s="2">
        <v>300000.0</v>
      </c>
      <c r="G3050" s="1" t="s">
        <v>343</v>
      </c>
      <c r="H3050" s="4">
        <f>IFERROR(__xludf.DUMMYFUNCTION("DATE(INDEX(SPLIT(G3050,""/""),,3),INDEX(SPLIT(G3050,""/""),,2),INDEX(SPLIT(G3050,""/""),,1))"),44761.0)</f>
        <v>44761</v>
      </c>
      <c r="I3050" s="1" t="s">
        <v>535</v>
      </c>
      <c r="J3050" s="4">
        <f>IFERROR(__xludf.DUMMYFUNCTION("DATE(INDEX(SPLIT(I3050,""/""),,3),INDEX(SPLIT(I3050,""/""),,2),INDEX(SPLIT(I3050,""/""),,1))"),44957.0)</f>
        <v>44957</v>
      </c>
      <c r="L3050" s="1">
        <v>0.0</v>
      </c>
      <c r="M3050" s="1" t="s">
        <v>2147</v>
      </c>
      <c r="N3050" s="1"/>
      <c r="O3050" s="1" t="s">
        <v>30</v>
      </c>
      <c r="P3050" s="1" t="s">
        <v>31</v>
      </c>
      <c r="Q3050" s="1" t="s">
        <v>235</v>
      </c>
      <c r="R3050" s="1" t="s">
        <v>235</v>
      </c>
      <c r="S3050" s="1" t="s">
        <v>236</v>
      </c>
      <c r="T3050" s="1" t="s">
        <v>237</v>
      </c>
      <c r="U3050" s="1">
        <v>1.00647935E8</v>
      </c>
      <c r="X3050" s="1" t="s">
        <v>239</v>
      </c>
      <c r="Y3050" s="1" t="s">
        <v>2147</v>
      </c>
      <c r="Z3050" s="1" t="s">
        <v>37</v>
      </c>
    </row>
    <row r="3051">
      <c r="A3051" s="1" t="s">
        <v>9119</v>
      </c>
      <c r="B3051" s="1" t="s">
        <v>377</v>
      </c>
      <c r="C3051" s="1" t="s">
        <v>9120</v>
      </c>
      <c r="D3051" s="1" t="s">
        <v>27</v>
      </c>
      <c r="E3051" s="1" t="s">
        <v>28</v>
      </c>
      <c r="F3051" s="2">
        <v>300000.0</v>
      </c>
      <c r="G3051" s="4">
        <v>44868.0</v>
      </c>
      <c r="H3051" s="4">
        <f>IFERROR(__xludf.DUMMYFUNCTION("DATE(INDEX(SPLIT(G3051,""/""),,3),INDEX(SPLIT(G3051,""/""),,2),INDEX(SPLIT(G3051,""/""),,1))"),44631.0)</f>
        <v>44631</v>
      </c>
      <c r="I3051" s="1" t="s">
        <v>1244</v>
      </c>
      <c r="J3051" s="4">
        <f>IFERROR(__xludf.DUMMYFUNCTION("DATE(INDEX(SPLIT(I3051,""/""),,3),INDEX(SPLIT(I3051,""/""),,2),INDEX(SPLIT(I3051,""/""),,1))"),44742.0)</f>
        <v>44742</v>
      </c>
      <c r="L3051" s="1">
        <v>0.0</v>
      </c>
      <c r="M3051" s="1" t="s">
        <v>2371</v>
      </c>
      <c r="N3051" s="1"/>
      <c r="O3051" s="1" t="s">
        <v>30</v>
      </c>
      <c r="P3051" s="1" t="s">
        <v>31</v>
      </c>
      <c r="Q3051" s="1" t="s">
        <v>53</v>
      </c>
      <c r="R3051" s="1" t="s">
        <v>53</v>
      </c>
      <c r="S3051" s="1" t="s">
        <v>54</v>
      </c>
      <c r="T3051" s="1" t="s">
        <v>2372</v>
      </c>
      <c r="U3051" s="1">
        <v>1.00649936E8</v>
      </c>
      <c r="X3051" s="1" t="s">
        <v>239</v>
      </c>
      <c r="Y3051" s="1" t="s">
        <v>9121</v>
      </c>
      <c r="Z3051" s="1" t="s">
        <v>37</v>
      </c>
    </row>
    <row r="3052" hidden="1">
      <c r="A3052" s="1" t="s">
        <v>9122</v>
      </c>
      <c r="B3052" s="1" t="s">
        <v>59</v>
      </c>
      <c r="C3052" s="1" t="s">
        <v>9123</v>
      </c>
      <c r="D3052" s="1" t="s">
        <v>68</v>
      </c>
      <c r="E3052" s="1" t="s">
        <v>28</v>
      </c>
      <c r="F3052" s="2">
        <v>300000.0</v>
      </c>
      <c r="G3052" s="1" t="s">
        <v>551</v>
      </c>
      <c r="H3052" s="4">
        <f>IFERROR(__xludf.DUMMYFUNCTION("DATE(INDEX(SPLIT(G3052,""/""),,3),INDEX(SPLIT(G3052,""/""),,2),INDEX(SPLIT(G3052,""/""),,1))"),44701.0)</f>
        <v>44701</v>
      </c>
      <c r="I3052" s="4">
        <v>44569.0</v>
      </c>
      <c r="J3052" s="4">
        <f>IFERROR(__xludf.DUMMYFUNCTION("DATE(INDEX(SPLIT(I3052,""/""),,3),INDEX(SPLIT(I3052,""/""),,2),INDEX(SPLIT(I3052,""/""),,1))"),44774.0)</f>
        <v>44774</v>
      </c>
      <c r="K3052" s="9">
        <v>44780.822222222225</v>
      </c>
      <c r="L3052" s="1">
        <v>0.0</v>
      </c>
      <c r="M3052" s="1" t="s">
        <v>5135</v>
      </c>
      <c r="N3052" s="1"/>
      <c r="O3052" s="1" t="s">
        <v>30</v>
      </c>
      <c r="P3052" s="1" t="s">
        <v>31</v>
      </c>
      <c r="Q3052" s="1" t="s">
        <v>228</v>
      </c>
      <c r="R3052" s="1" t="s">
        <v>228</v>
      </c>
      <c r="S3052" s="1" t="s">
        <v>229</v>
      </c>
      <c r="T3052" s="1" t="s">
        <v>640</v>
      </c>
      <c r="U3052" s="1">
        <v>1.0064195E8</v>
      </c>
      <c r="X3052" s="1" t="s">
        <v>63</v>
      </c>
      <c r="Y3052" s="1" t="s">
        <v>64</v>
      </c>
      <c r="Z3052" s="1" t="s">
        <v>37</v>
      </c>
    </row>
    <row r="3053" hidden="1">
      <c r="A3053" s="1" t="s">
        <v>9124</v>
      </c>
      <c r="B3053" s="1" t="s">
        <v>39</v>
      </c>
      <c r="C3053" s="1" t="s">
        <v>9125</v>
      </c>
      <c r="D3053" s="1" t="s">
        <v>78</v>
      </c>
      <c r="E3053" s="1" t="s">
        <v>28</v>
      </c>
      <c r="F3053" s="2">
        <v>300000.0</v>
      </c>
      <c r="G3053" s="1" t="s">
        <v>9126</v>
      </c>
      <c r="H3053" s="4">
        <f>IFERROR(__xludf.DUMMYFUNCTION("DATE(INDEX(SPLIT(G3053,""/""),,3),INDEX(SPLIT(G3053,""/""),,2),INDEX(SPLIT(G3053,""/""),,1))"),43969.0)</f>
        <v>43969</v>
      </c>
      <c r="I3053" s="4">
        <v>44932.0</v>
      </c>
      <c r="J3053" s="4">
        <f>IFERROR(__xludf.DUMMYFUNCTION("DATE(INDEX(SPLIT(I3053,""/""),,3),INDEX(SPLIT(I3053,""/""),,2),INDEX(SPLIT(I3053,""/""),,1))"),45078.0)</f>
        <v>45078</v>
      </c>
      <c r="L3053" s="1">
        <v>0.0</v>
      </c>
      <c r="M3053" s="1" t="s">
        <v>3133</v>
      </c>
      <c r="N3053" s="1"/>
      <c r="O3053" s="1" t="s">
        <v>30</v>
      </c>
      <c r="P3053" s="1" t="s">
        <v>31</v>
      </c>
      <c r="Q3053" s="1" t="s">
        <v>228</v>
      </c>
      <c r="R3053" s="1" t="s">
        <v>228</v>
      </c>
      <c r="S3053" s="1" t="s">
        <v>229</v>
      </c>
      <c r="T3053" s="1" t="s">
        <v>513</v>
      </c>
      <c r="U3053" s="1">
        <v>1.00611158E8</v>
      </c>
      <c r="X3053" s="1" t="s">
        <v>46</v>
      </c>
      <c r="Y3053" s="1" t="s">
        <v>3133</v>
      </c>
      <c r="Z3053" s="1" t="s">
        <v>37</v>
      </c>
    </row>
    <row r="3054" hidden="1">
      <c r="A3054" s="1" t="s">
        <v>9127</v>
      </c>
      <c r="B3054" s="1" t="s">
        <v>9128</v>
      </c>
      <c r="C3054" s="1" t="s">
        <v>9129</v>
      </c>
      <c r="D3054" s="1" t="s">
        <v>78</v>
      </c>
      <c r="E3054" s="1" t="s">
        <v>28</v>
      </c>
      <c r="F3054" s="2">
        <v>300000.0</v>
      </c>
      <c r="G3054" s="1" t="s">
        <v>9130</v>
      </c>
      <c r="H3054" s="4">
        <f>IFERROR(__xludf.DUMMYFUNCTION("DATE(INDEX(SPLIT(G3054,""/""),,3),INDEX(SPLIT(G3054,""/""),,2),INDEX(SPLIT(G3054,""/""),,1))"),43882.0)</f>
        <v>43882</v>
      </c>
      <c r="I3054" s="1" t="s">
        <v>1097</v>
      </c>
      <c r="J3054" s="4">
        <f>IFERROR(__xludf.DUMMYFUNCTION("DATE(INDEX(SPLIT(I3054,""/""),,3),INDEX(SPLIT(I3054,""/""),,2),INDEX(SPLIT(I3054,""/""),,1))"),45107.0)</f>
        <v>45107</v>
      </c>
      <c r="L3054" s="1">
        <v>0.0</v>
      </c>
      <c r="M3054" s="1" t="s">
        <v>2592</v>
      </c>
      <c r="N3054" s="1"/>
      <c r="O3054" s="1" t="s">
        <v>30</v>
      </c>
      <c r="P3054" s="1" t="s">
        <v>31</v>
      </c>
      <c r="Q3054" s="1" t="s">
        <v>71</v>
      </c>
      <c r="R3054" s="1" t="s">
        <v>71</v>
      </c>
      <c r="S3054" s="1" t="s">
        <v>72</v>
      </c>
      <c r="T3054" s="1" t="s">
        <v>136</v>
      </c>
      <c r="U3054" s="1">
        <v>1.00586452E8</v>
      </c>
      <c r="X3054" s="1" t="s">
        <v>74</v>
      </c>
      <c r="Y3054" s="1" t="s">
        <v>2593</v>
      </c>
      <c r="Z3054" s="1" t="s">
        <v>37</v>
      </c>
    </row>
    <row r="3055" hidden="1">
      <c r="A3055" s="1" t="s">
        <v>9131</v>
      </c>
      <c r="B3055" s="1" t="s">
        <v>2358</v>
      </c>
      <c r="C3055" s="1" t="s">
        <v>9132</v>
      </c>
      <c r="D3055" s="1" t="s">
        <v>78</v>
      </c>
      <c r="E3055" s="1" t="s">
        <v>28</v>
      </c>
      <c r="F3055" s="2">
        <v>300000.0</v>
      </c>
      <c r="G3055" s="1" t="s">
        <v>1044</v>
      </c>
      <c r="H3055" s="4">
        <f>IFERROR(__xludf.DUMMYFUNCTION("DATE(INDEX(SPLIT(G3055,""/""),,3),INDEX(SPLIT(G3055,""/""),,2),INDEX(SPLIT(G3055,""/""),,1))"),44588.0)</f>
        <v>44588</v>
      </c>
      <c r="I3055" s="4">
        <v>44571.0</v>
      </c>
      <c r="J3055" s="4">
        <f>IFERROR(__xludf.DUMMYFUNCTION("DATE(INDEX(SPLIT(I3055,""/""),,3),INDEX(SPLIT(I3055,""/""),,2),INDEX(SPLIT(I3055,""/""),,1))"),44835.0)</f>
        <v>44835</v>
      </c>
      <c r="L3055" s="1">
        <v>0.0</v>
      </c>
      <c r="M3055" s="1" t="s">
        <v>2856</v>
      </c>
      <c r="N3055" s="1"/>
      <c r="O3055" s="1" t="s">
        <v>30</v>
      </c>
      <c r="P3055" s="1" t="s">
        <v>31</v>
      </c>
      <c r="Q3055" s="1" t="s">
        <v>71</v>
      </c>
      <c r="R3055" s="1" t="s">
        <v>71</v>
      </c>
      <c r="S3055" s="1" t="s">
        <v>72</v>
      </c>
      <c r="T3055" s="1" t="s">
        <v>615</v>
      </c>
      <c r="U3055" s="1">
        <v>1.00637221E8</v>
      </c>
      <c r="X3055" s="1" t="s">
        <v>490</v>
      </c>
      <c r="Y3055" s="1" t="s">
        <v>9133</v>
      </c>
      <c r="Z3055" s="1" t="s">
        <v>37</v>
      </c>
    </row>
    <row r="3056">
      <c r="A3056" s="1" t="s">
        <v>9134</v>
      </c>
      <c r="B3056" s="1" t="s">
        <v>9135</v>
      </c>
      <c r="C3056" s="1" t="s">
        <v>9136</v>
      </c>
      <c r="D3056" s="1" t="s">
        <v>122</v>
      </c>
      <c r="E3056" s="1" t="s">
        <v>28</v>
      </c>
      <c r="F3056" s="2">
        <v>300000.0</v>
      </c>
      <c r="G3056" s="1" t="s">
        <v>359</v>
      </c>
      <c r="H3056" s="4">
        <f>IFERROR(__xludf.DUMMYFUNCTION("DATE(INDEX(SPLIT(G3056,""/""),,3),INDEX(SPLIT(G3056,""/""),,2),INDEX(SPLIT(G3056,""/""),,1))"),44740.0)</f>
        <v>44740</v>
      </c>
      <c r="I3056" s="1" t="s">
        <v>518</v>
      </c>
      <c r="J3056" s="4">
        <f>IFERROR(__xludf.DUMMYFUNCTION("DATE(INDEX(SPLIT(I3056,""/""),,3),INDEX(SPLIT(I3056,""/""),,2),INDEX(SPLIT(I3056,""/""),,1))"),44757.0)</f>
        <v>44757</v>
      </c>
      <c r="L3056" s="1">
        <v>0.0</v>
      </c>
      <c r="M3056" s="1" t="s">
        <v>3565</v>
      </c>
      <c r="N3056" s="1"/>
      <c r="O3056" s="1" t="s">
        <v>30</v>
      </c>
      <c r="P3056" s="1" t="s">
        <v>31</v>
      </c>
      <c r="Q3056" s="1" t="s">
        <v>32</v>
      </c>
      <c r="R3056" s="1" t="s">
        <v>32</v>
      </c>
      <c r="S3056" s="1" t="s">
        <v>33</v>
      </c>
      <c r="T3056" s="1" t="s">
        <v>103</v>
      </c>
      <c r="U3056" s="1">
        <v>1.01088701E8</v>
      </c>
      <c r="X3056" s="1" t="s">
        <v>2028</v>
      </c>
      <c r="Y3056" s="1" t="s">
        <v>7547</v>
      </c>
      <c r="Z3056" s="1" t="s">
        <v>37</v>
      </c>
    </row>
    <row r="3057">
      <c r="A3057" s="1" t="s">
        <v>9137</v>
      </c>
      <c r="B3057" s="1" t="s">
        <v>954</v>
      </c>
      <c r="C3057" s="1" t="s">
        <v>9138</v>
      </c>
      <c r="D3057" s="1" t="s">
        <v>122</v>
      </c>
      <c r="E3057" s="1" t="s">
        <v>28</v>
      </c>
      <c r="F3057" s="2">
        <v>300000.0</v>
      </c>
      <c r="G3057" s="1" t="s">
        <v>2949</v>
      </c>
      <c r="H3057" s="4">
        <f>IFERROR(__xludf.DUMMYFUNCTION("DATE(INDEX(SPLIT(G3057,""/""),,3),INDEX(SPLIT(G3057,""/""),,2),INDEX(SPLIT(G3057,""/""),,1))"),44675.0)</f>
        <v>44675</v>
      </c>
      <c r="I3057" s="4">
        <v>44567.0</v>
      </c>
      <c r="J3057" s="4">
        <f>IFERROR(__xludf.DUMMYFUNCTION("DATE(INDEX(SPLIT(I3057,""/""),,3),INDEX(SPLIT(I3057,""/""),,2),INDEX(SPLIT(I3057,""/""),,1))"),44713.0)</f>
        <v>44713</v>
      </c>
      <c r="L3057" s="1">
        <v>0.0</v>
      </c>
      <c r="M3057" s="1" t="s">
        <v>1009</v>
      </c>
      <c r="N3057" s="1"/>
      <c r="O3057" s="1" t="s">
        <v>30</v>
      </c>
      <c r="P3057" s="1" t="s">
        <v>31</v>
      </c>
      <c r="Q3057" s="1" t="s">
        <v>95</v>
      </c>
      <c r="R3057" s="1" t="s">
        <v>95</v>
      </c>
      <c r="S3057" s="1" t="s">
        <v>96</v>
      </c>
      <c r="T3057" s="1" t="s">
        <v>489</v>
      </c>
      <c r="U3057" s="1">
        <v>1.00592304E8</v>
      </c>
      <c r="X3057" s="1" t="s">
        <v>74</v>
      </c>
      <c r="Y3057" s="1" t="s">
        <v>3663</v>
      </c>
      <c r="Z3057" s="1" t="s">
        <v>37</v>
      </c>
    </row>
    <row r="3058" hidden="1">
      <c r="A3058" s="1" t="s">
        <v>9139</v>
      </c>
      <c r="B3058" s="1" t="s">
        <v>2205</v>
      </c>
      <c r="C3058" s="1" t="s">
        <v>9140</v>
      </c>
      <c r="D3058" s="1" t="s">
        <v>27</v>
      </c>
      <c r="E3058" s="1" t="s">
        <v>28</v>
      </c>
      <c r="F3058" s="2">
        <v>300000.0</v>
      </c>
      <c r="G3058" s="1" t="s">
        <v>1044</v>
      </c>
      <c r="H3058" s="4">
        <f>IFERROR(__xludf.DUMMYFUNCTION("DATE(INDEX(SPLIT(G3058,""/""),,3),INDEX(SPLIT(G3058,""/""),,2),INDEX(SPLIT(G3058,""/""),,1))"),44588.0)</f>
        <v>44588</v>
      </c>
      <c r="I3058" s="1" t="s">
        <v>281</v>
      </c>
      <c r="J3058" s="4">
        <f>IFERROR(__xludf.DUMMYFUNCTION("DATE(INDEX(SPLIT(I3058,""/""),,3),INDEX(SPLIT(I3058,""/""),,2),INDEX(SPLIT(I3058,""/""),,1))"),44865.0)</f>
        <v>44865</v>
      </c>
      <c r="L3058" s="1">
        <v>0.0</v>
      </c>
      <c r="M3058" s="1" t="s">
        <v>5135</v>
      </c>
      <c r="N3058" s="1"/>
      <c r="O3058" s="1" t="s">
        <v>30</v>
      </c>
      <c r="P3058" s="1" t="s">
        <v>31</v>
      </c>
      <c r="Q3058" s="1" t="s">
        <v>228</v>
      </c>
      <c r="R3058" s="1" t="s">
        <v>228</v>
      </c>
      <c r="S3058" s="1" t="s">
        <v>229</v>
      </c>
      <c r="T3058" s="1" t="s">
        <v>640</v>
      </c>
      <c r="U3058" s="1">
        <v>1.0064195E8</v>
      </c>
      <c r="X3058" s="1" t="s">
        <v>88</v>
      </c>
      <c r="Y3058" s="1" t="s">
        <v>9141</v>
      </c>
      <c r="Z3058" s="1" t="s">
        <v>37</v>
      </c>
    </row>
    <row r="3059" hidden="1">
      <c r="A3059" s="1" t="s">
        <v>9142</v>
      </c>
      <c r="B3059" s="1" t="s">
        <v>1743</v>
      </c>
      <c r="C3059" s="1" t="s">
        <v>9143</v>
      </c>
      <c r="D3059" s="1" t="s">
        <v>27</v>
      </c>
      <c r="E3059" s="1" t="s">
        <v>28</v>
      </c>
      <c r="F3059" s="2">
        <v>300000.0</v>
      </c>
      <c r="G3059" s="1" t="s">
        <v>1063</v>
      </c>
      <c r="H3059" s="4">
        <f>IFERROR(__xludf.DUMMYFUNCTION("DATE(INDEX(SPLIT(G3059,""/""),,3),INDEX(SPLIT(G3059,""/""),,2),INDEX(SPLIT(G3059,""/""),,1))"),44068.0)</f>
        <v>44068</v>
      </c>
      <c r="I3059" s="1" t="s">
        <v>203</v>
      </c>
      <c r="J3059" s="4">
        <f>IFERROR(__xludf.DUMMYFUNCTION("DATE(INDEX(SPLIT(I3059,""/""),,3),INDEX(SPLIT(I3059,""/""),,2),INDEX(SPLIT(I3059,""/""),,1))"),44925.0)</f>
        <v>44925</v>
      </c>
      <c r="L3059" s="1">
        <v>0.0</v>
      </c>
      <c r="M3059" s="1" t="s">
        <v>1745</v>
      </c>
      <c r="N3059" s="1"/>
      <c r="O3059" s="1" t="s">
        <v>30</v>
      </c>
      <c r="P3059" s="1" t="s">
        <v>31</v>
      </c>
      <c r="Q3059" s="1" t="s">
        <v>71</v>
      </c>
      <c r="R3059" s="1" t="s">
        <v>71</v>
      </c>
      <c r="S3059" s="1" t="s">
        <v>72</v>
      </c>
      <c r="T3059" s="1" t="s">
        <v>136</v>
      </c>
      <c r="U3059" s="1">
        <v>1.00582847E8</v>
      </c>
      <c r="X3059" s="1" t="s">
        <v>74</v>
      </c>
      <c r="Y3059" s="1" t="s">
        <v>1746</v>
      </c>
      <c r="Z3059" s="1" t="s">
        <v>37</v>
      </c>
    </row>
    <row r="3060">
      <c r="A3060" s="1" t="s">
        <v>9144</v>
      </c>
      <c r="B3060" s="1" t="s">
        <v>9145</v>
      </c>
      <c r="C3060" s="1" t="s">
        <v>9146</v>
      </c>
      <c r="D3060" s="1" t="s">
        <v>27</v>
      </c>
      <c r="E3060" s="1" t="s">
        <v>28</v>
      </c>
      <c r="F3060" s="2">
        <v>300000.0</v>
      </c>
      <c r="G3060" s="4">
        <v>44443.0</v>
      </c>
      <c r="H3060" s="4">
        <f>IFERROR(__xludf.DUMMYFUNCTION("DATE(INDEX(SPLIT(G3060,""/""),,3),INDEX(SPLIT(G3060,""/""),,2),INDEX(SPLIT(G3060,""/""),,1))"),44295.0)</f>
        <v>44295</v>
      </c>
      <c r="I3060" s="1" t="s">
        <v>414</v>
      </c>
      <c r="J3060" s="4">
        <f>IFERROR(__xludf.DUMMYFUNCTION("DATE(INDEX(SPLIT(I3060,""/""),,3),INDEX(SPLIT(I3060,""/""),,2),INDEX(SPLIT(I3060,""/""),,1))"),44772.0)</f>
        <v>44772</v>
      </c>
      <c r="L3060" s="1">
        <v>0.0</v>
      </c>
      <c r="M3060" s="1" t="s">
        <v>3159</v>
      </c>
      <c r="N3060" s="1"/>
      <c r="O3060" s="1" t="s">
        <v>30</v>
      </c>
      <c r="P3060" s="1" t="s">
        <v>31</v>
      </c>
      <c r="Q3060" s="1" t="s">
        <v>95</v>
      </c>
      <c r="R3060" s="1" t="s">
        <v>95</v>
      </c>
      <c r="S3060" s="1" t="s">
        <v>96</v>
      </c>
      <c r="U3060" s="1">
        <v>1.00627256E8</v>
      </c>
      <c r="X3060" s="1" t="s">
        <v>125</v>
      </c>
      <c r="Y3060" s="1" t="s">
        <v>3159</v>
      </c>
      <c r="Z3060" s="1" t="s">
        <v>527</v>
      </c>
    </row>
    <row r="3061" hidden="1">
      <c r="A3061" s="1" t="s">
        <v>9147</v>
      </c>
      <c r="B3061" s="1" t="s">
        <v>735</v>
      </c>
      <c r="C3061" s="1" t="s">
        <v>9148</v>
      </c>
      <c r="D3061" s="1" t="s">
        <v>122</v>
      </c>
      <c r="E3061" s="1" t="s">
        <v>28</v>
      </c>
      <c r="F3061" s="2">
        <v>300000.0</v>
      </c>
      <c r="G3061" s="4">
        <v>44297.0</v>
      </c>
      <c r="H3061" s="4">
        <f>IFERROR(__xludf.DUMMYFUNCTION("DATE(INDEX(SPLIT(G3061,""/""),,3),INDEX(SPLIT(G3061,""/""),,2),INDEX(SPLIT(G3061,""/""),,1))"),44504.0)</f>
        <v>44504</v>
      </c>
      <c r="I3061" s="4">
        <v>44571.0</v>
      </c>
      <c r="J3061" s="4">
        <f>IFERROR(__xludf.DUMMYFUNCTION("DATE(INDEX(SPLIT(I3061,""/""),,3),INDEX(SPLIT(I3061,""/""),,2),INDEX(SPLIT(I3061,""/""),,1))"),44835.0)</f>
        <v>44835</v>
      </c>
      <c r="L3061" s="1">
        <v>0.0</v>
      </c>
      <c r="M3061" s="1" t="s">
        <v>3376</v>
      </c>
      <c r="N3061" s="1"/>
      <c r="O3061" s="1" t="s">
        <v>30</v>
      </c>
      <c r="P3061" s="1" t="s">
        <v>31</v>
      </c>
      <c r="Q3061" s="1" t="s">
        <v>32</v>
      </c>
      <c r="R3061" s="1" t="s">
        <v>32</v>
      </c>
      <c r="S3061" s="1" t="s">
        <v>33</v>
      </c>
      <c r="T3061" s="1" t="s">
        <v>103</v>
      </c>
      <c r="U3061" s="1">
        <v>1.00597272E8</v>
      </c>
      <c r="X3061" s="1" t="s">
        <v>410</v>
      </c>
      <c r="Y3061" s="1" t="s">
        <v>3376</v>
      </c>
      <c r="Z3061" s="1" t="s">
        <v>206</v>
      </c>
    </row>
    <row r="3062" hidden="1">
      <c r="A3062" s="1" t="s">
        <v>9149</v>
      </c>
      <c r="B3062" s="1" t="s">
        <v>1117</v>
      </c>
      <c r="C3062" s="1" t="s">
        <v>9150</v>
      </c>
      <c r="D3062" s="1" t="s">
        <v>27</v>
      </c>
      <c r="E3062" s="1" t="s">
        <v>28</v>
      </c>
      <c r="F3062" s="2">
        <v>300000.0</v>
      </c>
      <c r="G3062" s="1" t="s">
        <v>7002</v>
      </c>
      <c r="H3062" s="4">
        <f>IFERROR(__xludf.DUMMYFUNCTION("DATE(INDEX(SPLIT(G3062,""/""),,3),INDEX(SPLIT(G3062,""/""),,2),INDEX(SPLIT(G3062,""/""),,1))"),44041.0)</f>
        <v>44041</v>
      </c>
      <c r="I3062" s="1" t="s">
        <v>1097</v>
      </c>
      <c r="J3062" s="4">
        <f>IFERROR(__xludf.DUMMYFUNCTION("DATE(INDEX(SPLIT(I3062,""/""),,3),INDEX(SPLIT(I3062,""/""),,2),INDEX(SPLIT(I3062,""/""),,1))"),45107.0)</f>
        <v>45107</v>
      </c>
      <c r="L3062" s="1">
        <v>0.0</v>
      </c>
      <c r="M3062" s="1" t="s">
        <v>2592</v>
      </c>
      <c r="N3062" s="1"/>
      <c r="O3062" s="1" t="s">
        <v>30</v>
      </c>
      <c r="P3062" s="1" t="s">
        <v>31</v>
      </c>
      <c r="Q3062" s="1" t="s">
        <v>71</v>
      </c>
      <c r="R3062" s="1" t="s">
        <v>71</v>
      </c>
      <c r="S3062" s="1" t="s">
        <v>72</v>
      </c>
      <c r="T3062" s="1" t="s">
        <v>136</v>
      </c>
      <c r="U3062" s="1">
        <v>1.00586452E8</v>
      </c>
      <c r="X3062" s="1" t="s">
        <v>74</v>
      </c>
      <c r="Y3062" s="1" t="s">
        <v>2593</v>
      </c>
      <c r="Z3062" s="1" t="s">
        <v>37</v>
      </c>
    </row>
    <row r="3063" hidden="1">
      <c r="A3063" s="1" t="s">
        <v>9151</v>
      </c>
      <c r="B3063" s="1" t="s">
        <v>1634</v>
      </c>
      <c r="C3063" s="1" t="s">
        <v>9152</v>
      </c>
      <c r="D3063" s="1" t="s">
        <v>27</v>
      </c>
      <c r="E3063" s="1" t="s">
        <v>28</v>
      </c>
      <c r="F3063" s="2">
        <v>300000.0</v>
      </c>
      <c r="G3063" s="4">
        <v>44384.0</v>
      </c>
      <c r="H3063" s="4">
        <f>IFERROR(__xludf.DUMMYFUNCTION("DATE(INDEX(SPLIT(G3063,""/""),,3),INDEX(SPLIT(G3063,""/""),,2),INDEX(SPLIT(G3063,""/""),,1))"),44384.0)</f>
        <v>44384</v>
      </c>
      <c r="I3063" s="1" t="s">
        <v>109</v>
      </c>
      <c r="J3063" s="4">
        <f>IFERROR(__xludf.DUMMYFUNCTION("DATE(INDEX(SPLIT(I3063,""/""),,3),INDEX(SPLIT(I3063,""/""),,2),INDEX(SPLIT(I3063,""/""),,1))"),44834.0)</f>
        <v>44834</v>
      </c>
      <c r="L3063" s="1">
        <v>0.0</v>
      </c>
      <c r="M3063" s="1" t="s">
        <v>488</v>
      </c>
      <c r="N3063" s="1"/>
      <c r="O3063" s="1" t="s">
        <v>30</v>
      </c>
      <c r="P3063" s="1" t="s">
        <v>31</v>
      </c>
      <c r="Q3063" s="1" t="s">
        <v>95</v>
      </c>
      <c r="R3063" s="1" t="s">
        <v>95</v>
      </c>
      <c r="S3063" s="1" t="s">
        <v>96</v>
      </c>
      <c r="T3063" s="1" t="s">
        <v>489</v>
      </c>
      <c r="U3063" s="1">
        <v>1.00611486E8</v>
      </c>
      <c r="X3063" s="1" t="s">
        <v>490</v>
      </c>
      <c r="Y3063" s="1" t="s">
        <v>488</v>
      </c>
      <c r="Z3063" s="1" t="s">
        <v>37</v>
      </c>
    </row>
    <row r="3064">
      <c r="A3064" s="1" t="s">
        <v>9153</v>
      </c>
      <c r="B3064" s="1" t="s">
        <v>1692</v>
      </c>
      <c r="C3064" s="1" t="s">
        <v>9154</v>
      </c>
      <c r="D3064" s="1" t="s">
        <v>78</v>
      </c>
      <c r="E3064" s="1" t="s">
        <v>28</v>
      </c>
      <c r="F3064" s="2">
        <v>300000.0</v>
      </c>
      <c r="G3064" s="1" t="s">
        <v>586</v>
      </c>
      <c r="H3064" s="4">
        <f>IFERROR(__xludf.DUMMYFUNCTION("DATE(INDEX(SPLIT(G3064,""/""),,3),INDEX(SPLIT(G3064,""/""),,2),INDEX(SPLIT(G3064,""/""),,1))"),44726.0)</f>
        <v>44726</v>
      </c>
      <c r="I3064" s="1" t="s">
        <v>226</v>
      </c>
      <c r="J3064" s="4">
        <f>IFERROR(__xludf.DUMMYFUNCTION("DATE(INDEX(SPLIT(I3064,""/""),,3),INDEX(SPLIT(I3064,""/""),,2),INDEX(SPLIT(I3064,""/""),,1))"),44771.0)</f>
        <v>44771</v>
      </c>
      <c r="L3064" s="1">
        <v>0.0</v>
      </c>
      <c r="M3064" s="1" t="s">
        <v>1200</v>
      </c>
      <c r="N3064" s="1"/>
      <c r="O3064" s="1" t="s">
        <v>30</v>
      </c>
      <c r="P3064" s="1" t="s">
        <v>31</v>
      </c>
      <c r="Q3064" s="1" t="s">
        <v>235</v>
      </c>
      <c r="R3064" s="1" t="s">
        <v>235</v>
      </c>
      <c r="S3064" s="1" t="s">
        <v>236</v>
      </c>
      <c r="T3064" s="1" t="s">
        <v>438</v>
      </c>
      <c r="U3064" s="1">
        <v>1.00586959E8</v>
      </c>
      <c r="X3064" s="1" t="s">
        <v>88</v>
      </c>
      <c r="Y3064" s="1" t="s">
        <v>1200</v>
      </c>
      <c r="Z3064" s="1" t="s">
        <v>37</v>
      </c>
    </row>
    <row r="3065" hidden="1">
      <c r="A3065" s="1" t="s">
        <v>9155</v>
      </c>
      <c r="B3065" s="1" t="s">
        <v>605</v>
      </c>
      <c r="C3065" s="1" t="s">
        <v>9156</v>
      </c>
      <c r="D3065" s="1" t="s">
        <v>27</v>
      </c>
      <c r="E3065" s="1" t="s">
        <v>28</v>
      </c>
      <c r="F3065" s="2">
        <v>300000.0</v>
      </c>
      <c r="G3065" s="1" t="s">
        <v>1722</v>
      </c>
      <c r="H3065" s="4">
        <f>IFERROR(__xludf.DUMMYFUNCTION("DATE(INDEX(SPLIT(G3065,""/""),,3),INDEX(SPLIT(G3065,""/""),,2),INDEX(SPLIT(G3065,""/""),,1))"),44271.0)</f>
        <v>44271</v>
      </c>
      <c r="I3065" s="1" t="s">
        <v>317</v>
      </c>
      <c r="J3065" s="4">
        <f>IFERROR(__xludf.DUMMYFUNCTION("DATE(INDEX(SPLIT(I3065,""/""),,3),INDEX(SPLIT(I3065,""/""),,2),INDEX(SPLIT(I3065,""/""),,1))"),44862.0)</f>
        <v>44862</v>
      </c>
      <c r="L3065" s="1">
        <v>0.0</v>
      </c>
      <c r="M3065" s="1" t="s">
        <v>2600</v>
      </c>
      <c r="N3065" s="1"/>
      <c r="O3065" s="1" t="s">
        <v>30</v>
      </c>
      <c r="P3065" s="1" t="s">
        <v>31</v>
      </c>
      <c r="Q3065" s="1" t="s">
        <v>32</v>
      </c>
      <c r="R3065" s="1" t="s">
        <v>32</v>
      </c>
      <c r="S3065" s="1" t="s">
        <v>33</v>
      </c>
      <c r="U3065" s="1">
        <v>1.00642238E8</v>
      </c>
      <c r="X3065" s="1" t="s">
        <v>609</v>
      </c>
      <c r="Y3065" s="1" t="s">
        <v>2758</v>
      </c>
      <c r="Z3065" s="1" t="s">
        <v>37</v>
      </c>
    </row>
    <row r="3066" hidden="1">
      <c r="A3066" s="1" t="s">
        <v>9157</v>
      </c>
      <c r="B3066" s="1" t="s">
        <v>2462</v>
      </c>
      <c r="C3066" s="1" t="s">
        <v>9158</v>
      </c>
      <c r="D3066" s="1" t="s">
        <v>78</v>
      </c>
      <c r="E3066" s="1" t="s">
        <v>28</v>
      </c>
      <c r="F3066" s="2">
        <v>300000.0</v>
      </c>
      <c r="G3066" s="1" t="s">
        <v>9159</v>
      </c>
      <c r="H3066" s="4">
        <f>IFERROR(__xludf.DUMMYFUNCTION("DATE(INDEX(SPLIT(G3066,""/""),,3),INDEX(SPLIT(G3066,""/""),,2),INDEX(SPLIT(G3066,""/""),,1))"),44515.0)</f>
        <v>44515</v>
      </c>
      <c r="I3066" s="1" t="s">
        <v>203</v>
      </c>
      <c r="J3066" s="4">
        <f>IFERROR(__xludf.DUMMYFUNCTION("DATE(INDEX(SPLIT(I3066,""/""),,3),INDEX(SPLIT(I3066,""/""),,2),INDEX(SPLIT(I3066,""/""),,1))"),44925.0)</f>
        <v>44925</v>
      </c>
      <c r="L3066" s="1">
        <v>0.0</v>
      </c>
      <c r="M3066" s="1" t="s">
        <v>2464</v>
      </c>
      <c r="N3066" s="1"/>
      <c r="O3066" s="1" t="s">
        <v>30</v>
      </c>
      <c r="P3066" s="1" t="s">
        <v>31</v>
      </c>
      <c r="Q3066" s="1" t="s">
        <v>157</v>
      </c>
      <c r="R3066" s="1" t="s">
        <v>157</v>
      </c>
      <c r="S3066" s="1" t="s">
        <v>158</v>
      </c>
      <c r="U3066" s="1">
        <v>1.00589278E8</v>
      </c>
      <c r="Y3066" s="1" t="s">
        <v>6677</v>
      </c>
      <c r="Z3066" s="1" t="s">
        <v>37</v>
      </c>
    </row>
    <row r="3067" hidden="1">
      <c r="A3067" s="1" t="s">
        <v>9160</v>
      </c>
      <c r="B3067" s="1" t="s">
        <v>9161</v>
      </c>
      <c r="C3067" s="1" t="s">
        <v>9162</v>
      </c>
      <c r="D3067" s="1" t="s">
        <v>27</v>
      </c>
      <c r="E3067" s="1" t="s">
        <v>28</v>
      </c>
      <c r="F3067" s="2">
        <v>300000.0</v>
      </c>
      <c r="G3067" s="1" t="s">
        <v>711</v>
      </c>
      <c r="H3067" s="4">
        <f>IFERROR(__xludf.DUMMYFUNCTION("DATE(INDEX(SPLIT(G3067,""/""),,3),INDEX(SPLIT(G3067,""/""),,2),INDEX(SPLIT(G3067,""/""),,1))"),44279.0)</f>
        <v>44279</v>
      </c>
      <c r="I3067" s="1" t="s">
        <v>9163</v>
      </c>
      <c r="J3067" s="4">
        <f>IFERROR(__xludf.DUMMYFUNCTION("DATE(INDEX(SPLIT(I3067,""/""),,3),INDEX(SPLIT(I3067,""/""),,2),INDEX(SPLIT(I3067,""/""),,1))"),45193.0)</f>
        <v>45193</v>
      </c>
      <c r="L3067" s="1">
        <v>0.0</v>
      </c>
      <c r="M3067" s="1" t="s">
        <v>1129</v>
      </c>
      <c r="N3067" s="1"/>
      <c r="O3067" s="1" t="s">
        <v>30</v>
      </c>
      <c r="P3067" s="1" t="s">
        <v>31</v>
      </c>
      <c r="Q3067" s="1" t="s">
        <v>157</v>
      </c>
      <c r="R3067" s="1" t="s">
        <v>157</v>
      </c>
      <c r="S3067" s="1" t="s">
        <v>158</v>
      </c>
      <c r="T3067" s="1" t="s">
        <v>442</v>
      </c>
      <c r="U3067" s="1">
        <v>1.00650786E8</v>
      </c>
      <c r="X3067" s="1" t="s">
        <v>98</v>
      </c>
      <c r="Y3067" s="1" t="s">
        <v>3676</v>
      </c>
      <c r="Z3067" s="1" t="s">
        <v>37</v>
      </c>
    </row>
    <row r="3068" hidden="1">
      <c r="A3068" s="1" t="s">
        <v>9164</v>
      </c>
      <c r="B3068" s="1" t="s">
        <v>9161</v>
      </c>
      <c r="C3068" s="1" t="s">
        <v>9165</v>
      </c>
      <c r="D3068" s="1" t="s">
        <v>27</v>
      </c>
      <c r="E3068" s="1" t="s">
        <v>28</v>
      </c>
      <c r="F3068" s="2">
        <v>300000.0</v>
      </c>
      <c r="G3068" s="1" t="s">
        <v>711</v>
      </c>
      <c r="H3068" s="4">
        <f>IFERROR(__xludf.DUMMYFUNCTION("DATE(INDEX(SPLIT(G3068,""/""),,3),INDEX(SPLIT(G3068,""/""),,2),INDEX(SPLIT(G3068,""/""),,1))"),44279.0)</f>
        <v>44279</v>
      </c>
      <c r="I3068" s="1" t="s">
        <v>9166</v>
      </c>
      <c r="J3068" s="4">
        <f>IFERROR(__xludf.DUMMYFUNCTION("DATE(INDEX(SPLIT(I3068,""/""),,3),INDEX(SPLIT(I3068,""/""),,2),INDEX(SPLIT(I3068,""/""),,1))"),45559.0)</f>
        <v>45559</v>
      </c>
      <c r="L3068" s="1">
        <v>0.0</v>
      </c>
      <c r="M3068" s="1" t="s">
        <v>1129</v>
      </c>
      <c r="N3068" s="1"/>
      <c r="O3068" s="1" t="s">
        <v>30</v>
      </c>
      <c r="P3068" s="1" t="s">
        <v>31</v>
      </c>
      <c r="Q3068" s="1" t="s">
        <v>157</v>
      </c>
      <c r="R3068" s="1" t="s">
        <v>157</v>
      </c>
      <c r="S3068" s="1" t="s">
        <v>158</v>
      </c>
      <c r="T3068" s="1" t="s">
        <v>442</v>
      </c>
      <c r="U3068" s="1">
        <v>1.00650786E8</v>
      </c>
      <c r="X3068" s="1" t="s">
        <v>375</v>
      </c>
      <c r="Y3068" s="1" t="s">
        <v>3676</v>
      </c>
      <c r="Z3068" s="1" t="s">
        <v>37</v>
      </c>
    </row>
    <row r="3069" hidden="1">
      <c r="A3069" s="1" t="s">
        <v>9167</v>
      </c>
      <c r="B3069" s="1" t="s">
        <v>9168</v>
      </c>
      <c r="C3069" s="1" t="s">
        <v>9169</v>
      </c>
      <c r="D3069" s="1" t="s">
        <v>78</v>
      </c>
      <c r="E3069" s="1" t="s">
        <v>28</v>
      </c>
      <c r="F3069" s="2">
        <v>300000.0</v>
      </c>
      <c r="G3069" s="1" t="s">
        <v>418</v>
      </c>
      <c r="H3069" s="4">
        <f>IFERROR(__xludf.DUMMYFUNCTION("DATE(INDEX(SPLIT(G3069,""/""),,3),INDEX(SPLIT(G3069,""/""),,2),INDEX(SPLIT(G3069,""/""),,1))"),44755.0)</f>
        <v>44755</v>
      </c>
      <c r="I3069" s="1" t="s">
        <v>569</v>
      </c>
      <c r="J3069" s="4">
        <f>IFERROR(__xludf.DUMMYFUNCTION("DATE(INDEX(SPLIT(I3069,""/""),,3),INDEX(SPLIT(I3069,""/""),,2),INDEX(SPLIT(I3069,""/""),,1))"),45016.0)</f>
        <v>45016</v>
      </c>
      <c r="L3069" s="1">
        <v>0.0</v>
      </c>
      <c r="M3069" s="1" t="s">
        <v>211</v>
      </c>
      <c r="N3069" s="1"/>
      <c r="O3069" s="1" t="s">
        <v>30</v>
      </c>
      <c r="P3069" s="1" t="s">
        <v>31</v>
      </c>
      <c r="Q3069" s="1" t="s">
        <v>71</v>
      </c>
      <c r="R3069" s="1" t="s">
        <v>71</v>
      </c>
      <c r="S3069" s="1" t="s">
        <v>72</v>
      </c>
      <c r="T3069" s="1" t="s">
        <v>136</v>
      </c>
      <c r="U3069" s="1">
        <v>1.00590896E8</v>
      </c>
      <c r="X3069" s="1" t="s">
        <v>74</v>
      </c>
      <c r="Y3069" s="1" t="s">
        <v>2593</v>
      </c>
      <c r="Z3069" s="1" t="s">
        <v>37</v>
      </c>
    </row>
    <row r="3070">
      <c r="A3070" s="1" t="s">
        <v>9170</v>
      </c>
      <c r="B3070" s="1" t="s">
        <v>1379</v>
      </c>
      <c r="C3070" s="1" t="s">
        <v>9171</v>
      </c>
      <c r="D3070" s="1" t="s">
        <v>78</v>
      </c>
      <c r="E3070" s="1" t="s">
        <v>28</v>
      </c>
      <c r="F3070" s="2">
        <v>300000.0</v>
      </c>
      <c r="G3070" s="4">
        <v>44625.0</v>
      </c>
      <c r="H3070" s="4">
        <f>IFERROR(__xludf.DUMMYFUNCTION("DATE(INDEX(SPLIT(G3070,""/""),,3),INDEX(SPLIT(G3070,""/""),,2),INDEX(SPLIT(G3070,""/""),,1))"),44684.0)</f>
        <v>44684</v>
      </c>
      <c r="I3070" s="1" t="s">
        <v>226</v>
      </c>
      <c r="J3070" s="4">
        <f>IFERROR(__xludf.DUMMYFUNCTION("DATE(INDEX(SPLIT(I3070,""/""),,3),INDEX(SPLIT(I3070,""/""),,2),INDEX(SPLIT(I3070,""/""),,1))"),44771.0)</f>
        <v>44771</v>
      </c>
      <c r="L3070" s="1">
        <v>0.0</v>
      </c>
      <c r="M3070" s="1" t="s">
        <v>8315</v>
      </c>
      <c r="N3070" s="1"/>
      <c r="O3070" s="1" t="s">
        <v>30</v>
      </c>
      <c r="P3070" s="1" t="s">
        <v>31</v>
      </c>
      <c r="Q3070" s="1" t="s">
        <v>95</v>
      </c>
      <c r="R3070" s="1" t="s">
        <v>95</v>
      </c>
      <c r="S3070" s="1" t="s">
        <v>96</v>
      </c>
      <c r="T3070" s="1" t="s">
        <v>111</v>
      </c>
      <c r="U3070" s="1">
        <v>1.00625107E8</v>
      </c>
      <c r="X3070" s="1" t="s">
        <v>63</v>
      </c>
      <c r="Y3070" s="1" t="s">
        <v>8315</v>
      </c>
      <c r="Z3070" s="1" t="s">
        <v>206</v>
      </c>
    </row>
    <row r="3071" hidden="1">
      <c r="A3071" s="1" t="s">
        <v>9172</v>
      </c>
      <c r="B3071" s="1" t="s">
        <v>2462</v>
      </c>
      <c r="C3071" s="1" t="s">
        <v>9173</v>
      </c>
      <c r="D3071" s="1" t="s">
        <v>27</v>
      </c>
      <c r="E3071" s="1" t="s">
        <v>28</v>
      </c>
      <c r="F3071" s="2">
        <v>300000.0</v>
      </c>
      <c r="G3071" s="1" t="s">
        <v>1281</v>
      </c>
      <c r="H3071" s="4">
        <f>IFERROR(__xludf.DUMMYFUNCTION("DATE(INDEX(SPLIT(G3071,""/""),,3),INDEX(SPLIT(G3071,""/""),,2),INDEX(SPLIT(G3071,""/""),,1))"),44469.0)</f>
        <v>44469</v>
      </c>
      <c r="I3071" s="1" t="s">
        <v>317</v>
      </c>
      <c r="J3071" s="4">
        <f>IFERROR(__xludf.DUMMYFUNCTION("DATE(INDEX(SPLIT(I3071,""/""),,3),INDEX(SPLIT(I3071,""/""),,2),INDEX(SPLIT(I3071,""/""),,1))"),44862.0)</f>
        <v>44862</v>
      </c>
      <c r="L3071" s="1">
        <v>0.0</v>
      </c>
      <c r="M3071" s="1" t="s">
        <v>1036</v>
      </c>
      <c r="N3071" s="1"/>
      <c r="O3071" s="1" t="s">
        <v>30</v>
      </c>
      <c r="P3071" s="1" t="s">
        <v>31</v>
      </c>
      <c r="Q3071" s="1" t="s">
        <v>95</v>
      </c>
      <c r="R3071" s="1" t="s">
        <v>95</v>
      </c>
      <c r="S3071" s="1" t="s">
        <v>96</v>
      </c>
      <c r="T3071" s="1" t="s">
        <v>111</v>
      </c>
      <c r="U3071" s="1">
        <v>1.00633489E8</v>
      </c>
      <c r="Y3071" s="1" t="s">
        <v>4145</v>
      </c>
      <c r="Z3071" s="1" t="s">
        <v>37</v>
      </c>
    </row>
    <row r="3072" hidden="1">
      <c r="A3072" s="1" t="s">
        <v>9174</v>
      </c>
      <c r="B3072" s="1" t="s">
        <v>4377</v>
      </c>
      <c r="C3072" s="1" t="s">
        <v>9175</v>
      </c>
      <c r="D3072" s="1" t="s">
        <v>27</v>
      </c>
      <c r="E3072" s="1" t="s">
        <v>28</v>
      </c>
      <c r="F3072" s="2">
        <v>300000.0</v>
      </c>
      <c r="G3072" s="1" t="s">
        <v>4379</v>
      </c>
      <c r="H3072" s="4">
        <f>IFERROR(__xludf.DUMMYFUNCTION("DATE(INDEX(SPLIT(G3072,""/""),,3),INDEX(SPLIT(G3072,""/""),,2),INDEX(SPLIT(G3072,""/""),,1))"),44522.0)</f>
        <v>44522</v>
      </c>
      <c r="I3072" s="1" t="s">
        <v>999</v>
      </c>
      <c r="J3072" s="4">
        <f>IFERROR(__xludf.DUMMYFUNCTION("DATE(INDEX(SPLIT(I3072,""/""),,3),INDEX(SPLIT(I3072,""/""),,2),INDEX(SPLIT(I3072,""/""),,1))"),44953.0)</f>
        <v>44953</v>
      </c>
      <c r="L3072" s="1">
        <v>0.0</v>
      </c>
      <c r="M3072" s="1" t="s">
        <v>4016</v>
      </c>
      <c r="N3072" s="1"/>
      <c r="O3072" s="1" t="s">
        <v>30</v>
      </c>
      <c r="P3072" s="1" t="s">
        <v>31</v>
      </c>
      <c r="Q3072" s="1" t="s">
        <v>95</v>
      </c>
      <c r="R3072" s="1" t="s">
        <v>95</v>
      </c>
      <c r="S3072" s="1" t="s">
        <v>96</v>
      </c>
      <c r="T3072" s="1" t="s">
        <v>311</v>
      </c>
      <c r="U3072" s="1">
        <v>1.00628223E8</v>
      </c>
      <c r="X3072" s="1" t="s">
        <v>410</v>
      </c>
      <c r="Y3072" s="1" t="s">
        <v>4016</v>
      </c>
      <c r="Z3072" s="1" t="s">
        <v>206</v>
      </c>
    </row>
    <row r="3073">
      <c r="A3073" s="1" t="s">
        <v>9176</v>
      </c>
      <c r="B3073" s="1" t="s">
        <v>9177</v>
      </c>
      <c r="C3073" s="1" t="s">
        <v>9178</v>
      </c>
      <c r="D3073" s="1" t="s">
        <v>78</v>
      </c>
      <c r="E3073" s="1" t="s">
        <v>28</v>
      </c>
      <c r="F3073" s="2">
        <v>300000.0</v>
      </c>
      <c r="G3073" s="1" t="s">
        <v>1218</v>
      </c>
      <c r="H3073" s="4">
        <f>IFERROR(__xludf.DUMMYFUNCTION("DATE(INDEX(SPLIT(G3073,""/""),,3),INDEX(SPLIT(G3073,""/""),,2),INDEX(SPLIT(G3073,""/""),,1))"),44427.0)</f>
        <v>44427</v>
      </c>
      <c r="I3073" s="1" t="s">
        <v>298</v>
      </c>
      <c r="J3073" s="4">
        <f>IFERROR(__xludf.DUMMYFUNCTION("DATE(INDEX(SPLIT(I3073,""/""),,3),INDEX(SPLIT(I3073,""/""),,2),INDEX(SPLIT(I3073,""/""),,1))"),44762.0)</f>
        <v>44762</v>
      </c>
      <c r="L3073" s="1">
        <v>0.0</v>
      </c>
      <c r="M3073" s="1" t="s">
        <v>558</v>
      </c>
      <c r="N3073" s="1"/>
      <c r="O3073" s="1" t="s">
        <v>30</v>
      </c>
      <c r="P3073" s="1" t="s">
        <v>31</v>
      </c>
      <c r="Q3073" s="1" t="s">
        <v>53</v>
      </c>
      <c r="R3073" s="1" t="s">
        <v>53</v>
      </c>
      <c r="S3073" s="1" t="s">
        <v>54</v>
      </c>
      <c r="T3073" s="1" t="s">
        <v>87</v>
      </c>
      <c r="U3073" s="1">
        <v>1.00653597E8</v>
      </c>
      <c r="X3073" s="1" t="s">
        <v>375</v>
      </c>
      <c r="Y3073" s="1" t="s">
        <v>8690</v>
      </c>
      <c r="Z3073" s="1" t="s">
        <v>37</v>
      </c>
    </row>
    <row r="3074" hidden="1">
      <c r="A3074" s="1" t="s">
        <v>9179</v>
      </c>
      <c r="B3074" s="1" t="s">
        <v>948</v>
      </c>
      <c r="C3074" s="1" t="s">
        <v>9180</v>
      </c>
      <c r="D3074" s="1" t="s">
        <v>27</v>
      </c>
      <c r="E3074" s="1" t="s">
        <v>28</v>
      </c>
      <c r="F3074" s="2">
        <v>300000.0</v>
      </c>
      <c r="G3074" s="1" t="s">
        <v>330</v>
      </c>
      <c r="H3074" s="4">
        <f>IFERROR(__xludf.DUMMYFUNCTION("DATE(INDEX(SPLIT(G3074,""/""),,3),INDEX(SPLIT(G3074,""/""),,2),INDEX(SPLIT(G3074,""/""),,1))"),44728.0)</f>
        <v>44728</v>
      </c>
      <c r="I3074" s="1" t="s">
        <v>130</v>
      </c>
      <c r="J3074" s="4">
        <f>IFERROR(__xludf.DUMMYFUNCTION("DATE(INDEX(SPLIT(I3074,""/""),,3),INDEX(SPLIT(I3074,""/""),,2),INDEX(SPLIT(I3074,""/""),,1))"),44804.0)</f>
        <v>44804</v>
      </c>
      <c r="L3074" s="1">
        <v>0.0</v>
      </c>
      <c r="M3074" s="1" t="s">
        <v>2032</v>
      </c>
      <c r="N3074" s="1"/>
      <c r="O3074" s="1" t="s">
        <v>30</v>
      </c>
      <c r="P3074" s="1" t="s">
        <v>31</v>
      </c>
      <c r="Q3074" s="1" t="s">
        <v>71</v>
      </c>
      <c r="R3074" s="1" t="s">
        <v>71</v>
      </c>
      <c r="S3074" s="1" t="s">
        <v>72</v>
      </c>
      <c r="T3074" s="1" t="s">
        <v>73</v>
      </c>
      <c r="U3074" s="1">
        <v>1.00929557E8</v>
      </c>
      <c r="X3074" s="1" t="s">
        <v>74</v>
      </c>
      <c r="Y3074" s="1" t="s">
        <v>9181</v>
      </c>
      <c r="Z3074" s="1" t="s">
        <v>206</v>
      </c>
    </row>
    <row r="3075">
      <c r="A3075" s="1" t="s">
        <v>9182</v>
      </c>
      <c r="B3075" s="1" t="s">
        <v>8609</v>
      </c>
      <c r="C3075" s="1" t="s">
        <v>9183</v>
      </c>
      <c r="D3075" s="1" t="s">
        <v>78</v>
      </c>
      <c r="E3075" s="1" t="s">
        <v>28</v>
      </c>
      <c r="F3075" s="2">
        <v>300000.0</v>
      </c>
      <c r="G3075" s="1" t="s">
        <v>5039</v>
      </c>
      <c r="H3075" s="4">
        <f>IFERROR(__xludf.DUMMYFUNCTION("DATE(INDEX(SPLIT(G3075,""/""),,3),INDEX(SPLIT(G3075,""/""),,2),INDEX(SPLIT(G3075,""/""),,1))"),44674.0)</f>
        <v>44674</v>
      </c>
      <c r="I3075" s="1" t="s">
        <v>226</v>
      </c>
      <c r="J3075" s="4">
        <f>IFERROR(__xludf.DUMMYFUNCTION("DATE(INDEX(SPLIT(I3075,""/""),,3),INDEX(SPLIT(I3075,""/""),,2),INDEX(SPLIT(I3075,""/""),,1))"),44771.0)</f>
        <v>44771</v>
      </c>
      <c r="L3075" s="1">
        <v>0.0</v>
      </c>
      <c r="M3075" s="1" t="s">
        <v>808</v>
      </c>
      <c r="N3075" s="1"/>
      <c r="O3075" s="1" t="s">
        <v>30</v>
      </c>
      <c r="P3075" s="1" t="s">
        <v>31</v>
      </c>
      <c r="Q3075" s="1" t="s">
        <v>228</v>
      </c>
      <c r="R3075" s="1" t="s">
        <v>228</v>
      </c>
      <c r="S3075" s="1" t="s">
        <v>229</v>
      </c>
      <c r="T3075" s="1" t="s">
        <v>197</v>
      </c>
      <c r="U3075" s="1">
        <v>1.00609871E8</v>
      </c>
      <c r="X3075" s="1" t="s">
        <v>305</v>
      </c>
      <c r="Y3075" s="1" t="s">
        <v>9184</v>
      </c>
      <c r="Z3075" s="1" t="s">
        <v>37</v>
      </c>
    </row>
    <row r="3076" hidden="1">
      <c r="A3076" s="1" t="s">
        <v>9185</v>
      </c>
      <c r="B3076" s="1" t="s">
        <v>4013</v>
      </c>
      <c r="C3076" s="1" t="s">
        <v>9186</v>
      </c>
      <c r="D3076" s="1" t="s">
        <v>78</v>
      </c>
      <c r="E3076" s="1" t="s">
        <v>28</v>
      </c>
      <c r="F3076" s="2">
        <v>300000.0</v>
      </c>
      <c r="G3076" s="1" t="s">
        <v>714</v>
      </c>
      <c r="H3076" s="4">
        <f>IFERROR(__xludf.DUMMYFUNCTION("DATE(INDEX(SPLIT(G3076,""/""),,3),INDEX(SPLIT(G3076,""/""),,2),INDEX(SPLIT(G3076,""/""),,1))"),44546.0)</f>
        <v>44546</v>
      </c>
      <c r="I3076" s="1" t="s">
        <v>360</v>
      </c>
      <c r="J3076" s="4">
        <f>IFERROR(__xludf.DUMMYFUNCTION("DATE(INDEX(SPLIT(I3076,""/""),,3),INDEX(SPLIT(I3076,""/""),,2),INDEX(SPLIT(I3076,""/""),,1))"),44895.0)</f>
        <v>44895</v>
      </c>
      <c r="L3076" s="1">
        <v>0.0</v>
      </c>
      <c r="M3076" s="1" t="s">
        <v>852</v>
      </c>
      <c r="N3076" s="1"/>
      <c r="O3076" s="1" t="s">
        <v>30</v>
      </c>
      <c r="P3076" s="1" t="s">
        <v>31</v>
      </c>
      <c r="Q3076" s="1" t="s">
        <v>157</v>
      </c>
      <c r="R3076" s="1" t="s">
        <v>157</v>
      </c>
      <c r="S3076" s="1" t="s">
        <v>158</v>
      </c>
      <c r="T3076" s="1" t="s">
        <v>442</v>
      </c>
      <c r="U3076" s="1">
        <v>1.00648457E8</v>
      </c>
      <c r="X3076" s="1" t="s">
        <v>190</v>
      </c>
      <c r="Y3076" s="1" t="s">
        <v>5726</v>
      </c>
      <c r="Z3076" s="1" t="s">
        <v>37</v>
      </c>
    </row>
    <row r="3077" hidden="1">
      <c r="A3077" s="1" t="s">
        <v>9187</v>
      </c>
      <c r="B3077" s="1" t="s">
        <v>3591</v>
      </c>
      <c r="C3077" s="1" t="s">
        <v>9188</v>
      </c>
      <c r="D3077" s="1" t="s">
        <v>27</v>
      </c>
      <c r="E3077" s="1" t="s">
        <v>28</v>
      </c>
      <c r="F3077" s="2">
        <v>300000.0</v>
      </c>
      <c r="G3077" s="1" t="s">
        <v>382</v>
      </c>
      <c r="H3077" s="4">
        <f>IFERROR(__xludf.DUMMYFUNCTION("DATE(INDEX(SPLIT(G3077,""/""),,3),INDEX(SPLIT(G3077,""/""),,2),INDEX(SPLIT(G3077,""/""),,1))"),44758.0)</f>
        <v>44758</v>
      </c>
      <c r="I3077" s="1" t="s">
        <v>1361</v>
      </c>
      <c r="J3077" s="4">
        <f>IFERROR(__xludf.DUMMYFUNCTION("DATE(INDEX(SPLIT(I3077,""/""),,3),INDEX(SPLIT(I3077,""/""),,2),INDEX(SPLIT(I3077,""/""),,1))"),44827.0)</f>
        <v>44827</v>
      </c>
      <c r="L3077" s="1">
        <v>0.0</v>
      </c>
      <c r="M3077" s="1" t="s">
        <v>318</v>
      </c>
      <c r="N3077" s="1"/>
      <c r="O3077" s="1" t="s">
        <v>30</v>
      </c>
      <c r="P3077" s="1" t="s">
        <v>31</v>
      </c>
      <c r="Q3077" s="1" t="s">
        <v>71</v>
      </c>
      <c r="R3077" s="1" t="s">
        <v>71</v>
      </c>
      <c r="S3077" s="1" t="s">
        <v>72</v>
      </c>
      <c r="T3077" s="1" t="s">
        <v>73</v>
      </c>
      <c r="U3077" s="1">
        <v>1.00654705E8</v>
      </c>
      <c r="X3077" s="1" t="s">
        <v>74</v>
      </c>
      <c r="Y3077" s="1" t="s">
        <v>318</v>
      </c>
      <c r="Z3077" s="1" t="s">
        <v>37</v>
      </c>
    </row>
    <row r="3078" hidden="1">
      <c r="A3078" s="1" t="s">
        <v>9189</v>
      </c>
      <c r="B3078" s="1" t="s">
        <v>8488</v>
      </c>
      <c r="C3078" s="1" t="s">
        <v>9190</v>
      </c>
      <c r="D3078" s="1" t="s">
        <v>78</v>
      </c>
      <c r="E3078" s="1" t="s">
        <v>28</v>
      </c>
      <c r="F3078" s="2">
        <v>300000.0</v>
      </c>
      <c r="G3078" s="4">
        <v>44622.0</v>
      </c>
      <c r="H3078" s="4">
        <f>IFERROR(__xludf.DUMMYFUNCTION("DATE(INDEX(SPLIT(G3078,""/""),,3),INDEX(SPLIT(G3078,""/""),,2),INDEX(SPLIT(G3078,""/""),,1))"),44595.0)</f>
        <v>44595</v>
      </c>
      <c r="I3078" s="1" t="s">
        <v>109</v>
      </c>
      <c r="J3078" s="4">
        <f>IFERROR(__xludf.DUMMYFUNCTION("DATE(INDEX(SPLIT(I3078,""/""),,3),INDEX(SPLIT(I3078,""/""),,2),INDEX(SPLIT(I3078,""/""),,1))"),44834.0)</f>
        <v>44834</v>
      </c>
      <c r="L3078" s="1">
        <v>0.0</v>
      </c>
      <c r="M3078" s="1" t="s">
        <v>3138</v>
      </c>
      <c r="N3078" s="1"/>
      <c r="O3078" s="1" t="s">
        <v>30</v>
      </c>
      <c r="P3078" s="1" t="s">
        <v>31</v>
      </c>
      <c r="Q3078" s="1" t="s">
        <v>157</v>
      </c>
      <c r="R3078" s="1" t="s">
        <v>157</v>
      </c>
      <c r="S3078" s="1" t="s">
        <v>158</v>
      </c>
      <c r="T3078" s="1" t="s">
        <v>103</v>
      </c>
      <c r="U3078" s="1">
        <v>1.00616377E8</v>
      </c>
      <c r="X3078" s="1" t="s">
        <v>63</v>
      </c>
      <c r="Y3078" s="1" t="s">
        <v>6565</v>
      </c>
      <c r="Z3078" s="1" t="s">
        <v>37</v>
      </c>
    </row>
    <row r="3079" hidden="1">
      <c r="A3079" s="1" t="s">
        <v>9191</v>
      </c>
      <c r="B3079" s="1" t="s">
        <v>1393</v>
      </c>
      <c r="C3079" s="1" t="s">
        <v>9192</v>
      </c>
      <c r="D3079" s="1" t="s">
        <v>78</v>
      </c>
      <c r="E3079" s="1" t="s">
        <v>28</v>
      </c>
      <c r="F3079" s="2">
        <v>300000.0</v>
      </c>
      <c r="G3079" s="4">
        <v>44537.0</v>
      </c>
      <c r="H3079" s="4">
        <f>IFERROR(__xludf.DUMMYFUNCTION("DATE(INDEX(SPLIT(G3079,""/""),,3),INDEX(SPLIT(G3079,""/""),,2),INDEX(SPLIT(G3079,""/""),,1))"),44389.0)</f>
        <v>44389</v>
      </c>
      <c r="I3079" s="1" t="s">
        <v>109</v>
      </c>
      <c r="J3079" s="4">
        <f>IFERROR(__xludf.DUMMYFUNCTION("DATE(INDEX(SPLIT(I3079,""/""),,3),INDEX(SPLIT(I3079,""/""),,2),INDEX(SPLIT(I3079,""/""),,1))"),44834.0)</f>
        <v>44834</v>
      </c>
      <c r="L3079" s="1">
        <v>0.0</v>
      </c>
      <c r="M3079" s="1" t="s">
        <v>979</v>
      </c>
      <c r="N3079" s="1"/>
      <c r="O3079" s="1" t="s">
        <v>30</v>
      </c>
      <c r="P3079" s="1" t="s">
        <v>31</v>
      </c>
      <c r="Q3079" s="1" t="s">
        <v>235</v>
      </c>
      <c r="R3079" s="1" t="s">
        <v>235</v>
      </c>
      <c r="S3079" s="1" t="s">
        <v>236</v>
      </c>
      <c r="T3079" s="1" t="s">
        <v>438</v>
      </c>
      <c r="U3079" s="1">
        <v>1.00647262E8</v>
      </c>
      <c r="X3079" s="1" t="s">
        <v>88</v>
      </c>
      <c r="Y3079" s="1" t="s">
        <v>1582</v>
      </c>
      <c r="Z3079" s="1" t="s">
        <v>37</v>
      </c>
    </row>
    <row r="3080" hidden="1">
      <c r="A3080" s="1" t="s">
        <v>9193</v>
      </c>
      <c r="B3080" s="1" t="s">
        <v>9194</v>
      </c>
      <c r="C3080" s="1" t="s">
        <v>9195</v>
      </c>
      <c r="D3080" s="1" t="s">
        <v>78</v>
      </c>
      <c r="E3080" s="1" t="s">
        <v>28</v>
      </c>
      <c r="F3080" s="2">
        <v>300000.0</v>
      </c>
      <c r="G3080" s="1" t="s">
        <v>2077</v>
      </c>
      <c r="H3080" s="4">
        <f>IFERROR(__xludf.DUMMYFUNCTION("DATE(INDEX(SPLIT(G3080,""/""),,3),INDEX(SPLIT(G3080,""/""),,2),INDEX(SPLIT(G3080,""/""),,1))"),44700.0)</f>
        <v>44700</v>
      </c>
      <c r="I3080" s="4">
        <v>44601.0</v>
      </c>
      <c r="J3080" s="4">
        <f>IFERROR(__xludf.DUMMYFUNCTION("DATE(INDEX(SPLIT(I3080,""/""),,3),INDEX(SPLIT(I3080,""/""),,2),INDEX(SPLIT(I3080,""/""),,1))"),44806.0)</f>
        <v>44806</v>
      </c>
      <c r="L3080" s="1">
        <v>0.0</v>
      </c>
      <c r="M3080" s="1" t="s">
        <v>653</v>
      </c>
      <c r="N3080" s="1"/>
      <c r="O3080" s="1" t="s">
        <v>30</v>
      </c>
      <c r="P3080" s="1" t="s">
        <v>31</v>
      </c>
      <c r="Q3080" s="1" t="s">
        <v>157</v>
      </c>
      <c r="R3080" s="1" t="s">
        <v>157</v>
      </c>
      <c r="S3080" s="1" t="s">
        <v>158</v>
      </c>
      <c r="U3080" s="1">
        <v>1.00591141E8</v>
      </c>
      <c r="X3080" s="1" t="s">
        <v>468</v>
      </c>
      <c r="Y3080" s="1" t="s">
        <v>9196</v>
      </c>
      <c r="Z3080" s="1" t="s">
        <v>37</v>
      </c>
    </row>
    <row r="3081">
      <c r="A3081" s="1" t="s">
        <v>9197</v>
      </c>
      <c r="B3081" s="1" t="s">
        <v>3367</v>
      </c>
      <c r="C3081" s="1" t="s">
        <v>9198</v>
      </c>
      <c r="D3081" s="1" t="s">
        <v>122</v>
      </c>
      <c r="E3081" s="1" t="s">
        <v>28</v>
      </c>
      <c r="F3081" s="2">
        <v>300000.0</v>
      </c>
      <c r="G3081" s="4">
        <v>44777.0</v>
      </c>
      <c r="H3081" s="4">
        <f>IFERROR(__xludf.DUMMYFUNCTION("DATE(INDEX(SPLIT(G3081,""/""),,3),INDEX(SPLIT(G3081,""/""),,2),INDEX(SPLIT(G3081,""/""),,1))"),44659.0)</f>
        <v>44659</v>
      </c>
      <c r="I3081" s="1" t="s">
        <v>1141</v>
      </c>
      <c r="J3081" s="4">
        <f>IFERROR(__xludf.DUMMYFUNCTION("DATE(INDEX(SPLIT(I3081,""/""),,3),INDEX(SPLIT(I3081,""/""),,2),INDEX(SPLIT(I3081,""/""),,1))"),44767.0)</f>
        <v>44767</v>
      </c>
      <c r="L3081" s="1">
        <v>0.0</v>
      </c>
      <c r="M3081" s="1" t="s">
        <v>4262</v>
      </c>
      <c r="N3081" s="1"/>
      <c r="O3081" s="1" t="s">
        <v>30</v>
      </c>
      <c r="P3081" s="1" t="s">
        <v>31</v>
      </c>
      <c r="Q3081" s="1" t="s">
        <v>228</v>
      </c>
      <c r="R3081" s="1" t="s">
        <v>228</v>
      </c>
      <c r="S3081" s="1" t="s">
        <v>229</v>
      </c>
      <c r="T3081" s="1" t="s">
        <v>513</v>
      </c>
      <c r="U3081" s="1">
        <v>1.00639544E8</v>
      </c>
      <c r="X3081" s="1" t="s">
        <v>74</v>
      </c>
      <c r="Y3081" s="1" t="s">
        <v>6795</v>
      </c>
      <c r="Z3081" s="1" t="s">
        <v>206</v>
      </c>
    </row>
    <row r="3082" hidden="1">
      <c r="A3082" s="1" t="s">
        <v>9199</v>
      </c>
      <c r="B3082" s="1" t="s">
        <v>2642</v>
      </c>
      <c r="C3082" s="1" t="s">
        <v>9200</v>
      </c>
      <c r="D3082" s="1" t="s">
        <v>78</v>
      </c>
      <c r="E3082" s="1" t="s">
        <v>28</v>
      </c>
      <c r="F3082" s="2">
        <v>300000.0</v>
      </c>
      <c r="G3082" s="1" t="s">
        <v>2300</v>
      </c>
      <c r="H3082" s="4">
        <f>IFERROR(__xludf.DUMMYFUNCTION("DATE(INDEX(SPLIT(G3082,""/""),,3),INDEX(SPLIT(G3082,""/""),,2),INDEX(SPLIT(G3082,""/""),,1))"),44712.0)</f>
        <v>44712</v>
      </c>
      <c r="I3082" s="1" t="s">
        <v>1799</v>
      </c>
      <c r="J3082" s="4">
        <f>IFERROR(__xludf.DUMMYFUNCTION("DATE(INDEX(SPLIT(I3082,""/""),,3),INDEX(SPLIT(I3082,""/""),,2),INDEX(SPLIT(I3082,""/""),,1))"),44788.0)</f>
        <v>44788</v>
      </c>
      <c r="L3082" s="1">
        <v>0.0</v>
      </c>
      <c r="M3082" s="1" t="s">
        <v>3474</v>
      </c>
      <c r="N3082" s="1"/>
      <c r="O3082" s="1" t="s">
        <v>30</v>
      </c>
      <c r="P3082" s="1" t="s">
        <v>31</v>
      </c>
      <c r="Q3082" s="1" t="s">
        <v>95</v>
      </c>
      <c r="R3082" s="1" t="s">
        <v>95</v>
      </c>
      <c r="S3082" s="1" t="s">
        <v>96</v>
      </c>
      <c r="U3082" s="1">
        <v>1.00650841E8</v>
      </c>
      <c r="X3082" s="1" t="s">
        <v>74</v>
      </c>
      <c r="Y3082" s="1" t="s">
        <v>3474</v>
      </c>
      <c r="Z3082" s="1" t="s">
        <v>37</v>
      </c>
    </row>
    <row r="3083" hidden="1">
      <c r="A3083" s="1" t="s">
        <v>9201</v>
      </c>
      <c r="B3083" s="1" t="s">
        <v>427</v>
      </c>
      <c r="C3083" s="1" t="s">
        <v>9202</v>
      </c>
      <c r="D3083" s="1" t="s">
        <v>27</v>
      </c>
      <c r="E3083" s="1" t="s">
        <v>28</v>
      </c>
      <c r="F3083" s="2">
        <v>300000.0</v>
      </c>
      <c r="G3083" s="1" t="s">
        <v>3470</v>
      </c>
      <c r="H3083" s="4">
        <f>IFERROR(__xludf.DUMMYFUNCTION("DATE(INDEX(SPLIT(G3083,""/""),,3),INDEX(SPLIT(G3083,""/""),,2),INDEX(SPLIT(G3083,""/""),,1))"),44126.0)</f>
        <v>44126</v>
      </c>
      <c r="I3083" s="1" t="s">
        <v>7282</v>
      </c>
      <c r="J3083" s="4">
        <f>IFERROR(__xludf.DUMMYFUNCTION("DATE(INDEX(SPLIT(I3083,""/""),,3),INDEX(SPLIT(I3083,""/""),,2),INDEX(SPLIT(I3083,""/""),,1))"),44798.0)</f>
        <v>44798</v>
      </c>
      <c r="L3083" s="1">
        <v>0.0</v>
      </c>
      <c r="M3083" s="1" t="s">
        <v>770</v>
      </c>
      <c r="N3083" s="1"/>
      <c r="O3083" s="1" t="s">
        <v>30</v>
      </c>
      <c r="P3083" s="1" t="s">
        <v>31</v>
      </c>
      <c r="Q3083" s="1" t="s">
        <v>157</v>
      </c>
      <c r="R3083" s="1" t="s">
        <v>157</v>
      </c>
      <c r="S3083" s="1" t="s">
        <v>158</v>
      </c>
      <c r="T3083" s="1" t="s">
        <v>442</v>
      </c>
      <c r="U3083" s="1">
        <v>1.00623421E8</v>
      </c>
      <c r="X3083" s="1" t="s">
        <v>125</v>
      </c>
      <c r="Y3083" s="1" t="s">
        <v>432</v>
      </c>
      <c r="Z3083" s="1" t="s">
        <v>37</v>
      </c>
    </row>
    <row r="3084">
      <c r="A3084" s="1" t="s">
        <v>9203</v>
      </c>
      <c r="B3084" s="1" t="s">
        <v>9204</v>
      </c>
      <c r="C3084" s="1" t="s">
        <v>9205</v>
      </c>
      <c r="D3084" s="1" t="s">
        <v>122</v>
      </c>
      <c r="E3084" s="1" t="s">
        <v>28</v>
      </c>
      <c r="F3084" s="2">
        <v>300000.0</v>
      </c>
      <c r="G3084" s="1" t="s">
        <v>330</v>
      </c>
      <c r="H3084" s="4">
        <f>IFERROR(__xludf.DUMMYFUNCTION("DATE(INDEX(SPLIT(G3084,""/""),,3),INDEX(SPLIT(G3084,""/""),,2),INDEX(SPLIT(G3084,""/""),,1))"),44728.0)</f>
        <v>44728</v>
      </c>
      <c r="I3084" s="1" t="s">
        <v>518</v>
      </c>
      <c r="J3084" s="4">
        <f>IFERROR(__xludf.DUMMYFUNCTION("DATE(INDEX(SPLIT(I3084,""/""),,3),INDEX(SPLIT(I3084,""/""),,2),INDEX(SPLIT(I3084,""/""),,1))"),44757.0)</f>
        <v>44757</v>
      </c>
      <c r="L3084" s="1">
        <v>0.0</v>
      </c>
      <c r="M3084" s="1" t="s">
        <v>5205</v>
      </c>
      <c r="N3084" s="1"/>
      <c r="O3084" s="1" t="s">
        <v>30</v>
      </c>
      <c r="P3084" s="1" t="s">
        <v>31</v>
      </c>
      <c r="Q3084" s="1" t="s">
        <v>32</v>
      </c>
      <c r="R3084" s="1" t="s">
        <v>32</v>
      </c>
      <c r="S3084" s="1" t="s">
        <v>33</v>
      </c>
      <c r="U3084" s="1">
        <v>1.00587881E8</v>
      </c>
      <c r="X3084" s="1" t="s">
        <v>35</v>
      </c>
      <c r="Y3084" s="1" t="s">
        <v>5205</v>
      </c>
      <c r="Z3084" s="1" t="s">
        <v>37</v>
      </c>
    </row>
    <row r="3085">
      <c r="A3085" s="1" t="s">
        <v>9206</v>
      </c>
      <c r="B3085" s="1" t="s">
        <v>658</v>
      </c>
      <c r="C3085" s="1" t="s">
        <v>9207</v>
      </c>
      <c r="D3085" s="1" t="s">
        <v>78</v>
      </c>
      <c r="E3085" s="1" t="s">
        <v>28</v>
      </c>
      <c r="F3085" s="2">
        <v>300000.0</v>
      </c>
      <c r="G3085" s="4">
        <v>44777.0</v>
      </c>
      <c r="H3085" s="4">
        <f>IFERROR(__xludf.DUMMYFUNCTION("DATE(INDEX(SPLIT(G3085,""/""),,3),INDEX(SPLIT(G3085,""/""),,2),INDEX(SPLIT(G3085,""/""),,1))"),44659.0)</f>
        <v>44659</v>
      </c>
      <c r="I3085" s="1" t="s">
        <v>226</v>
      </c>
      <c r="J3085" s="4">
        <f>IFERROR(__xludf.DUMMYFUNCTION("DATE(INDEX(SPLIT(I3085,""/""),,3),INDEX(SPLIT(I3085,""/""),,2),INDEX(SPLIT(I3085,""/""),,1))"),44771.0)</f>
        <v>44771</v>
      </c>
      <c r="L3085" s="1">
        <v>0.0</v>
      </c>
      <c r="M3085" s="1" t="s">
        <v>211</v>
      </c>
      <c r="N3085" s="1"/>
      <c r="O3085" s="1" t="s">
        <v>30</v>
      </c>
      <c r="P3085" s="1" t="s">
        <v>31</v>
      </c>
      <c r="Q3085" s="1" t="s">
        <v>71</v>
      </c>
      <c r="R3085" s="1" t="s">
        <v>71</v>
      </c>
      <c r="S3085" s="1" t="s">
        <v>72</v>
      </c>
      <c r="T3085" s="1" t="s">
        <v>136</v>
      </c>
      <c r="U3085" s="1">
        <v>1.00590896E8</v>
      </c>
      <c r="X3085" s="1" t="s">
        <v>74</v>
      </c>
      <c r="Y3085" s="1" t="s">
        <v>2036</v>
      </c>
      <c r="Z3085" s="1" t="s">
        <v>37</v>
      </c>
    </row>
    <row r="3086" hidden="1">
      <c r="A3086" s="1" t="s">
        <v>9208</v>
      </c>
      <c r="B3086" s="1" t="s">
        <v>1216</v>
      </c>
      <c r="C3086" s="1" t="s">
        <v>9209</v>
      </c>
      <c r="D3086" s="1" t="s">
        <v>27</v>
      </c>
      <c r="E3086" s="1" t="s">
        <v>28</v>
      </c>
      <c r="F3086" s="2">
        <v>300000.0</v>
      </c>
      <c r="G3086" s="1" t="s">
        <v>4402</v>
      </c>
      <c r="H3086" s="4">
        <f>IFERROR(__xludf.DUMMYFUNCTION("DATE(INDEX(SPLIT(G3086,""/""),,3),INDEX(SPLIT(G3086,""/""),,2),INDEX(SPLIT(G3086,""/""),,1))"),44390.0)</f>
        <v>44390</v>
      </c>
      <c r="I3086" s="4">
        <v>44569.0</v>
      </c>
      <c r="J3086" s="4">
        <f>IFERROR(__xludf.DUMMYFUNCTION("DATE(INDEX(SPLIT(I3086,""/""),,3),INDEX(SPLIT(I3086,""/""),,2),INDEX(SPLIT(I3086,""/""),,1))"),44774.0)</f>
        <v>44774</v>
      </c>
      <c r="L3086" s="1">
        <v>0.0</v>
      </c>
      <c r="M3086" s="1" t="s">
        <v>1219</v>
      </c>
      <c r="N3086" s="1"/>
      <c r="O3086" s="1" t="s">
        <v>30</v>
      </c>
      <c r="P3086" s="1" t="s">
        <v>31</v>
      </c>
      <c r="Q3086" s="1" t="s">
        <v>53</v>
      </c>
      <c r="R3086" s="1" t="s">
        <v>53</v>
      </c>
      <c r="S3086" s="1" t="s">
        <v>54</v>
      </c>
      <c r="U3086" s="1">
        <v>1.00968114E8</v>
      </c>
      <c r="X3086" s="1" t="s">
        <v>88</v>
      </c>
      <c r="Y3086" s="1" t="s">
        <v>1219</v>
      </c>
      <c r="Z3086" s="1" t="s">
        <v>37</v>
      </c>
    </row>
    <row r="3087" hidden="1">
      <c r="A3087" s="1" t="s">
        <v>9210</v>
      </c>
      <c r="B3087" s="1" t="s">
        <v>2501</v>
      </c>
      <c r="C3087" s="1" t="s">
        <v>9211</v>
      </c>
      <c r="D3087" s="1" t="s">
        <v>27</v>
      </c>
      <c r="E3087" s="1" t="s">
        <v>28</v>
      </c>
      <c r="F3087" s="2">
        <v>300000.0</v>
      </c>
      <c r="G3087" s="1" t="s">
        <v>429</v>
      </c>
      <c r="H3087" s="4">
        <f>IFERROR(__xludf.DUMMYFUNCTION("DATE(INDEX(SPLIT(G3087,""/""),,3),INDEX(SPLIT(G3087,""/""),,2),INDEX(SPLIT(G3087,""/""),,1))"),44739.0)</f>
        <v>44739</v>
      </c>
      <c r="I3087" s="1" t="s">
        <v>569</v>
      </c>
      <c r="J3087" s="4">
        <f>IFERROR(__xludf.DUMMYFUNCTION("DATE(INDEX(SPLIT(I3087,""/""),,3),INDEX(SPLIT(I3087,""/""),,2),INDEX(SPLIT(I3087,""/""),,1))"),45016.0)</f>
        <v>45016</v>
      </c>
      <c r="L3087" s="1">
        <v>0.0</v>
      </c>
      <c r="M3087" s="1" t="s">
        <v>5697</v>
      </c>
      <c r="N3087" s="1"/>
      <c r="O3087" s="1" t="s">
        <v>30</v>
      </c>
      <c r="P3087" s="1" t="s">
        <v>31</v>
      </c>
      <c r="Q3087" s="1" t="s">
        <v>53</v>
      </c>
      <c r="R3087" s="1" t="s">
        <v>53</v>
      </c>
      <c r="S3087" s="1" t="s">
        <v>54</v>
      </c>
      <c r="T3087" s="1" t="s">
        <v>634</v>
      </c>
      <c r="U3087" s="1">
        <v>1.0065104E8</v>
      </c>
      <c r="X3087" s="1" t="s">
        <v>490</v>
      </c>
      <c r="Y3087" s="1" t="s">
        <v>2504</v>
      </c>
      <c r="Z3087" s="1" t="s">
        <v>37</v>
      </c>
    </row>
    <row r="3088" hidden="1">
      <c r="A3088" s="1" t="s">
        <v>9212</v>
      </c>
      <c r="B3088" s="1" t="s">
        <v>532</v>
      </c>
      <c r="C3088" s="1" t="s">
        <v>9213</v>
      </c>
      <c r="D3088" s="1" t="s">
        <v>27</v>
      </c>
      <c r="E3088" s="1" t="s">
        <v>28</v>
      </c>
      <c r="F3088" s="2">
        <v>300000.0</v>
      </c>
      <c r="G3088" s="4">
        <v>44595.0</v>
      </c>
      <c r="H3088" s="4">
        <f>IFERROR(__xludf.DUMMYFUNCTION("DATE(INDEX(SPLIT(G3088,""/""),,3),INDEX(SPLIT(G3088,""/""),,2),INDEX(SPLIT(G3088,""/""),,1))"),44622.0)</f>
        <v>44622</v>
      </c>
      <c r="I3088" s="1" t="s">
        <v>109</v>
      </c>
      <c r="J3088" s="4">
        <f>IFERROR(__xludf.DUMMYFUNCTION("DATE(INDEX(SPLIT(I3088,""/""),,3),INDEX(SPLIT(I3088,""/""),,2),INDEX(SPLIT(I3088,""/""),,1))"),44834.0)</f>
        <v>44834</v>
      </c>
      <c r="L3088" s="1">
        <v>0.0</v>
      </c>
      <c r="M3088" s="1" t="s">
        <v>3503</v>
      </c>
      <c r="N3088" s="1"/>
      <c r="O3088" s="1" t="s">
        <v>30</v>
      </c>
      <c r="P3088" s="1" t="s">
        <v>31</v>
      </c>
      <c r="Q3088" s="1" t="s">
        <v>95</v>
      </c>
      <c r="R3088" s="1" t="s">
        <v>95</v>
      </c>
      <c r="S3088" s="1" t="s">
        <v>96</v>
      </c>
      <c r="T3088" s="1" t="s">
        <v>489</v>
      </c>
      <c r="U3088" s="1">
        <v>1.00625578E8</v>
      </c>
      <c r="X3088" s="1" t="s">
        <v>490</v>
      </c>
      <c r="Y3088" s="1" t="s">
        <v>3503</v>
      </c>
      <c r="Z3088" s="1" t="s">
        <v>37</v>
      </c>
    </row>
    <row r="3089" hidden="1">
      <c r="A3089" s="1" t="s">
        <v>9214</v>
      </c>
      <c r="B3089" s="1" t="s">
        <v>532</v>
      </c>
      <c r="C3089" s="1" t="s">
        <v>9215</v>
      </c>
      <c r="D3089" s="1" t="s">
        <v>27</v>
      </c>
      <c r="E3089" s="1" t="s">
        <v>28</v>
      </c>
      <c r="F3089" s="2">
        <v>300000.0</v>
      </c>
      <c r="G3089" s="4">
        <v>44595.0</v>
      </c>
      <c r="H3089" s="4">
        <f>IFERROR(__xludf.DUMMYFUNCTION("DATE(INDEX(SPLIT(G3089,""/""),,3),INDEX(SPLIT(G3089,""/""),,2),INDEX(SPLIT(G3089,""/""),,1))"),44622.0)</f>
        <v>44622</v>
      </c>
      <c r="I3089" s="1" t="s">
        <v>109</v>
      </c>
      <c r="J3089" s="4">
        <f>IFERROR(__xludf.DUMMYFUNCTION("DATE(INDEX(SPLIT(I3089,""/""),,3),INDEX(SPLIT(I3089,""/""),,2),INDEX(SPLIT(I3089,""/""),,1))"),44834.0)</f>
        <v>44834</v>
      </c>
      <c r="L3089" s="1">
        <v>0.0</v>
      </c>
      <c r="M3089" s="1" t="s">
        <v>3503</v>
      </c>
      <c r="N3089" s="1"/>
      <c r="O3089" s="1" t="s">
        <v>30</v>
      </c>
      <c r="P3089" s="1" t="s">
        <v>31</v>
      </c>
      <c r="Q3089" s="1" t="s">
        <v>95</v>
      </c>
      <c r="R3089" s="1" t="s">
        <v>95</v>
      </c>
      <c r="S3089" s="1" t="s">
        <v>96</v>
      </c>
      <c r="T3089" s="1" t="s">
        <v>489</v>
      </c>
      <c r="U3089" s="1">
        <v>1.00625578E8</v>
      </c>
      <c r="X3089" s="1" t="s">
        <v>490</v>
      </c>
      <c r="Y3089" s="1" t="s">
        <v>3503</v>
      </c>
      <c r="Z3089" s="1" t="s">
        <v>37</v>
      </c>
    </row>
    <row r="3090">
      <c r="A3090" s="1" t="s">
        <v>9216</v>
      </c>
      <c r="B3090" s="1" t="s">
        <v>889</v>
      </c>
      <c r="C3090" s="1" t="s">
        <v>9217</v>
      </c>
      <c r="D3090" s="1" t="s">
        <v>27</v>
      </c>
      <c r="E3090" s="1" t="s">
        <v>28</v>
      </c>
      <c r="F3090" s="2">
        <v>300000.0</v>
      </c>
      <c r="G3090" s="1" t="s">
        <v>568</v>
      </c>
      <c r="H3090" s="4">
        <f>IFERROR(__xludf.DUMMYFUNCTION("DATE(INDEX(SPLIT(G3090,""/""),,3),INDEX(SPLIT(G3090,""/""),,2),INDEX(SPLIT(G3090,""/""),,1))"),44587.0)</f>
        <v>44587</v>
      </c>
      <c r="I3090" s="1" t="s">
        <v>1244</v>
      </c>
      <c r="J3090" s="4">
        <f>IFERROR(__xludf.DUMMYFUNCTION("DATE(INDEX(SPLIT(I3090,""/""),,3),INDEX(SPLIT(I3090,""/""),,2),INDEX(SPLIT(I3090,""/""),,1))"),44742.0)</f>
        <v>44742</v>
      </c>
      <c r="L3090" s="1">
        <v>0.0</v>
      </c>
      <c r="M3090" s="1" t="s">
        <v>891</v>
      </c>
      <c r="N3090" s="1"/>
      <c r="O3090" s="1" t="s">
        <v>30</v>
      </c>
      <c r="P3090" s="1" t="s">
        <v>31</v>
      </c>
      <c r="Q3090" s="1" t="s">
        <v>32</v>
      </c>
      <c r="R3090" s="1" t="s">
        <v>32</v>
      </c>
      <c r="S3090" s="1" t="s">
        <v>33</v>
      </c>
      <c r="T3090" s="1" t="s">
        <v>442</v>
      </c>
      <c r="U3090" s="1">
        <v>1.00866856E8</v>
      </c>
      <c r="X3090" s="1" t="s">
        <v>125</v>
      </c>
      <c r="Y3090" s="1" t="s">
        <v>891</v>
      </c>
      <c r="Z3090" s="1" t="s">
        <v>37</v>
      </c>
    </row>
    <row r="3091" hidden="1">
      <c r="A3091" s="1" t="s">
        <v>9218</v>
      </c>
      <c r="B3091" s="1" t="s">
        <v>301</v>
      </c>
      <c r="C3091" s="1" t="s">
        <v>9219</v>
      </c>
      <c r="D3091" s="1" t="s">
        <v>27</v>
      </c>
      <c r="E3091" s="1" t="s">
        <v>28</v>
      </c>
      <c r="F3091" s="2">
        <v>300000.0</v>
      </c>
      <c r="G3091" s="1" t="s">
        <v>2064</v>
      </c>
      <c r="H3091" s="4">
        <f>IFERROR(__xludf.DUMMYFUNCTION("DATE(INDEX(SPLIT(G3091,""/""),,3),INDEX(SPLIT(G3091,""/""),,2),INDEX(SPLIT(G3091,""/""),,1))"),44616.0)</f>
        <v>44616</v>
      </c>
      <c r="I3091" s="4">
        <v>44601.0</v>
      </c>
      <c r="J3091" s="4">
        <f>IFERROR(__xludf.DUMMYFUNCTION("DATE(INDEX(SPLIT(I3091,""/""),,3),INDEX(SPLIT(I3091,""/""),,2),INDEX(SPLIT(I3091,""/""),,1))"),44806.0)</f>
        <v>44806</v>
      </c>
      <c r="L3091" s="1">
        <v>0.0</v>
      </c>
      <c r="M3091" s="1" t="s">
        <v>873</v>
      </c>
      <c r="N3091" s="1"/>
      <c r="O3091" s="1" t="s">
        <v>30</v>
      </c>
      <c r="P3091" s="1" t="s">
        <v>31</v>
      </c>
      <c r="Q3091" s="1" t="s">
        <v>157</v>
      </c>
      <c r="R3091" s="1" t="s">
        <v>157</v>
      </c>
      <c r="S3091" s="1" t="s">
        <v>158</v>
      </c>
      <c r="U3091" s="1">
        <v>1.00586701E8</v>
      </c>
      <c r="X3091" s="1" t="s">
        <v>305</v>
      </c>
      <c r="Y3091" s="1" t="s">
        <v>874</v>
      </c>
      <c r="Z3091" s="1" t="s">
        <v>37</v>
      </c>
    </row>
    <row r="3092" hidden="1">
      <c r="A3092" s="1" t="s">
        <v>9220</v>
      </c>
      <c r="B3092" s="1" t="s">
        <v>645</v>
      </c>
      <c r="C3092" s="1" t="s">
        <v>9221</v>
      </c>
      <c r="D3092" s="1" t="s">
        <v>27</v>
      </c>
      <c r="E3092" s="1" t="s">
        <v>28</v>
      </c>
      <c r="F3092" s="2">
        <v>300000.0</v>
      </c>
      <c r="G3092" s="1" t="s">
        <v>286</v>
      </c>
      <c r="H3092" s="4">
        <f>IFERROR(__xludf.DUMMYFUNCTION("DATE(INDEX(SPLIT(G3092,""/""),,3),INDEX(SPLIT(G3092,""/""),,2),INDEX(SPLIT(G3092,""/""),,1))"),44609.0)</f>
        <v>44609</v>
      </c>
      <c r="I3092" s="4">
        <v>44570.0</v>
      </c>
      <c r="J3092" s="4">
        <f>IFERROR(__xludf.DUMMYFUNCTION("DATE(INDEX(SPLIT(I3092,""/""),,3),INDEX(SPLIT(I3092,""/""),,2),INDEX(SPLIT(I3092,""/""),,1))"),44805.0)</f>
        <v>44805</v>
      </c>
      <c r="L3092" s="1">
        <v>0.0</v>
      </c>
      <c r="M3092" s="1" t="s">
        <v>4636</v>
      </c>
      <c r="N3092" s="1"/>
      <c r="O3092" s="1" t="s">
        <v>30</v>
      </c>
      <c r="P3092" s="1" t="s">
        <v>31</v>
      </c>
      <c r="Q3092" s="1" t="s">
        <v>157</v>
      </c>
      <c r="R3092" s="1" t="s">
        <v>157</v>
      </c>
      <c r="S3092" s="1" t="s">
        <v>158</v>
      </c>
      <c r="T3092" s="1" t="s">
        <v>442</v>
      </c>
      <c r="U3092" s="1">
        <v>1.00589292E8</v>
      </c>
      <c r="X3092" s="1" t="s">
        <v>46</v>
      </c>
      <c r="Y3092" s="1" t="s">
        <v>4636</v>
      </c>
      <c r="Z3092" s="1" t="s">
        <v>527</v>
      </c>
    </row>
    <row r="3093" hidden="1">
      <c r="A3093" s="1" t="s">
        <v>9222</v>
      </c>
      <c r="B3093" s="1" t="s">
        <v>120</v>
      </c>
      <c r="C3093" s="1" t="s">
        <v>9223</v>
      </c>
      <c r="D3093" s="1" t="s">
        <v>122</v>
      </c>
      <c r="E3093" s="1" t="s">
        <v>28</v>
      </c>
      <c r="F3093" s="2">
        <v>300000.0</v>
      </c>
      <c r="G3093" s="1" t="s">
        <v>5115</v>
      </c>
      <c r="H3093" s="4">
        <f>IFERROR(__xludf.DUMMYFUNCTION("DATE(INDEX(SPLIT(G3093,""/""),,3),INDEX(SPLIT(G3093,""/""),,2),INDEX(SPLIT(G3093,""/""),,1))"),44530.0)</f>
        <v>44530</v>
      </c>
      <c r="I3093" s="1" t="s">
        <v>42</v>
      </c>
      <c r="J3093" s="4">
        <f>IFERROR(__xludf.DUMMYFUNCTION("DATE(INDEX(SPLIT(I3093,""/""),,3),INDEX(SPLIT(I3093,""/""),,2),INDEX(SPLIT(I3093,""/""),,1))"),44926.0)</f>
        <v>44926</v>
      </c>
      <c r="L3093" s="1">
        <v>0.0</v>
      </c>
      <c r="M3093" s="1" t="s">
        <v>512</v>
      </c>
      <c r="N3093" s="1"/>
      <c r="O3093" s="1" t="s">
        <v>30</v>
      </c>
      <c r="P3093" s="1" t="s">
        <v>31</v>
      </c>
      <c r="Q3093" s="1" t="s">
        <v>228</v>
      </c>
      <c r="R3093" s="1" t="s">
        <v>228</v>
      </c>
      <c r="S3093" s="1" t="s">
        <v>229</v>
      </c>
      <c r="T3093" s="1" t="s">
        <v>513</v>
      </c>
      <c r="U3093" s="1">
        <v>1.00654864E8</v>
      </c>
      <c r="X3093" s="1" t="s">
        <v>125</v>
      </c>
      <c r="Y3093" s="1" t="s">
        <v>9224</v>
      </c>
      <c r="Z3093" s="1" t="s">
        <v>37</v>
      </c>
    </row>
    <row r="3094" hidden="1">
      <c r="A3094" s="1" t="s">
        <v>9225</v>
      </c>
      <c r="B3094" s="1" t="s">
        <v>516</v>
      </c>
      <c r="C3094" s="1" t="s">
        <v>9226</v>
      </c>
      <c r="D3094" s="1" t="s">
        <v>78</v>
      </c>
      <c r="E3094" s="1" t="s">
        <v>28</v>
      </c>
      <c r="F3094" s="2">
        <v>300000.0</v>
      </c>
      <c r="G3094" s="4">
        <v>44718.0</v>
      </c>
      <c r="H3094" s="4">
        <f>IFERROR(__xludf.DUMMYFUNCTION("DATE(INDEX(SPLIT(G3094,""/""),,3),INDEX(SPLIT(G3094,""/""),,2),INDEX(SPLIT(G3094,""/""),,1))"),44718.0)</f>
        <v>44718</v>
      </c>
      <c r="I3094" s="1" t="s">
        <v>109</v>
      </c>
      <c r="J3094" s="4">
        <f>IFERROR(__xludf.DUMMYFUNCTION("DATE(INDEX(SPLIT(I3094,""/""),,3),INDEX(SPLIT(I3094,""/""),,2),INDEX(SPLIT(I3094,""/""),,1))"),44834.0)</f>
        <v>44834</v>
      </c>
      <c r="L3094" s="1">
        <v>0.0</v>
      </c>
      <c r="M3094" s="1" t="s">
        <v>512</v>
      </c>
      <c r="N3094" s="1"/>
      <c r="O3094" s="1" t="s">
        <v>30</v>
      </c>
      <c r="P3094" s="1" t="s">
        <v>31</v>
      </c>
      <c r="Q3094" s="1" t="s">
        <v>228</v>
      </c>
      <c r="R3094" s="1" t="s">
        <v>228</v>
      </c>
      <c r="S3094" s="1" t="s">
        <v>229</v>
      </c>
      <c r="T3094" s="1" t="s">
        <v>513</v>
      </c>
      <c r="U3094" s="1">
        <v>1.00654864E8</v>
      </c>
      <c r="X3094" s="1" t="s">
        <v>98</v>
      </c>
      <c r="Y3094" s="1" t="s">
        <v>7905</v>
      </c>
      <c r="Z3094" s="1" t="s">
        <v>37</v>
      </c>
    </row>
    <row r="3095" hidden="1">
      <c r="A3095" s="1" t="s">
        <v>9227</v>
      </c>
      <c r="B3095" s="1" t="s">
        <v>9228</v>
      </c>
      <c r="C3095" s="1" t="s">
        <v>9229</v>
      </c>
      <c r="D3095" s="1" t="s">
        <v>122</v>
      </c>
      <c r="E3095" s="1" t="s">
        <v>28</v>
      </c>
      <c r="F3095" s="2">
        <v>300000.0</v>
      </c>
      <c r="G3095" s="1" t="s">
        <v>1381</v>
      </c>
      <c r="H3095" s="4">
        <f>IFERROR(__xludf.DUMMYFUNCTION("DATE(INDEX(SPLIT(G3095,""/""),,3),INDEX(SPLIT(G3095,""/""),,2),INDEX(SPLIT(G3095,""/""),,1))"),44643.0)</f>
        <v>44643</v>
      </c>
      <c r="I3095" s="1" t="s">
        <v>130</v>
      </c>
      <c r="J3095" s="4">
        <f>IFERROR(__xludf.DUMMYFUNCTION("DATE(INDEX(SPLIT(I3095,""/""),,3),INDEX(SPLIT(I3095,""/""),,2),INDEX(SPLIT(I3095,""/""),,1))"),44804.0)</f>
        <v>44804</v>
      </c>
      <c r="L3095" s="1">
        <v>0.0</v>
      </c>
      <c r="M3095" s="1" t="s">
        <v>3601</v>
      </c>
      <c r="N3095" s="1"/>
      <c r="O3095" s="1" t="s">
        <v>30</v>
      </c>
      <c r="P3095" s="1" t="s">
        <v>31</v>
      </c>
      <c r="Q3095" s="1" t="s">
        <v>71</v>
      </c>
      <c r="R3095" s="1" t="s">
        <v>71</v>
      </c>
      <c r="S3095" s="1" t="s">
        <v>72</v>
      </c>
      <c r="T3095" s="1" t="s">
        <v>136</v>
      </c>
      <c r="U3095" s="1">
        <v>1.00611547E8</v>
      </c>
      <c r="X3095" s="1" t="s">
        <v>2769</v>
      </c>
      <c r="Y3095" s="1" t="s">
        <v>1334</v>
      </c>
      <c r="Z3095" s="1" t="s">
        <v>37</v>
      </c>
    </row>
    <row r="3096" hidden="1">
      <c r="A3096" s="1" t="s">
        <v>9230</v>
      </c>
      <c r="B3096" s="1" t="s">
        <v>9231</v>
      </c>
      <c r="C3096" s="1" t="s">
        <v>9232</v>
      </c>
      <c r="D3096" s="1" t="s">
        <v>122</v>
      </c>
      <c r="E3096" s="1" t="s">
        <v>28</v>
      </c>
      <c r="F3096" s="2">
        <v>300000.0</v>
      </c>
      <c r="G3096" s="4">
        <v>44718.0</v>
      </c>
      <c r="H3096" s="4">
        <f>IFERROR(__xludf.DUMMYFUNCTION("DATE(INDEX(SPLIT(G3096,""/""),,3),INDEX(SPLIT(G3096,""/""),,2),INDEX(SPLIT(G3096,""/""),,1))"),44718.0)</f>
        <v>44718</v>
      </c>
      <c r="I3096" s="1" t="s">
        <v>130</v>
      </c>
      <c r="J3096" s="4">
        <f>IFERROR(__xludf.DUMMYFUNCTION("DATE(INDEX(SPLIT(I3096,""/""),,3),INDEX(SPLIT(I3096,""/""),,2),INDEX(SPLIT(I3096,""/""),,1))"),44804.0)</f>
        <v>44804</v>
      </c>
      <c r="L3096" s="1">
        <v>0.0</v>
      </c>
      <c r="M3096" s="1" t="s">
        <v>3617</v>
      </c>
      <c r="N3096" s="1"/>
      <c r="O3096" s="1" t="s">
        <v>30</v>
      </c>
      <c r="P3096" s="1" t="s">
        <v>31</v>
      </c>
      <c r="Q3096" s="1" t="s">
        <v>53</v>
      </c>
      <c r="R3096" s="1" t="s">
        <v>53</v>
      </c>
      <c r="S3096" s="1" t="s">
        <v>54</v>
      </c>
      <c r="T3096" s="1" t="s">
        <v>634</v>
      </c>
      <c r="U3096" s="1">
        <v>1.00568413E8</v>
      </c>
      <c r="X3096" s="1" t="s">
        <v>63</v>
      </c>
      <c r="Y3096" s="1" t="s">
        <v>9233</v>
      </c>
      <c r="Z3096" s="1" t="s">
        <v>37</v>
      </c>
    </row>
    <row r="3097" hidden="1">
      <c r="A3097" s="1" t="s">
        <v>9234</v>
      </c>
      <c r="B3097" s="1" t="s">
        <v>3288</v>
      </c>
      <c r="C3097" s="1" t="s">
        <v>9235</v>
      </c>
      <c r="D3097" s="1" t="s">
        <v>78</v>
      </c>
      <c r="E3097" s="1" t="s">
        <v>28</v>
      </c>
      <c r="F3097" s="2">
        <v>300000.0</v>
      </c>
      <c r="G3097" s="4">
        <v>44687.0</v>
      </c>
      <c r="H3097" s="4">
        <f>IFERROR(__xludf.DUMMYFUNCTION("DATE(INDEX(SPLIT(G3097,""/""),,3),INDEX(SPLIT(G3097,""/""),,2),INDEX(SPLIT(G3097,""/""),,1))"),44717.0)</f>
        <v>44717</v>
      </c>
      <c r="I3097" s="4">
        <v>44752.0</v>
      </c>
      <c r="J3097" s="4">
        <f>IFERROR(__xludf.DUMMYFUNCTION("DATE(INDEX(SPLIT(I3097,""/""),,3),INDEX(SPLIT(I3097,""/""),,2),INDEX(SPLIT(I3097,""/""),,1))"),44841.0)</f>
        <v>44841</v>
      </c>
      <c r="L3097" s="1">
        <v>0.0</v>
      </c>
      <c r="M3097" s="1" t="s">
        <v>494</v>
      </c>
      <c r="N3097" s="1"/>
      <c r="O3097" s="1" t="s">
        <v>30</v>
      </c>
      <c r="P3097" s="1" t="s">
        <v>31</v>
      </c>
      <c r="Q3097" s="1" t="s">
        <v>95</v>
      </c>
      <c r="R3097" s="1" t="s">
        <v>95</v>
      </c>
      <c r="S3097" s="1" t="s">
        <v>96</v>
      </c>
      <c r="T3097" s="1" t="s">
        <v>602</v>
      </c>
      <c r="U3097" s="1">
        <v>1.0062347E8</v>
      </c>
      <c r="X3097" s="1" t="s">
        <v>609</v>
      </c>
      <c r="Y3097" s="1" t="s">
        <v>494</v>
      </c>
      <c r="Z3097" s="1" t="s">
        <v>37</v>
      </c>
    </row>
    <row r="3098">
      <c r="A3098" s="1" t="s">
        <v>9236</v>
      </c>
      <c r="B3098" s="1" t="s">
        <v>954</v>
      </c>
      <c r="C3098" s="1" t="s">
        <v>9237</v>
      </c>
      <c r="D3098" s="1" t="s">
        <v>78</v>
      </c>
      <c r="E3098" s="1" t="s">
        <v>28</v>
      </c>
      <c r="F3098" s="2">
        <v>300000.0</v>
      </c>
      <c r="G3098" s="1" t="s">
        <v>330</v>
      </c>
      <c r="H3098" s="4">
        <f>IFERROR(__xludf.DUMMYFUNCTION("DATE(INDEX(SPLIT(G3098,""/""),,3),INDEX(SPLIT(G3098,""/""),,2),INDEX(SPLIT(G3098,""/""),,1))"),44728.0)</f>
        <v>44728</v>
      </c>
      <c r="I3098" s="1" t="s">
        <v>1244</v>
      </c>
      <c r="J3098" s="4">
        <f>IFERROR(__xludf.DUMMYFUNCTION("DATE(INDEX(SPLIT(I3098,""/""),,3),INDEX(SPLIT(I3098,""/""),,2),INDEX(SPLIT(I3098,""/""),,1))"),44742.0)</f>
        <v>44742</v>
      </c>
      <c r="L3098" s="1">
        <v>0.0</v>
      </c>
      <c r="M3098" s="1" t="s">
        <v>1723</v>
      </c>
      <c r="N3098" s="1"/>
      <c r="O3098" s="1" t="s">
        <v>30</v>
      </c>
      <c r="P3098" s="1" t="s">
        <v>31</v>
      </c>
      <c r="Q3098" s="1" t="s">
        <v>157</v>
      </c>
      <c r="R3098" s="1" t="s">
        <v>157</v>
      </c>
      <c r="S3098" s="1" t="s">
        <v>158</v>
      </c>
      <c r="T3098" s="1" t="s">
        <v>159</v>
      </c>
      <c r="U3098" s="1">
        <v>1.00654085E8</v>
      </c>
      <c r="X3098" s="1" t="s">
        <v>74</v>
      </c>
      <c r="Y3098" s="1" t="s">
        <v>1723</v>
      </c>
      <c r="Z3098" s="1" t="s">
        <v>37</v>
      </c>
    </row>
    <row r="3099" hidden="1">
      <c r="A3099" s="1" t="s">
        <v>9238</v>
      </c>
      <c r="B3099" s="1" t="s">
        <v>2501</v>
      </c>
      <c r="C3099" s="1" t="s">
        <v>9239</v>
      </c>
      <c r="D3099" s="1" t="s">
        <v>78</v>
      </c>
      <c r="E3099" s="1" t="s">
        <v>28</v>
      </c>
      <c r="F3099" s="2">
        <v>300000.0</v>
      </c>
      <c r="G3099" s="4">
        <v>44625.0</v>
      </c>
      <c r="H3099" s="4">
        <f>IFERROR(__xludf.DUMMYFUNCTION("DATE(INDEX(SPLIT(G3099,""/""),,3),INDEX(SPLIT(G3099,""/""),,2),INDEX(SPLIT(G3099,""/""),,1))"),44684.0)</f>
        <v>44684</v>
      </c>
      <c r="I3099" s="1" t="s">
        <v>317</v>
      </c>
      <c r="J3099" s="4">
        <f>IFERROR(__xludf.DUMMYFUNCTION("DATE(INDEX(SPLIT(I3099,""/""),,3),INDEX(SPLIT(I3099,""/""),,2),INDEX(SPLIT(I3099,""/""),,1))"),44862.0)</f>
        <v>44862</v>
      </c>
      <c r="L3099" s="1">
        <v>0.0</v>
      </c>
      <c r="M3099" s="1" t="s">
        <v>3686</v>
      </c>
      <c r="N3099" s="1"/>
      <c r="O3099" s="1" t="s">
        <v>30</v>
      </c>
      <c r="P3099" s="1" t="s">
        <v>31</v>
      </c>
      <c r="Q3099" s="1" t="s">
        <v>157</v>
      </c>
      <c r="R3099" s="1" t="s">
        <v>157</v>
      </c>
      <c r="S3099" s="1" t="s">
        <v>158</v>
      </c>
      <c r="U3099" s="1">
        <v>1.01170527E8</v>
      </c>
      <c r="X3099" s="1" t="s">
        <v>490</v>
      </c>
      <c r="Y3099" s="1" t="s">
        <v>2504</v>
      </c>
      <c r="Z3099" s="1" t="s">
        <v>37</v>
      </c>
    </row>
    <row r="3100" hidden="1">
      <c r="A3100" s="1" t="s">
        <v>9240</v>
      </c>
      <c r="B3100" s="1" t="s">
        <v>4090</v>
      </c>
      <c r="C3100" s="1" t="s">
        <v>9241</v>
      </c>
      <c r="D3100" s="1" t="s">
        <v>78</v>
      </c>
      <c r="E3100" s="1" t="s">
        <v>28</v>
      </c>
      <c r="F3100" s="2">
        <v>300000.0</v>
      </c>
      <c r="G3100" s="4">
        <v>44108.0</v>
      </c>
      <c r="H3100" s="4">
        <f>IFERROR(__xludf.DUMMYFUNCTION("DATE(INDEX(SPLIT(G3100,""/""),,3),INDEX(SPLIT(G3100,""/""),,2),INDEX(SPLIT(G3100,""/""),,1))"),43931.0)</f>
        <v>43931</v>
      </c>
      <c r="I3100" s="1" t="s">
        <v>109</v>
      </c>
      <c r="J3100" s="4">
        <f>IFERROR(__xludf.DUMMYFUNCTION("DATE(INDEX(SPLIT(I3100,""/""),,3),INDEX(SPLIT(I3100,""/""),,2),INDEX(SPLIT(I3100,""/""),,1))"),44834.0)</f>
        <v>44834</v>
      </c>
      <c r="L3100" s="1">
        <v>0.0</v>
      </c>
      <c r="M3100" s="1" t="s">
        <v>2600</v>
      </c>
      <c r="N3100" s="1"/>
      <c r="O3100" s="1" t="s">
        <v>30</v>
      </c>
      <c r="P3100" s="1" t="s">
        <v>31</v>
      </c>
      <c r="Q3100" s="1" t="s">
        <v>32</v>
      </c>
      <c r="R3100" s="1" t="s">
        <v>32</v>
      </c>
      <c r="S3100" s="1" t="s">
        <v>33</v>
      </c>
      <c r="T3100" s="1" t="s">
        <v>97</v>
      </c>
      <c r="U3100" s="1">
        <v>1.00642238E8</v>
      </c>
      <c r="X3100" s="1" t="s">
        <v>190</v>
      </c>
      <c r="Y3100" s="1" t="s">
        <v>9242</v>
      </c>
      <c r="Z3100" s="1" t="s">
        <v>37</v>
      </c>
    </row>
    <row r="3101">
      <c r="A3101" s="1" t="s">
        <v>9243</v>
      </c>
      <c r="B3101" s="1" t="s">
        <v>308</v>
      </c>
      <c r="C3101" s="1" t="s">
        <v>9244</v>
      </c>
      <c r="D3101" s="1" t="s">
        <v>78</v>
      </c>
      <c r="E3101" s="1" t="s">
        <v>28</v>
      </c>
      <c r="F3101" s="2">
        <v>300000.0</v>
      </c>
      <c r="G3101" s="4">
        <v>44595.0</v>
      </c>
      <c r="H3101" s="4">
        <f>IFERROR(__xludf.DUMMYFUNCTION("DATE(INDEX(SPLIT(G3101,""/""),,3),INDEX(SPLIT(G3101,""/""),,2),INDEX(SPLIT(G3101,""/""),,1))"),44622.0)</f>
        <v>44622</v>
      </c>
      <c r="I3101" s="1" t="s">
        <v>1244</v>
      </c>
      <c r="J3101" s="4">
        <f>IFERROR(__xludf.DUMMYFUNCTION("DATE(INDEX(SPLIT(I3101,""/""),,3),INDEX(SPLIT(I3101,""/""),,2),INDEX(SPLIT(I3101,""/""),,1))"),44742.0)</f>
        <v>44742</v>
      </c>
      <c r="L3101" s="1">
        <v>0.0</v>
      </c>
      <c r="M3101" s="1" t="s">
        <v>313</v>
      </c>
      <c r="N3101" s="1"/>
      <c r="O3101" s="1" t="s">
        <v>30</v>
      </c>
      <c r="P3101" s="1" t="s">
        <v>31</v>
      </c>
      <c r="Q3101" s="1" t="s">
        <v>32</v>
      </c>
      <c r="R3101" s="1" t="s">
        <v>32</v>
      </c>
      <c r="S3101" s="1" t="s">
        <v>33</v>
      </c>
      <c r="T3101" s="1" t="s">
        <v>103</v>
      </c>
      <c r="U3101" s="1">
        <v>1.00608155E8</v>
      </c>
      <c r="X3101" s="1" t="s">
        <v>312</v>
      </c>
      <c r="Y3101" s="1" t="s">
        <v>1231</v>
      </c>
      <c r="Z3101" s="1" t="s">
        <v>37</v>
      </c>
    </row>
    <row r="3102" hidden="1">
      <c r="A3102" s="1" t="s">
        <v>9245</v>
      </c>
      <c r="B3102" s="1" t="s">
        <v>6615</v>
      </c>
      <c r="C3102" s="1" t="s">
        <v>9246</v>
      </c>
      <c r="D3102" s="1" t="s">
        <v>78</v>
      </c>
      <c r="E3102" s="1" t="s">
        <v>28</v>
      </c>
      <c r="F3102" s="2">
        <v>300000.0</v>
      </c>
      <c r="G3102" s="1" t="s">
        <v>185</v>
      </c>
      <c r="H3102" s="4">
        <f>IFERROR(__xludf.DUMMYFUNCTION("DATE(INDEX(SPLIT(G3102,""/""),,3),INDEX(SPLIT(G3102,""/""),,2),INDEX(SPLIT(G3102,""/""),,1))"),44741.0)</f>
        <v>44741</v>
      </c>
      <c r="I3102" s="1" t="s">
        <v>130</v>
      </c>
      <c r="J3102" s="4">
        <f>IFERROR(__xludf.DUMMYFUNCTION("DATE(INDEX(SPLIT(I3102,""/""),,3),INDEX(SPLIT(I3102,""/""),,2),INDEX(SPLIT(I3102,""/""),,1))"),44804.0)</f>
        <v>44804</v>
      </c>
      <c r="L3102" s="1">
        <v>0.0</v>
      </c>
      <c r="M3102" s="1" t="s">
        <v>653</v>
      </c>
      <c r="N3102" s="1"/>
      <c r="O3102" s="1" t="s">
        <v>30</v>
      </c>
      <c r="P3102" s="1" t="s">
        <v>31</v>
      </c>
      <c r="Q3102" s="1" t="s">
        <v>157</v>
      </c>
      <c r="R3102" s="1" t="s">
        <v>157</v>
      </c>
      <c r="S3102" s="1" t="s">
        <v>158</v>
      </c>
      <c r="U3102" s="1">
        <v>1.00591141E8</v>
      </c>
      <c r="X3102" s="1" t="s">
        <v>63</v>
      </c>
      <c r="Y3102" s="1" t="s">
        <v>6229</v>
      </c>
      <c r="Z3102" s="1" t="s">
        <v>37</v>
      </c>
    </row>
    <row r="3103" hidden="1">
      <c r="A3103" s="1" t="s">
        <v>9247</v>
      </c>
      <c r="B3103" s="1" t="s">
        <v>9248</v>
      </c>
      <c r="C3103" s="1" t="s">
        <v>9249</v>
      </c>
      <c r="D3103" s="1" t="s">
        <v>78</v>
      </c>
      <c r="E3103" s="1" t="s">
        <v>28</v>
      </c>
      <c r="F3103" s="2">
        <v>300000.0</v>
      </c>
      <c r="G3103" s="4">
        <v>44564.0</v>
      </c>
      <c r="H3103" s="4">
        <f>IFERROR(__xludf.DUMMYFUNCTION("DATE(INDEX(SPLIT(G3103,""/""),,3),INDEX(SPLIT(G3103,""/""),,2),INDEX(SPLIT(G3103,""/""),,1))"),44621.0)</f>
        <v>44621</v>
      </c>
      <c r="I3103" s="1" t="s">
        <v>109</v>
      </c>
      <c r="J3103" s="4">
        <f>IFERROR(__xludf.DUMMYFUNCTION("DATE(INDEX(SPLIT(I3103,""/""),,3),INDEX(SPLIT(I3103,""/""),,2),INDEX(SPLIT(I3103,""/""),,1))"),44834.0)</f>
        <v>44834</v>
      </c>
      <c r="L3103" s="1">
        <v>0.0</v>
      </c>
      <c r="M3103" s="1" t="s">
        <v>1348</v>
      </c>
      <c r="N3103" s="1"/>
      <c r="O3103" s="1" t="s">
        <v>30</v>
      </c>
      <c r="P3103" s="1" t="s">
        <v>31</v>
      </c>
      <c r="Q3103" s="1" t="s">
        <v>235</v>
      </c>
      <c r="R3103" s="1" t="s">
        <v>235</v>
      </c>
      <c r="S3103" s="1" t="s">
        <v>236</v>
      </c>
      <c r="T3103" s="1" t="s">
        <v>1349</v>
      </c>
      <c r="U3103" s="1">
        <v>1.00660608E8</v>
      </c>
      <c r="X3103" s="1" t="s">
        <v>375</v>
      </c>
      <c r="Y3103" s="1" t="s">
        <v>1350</v>
      </c>
      <c r="Z3103" s="1" t="s">
        <v>37</v>
      </c>
    </row>
    <row r="3104" hidden="1">
      <c r="A3104" s="1" t="s">
        <v>9250</v>
      </c>
      <c r="B3104" s="1" t="s">
        <v>9251</v>
      </c>
      <c r="C3104" s="1" t="s">
        <v>9252</v>
      </c>
      <c r="D3104" s="1" t="s">
        <v>27</v>
      </c>
      <c r="E3104" s="1" t="s">
        <v>28</v>
      </c>
      <c r="F3104" s="2">
        <v>300000.0</v>
      </c>
      <c r="G3104" s="4">
        <v>44538.0</v>
      </c>
      <c r="H3104" s="4">
        <f>IFERROR(__xludf.DUMMYFUNCTION("DATE(INDEX(SPLIT(G3104,""/""),,3),INDEX(SPLIT(G3104,""/""),,2),INDEX(SPLIT(G3104,""/""),,1))"),44420.0)</f>
        <v>44420</v>
      </c>
      <c r="I3104" s="1" t="s">
        <v>109</v>
      </c>
      <c r="J3104" s="4">
        <f>IFERROR(__xludf.DUMMYFUNCTION("DATE(INDEX(SPLIT(I3104,""/""),,3),INDEX(SPLIT(I3104,""/""),,2),INDEX(SPLIT(I3104,""/""),,1))"),44834.0)</f>
        <v>44834</v>
      </c>
      <c r="L3104" s="1">
        <v>0.0</v>
      </c>
      <c r="M3104" s="1" t="s">
        <v>1514</v>
      </c>
      <c r="N3104" s="1"/>
      <c r="O3104" s="1" t="s">
        <v>30</v>
      </c>
      <c r="P3104" s="1" t="s">
        <v>31</v>
      </c>
      <c r="Q3104" s="1" t="s">
        <v>71</v>
      </c>
      <c r="R3104" s="1" t="s">
        <v>71</v>
      </c>
      <c r="S3104" s="1" t="s">
        <v>72</v>
      </c>
      <c r="T3104" s="1" t="s">
        <v>615</v>
      </c>
      <c r="U3104" s="1">
        <v>1.006324E8</v>
      </c>
      <c r="X3104" s="1" t="s">
        <v>490</v>
      </c>
      <c r="Y3104" s="1" t="s">
        <v>5759</v>
      </c>
      <c r="Z3104" s="1" t="s">
        <v>37</v>
      </c>
    </row>
    <row r="3105" hidden="1">
      <c r="A3105" s="1" t="s">
        <v>9253</v>
      </c>
      <c r="B3105" s="1" t="s">
        <v>1216</v>
      </c>
      <c r="C3105" s="1" t="s">
        <v>9254</v>
      </c>
      <c r="D3105" s="1" t="s">
        <v>122</v>
      </c>
      <c r="E3105" s="1" t="s">
        <v>28</v>
      </c>
      <c r="F3105" s="2">
        <v>300000.0</v>
      </c>
      <c r="G3105" s="4">
        <v>44381.0</v>
      </c>
      <c r="H3105" s="4">
        <f>IFERROR(__xludf.DUMMYFUNCTION("DATE(INDEX(SPLIT(G3105,""/""),,3),INDEX(SPLIT(G3105,""/""),,2),INDEX(SPLIT(G3105,""/""),,1))"),44293.0)</f>
        <v>44293</v>
      </c>
      <c r="I3105" s="4">
        <v>44569.0</v>
      </c>
      <c r="J3105" s="4">
        <f>IFERROR(__xludf.DUMMYFUNCTION("DATE(INDEX(SPLIT(I3105,""/""),,3),INDEX(SPLIT(I3105,""/""),,2),INDEX(SPLIT(I3105,""/""),,1))"),44774.0)</f>
        <v>44774</v>
      </c>
      <c r="L3105" s="1">
        <v>0.0</v>
      </c>
      <c r="M3105" s="1" t="s">
        <v>1219</v>
      </c>
      <c r="N3105" s="1"/>
      <c r="O3105" s="1" t="s">
        <v>30</v>
      </c>
      <c r="P3105" s="1" t="s">
        <v>31</v>
      </c>
      <c r="Q3105" s="1" t="s">
        <v>53</v>
      </c>
      <c r="R3105" s="1" t="s">
        <v>53</v>
      </c>
      <c r="S3105" s="1" t="s">
        <v>54</v>
      </c>
      <c r="T3105" s="1" t="s">
        <v>87</v>
      </c>
      <c r="U3105" s="1">
        <v>1.00968114E8</v>
      </c>
      <c r="X3105" s="1" t="s">
        <v>88</v>
      </c>
      <c r="Y3105" s="1" t="s">
        <v>1219</v>
      </c>
      <c r="Z3105" s="1" t="s">
        <v>37</v>
      </c>
    </row>
    <row r="3106">
      <c r="A3106" s="1" t="s">
        <v>9255</v>
      </c>
      <c r="B3106" s="1" t="s">
        <v>981</v>
      </c>
      <c r="C3106" s="1" t="s">
        <v>9256</v>
      </c>
      <c r="D3106" s="1" t="s">
        <v>27</v>
      </c>
      <c r="E3106" s="1" t="s">
        <v>28</v>
      </c>
      <c r="F3106" s="2">
        <v>300000.0</v>
      </c>
      <c r="G3106" s="4">
        <v>44508.0</v>
      </c>
      <c r="H3106" s="4">
        <f>IFERROR(__xludf.DUMMYFUNCTION("DATE(INDEX(SPLIT(G3106,""/""),,3),INDEX(SPLIT(G3106,""/""),,2),INDEX(SPLIT(G3106,""/""),,1))"),44419.0)</f>
        <v>44419</v>
      </c>
      <c r="I3106" s="1" t="s">
        <v>503</v>
      </c>
      <c r="J3106" s="4">
        <f>IFERROR(__xludf.DUMMYFUNCTION("DATE(INDEX(SPLIT(I3106,""/""),,3),INDEX(SPLIT(I3106,""/""),,2),INDEX(SPLIT(I3106,""/""),,1))"),44736.0)</f>
        <v>44736</v>
      </c>
      <c r="L3106" s="1">
        <v>0.0</v>
      </c>
      <c r="M3106" s="1" t="s">
        <v>2856</v>
      </c>
      <c r="N3106" s="1"/>
      <c r="O3106" s="1" t="s">
        <v>30</v>
      </c>
      <c r="P3106" s="1" t="s">
        <v>31</v>
      </c>
      <c r="Q3106" s="1" t="s">
        <v>71</v>
      </c>
      <c r="R3106" s="1" t="s">
        <v>71</v>
      </c>
      <c r="S3106" s="1" t="s">
        <v>72</v>
      </c>
      <c r="T3106" s="1" t="s">
        <v>615</v>
      </c>
      <c r="U3106" s="1">
        <v>1.00637221E8</v>
      </c>
      <c r="X3106" s="1" t="s">
        <v>490</v>
      </c>
      <c r="Y3106" s="1" t="s">
        <v>5759</v>
      </c>
      <c r="Z3106" s="1" t="s">
        <v>37</v>
      </c>
    </row>
    <row r="3107">
      <c r="A3107" s="1" t="s">
        <v>9257</v>
      </c>
      <c r="B3107" s="1" t="s">
        <v>1144</v>
      </c>
      <c r="C3107" s="1" t="s">
        <v>9258</v>
      </c>
      <c r="D3107" s="1" t="s">
        <v>78</v>
      </c>
      <c r="E3107" s="1" t="s">
        <v>28</v>
      </c>
      <c r="F3107" s="2">
        <v>300000.0</v>
      </c>
      <c r="G3107" s="1" t="s">
        <v>779</v>
      </c>
      <c r="H3107" s="4">
        <f>IFERROR(__xludf.DUMMYFUNCTION("DATE(INDEX(SPLIT(G3107,""/""),,3),INDEX(SPLIT(G3107,""/""),,2),INDEX(SPLIT(G3107,""/""),,1))"),44734.0)</f>
        <v>44734</v>
      </c>
      <c r="I3107" s="1" t="s">
        <v>414</v>
      </c>
      <c r="J3107" s="4">
        <f>IFERROR(__xludf.DUMMYFUNCTION("DATE(INDEX(SPLIT(I3107,""/""),,3),INDEX(SPLIT(I3107,""/""),,2),INDEX(SPLIT(I3107,""/""),,1))"),44772.0)</f>
        <v>44772</v>
      </c>
      <c r="L3107" s="1">
        <v>0.0</v>
      </c>
      <c r="M3107" s="1" t="s">
        <v>1146</v>
      </c>
      <c r="N3107" s="1"/>
      <c r="O3107" s="1" t="s">
        <v>30</v>
      </c>
      <c r="P3107" s="1" t="s">
        <v>31</v>
      </c>
      <c r="Q3107" s="1" t="s">
        <v>228</v>
      </c>
      <c r="R3107" s="1" t="s">
        <v>228</v>
      </c>
      <c r="S3107" s="1" t="s">
        <v>229</v>
      </c>
      <c r="T3107" s="1" t="s">
        <v>1344</v>
      </c>
      <c r="U3107" s="1">
        <v>1.0061139E8</v>
      </c>
      <c r="X3107" s="1" t="s">
        <v>63</v>
      </c>
      <c r="Y3107" s="1" t="s">
        <v>1976</v>
      </c>
      <c r="Z3107" s="1" t="s">
        <v>37</v>
      </c>
    </row>
    <row r="3108" hidden="1">
      <c r="A3108" s="1" t="s">
        <v>9259</v>
      </c>
      <c r="B3108" s="1" t="s">
        <v>9070</v>
      </c>
      <c r="C3108" s="1" t="s">
        <v>9260</v>
      </c>
      <c r="D3108" s="1" t="s">
        <v>78</v>
      </c>
      <c r="E3108" s="1" t="s">
        <v>28</v>
      </c>
      <c r="F3108" s="2">
        <v>300000.0</v>
      </c>
      <c r="G3108" s="1" t="s">
        <v>9261</v>
      </c>
      <c r="H3108" s="4">
        <f>IFERROR(__xludf.DUMMYFUNCTION("DATE(INDEX(SPLIT(G3108,""/""),,3),INDEX(SPLIT(G3108,""/""),,2),INDEX(SPLIT(G3108,""/""),,1))"),43789.0)</f>
        <v>43789</v>
      </c>
      <c r="I3108" s="1" t="s">
        <v>42</v>
      </c>
      <c r="J3108" s="4">
        <f>IFERROR(__xludf.DUMMYFUNCTION("DATE(INDEX(SPLIT(I3108,""/""),,3),INDEX(SPLIT(I3108,""/""),,2),INDEX(SPLIT(I3108,""/""),,1))"),44926.0)</f>
        <v>44926</v>
      </c>
      <c r="L3108" s="1">
        <v>0.0</v>
      </c>
      <c r="M3108" s="1" t="s">
        <v>979</v>
      </c>
      <c r="N3108" s="1"/>
      <c r="O3108" s="1" t="s">
        <v>30</v>
      </c>
      <c r="P3108" s="1" t="s">
        <v>31</v>
      </c>
      <c r="Q3108" s="1" t="s">
        <v>235</v>
      </c>
      <c r="R3108" s="1" t="s">
        <v>235</v>
      </c>
      <c r="S3108" s="1" t="s">
        <v>236</v>
      </c>
      <c r="T3108" s="1" t="s">
        <v>438</v>
      </c>
      <c r="U3108" s="1">
        <v>1.00647262E8</v>
      </c>
      <c r="X3108" s="1" t="s">
        <v>88</v>
      </c>
      <c r="Y3108" s="1" t="s">
        <v>1582</v>
      </c>
      <c r="Z3108" s="1" t="s">
        <v>37</v>
      </c>
    </row>
    <row r="3109" hidden="1">
      <c r="A3109" s="1" t="s">
        <v>9262</v>
      </c>
      <c r="B3109" s="1" t="s">
        <v>1479</v>
      </c>
      <c r="C3109" s="1" t="s">
        <v>9263</v>
      </c>
      <c r="D3109" s="1" t="s">
        <v>27</v>
      </c>
      <c r="E3109" s="1" t="s">
        <v>28</v>
      </c>
      <c r="F3109" s="2">
        <v>300000.0</v>
      </c>
      <c r="G3109" s="1" t="s">
        <v>2572</v>
      </c>
      <c r="H3109" s="4">
        <f>IFERROR(__xludf.DUMMYFUNCTION("DATE(INDEX(SPLIT(G3109,""/""),,3),INDEX(SPLIT(G3109,""/""),,2),INDEX(SPLIT(G3109,""/""),,1))"),44581.0)</f>
        <v>44581</v>
      </c>
      <c r="I3109" s="1" t="s">
        <v>109</v>
      </c>
      <c r="J3109" s="4">
        <f>IFERROR(__xludf.DUMMYFUNCTION("DATE(INDEX(SPLIT(I3109,""/""),,3),INDEX(SPLIT(I3109,""/""),,2),INDEX(SPLIT(I3109,""/""),,1))"),44834.0)</f>
        <v>44834</v>
      </c>
      <c r="L3109" s="1">
        <v>0.0</v>
      </c>
      <c r="M3109" s="1" t="s">
        <v>5555</v>
      </c>
      <c r="N3109" s="1"/>
      <c r="O3109" s="1" t="s">
        <v>30</v>
      </c>
      <c r="P3109" s="1" t="s">
        <v>31</v>
      </c>
      <c r="Q3109" s="1" t="s">
        <v>228</v>
      </c>
      <c r="R3109" s="1" t="s">
        <v>228</v>
      </c>
      <c r="S3109" s="1" t="s">
        <v>229</v>
      </c>
      <c r="U3109" s="1">
        <v>1.00611354E8</v>
      </c>
      <c r="X3109" s="1" t="s">
        <v>305</v>
      </c>
      <c r="Y3109" s="1" t="s">
        <v>5555</v>
      </c>
      <c r="Z3109" s="1" t="s">
        <v>37</v>
      </c>
    </row>
    <row r="3110" hidden="1">
      <c r="A3110" s="1" t="s">
        <v>9264</v>
      </c>
      <c r="B3110" s="1" t="s">
        <v>1216</v>
      </c>
      <c r="C3110" s="1" t="s">
        <v>9265</v>
      </c>
      <c r="D3110" s="1" t="s">
        <v>27</v>
      </c>
      <c r="E3110" s="1" t="s">
        <v>28</v>
      </c>
      <c r="F3110" s="2">
        <v>300000.0</v>
      </c>
      <c r="G3110" s="1" t="s">
        <v>41</v>
      </c>
      <c r="H3110" s="4">
        <f>IFERROR(__xludf.DUMMYFUNCTION("DATE(INDEX(SPLIT(G3110,""/""),,3),INDEX(SPLIT(G3110,""/""),,2),INDEX(SPLIT(G3110,""/""),,1))"),44607.0)</f>
        <v>44607</v>
      </c>
      <c r="I3110" s="4">
        <v>44573.0</v>
      </c>
      <c r="J3110" s="4">
        <f>IFERROR(__xludf.DUMMYFUNCTION("DATE(INDEX(SPLIT(I3110,""/""),,3),INDEX(SPLIT(I3110,""/""),,2),INDEX(SPLIT(I3110,""/""),,1))"),44896.0)</f>
        <v>44896</v>
      </c>
      <c r="L3110" s="1">
        <v>0.0</v>
      </c>
      <c r="M3110" s="1" t="s">
        <v>5507</v>
      </c>
      <c r="N3110" s="1"/>
      <c r="O3110" s="1" t="s">
        <v>30</v>
      </c>
      <c r="P3110" s="1" t="s">
        <v>31</v>
      </c>
      <c r="Q3110" s="1" t="s">
        <v>235</v>
      </c>
      <c r="R3110" s="1" t="s">
        <v>235</v>
      </c>
      <c r="S3110" s="1" t="s">
        <v>236</v>
      </c>
      <c r="T3110" s="1" t="s">
        <v>1386</v>
      </c>
      <c r="U3110" s="1">
        <v>1.00620643E8</v>
      </c>
      <c r="X3110" s="1" t="s">
        <v>88</v>
      </c>
      <c r="Y3110" s="1" t="s">
        <v>1387</v>
      </c>
      <c r="Z3110" s="1" t="s">
        <v>37</v>
      </c>
    </row>
    <row r="3111">
      <c r="A3111" s="1" t="s">
        <v>9266</v>
      </c>
      <c r="B3111" s="1" t="s">
        <v>4782</v>
      </c>
      <c r="C3111" s="1" t="s">
        <v>9267</v>
      </c>
      <c r="D3111" s="1" t="s">
        <v>122</v>
      </c>
      <c r="E3111" s="1" t="s">
        <v>28</v>
      </c>
      <c r="F3111" s="2">
        <v>300000.0</v>
      </c>
      <c r="G3111" s="4">
        <v>44625.0</v>
      </c>
      <c r="H3111" s="4">
        <f>IFERROR(__xludf.DUMMYFUNCTION("DATE(INDEX(SPLIT(G3111,""/""),,3),INDEX(SPLIT(G3111,""/""),,2),INDEX(SPLIT(G3111,""/""),,1))"),44684.0)</f>
        <v>44684</v>
      </c>
      <c r="I3111" s="1" t="s">
        <v>503</v>
      </c>
      <c r="J3111" s="4">
        <f>IFERROR(__xludf.DUMMYFUNCTION("DATE(INDEX(SPLIT(I3111,""/""),,3),INDEX(SPLIT(I3111,""/""),,2),INDEX(SPLIT(I3111,""/""),,1))"),44736.0)</f>
        <v>44736</v>
      </c>
      <c r="L3111" s="1">
        <v>0.0</v>
      </c>
      <c r="M3111" s="1" t="s">
        <v>1828</v>
      </c>
      <c r="N3111" s="1"/>
      <c r="O3111" s="1" t="s">
        <v>30</v>
      </c>
      <c r="P3111" s="1" t="s">
        <v>31</v>
      </c>
      <c r="Q3111" s="1" t="s">
        <v>235</v>
      </c>
      <c r="R3111" s="1" t="s">
        <v>235</v>
      </c>
      <c r="S3111" s="1" t="s">
        <v>236</v>
      </c>
      <c r="T3111" s="1" t="s">
        <v>1349</v>
      </c>
      <c r="U3111" s="1">
        <v>1.00593918E8</v>
      </c>
      <c r="X3111" s="1" t="s">
        <v>375</v>
      </c>
      <c r="Y3111" s="1" t="s">
        <v>1350</v>
      </c>
      <c r="Z3111" s="1" t="s">
        <v>37</v>
      </c>
    </row>
    <row r="3112" hidden="1">
      <c r="A3112" s="1" t="s">
        <v>9268</v>
      </c>
      <c r="B3112" s="1" t="s">
        <v>377</v>
      </c>
      <c r="C3112" s="1" t="s">
        <v>9269</v>
      </c>
      <c r="D3112" s="1" t="s">
        <v>27</v>
      </c>
      <c r="E3112" s="1" t="s">
        <v>28</v>
      </c>
      <c r="F3112" s="2">
        <v>300000.0</v>
      </c>
      <c r="G3112" s="4">
        <v>44626.0</v>
      </c>
      <c r="H3112" s="4">
        <f>IFERROR(__xludf.DUMMYFUNCTION("DATE(INDEX(SPLIT(G3112,""/""),,3),INDEX(SPLIT(G3112,""/""),,2),INDEX(SPLIT(G3112,""/""),,1))"),44715.0)</f>
        <v>44715</v>
      </c>
      <c r="I3112" s="4">
        <v>44601.0</v>
      </c>
      <c r="J3112" s="4">
        <f>IFERROR(__xludf.DUMMYFUNCTION("DATE(INDEX(SPLIT(I3112,""/""),,3),INDEX(SPLIT(I3112,""/""),,2),INDEX(SPLIT(I3112,""/""),,1))"),44806.0)</f>
        <v>44806</v>
      </c>
      <c r="L3112" s="1">
        <v>0.0</v>
      </c>
      <c r="M3112" s="1" t="s">
        <v>6938</v>
      </c>
      <c r="N3112" s="1"/>
      <c r="O3112" s="1" t="s">
        <v>30</v>
      </c>
      <c r="P3112" s="1" t="s">
        <v>31</v>
      </c>
      <c r="Q3112" s="1" t="s">
        <v>235</v>
      </c>
      <c r="R3112" s="1" t="s">
        <v>235</v>
      </c>
      <c r="S3112" s="1" t="s">
        <v>236</v>
      </c>
      <c r="U3112" s="1">
        <v>1.01161608E8</v>
      </c>
      <c r="X3112" s="1" t="s">
        <v>239</v>
      </c>
      <c r="Y3112" s="1" t="s">
        <v>2147</v>
      </c>
      <c r="Z3112" s="1" t="s">
        <v>37</v>
      </c>
    </row>
    <row r="3113">
      <c r="A3113" s="1" t="s">
        <v>9270</v>
      </c>
      <c r="B3113" s="1" t="s">
        <v>816</v>
      </c>
      <c r="C3113" s="1" t="s">
        <v>9271</v>
      </c>
      <c r="D3113" s="1" t="s">
        <v>27</v>
      </c>
      <c r="E3113" s="1" t="s">
        <v>28</v>
      </c>
      <c r="F3113" s="2">
        <v>300000.0</v>
      </c>
      <c r="G3113" s="4">
        <v>44599.0</v>
      </c>
      <c r="H3113" s="4">
        <f>IFERROR(__xludf.DUMMYFUNCTION("DATE(INDEX(SPLIT(G3113,""/""),,3),INDEX(SPLIT(G3113,""/""),,2),INDEX(SPLIT(G3113,""/""),,1))"),44744.0)</f>
        <v>44744</v>
      </c>
      <c r="I3113" s="1" t="s">
        <v>226</v>
      </c>
      <c r="J3113" s="4">
        <f>IFERROR(__xludf.DUMMYFUNCTION("DATE(INDEX(SPLIT(I3113,""/""),,3),INDEX(SPLIT(I3113,""/""),,2),INDEX(SPLIT(I3113,""/""),,1))"),44771.0)</f>
        <v>44771</v>
      </c>
      <c r="L3113" s="1">
        <v>0.0</v>
      </c>
      <c r="M3113" s="1" t="s">
        <v>819</v>
      </c>
      <c r="N3113" s="1"/>
      <c r="O3113" s="1" t="s">
        <v>30</v>
      </c>
      <c r="P3113" s="1" t="s">
        <v>31</v>
      </c>
      <c r="Q3113" s="1" t="s">
        <v>53</v>
      </c>
      <c r="R3113" s="1" t="s">
        <v>53</v>
      </c>
      <c r="S3113" s="1" t="s">
        <v>54</v>
      </c>
      <c r="T3113" s="1" t="s">
        <v>634</v>
      </c>
      <c r="U3113" s="1">
        <v>1.00661738E8</v>
      </c>
      <c r="X3113" s="1" t="s">
        <v>490</v>
      </c>
      <c r="Y3113" s="1" t="s">
        <v>2119</v>
      </c>
      <c r="Z3113" s="1" t="s">
        <v>37</v>
      </c>
    </row>
    <row r="3114">
      <c r="A3114" s="1" t="s">
        <v>9272</v>
      </c>
      <c r="B3114" s="1" t="s">
        <v>9273</v>
      </c>
      <c r="C3114" s="1" t="s">
        <v>9274</v>
      </c>
      <c r="D3114" s="1" t="s">
        <v>78</v>
      </c>
      <c r="E3114" s="1" t="s">
        <v>28</v>
      </c>
      <c r="F3114" s="2">
        <v>300000.0</v>
      </c>
      <c r="G3114" s="4">
        <v>44840.0</v>
      </c>
      <c r="H3114" s="4">
        <f>IFERROR(__xludf.DUMMYFUNCTION("DATE(INDEX(SPLIT(G3114,""/""),,3),INDEX(SPLIT(G3114,""/""),,2),INDEX(SPLIT(G3114,""/""),,1))"),44722.0)</f>
        <v>44722</v>
      </c>
      <c r="I3114" s="1" t="s">
        <v>518</v>
      </c>
      <c r="J3114" s="4">
        <f>IFERROR(__xludf.DUMMYFUNCTION("DATE(INDEX(SPLIT(I3114,""/""),,3),INDEX(SPLIT(I3114,""/""),,2),INDEX(SPLIT(I3114,""/""),,1))"),44757.0)</f>
        <v>44757</v>
      </c>
      <c r="L3114" s="1">
        <v>0.0</v>
      </c>
      <c r="M3114" s="1" t="s">
        <v>2842</v>
      </c>
      <c r="N3114" s="1"/>
      <c r="O3114" s="1" t="s">
        <v>30</v>
      </c>
      <c r="P3114" s="1" t="s">
        <v>31</v>
      </c>
      <c r="Q3114" s="1" t="s">
        <v>53</v>
      </c>
      <c r="R3114" s="1" t="s">
        <v>53</v>
      </c>
      <c r="S3114" s="1" t="s">
        <v>54</v>
      </c>
      <c r="U3114" s="1">
        <v>1.00586524E8</v>
      </c>
      <c r="X3114" s="1" t="s">
        <v>63</v>
      </c>
      <c r="Y3114" s="1" t="s">
        <v>2842</v>
      </c>
      <c r="Z3114" s="1" t="s">
        <v>206</v>
      </c>
    </row>
    <row r="3115" hidden="1">
      <c r="A3115" s="1" t="s">
        <v>9275</v>
      </c>
      <c r="B3115" s="1" t="s">
        <v>2501</v>
      </c>
      <c r="C3115" s="1" t="s">
        <v>9276</v>
      </c>
      <c r="D3115" s="1" t="s">
        <v>78</v>
      </c>
      <c r="E3115" s="1" t="s">
        <v>28</v>
      </c>
      <c r="F3115" s="2">
        <v>300000.0</v>
      </c>
      <c r="G3115" s="1" t="s">
        <v>2712</v>
      </c>
      <c r="H3115" s="4">
        <f>IFERROR(__xludf.DUMMYFUNCTION("DATE(INDEX(SPLIT(G3115,""/""),,3),INDEX(SPLIT(G3115,""/""),,2),INDEX(SPLIT(G3115,""/""),,1))"),44435.0)</f>
        <v>44435</v>
      </c>
      <c r="I3115" s="1" t="s">
        <v>476</v>
      </c>
      <c r="J3115" s="4">
        <f>IFERROR(__xludf.DUMMYFUNCTION("DATE(INDEX(SPLIT(I3115,""/""),,3),INDEX(SPLIT(I3115,""/""),,2),INDEX(SPLIT(I3115,""/""),,1))"),44833.0)</f>
        <v>44833</v>
      </c>
      <c r="L3115" s="1">
        <v>0.0</v>
      </c>
      <c r="M3115" s="1" t="s">
        <v>4243</v>
      </c>
      <c r="N3115" s="1"/>
      <c r="O3115" s="1" t="s">
        <v>30</v>
      </c>
      <c r="P3115" s="1" t="s">
        <v>31</v>
      </c>
      <c r="Q3115" s="1" t="s">
        <v>157</v>
      </c>
      <c r="R3115" s="1" t="s">
        <v>157</v>
      </c>
      <c r="S3115" s="1" t="s">
        <v>158</v>
      </c>
      <c r="T3115" s="1" t="s">
        <v>634</v>
      </c>
      <c r="U3115" s="1">
        <v>1.0058537E8</v>
      </c>
      <c r="X3115" s="1" t="s">
        <v>490</v>
      </c>
      <c r="Y3115" s="1" t="s">
        <v>2504</v>
      </c>
      <c r="Z3115" s="1" t="s">
        <v>37</v>
      </c>
    </row>
    <row r="3116" hidden="1">
      <c r="A3116" s="1" t="s">
        <v>9277</v>
      </c>
      <c r="B3116" s="1" t="s">
        <v>7034</v>
      </c>
      <c r="C3116" s="1" t="s">
        <v>9278</v>
      </c>
      <c r="D3116" s="1" t="s">
        <v>27</v>
      </c>
      <c r="E3116" s="1" t="s">
        <v>28</v>
      </c>
      <c r="F3116" s="2">
        <v>300000.0</v>
      </c>
      <c r="G3116" s="4">
        <v>44441.0</v>
      </c>
      <c r="H3116" s="4">
        <f>IFERROR(__xludf.DUMMYFUNCTION("DATE(INDEX(SPLIT(G3116,""/""),,3),INDEX(SPLIT(G3116,""/""),,2),INDEX(SPLIT(G3116,""/""),,1))"),44236.0)</f>
        <v>44236</v>
      </c>
      <c r="I3116" s="1" t="s">
        <v>203</v>
      </c>
      <c r="J3116" s="4">
        <f>IFERROR(__xludf.DUMMYFUNCTION("DATE(INDEX(SPLIT(I3116,""/""),,3),INDEX(SPLIT(I3116,""/""),,2),INDEX(SPLIT(I3116,""/""),,1))"),44925.0)</f>
        <v>44925</v>
      </c>
      <c r="L3116" s="1">
        <v>0.0</v>
      </c>
      <c r="M3116" s="1" t="s">
        <v>141</v>
      </c>
      <c r="N3116" s="1"/>
      <c r="O3116" s="1" t="s">
        <v>30</v>
      </c>
      <c r="P3116" s="1" t="s">
        <v>31</v>
      </c>
      <c r="Q3116" s="1" t="s">
        <v>95</v>
      </c>
      <c r="R3116" s="1" t="s">
        <v>95</v>
      </c>
      <c r="S3116" s="1" t="s">
        <v>96</v>
      </c>
      <c r="T3116" s="1" t="s">
        <v>55</v>
      </c>
      <c r="U3116" s="1">
        <v>1.00658522E8</v>
      </c>
      <c r="X3116" s="1" t="s">
        <v>81</v>
      </c>
      <c r="Y3116" s="1" t="s">
        <v>2339</v>
      </c>
      <c r="Z3116" s="1" t="s">
        <v>37</v>
      </c>
    </row>
    <row r="3117" hidden="1">
      <c r="A3117" s="1" t="s">
        <v>9279</v>
      </c>
      <c r="B3117" s="1" t="s">
        <v>948</v>
      </c>
      <c r="C3117" s="1" t="s">
        <v>9280</v>
      </c>
      <c r="D3117" s="1" t="s">
        <v>78</v>
      </c>
      <c r="E3117" s="1" t="s">
        <v>28</v>
      </c>
      <c r="F3117" s="2">
        <v>300000.0</v>
      </c>
      <c r="G3117" s="1" t="s">
        <v>3142</v>
      </c>
      <c r="H3117" s="4">
        <f>IFERROR(__xludf.DUMMYFUNCTION("DATE(INDEX(SPLIT(G3117,""/""),,3),INDEX(SPLIT(G3117,""/""),,2),INDEX(SPLIT(G3117,""/""),,1))"),44611.0)</f>
        <v>44611</v>
      </c>
      <c r="I3117" s="1" t="s">
        <v>872</v>
      </c>
      <c r="J3117" s="4">
        <f>IFERROR(__xludf.DUMMYFUNCTION("DATE(INDEX(SPLIT(I3117,""/""),,3),INDEX(SPLIT(I3117,""/""),,2),INDEX(SPLIT(I3117,""/""),,1))"),44820.0)</f>
        <v>44820</v>
      </c>
      <c r="L3117" s="1">
        <v>0.0</v>
      </c>
      <c r="M3117" s="1" t="s">
        <v>1137</v>
      </c>
      <c r="N3117" s="1"/>
      <c r="O3117" s="1" t="s">
        <v>30</v>
      </c>
      <c r="P3117" s="1" t="s">
        <v>31</v>
      </c>
      <c r="Q3117" s="1" t="s">
        <v>71</v>
      </c>
      <c r="R3117" s="1" t="s">
        <v>71</v>
      </c>
      <c r="S3117" s="1" t="s">
        <v>72</v>
      </c>
      <c r="T3117" s="1" t="s">
        <v>73</v>
      </c>
      <c r="U3117" s="1">
        <v>1.00589728E8</v>
      </c>
      <c r="X3117" s="1" t="s">
        <v>74</v>
      </c>
      <c r="Y3117" s="1" t="s">
        <v>1137</v>
      </c>
      <c r="Z3117" s="1" t="s">
        <v>37</v>
      </c>
    </row>
    <row r="3118">
      <c r="A3118" s="1" t="s">
        <v>9281</v>
      </c>
      <c r="B3118" s="1" t="s">
        <v>756</v>
      </c>
      <c r="C3118" s="1" t="s">
        <v>9282</v>
      </c>
      <c r="D3118" s="1" t="s">
        <v>27</v>
      </c>
      <c r="E3118" s="1" t="s">
        <v>28</v>
      </c>
      <c r="F3118" s="2">
        <v>300000.0</v>
      </c>
      <c r="G3118" s="1" t="s">
        <v>1674</v>
      </c>
      <c r="H3118" s="4">
        <f>IFERROR(__xludf.DUMMYFUNCTION("DATE(INDEX(SPLIT(G3118,""/""),,3),INDEX(SPLIT(G3118,""/""),,2),INDEX(SPLIT(G3118,""/""),,1))"),44617.0)</f>
        <v>44617</v>
      </c>
      <c r="I3118" s="1" t="s">
        <v>1244</v>
      </c>
      <c r="J3118" s="4">
        <f>IFERROR(__xludf.DUMMYFUNCTION("DATE(INDEX(SPLIT(I3118,""/""),,3),INDEX(SPLIT(I3118,""/""),,2),INDEX(SPLIT(I3118,""/""),,1))"),44742.0)</f>
        <v>44742</v>
      </c>
      <c r="L3118" s="1">
        <v>0.0</v>
      </c>
      <c r="M3118" s="1" t="s">
        <v>459</v>
      </c>
      <c r="N3118" s="1"/>
      <c r="O3118" s="1" t="s">
        <v>30</v>
      </c>
      <c r="P3118" s="1" t="s">
        <v>31</v>
      </c>
      <c r="Q3118" s="1" t="s">
        <v>53</v>
      </c>
      <c r="R3118" s="1" t="s">
        <v>53</v>
      </c>
      <c r="S3118" s="1" t="s">
        <v>54</v>
      </c>
      <c r="T3118" s="1" t="s">
        <v>87</v>
      </c>
      <c r="U3118" s="1">
        <v>1.00653756E8</v>
      </c>
      <c r="X3118" s="1" t="s">
        <v>88</v>
      </c>
      <c r="Y3118" s="1" t="s">
        <v>459</v>
      </c>
      <c r="Z3118" s="1" t="s">
        <v>37</v>
      </c>
    </row>
    <row r="3119">
      <c r="A3119" s="1" t="s">
        <v>9283</v>
      </c>
      <c r="B3119" s="1" t="s">
        <v>9284</v>
      </c>
      <c r="C3119" s="1" t="s">
        <v>9285</v>
      </c>
      <c r="D3119" s="1" t="s">
        <v>27</v>
      </c>
      <c r="E3119" s="1" t="s">
        <v>28</v>
      </c>
      <c r="F3119" s="2">
        <v>300000.0</v>
      </c>
      <c r="G3119" s="1" t="s">
        <v>2572</v>
      </c>
      <c r="H3119" s="4">
        <f>IFERROR(__xludf.DUMMYFUNCTION("DATE(INDEX(SPLIT(G3119,""/""),,3),INDEX(SPLIT(G3119,""/""),,2),INDEX(SPLIT(G3119,""/""),,1))"),44581.0)</f>
        <v>44581</v>
      </c>
      <c r="I3119" s="1" t="s">
        <v>2300</v>
      </c>
      <c r="J3119" s="4">
        <f>IFERROR(__xludf.DUMMYFUNCTION("DATE(INDEX(SPLIT(I3119,""/""),,3),INDEX(SPLIT(I3119,""/""),,2),INDEX(SPLIT(I3119,""/""),,1))"),44712.0)</f>
        <v>44712</v>
      </c>
      <c r="L3119" s="1">
        <v>0.0</v>
      </c>
      <c r="M3119" s="1" t="s">
        <v>3617</v>
      </c>
      <c r="N3119" s="1"/>
      <c r="O3119" s="1" t="s">
        <v>30</v>
      </c>
      <c r="P3119" s="1" t="s">
        <v>31</v>
      </c>
      <c r="Q3119" s="1" t="s">
        <v>53</v>
      </c>
      <c r="R3119" s="1" t="s">
        <v>53</v>
      </c>
      <c r="S3119" s="1" t="s">
        <v>54</v>
      </c>
      <c r="T3119" s="1" t="s">
        <v>634</v>
      </c>
      <c r="U3119" s="1">
        <v>1.00568413E8</v>
      </c>
      <c r="Y3119" s="1" t="s">
        <v>9233</v>
      </c>
      <c r="Z3119" s="1" t="s">
        <v>37</v>
      </c>
    </row>
    <row r="3120" hidden="1">
      <c r="A3120" s="1" t="s">
        <v>9286</v>
      </c>
      <c r="B3120" s="1" t="s">
        <v>612</v>
      </c>
      <c r="C3120" s="1" t="s">
        <v>9287</v>
      </c>
      <c r="D3120" s="1" t="s">
        <v>122</v>
      </c>
      <c r="E3120" s="1" t="s">
        <v>28</v>
      </c>
      <c r="F3120" s="2">
        <v>300000.0</v>
      </c>
      <c r="G3120" s="4">
        <v>44625.0</v>
      </c>
      <c r="H3120" s="4">
        <f>IFERROR(__xludf.DUMMYFUNCTION("DATE(INDEX(SPLIT(G3120,""/""),,3),INDEX(SPLIT(G3120,""/""),,2),INDEX(SPLIT(G3120,""/""),,1))"),44684.0)</f>
        <v>44684</v>
      </c>
      <c r="I3120" s="1" t="s">
        <v>85</v>
      </c>
      <c r="J3120" s="4">
        <f>IFERROR(__xludf.DUMMYFUNCTION("DATE(INDEX(SPLIT(I3120,""/""),,3),INDEX(SPLIT(I3120,""/""),,2),INDEX(SPLIT(I3120,""/""),,1))"),44799.0)</f>
        <v>44799</v>
      </c>
      <c r="L3120" s="1">
        <v>0.0</v>
      </c>
      <c r="M3120" s="1" t="s">
        <v>7054</v>
      </c>
      <c r="N3120" s="1"/>
      <c r="O3120" s="1" t="s">
        <v>30</v>
      </c>
      <c r="P3120" s="1" t="s">
        <v>31</v>
      </c>
      <c r="Q3120" s="1" t="s">
        <v>157</v>
      </c>
      <c r="R3120" s="1" t="s">
        <v>157</v>
      </c>
      <c r="S3120" s="1" t="s">
        <v>158</v>
      </c>
      <c r="T3120" s="1" t="s">
        <v>159</v>
      </c>
      <c r="U3120" s="1">
        <v>1.00648324E8</v>
      </c>
      <c r="X3120" s="1" t="s">
        <v>490</v>
      </c>
      <c r="Y3120" s="1" t="s">
        <v>8134</v>
      </c>
      <c r="Z3120" s="1" t="s">
        <v>37</v>
      </c>
    </row>
    <row r="3121" hidden="1">
      <c r="A3121" s="1" t="s">
        <v>9288</v>
      </c>
      <c r="B3121" s="1" t="s">
        <v>39</v>
      </c>
      <c r="C3121" s="1" t="s">
        <v>9289</v>
      </c>
      <c r="D3121" s="1" t="s">
        <v>27</v>
      </c>
      <c r="E3121" s="1" t="s">
        <v>28</v>
      </c>
      <c r="F3121" s="2">
        <v>300000.0</v>
      </c>
      <c r="G3121" s="1" t="s">
        <v>503</v>
      </c>
      <c r="H3121" s="4">
        <f>IFERROR(__xludf.DUMMYFUNCTION("DATE(INDEX(SPLIT(G3121,""/""),,3),INDEX(SPLIT(G3121,""/""),,2),INDEX(SPLIT(G3121,""/""),,1))"),44736.0)</f>
        <v>44736</v>
      </c>
      <c r="I3121" s="1" t="s">
        <v>109</v>
      </c>
      <c r="J3121" s="4">
        <f>IFERROR(__xludf.DUMMYFUNCTION("DATE(INDEX(SPLIT(I3121,""/""),,3),INDEX(SPLIT(I3121,""/""),,2),INDEX(SPLIT(I3121,""/""),,1))"),44834.0)</f>
        <v>44834</v>
      </c>
      <c r="L3121" s="1">
        <v>0.0</v>
      </c>
      <c r="M3121" s="1" t="s">
        <v>43</v>
      </c>
      <c r="N3121" s="1"/>
      <c r="O3121" s="1" t="s">
        <v>30</v>
      </c>
      <c r="P3121" s="1" t="s">
        <v>31</v>
      </c>
      <c r="Q3121" s="1" t="s">
        <v>32</v>
      </c>
      <c r="R3121" s="1" t="s">
        <v>32</v>
      </c>
      <c r="S3121" s="1" t="s">
        <v>33</v>
      </c>
      <c r="T3121" s="1" t="s">
        <v>103</v>
      </c>
      <c r="U3121" s="1">
        <v>1.00587944E8</v>
      </c>
      <c r="X3121" s="1" t="s">
        <v>46</v>
      </c>
      <c r="Y3121" s="1" t="s">
        <v>104</v>
      </c>
      <c r="Z3121" s="1" t="s">
        <v>37</v>
      </c>
    </row>
    <row r="3122" hidden="1">
      <c r="A3122" s="1" t="s">
        <v>9290</v>
      </c>
      <c r="B3122" s="1" t="s">
        <v>3591</v>
      </c>
      <c r="C3122" s="1" t="s">
        <v>9291</v>
      </c>
      <c r="D3122" s="1" t="s">
        <v>78</v>
      </c>
      <c r="E3122" s="1" t="s">
        <v>28</v>
      </c>
      <c r="F3122" s="2">
        <v>300000.0</v>
      </c>
      <c r="G3122" s="1" t="s">
        <v>1521</v>
      </c>
      <c r="H3122" s="4">
        <f>IFERROR(__xludf.DUMMYFUNCTION("DATE(INDEX(SPLIT(G3122,""/""),,3),INDEX(SPLIT(G3122,""/""),,2),INDEX(SPLIT(G3122,""/""),,1))"),44756.0)</f>
        <v>44756</v>
      </c>
      <c r="I3122" s="1" t="s">
        <v>85</v>
      </c>
      <c r="J3122" s="4">
        <f>IFERROR(__xludf.DUMMYFUNCTION("DATE(INDEX(SPLIT(I3122,""/""),,3),INDEX(SPLIT(I3122,""/""),,2),INDEX(SPLIT(I3122,""/""),,1))"),44799.0)</f>
        <v>44799</v>
      </c>
      <c r="L3122" s="1">
        <v>0.0</v>
      </c>
      <c r="M3122" s="1" t="s">
        <v>936</v>
      </c>
      <c r="N3122" s="1"/>
      <c r="O3122" s="1" t="s">
        <v>30</v>
      </c>
      <c r="P3122" s="1" t="s">
        <v>31</v>
      </c>
      <c r="Q3122" s="1" t="s">
        <v>71</v>
      </c>
      <c r="R3122" s="1" t="s">
        <v>71</v>
      </c>
      <c r="S3122" s="1" t="s">
        <v>72</v>
      </c>
      <c r="T3122" s="1" t="s">
        <v>73</v>
      </c>
      <c r="U3122" s="1">
        <v>1.00941744E8</v>
      </c>
      <c r="X3122" s="1" t="s">
        <v>74</v>
      </c>
      <c r="Y3122" s="1" t="s">
        <v>936</v>
      </c>
      <c r="Z3122" s="1" t="s">
        <v>37</v>
      </c>
    </row>
    <row r="3123">
      <c r="A3123" s="1" t="s">
        <v>9292</v>
      </c>
      <c r="B3123" s="1" t="s">
        <v>1144</v>
      </c>
      <c r="C3123" s="1" t="s">
        <v>9293</v>
      </c>
      <c r="D3123" s="1" t="s">
        <v>27</v>
      </c>
      <c r="E3123" s="1" t="s">
        <v>28</v>
      </c>
      <c r="F3123" s="2">
        <v>300000.0</v>
      </c>
      <c r="G3123" s="4">
        <v>44746.0</v>
      </c>
      <c r="H3123" s="4">
        <f>IFERROR(__xludf.DUMMYFUNCTION("DATE(INDEX(SPLIT(G3123,""/""),,3),INDEX(SPLIT(G3123,""/""),,2),INDEX(SPLIT(G3123,""/""),,1))"),44658.0)</f>
        <v>44658</v>
      </c>
      <c r="I3123" s="1" t="s">
        <v>226</v>
      </c>
      <c r="J3123" s="4">
        <f>IFERROR(__xludf.DUMMYFUNCTION("DATE(INDEX(SPLIT(I3123,""/""),,3),INDEX(SPLIT(I3123,""/""),,2),INDEX(SPLIT(I3123,""/""),,1))"),44771.0)</f>
        <v>44771</v>
      </c>
      <c r="L3123" s="1">
        <v>0.0</v>
      </c>
      <c r="M3123" s="1" t="s">
        <v>2613</v>
      </c>
      <c r="N3123" s="1"/>
      <c r="O3123" s="1" t="s">
        <v>30</v>
      </c>
      <c r="P3123" s="1" t="s">
        <v>31</v>
      </c>
      <c r="Q3123" s="1" t="s">
        <v>157</v>
      </c>
      <c r="R3123" s="1" t="s">
        <v>157</v>
      </c>
      <c r="S3123" s="1" t="s">
        <v>158</v>
      </c>
      <c r="U3123" s="1">
        <v>1.00628059E8</v>
      </c>
      <c r="X3123" s="1" t="s">
        <v>63</v>
      </c>
      <c r="Y3123" s="1" t="s">
        <v>2613</v>
      </c>
      <c r="Z3123" s="1" t="s">
        <v>37</v>
      </c>
    </row>
    <row r="3124" hidden="1">
      <c r="A3124" s="1" t="s">
        <v>9294</v>
      </c>
      <c r="B3124" s="1" t="s">
        <v>7861</v>
      </c>
      <c r="C3124" s="1" t="s">
        <v>9295</v>
      </c>
      <c r="D3124" s="1" t="s">
        <v>122</v>
      </c>
      <c r="E3124" s="1" t="s">
        <v>28</v>
      </c>
      <c r="F3124" s="2">
        <v>299000.0</v>
      </c>
      <c r="G3124" s="1" t="s">
        <v>2963</v>
      </c>
      <c r="H3124" s="4">
        <f>IFERROR(__xludf.DUMMYFUNCTION("DATE(INDEX(SPLIT(G3124,""/""),,3),INDEX(SPLIT(G3124,""/""),,2),INDEX(SPLIT(G3124,""/""),,1))"),44524.0)</f>
        <v>44524</v>
      </c>
      <c r="I3124" s="1" t="s">
        <v>317</v>
      </c>
      <c r="J3124" s="4">
        <f>IFERROR(__xludf.DUMMYFUNCTION("DATE(INDEX(SPLIT(I3124,""/""),,3),INDEX(SPLIT(I3124,""/""),,2),INDEX(SPLIT(I3124,""/""),,1))"),44862.0)</f>
        <v>44862</v>
      </c>
      <c r="L3124" s="1">
        <v>0.0</v>
      </c>
      <c r="M3124" s="1" t="s">
        <v>1856</v>
      </c>
      <c r="N3124" s="1"/>
      <c r="O3124" s="1" t="s">
        <v>30</v>
      </c>
      <c r="P3124" s="1" t="s">
        <v>31</v>
      </c>
      <c r="Q3124" s="1" t="s">
        <v>32</v>
      </c>
      <c r="R3124" s="1" t="s">
        <v>32</v>
      </c>
      <c r="S3124" s="1" t="s">
        <v>33</v>
      </c>
      <c r="T3124" s="1" t="s">
        <v>103</v>
      </c>
      <c r="U3124" s="1">
        <v>1.00587434E8</v>
      </c>
      <c r="X3124" s="1" t="s">
        <v>46</v>
      </c>
      <c r="Y3124" s="1" t="s">
        <v>1856</v>
      </c>
      <c r="Z3124" s="1" t="s">
        <v>37</v>
      </c>
    </row>
    <row r="3125">
      <c r="A3125" s="1" t="s">
        <v>9296</v>
      </c>
      <c r="B3125" s="1" t="s">
        <v>7034</v>
      </c>
      <c r="C3125" s="1" t="s">
        <v>9297</v>
      </c>
      <c r="D3125" s="1" t="s">
        <v>78</v>
      </c>
      <c r="E3125" s="1" t="s">
        <v>28</v>
      </c>
      <c r="F3125" s="2">
        <v>298000.0</v>
      </c>
      <c r="G3125" s="4">
        <v>44840.0</v>
      </c>
      <c r="H3125" s="4">
        <f>IFERROR(__xludf.DUMMYFUNCTION("DATE(INDEX(SPLIT(G3125,""/""),,3),INDEX(SPLIT(G3125,""/""),,2),INDEX(SPLIT(G3125,""/""),,1))"),44722.0)</f>
        <v>44722</v>
      </c>
      <c r="I3125" s="1" t="s">
        <v>226</v>
      </c>
      <c r="J3125" s="4">
        <f>IFERROR(__xludf.DUMMYFUNCTION("DATE(INDEX(SPLIT(I3125,""/""),,3),INDEX(SPLIT(I3125,""/""),,2),INDEX(SPLIT(I3125,""/""),,1))"),44771.0)</f>
        <v>44771</v>
      </c>
      <c r="L3125" s="1">
        <v>0.0</v>
      </c>
      <c r="M3125" s="1" t="s">
        <v>1084</v>
      </c>
      <c r="N3125" s="1"/>
      <c r="O3125" s="1" t="s">
        <v>30</v>
      </c>
      <c r="P3125" s="1" t="s">
        <v>31</v>
      </c>
      <c r="Q3125" s="1" t="s">
        <v>32</v>
      </c>
      <c r="R3125" s="1" t="s">
        <v>32</v>
      </c>
      <c r="S3125" s="1" t="s">
        <v>33</v>
      </c>
      <c r="U3125" s="1">
        <v>1.00601386E8</v>
      </c>
      <c r="X3125" s="1" t="s">
        <v>81</v>
      </c>
      <c r="Y3125" s="1" t="s">
        <v>142</v>
      </c>
      <c r="Z3125" s="1" t="s">
        <v>37</v>
      </c>
    </row>
    <row r="3126" hidden="1">
      <c r="A3126" s="1" t="s">
        <v>9298</v>
      </c>
      <c r="B3126" s="1" t="s">
        <v>1025</v>
      </c>
      <c r="C3126" s="1" t="s">
        <v>9299</v>
      </c>
      <c r="D3126" s="1" t="s">
        <v>78</v>
      </c>
      <c r="E3126" s="1" t="s">
        <v>28</v>
      </c>
      <c r="F3126" s="2">
        <v>297600.0</v>
      </c>
      <c r="G3126" s="1" t="s">
        <v>935</v>
      </c>
      <c r="H3126" s="4">
        <f>IFERROR(__xludf.DUMMYFUNCTION("DATE(INDEX(SPLIT(G3126,""/""),,3),INDEX(SPLIT(G3126,""/""),,2),INDEX(SPLIT(G3126,""/""),,1))"),44764.0)</f>
        <v>44764</v>
      </c>
      <c r="I3126" s="1" t="s">
        <v>360</v>
      </c>
      <c r="J3126" s="4">
        <f>IFERROR(__xludf.DUMMYFUNCTION("DATE(INDEX(SPLIT(I3126,""/""),,3),INDEX(SPLIT(I3126,""/""),,2),INDEX(SPLIT(I3126,""/""),,1))"),44895.0)</f>
        <v>44895</v>
      </c>
      <c r="L3126" s="1">
        <v>0.0</v>
      </c>
      <c r="M3126" s="1" t="s">
        <v>4735</v>
      </c>
      <c r="N3126" s="1"/>
      <c r="O3126" s="1" t="s">
        <v>30</v>
      </c>
      <c r="P3126" s="1" t="s">
        <v>31</v>
      </c>
      <c r="Q3126" s="1" t="s">
        <v>71</v>
      </c>
      <c r="R3126" s="1" t="s">
        <v>71</v>
      </c>
      <c r="S3126" s="1" t="s">
        <v>72</v>
      </c>
      <c r="T3126" s="1" t="s">
        <v>136</v>
      </c>
      <c r="U3126" s="1">
        <v>1.00609615E8</v>
      </c>
      <c r="X3126" s="1" t="s">
        <v>74</v>
      </c>
      <c r="Y3126" s="1" t="s">
        <v>2593</v>
      </c>
      <c r="Z3126" s="1" t="s">
        <v>206</v>
      </c>
    </row>
    <row r="3127" hidden="1">
      <c r="A3127" s="1" t="s">
        <v>9300</v>
      </c>
      <c r="B3127" s="1" t="s">
        <v>1025</v>
      </c>
      <c r="C3127" s="1" t="s">
        <v>9299</v>
      </c>
      <c r="D3127" s="1" t="s">
        <v>122</v>
      </c>
      <c r="E3127" s="1" t="s">
        <v>28</v>
      </c>
      <c r="F3127" s="2">
        <v>297600.0</v>
      </c>
      <c r="G3127" s="1" t="s">
        <v>418</v>
      </c>
      <c r="H3127" s="4">
        <f>IFERROR(__xludf.DUMMYFUNCTION("DATE(INDEX(SPLIT(G3127,""/""),,3),INDEX(SPLIT(G3127,""/""),,2),INDEX(SPLIT(G3127,""/""),,1))"),44755.0)</f>
        <v>44755</v>
      </c>
      <c r="I3127" s="1" t="s">
        <v>360</v>
      </c>
      <c r="J3127" s="4">
        <f>IFERROR(__xludf.DUMMYFUNCTION("DATE(INDEX(SPLIT(I3127,""/""),,3),INDEX(SPLIT(I3127,""/""),,2),INDEX(SPLIT(I3127,""/""),,1))"),44895.0)</f>
        <v>44895</v>
      </c>
      <c r="L3127" s="1">
        <v>0.0</v>
      </c>
      <c r="M3127" s="1" t="s">
        <v>4735</v>
      </c>
      <c r="N3127" s="1"/>
      <c r="O3127" s="1" t="s">
        <v>30</v>
      </c>
      <c r="P3127" s="1" t="s">
        <v>31</v>
      </c>
      <c r="Q3127" s="1" t="s">
        <v>71</v>
      </c>
      <c r="R3127" s="1" t="s">
        <v>71</v>
      </c>
      <c r="S3127" s="1" t="s">
        <v>72</v>
      </c>
      <c r="T3127" s="1" t="s">
        <v>136</v>
      </c>
      <c r="U3127" s="1">
        <v>1.00609615E8</v>
      </c>
      <c r="X3127" s="1" t="s">
        <v>74</v>
      </c>
      <c r="Y3127" s="1" t="s">
        <v>2593</v>
      </c>
      <c r="Z3127" s="1" t="s">
        <v>206</v>
      </c>
    </row>
    <row r="3128">
      <c r="A3128" s="1" t="s">
        <v>9301</v>
      </c>
      <c r="B3128" s="1" t="s">
        <v>948</v>
      </c>
      <c r="C3128" s="1" t="s">
        <v>9302</v>
      </c>
      <c r="D3128" s="1" t="s">
        <v>78</v>
      </c>
      <c r="E3128" s="1" t="s">
        <v>28</v>
      </c>
      <c r="F3128" s="2">
        <v>297540.0</v>
      </c>
      <c r="G3128" s="1" t="s">
        <v>551</v>
      </c>
      <c r="H3128" s="4">
        <f>IFERROR(__xludf.DUMMYFUNCTION("DATE(INDEX(SPLIT(G3128,""/""),,3),INDEX(SPLIT(G3128,""/""),,2),INDEX(SPLIT(G3128,""/""),,1))"),44701.0)</f>
        <v>44701</v>
      </c>
      <c r="I3128" s="1" t="s">
        <v>69</v>
      </c>
      <c r="J3128" s="4">
        <f>IFERROR(__xludf.DUMMYFUNCTION("DATE(INDEX(SPLIT(I3128,""/""),,3),INDEX(SPLIT(I3128,""/""),,2),INDEX(SPLIT(I3128,""/""),,1))"),44773.0)</f>
        <v>44773</v>
      </c>
      <c r="L3128" s="1">
        <v>0.0</v>
      </c>
      <c r="M3128" s="1" t="s">
        <v>2198</v>
      </c>
      <c r="N3128" s="1"/>
      <c r="O3128" s="1" t="s">
        <v>30</v>
      </c>
      <c r="P3128" s="1" t="s">
        <v>31</v>
      </c>
      <c r="Q3128" s="1" t="s">
        <v>157</v>
      </c>
      <c r="R3128" s="1" t="s">
        <v>157</v>
      </c>
      <c r="S3128" s="1" t="s">
        <v>158</v>
      </c>
      <c r="U3128" s="1">
        <v>1.00654054E8</v>
      </c>
      <c r="X3128" s="1" t="s">
        <v>74</v>
      </c>
      <c r="Y3128" s="1" t="s">
        <v>8125</v>
      </c>
      <c r="Z3128" s="1" t="s">
        <v>527</v>
      </c>
    </row>
    <row r="3129" hidden="1">
      <c r="A3129" s="1" t="s">
        <v>9303</v>
      </c>
      <c r="B3129" s="1" t="s">
        <v>9304</v>
      </c>
      <c r="C3129" s="1" t="s">
        <v>9305</v>
      </c>
      <c r="D3129" s="1" t="s">
        <v>27</v>
      </c>
      <c r="E3129" s="1" t="s">
        <v>28</v>
      </c>
      <c r="F3129" s="2">
        <v>296000.0</v>
      </c>
      <c r="G3129" s="1" t="s">
        <v>418</v>
      </c>
      <c r="H3129" s="4">
        <f>IFERROR(__xludf.DUMMYFUNCTION("DATE(INDEX(SPLIT(G3129,""/""),,3),INDEX(SPLIT(G3129,""/""),,2),INDEX(SPLIT(G3129,""/""),,1))"),44755.0)</f>
        <v>44755</v>
      </c>
      <c r="I3129" s="1" t="s">
        <v>281</v>
      </c>
      <c r="J3129" s="4">
        <f>IFERROR(__xludf.DUMMYFUNCTION("DATE(INDEX(SPLIT(I3129,""/""),,3),INDEX(SPLIT(I3129,""/""),,2),INDEX(SPLIT(I3129,""/""),,1))"),44865.0)</f>
        <v>44865</v>
      </c>
      <c r="L3129" s="1">
        <v>0.0</v>
      </c>
      <c r="M3129" s="1" t="s">
        <v>4735</v>
      </c>
      <c r="N3129" s="1"/>
      <c r="O3129" s="1" t="s">
        <v>30</v>
      </c>
      <c r="P3129" s="1" t="s">
        <v>31</v>
      </c>
      <c r="Q3129" s="1" t="s">
        <v>71</v>
      </c>
      <c r="R3129" s="1" t="s">
        <v>71</v>
      </c>
      <c r="S3129" s="1" t="s">
        <v>72</v>
      </c>
      <c r="T3129" s="1" t="s">
        <v>136</v>
      </c>
      <c r="U3129" s="1">
        <v>1.00609615E8</v>
      </c>
      <c r="X3129" s="1" t="s">
        <v>74</v>
      </c>
      <c r="Y3129" s="1" t="s">
        <v>2593</v>
      </c>
      <c r="Z3129" s="1" t="s">
        <v>206</v>
      </c>
    </row>
    <row r="3130" hidden="1">
      <c r="A3130" s="1" t="s">
        <v>9306</v>
      </c>
      <c r="B3130" s="1" t="s">
        <v>1371</v>
      </c>
      <c r="C3130" s="1" t="s">
        <v>9307</v>
      </c>
      <c r="D3130" s="1" t="s">
        <v>78</v>
      </c>
      <c r="E3130" s="1" t="s">
        <v>28</v>
      </c>
      <c r="F3130" s="2">
        <v>295000.0</v>
      </c>
      <c r="G3130" s="1" t="s">
        <v>568</v>
      </c>
      <c r="H3130" s="4">
        <f>IFERROR(__xludf.DUMMYFUNCTION("DATE(INDEX(SPLIT(G3130,""/""),,3),INDEX(SPLIT(G3130,""/""),,2),INDEX(SPLIT(G3130,""/""),,1))"),44587.0)</f>
        <v>44587</v>
      </c>
      <c r="I3130" s="1" t="s">
        <v>109</v>
      </c>
      <c r="J3130" s="4">
        <f>IFERROR(__xludf.DUMMYFUNCTION("DATE(INDEX(SPLIT(I3130,""/""),,3),INDEX(SPLIT(I3130,""/""),,2),INDEX(SPLIT(I3130,""/""),,1))"),44834.0)</f>
        <v>44834</v>
      </c>
      <c r="L3130" s="1">
        <v>0.0</v>
      </c>
      <c r="M3130" s="1" t="s">
        <v>3138</v>
      </c>
      <c r="N3130" s="1"/>
      <c r="O3130" s="1" t="s">
        <v>30</v>
      </c>
      <c r="P3130" s="1" t="s">
        <v>31</v>
      </c>
      <c r="Q3130" s="1" t="s">
        <v>157</v>
      </c>
      <c r="R3130" s="1" t="s">
        <v>157</v>
      </c>
      <c r="S3130" s="1" t="s">
        <v>158</v>
      </c>
      <c r="T3130" s="1" t="s">
        <v>103</v>
      </c>
      <c r="U3130" s="1">
        <v>1.00616377E8</v>
      </c>
      <c r="V3130" s="1" t="s">
        <v>9308</v>
      </c>
      <c r="W3130" s="1" t="s">
        <v>45</v>
      </c>
      <c r="X3130" s="1" t="s">
        <v>63</v>
      </c>
      <c r="Y3130" s="1" t="s">
        <v>3138</v>
      </c>
      <c r="Z3130" s="1" t="s">
        <v>37</v>
      </c>
    </row>
    <row r="3131" hidden="1">
      <c r="A3131" s="1" t="s">
        <v>9309</v>
      </c>
      <c r="B3131" s="1" t="s">
        <v>546</v>
      </c>
      <c r="C3131" s="1" t="s">
        <v>9310</v>
      </c>
      <c r="D3131" s="1" t="s">
        <v>68</v>
      </c>
      <c r="E3131" s="1" t="s">
        <v>28</v>
      </c>
      <c r="F3131" s="2">
        <v>295000.0</v>
      </c>
      <c r="G3131" s="4">
        <v>44625.0</v>
      </c>
      <c r="H3131" s="4">
        <f>IFERROR(__xludf.DUMMYFUNCTION("DATE(INDEX(SPLIT(G3131,""/""),,3),INDEX(SPLIT(G3131,""/""),,2),INDEX(SPLIT(G3131,""/""),,1))"),44684.0)</f>
        <v>44684</v>
      </c>
      <c r="I3131" s="4">
        <v>44569.0</v>
      </c>
      <c r="J3131" s="4">
        <f>IFERROR(__xludf.DUMMYFUNCTION("DATE(INDEX(SPLIT(I3131,""/""),,3),INDEX(SPLIT(I3131,""/""),,2),INDEX(SPLIT(I3131,""/""),,1))"),44774.0)</f>
        <v>44774</v>
      </c>
      <c r="L3131" s="1">
        <v>0.0</v>
      </c>
      <c r="M3131" s="1" t="s">
        <v>3985</v>
      </c>
      <c r="N3131" s="1"/>
      <c r="O3131" s="1" t="s">
        <v>30</v>
      </c>
      <c r="P3131" s="1" t="s">
        <v>31</v>
      </c>
      <c r="Q3131" s="1" t="s">
        <v>157</v>
      </c>
      <c r="R3131" s="1" t="s">
        <v>157</v>
      </c>
      <c r="S3131" s="1" t="s">
        <v>158</v>
      </c>
      <c r="U3131" s="1">
        <v>1.00616269E8</v>
      </c>
      <c r="X3131" s="1" t="s">
        <v>74</v>
      </c>
      <c r="Y3131" s="1" t="s">
        <v>2788</v>
      </c>
      <c r="Z3131" s="1" t="s">
        <v>37</v>
      </c>
    </row>
    <row r="3132">
      <c r="A3132" s="1" t="s">
        <v>9311</v>
      </c>
      <c r="B3132" s="1" t="s">
        <v>806</v>
      </c>
      <c r="C3132" s="1" t="s">
        <v>9312</v>
      </c>
      <c r="D3132" s="1" t="s">
        <v>27</v>
      </c>
      <c r="E3132" s="1" t="s">
        <v>28</v>
      </c>
      <c r="F3132" s="2">
        <v>295000.0</v>
      </c>
      <c r="G3132" s="1" t="s">
        <v>1244</v>
      </c>
      <c r="H3132" s="4">
        <f>IFERROR(__xludf.DUMMYFUNCTION("DATE(INDEX(SPLIT(G3132,""/""),,3),INDEX(SPLIT(G3132,""/""),,2),INDEX(SPLIT(G3132,""/""),,1))"),44742.0)</f>
        <v>44742</v>
      </c>
      <c r="I3132" s="1" t="s">
        <v>226</v>
      </c>
      <c r="J3132" s="4">
        <f>IFERROR(__xludf.DUMMYFUNCTION("DATE(INDEX(SPLIT(I3132,""/""),,3),INDEX(SPLIT(I3132,""/""),,2),INDEX(SPLIT(I3132,""/""),,1))"),44771.0)</f>
        <v>44771</v>
      </c>
      <c r="L3132" s="1">
        <v>0.0</v>
      </c>
      <c r="M3132" s="1" t="s">
        <v>2510</v>
      </c>
      <c r="N3132" s="1"/>
      <c r="O3132" s="1" t="s">
        <v>30</v>
      </c>
      <c r="P3132" s="1" t="s">
        <v>31</v>
      </c>
      <c r="Q3132" s="1" t="s">
        <v>157</v>
      </c>
      <c r="R3132" s="1" t="s">
        <v>157</v>
      </c>
      <c r="S3132" s="1" t="s">
        <v>158</v>
      </c>
      <c r="T3132" s="1" t="s">
        <v>442</v>
      </c>
      <c r="U3132" s="1">
        <v>1.00634919E8</v>
      </c>
      <c r="X3132" s="1" t="s">
        <v>117</v>
      </c>
      <c r="Y3132" s="1" t="s">
        <v>2510</v>
      </c>
      <c r="Z3132" s="1" t="s">
        <v>37</v>
      </c>
    </row>
    <row r="3133">
      <c r="A3133" s="1" t="s">
        <v>9313</v>
      </c>
      <c r="B3133" s="1" t="s">
        <v>4172</v>
      </c>
      <c r="C3133" s="1" t="s">
        <v>9314</v>
      </c>
      <c r="D3133" s="1" t="s">
        <v>78</v>
      </c>
      <c r="E3133" s="1" t="s">
        <v>28</v>
      </c>
      <c r="F3133" s="2">
        <v>295000.0</v>
      </c>
      <c r="G3133" s="1" t="s">
        <v>321</v>
      </c>
      <c r="H3133" s="4">
        <f>IFERROR(__xludf.DUMMYFUNCTION("DATE(INDEX(SPLIT(G3133,""/""),,3),INDEX(SPLIT(G3133,""/""),,2),INDEX(SPLIT(G3133,""/""),,1))"),44586.0)</f>
        <v>44586</v>
      </c>
      <c r="I3133" s="1" t="s">
        <v>2300</v>
      </c>
      <c r="J3133" s="4">
        <f>IFERROR(__xludf.DUMMYFUNCTION("DATE(INDEX(SPLIT(I3133,""/""),,3),INDEX(SPLIT(I3133,""/""),,2),INDEX(SPLIT(I3133,""/""),,1))"),44712.0)</f>
        <v>44712</v>
      </c>
      <c r="L3133" s="1">
        <v>0.0</v>
      </c>
      <c r="M3133" s="1" t="s">
        <v>3052</v>
      </c>
      <c r="N3133" s="1"/>
      <c r="O3133" s="1" t="s">
        <v>30</v>
      </c>
      <c r="P3133" s="1" t="s">
        <v>31</v>
      </c>
      <c r="Q3133" s="1" t="s">
        <v>32</v>
      </c>
      <c r="R3133" s="1" t="s">
        <v>32</v>
      </c>
      <c r="S3133" s="1" t="s">
        <v>33</v>
      </c>
      <c r="T3133" s="1" t="s">
        <v>103</v>
      </c>
      <c r="U3133" s="1">
        <v>1.00610367E8</v>
      </c>
      <c r="X3133" s="1" t="s">
        <v>63</v>
      </c>
      <c r="Y3133" s="1" t="s">
        <v>5013</v>
      </c>
      <c r="Z3133" s="1" t="s">
        <v>37</v>
      </c>
    </row>
    <row r="3134" hidden="1">
      <c r="A3134" s="1" t="s">
        <v>9315</v>
      </c>
      <c r="B3134" s="1" t="s">
        <v>6293</v>
      </c>
      <c r="C3134" s="1" t="s">
        <v>9316</v>
      </c>
      <c r="D3134" s="1" t="s">
        <v>27</v>
      </c>
      <c r="E3134" s="1" t="s">
        <v>28</v>
      </c>
      <c r="F3134" s="2">
        <v>295000.0</v>
      </c>
      <c r="G3134" s="1" t="s">
        <v>248</v>
      </c>
      <c r="H3134" s="4">
        <f>IFERROR(__xludf.DUMMYFUNCTION("DATE(INDEX(SPLIT(G3134,""/""),,3),INDEX(SPLIT(G3134,""/""),,2),INDEX(SPLIT(G3134,""/""),,1))"),44483.0)</f>
        <v>44483</v>
      </c>
      <c r="I3134" s="4">
        <v>44601.0</v>
      </c>
      <c r="J3134" s="4">
        <f>IFERROR(__xludf.DUMMYFUNCTION("DATE(INDEX(SPLIT(I3134,""/""),,3),INDEX(SPLIT(I3134,""/""),,2),INDEX(SPLIT(I3134,""/""),,1))"),44806.0)</f>
        <v>44806</v>
      </c>
      <c r="L3134" s="1">
        <v>0.0</v>
      </c>
      <c r="M3134" s="1" t="s">
        <v>1833</v>
      </c>
      <c r="N3134" s="1"/>
      <c r="O3134" s="1" t="s">
        <v>30</v>
      </c>
      <c r="P3134" s="1" t="s">
        <v>31</v>
      </c>
      <c r="Q3134" s="1" t="s">
        <v>53</v>
      </c>
      <c r="R3134" s="1" t="s">
        <v>53</v>
      </c>
      <c r="S3134" s="1" t="s">
        <v>54</v>
      </c>
      <c r="T3134" s="1" t="s">
        <v>634</v>
      </c>
      <c r="U3134" s="1">
        <v>1.0105484E8</v>
      </c>
      <c r="X3134" s="1" t="s">
        <v>490</v>
      </c>
      <c r="Y3134" s="1" t="s">
        <v>1013</v>
      </c>
      <c r="Z3134" s="1" t="s">
        <v>37</v>
      </c>
    </row>
    <row r="3135">
      <c r="A3135" s="1" t="s">
        <v>9317</v>
      </c>
      <c r="B3135" s="1" t="s">
        <v>301</v>
      </c>
      <c r="C3135" s="1" t="s">
        <v>9318</v>
      </c>
      <c r="D3135" s="1" t="s">
        <v>122</v>
      </c>
      <c r="E3135" s="1" t="s">
        <v>28</v>
      </c>
      <c r="F3135" s="2">
        <v>295000.0</v>
      </c>
      <c r="G3135" s="4">
        <v>44868.0</v>
      </c>
      <c r="H3135" s="4">
        <f>IFERROR(__xludf.DUMMYFUNCTION("DATE(INDEX(SPLIT(G3135,""/""),,3),INDEX(SPLIT(G3135,""/""),,2),INDEX(SPLIT(G3135,""/""),,1))"),44631.0)</f>
        <v>44631</v>
      </c>
      <c r="I3135" s="1" t="s">
        <v>226</v>
      </c>
      <c r="J3135" s="4">
        <f>IFERROR(__xludf.DUMMYFUNCTION("DATE(INDEX(SPLIT(I3135,""/""),,3),INDEX(SPLIT(I3135,""/""),,2),INDEX(SPLIT(I3135,""/""),,1))"),44771.0)</f>
        <v>44771</v>
      </c>
      <c r="L3135" s="1">
        <v>0.0</v>
      </c>
      <c r="M3135" s="1" t="s">
        <v>6310</v>
      </c>
      <c r="N3135" s="1"/>
      <c r="O3135" s="1" t="s">
        <v>30</v>
      </c>
      <c r="P3135" s="1" t="s">
        <v>31</v>
      </c>
      <c r="Q3135" s="1" t="s">
        <v>157</v>
      </c>
      <c r="R3135" s="1" t="s">
        <v>157</v>
      </c>
      <c r="S3135" s="1" t="s">
        <v>158</v>
      </c>
      <c r="T3135" s="1" t="s">
        <v>571</v>
      </c>
      <c r="U3135" s="1">
        <v>1.00620162E8</v>
      </c>
      <c r="X3135" s="1" t="s">
        <v>305</v>
      </c>
      <c r="Y3135" s="1" t="s">
        <v>874</v>
      </c>
      <c r="Z3135" s="1" t="s">
        <v>37</v>
      </c>
    </row>
    <row r="3136">
      <c r="A3136" s="1" t="s">
        <v>9319</v>
      </c>
      <c r="B3136" s="1" t="s">
        <v>7868</v>
      </c>
      <c r="C3136" s="1" t="s">
        <v>9320</v>
      </c>
      <c r="D3136" s="1" t="s">
        <v>122</v>
      </c>
      <c r="E3136" s="1" t="s">
        <v>28</v>
      </c>
      <c r="F3136" s="2">
        <v>295000.0</v>
      </c>
      <c r="G3136" s="1" t="s">
        <v>154</v>
      </c>
      <c r="H3136" s="4">
        <f>IFERROR(__xludf.DUMMYFUNCTION("DATE(INDEX(SPLIT(G3136,""/""),,3),INDEX(SPLIT(G3136,""/""),,2),INDEX(SPLIT(G3136,""/""),,1))"),44670.0)</f>
        <v>44670</v>
      </c>
      <c r="I3136" s="1" t="s">
        <v>69</v>
      </c>
      <c r="J3136" s="4">
        <f>IFERROR(__xludf.DUMMYFUNCTION("DATE(INDEX(SPLIT(I3136,""/""),,3),INDEX(SPLIT(I3136,""/""),,2),INDEX(SPLIT(I3136,""/""),,1))"),44773.0)</f>
        <v>44773</v>
      </c>
      <c r="L3136" s="1">
        <v>0.0</v>
      </c>
      <c r="M3136" s="1" t="s">
        <v>9321</v>
      </c>
      <c r="N3136" s="1"/>
      <c r="O3136" s="1" t="s">
        <v>30</v>
      </c>
      <c r="P3136" s="1" t="s">
        <v>31</v>
      </c>
      <c r="Q3136" s="1" t="s">
        <v>95</v>
      </c>
      <c r="R3136" s="1" t="s">
        <v>95</v>
      </c>
      <c r="S3136" s="1" t="s">
        <v>96</v>
      </c>
      <c r="T3136" s="1" t="s">
        <v>111</v>
      </c>
      <c r="U3136" s="1">
        <v>1.00601766E8</v>
      </c>
      <c r="X3136" s="1" t="s">
        <v>63</v>
      </c>
      <c r="Y3136" s="1" t="s">
        <v>9321</v>
      </c>
      <c r="Z3136" s="1" t="s">
        <v>37</v>
      </c>
    </row>
    <row r="3137">
      <c r="A3137" s="1" t="s">
        <v>9322</v>
      </c>
      <c r="B3137" s="1" t="s">
        <v>9323</v>
      </c>
      <c r="C3137" s="1" t="s">
        <v>9324</v>
      </c>
      <c r="D3137" s="1" t="s">
        <v>122</v>
      </c>
      <c r="E3137" s="1" t="s">
        <v>28</v>
      </c>
      <c r="F3137" s="2">
        <v>294943.82</v>
      </c>
      <c r="G3137" s="1" t="s">
        <v>751</v>
      </c>
      <c r="H3137" s="4">
        <f>IFERROR(__xludf.DUMMYFUNCTION("DATE(INDEX(SPLIT(G3137,""/""),,3),INDEX(SPLIT(G3137,""/""),,2),INDEX(SPLIT(G3137,""/""),,1))"),44519.0)</f>
        <v>44519</v>
      </c>
      <c r="I3137" s="1" t="s">
        <v>1438</v>
      </c>
      <c r="J3137" s="4">
        <f>IFERROR(__xludf.DUMMYFUNCTION("DATE(INDEX(SPLIT(I3137,""/""),,3),INDEX(SPLIT(I3137,""/""),,2),INDEX(SPLIT(I3137,""/""),,1))"),44708.0)</f>
        <v>44708</v>
      </c>
      <c r="L3137" s="1">
        <v>0.0</v>
      </c>
      <c r="M3137" s="1" t="s">
        <v>1319</v>
      </c>
      <c r="N3137" s="1"/>
      <c r="O3137" s="1" t="s">
        <v>30</v>
      </c>
      <c r="P3137" s="1" t="s">
        <v>31</v>
      </c>
      <c r="Q3137" s="1" t="s">
        <v>1320</v>
      </c>
      <c r="R3137" s="1" t="s">
        <v>1320</v>
      </c>
      <c r="S3137" s="1" t="s">
        <v>96</v>
      </c>
      <c r="T3137" s="1" t="s">
        <v>1386</v>
      </c>
      <c r="U3137" s="1">
        <v>1.0065052E8</v>
      </c>
      <c r="X3137" s="1" t="s">
        <v>289</v>
      </c>
      <c r="Y3137" s="1" t="s">
        <v>1319</v>
      </c>
      <c r="Z3137" s="1" t="s">
        <v>37</v>
      </c>
    </row>
    <row r="3138" hidden="1">
      <c r="A3138" s="1" t="s">
        <v>9325</v>
      </c>
      <c r="B3138" s="1" t="s">
        <v>9326</v>
      </c>
      <c r="C3138" s="1" t="s">
        <v>9327</v>
      </c>
      <c r="D3138" s="1" t="s">
        <v>122</v>
      </c>
      <c r="E3138" s="1" t="s">
        <v>28</v>
      </c>
      <c r="F3138" s="2">
        <v>290000.0</v>
      </c>
      <c r="G3138" s="1" t="s">
        <v>593</v>
      </c>
      <c r="H3138" s="4">
        <f>IFERROR(__xludf.DUMMYFUNCTION("DATE(INDEX(SPLIT(G3138,""/""),,3),INDEX(SPLIT(G3138,""/""),,2),INDEX(SPLIT(G3138,""/""),,1))"),44330.0)</f>
        <v>44330</v>
      </c>
      <c r="I3138" s="1" t="s">
        <v>130</v>
      </c>
      <c r="J3138" s="4">
        <f>IFERROR(__xludf.DUMMYFUNCTION("DATE(INDEX(SPLIT(I3138,""/""),,3),INDEX(SPLIT(I3138,""/""),,2),INDEX(SPLIT(I3138,""/""),,1))"),44804.0)</f>
        <v>44804</v>
      </c>
      <c r="L3138" s="1">
        <v>0.0</v>
      </c>
      <c r="M3138" s="1" t="s">
        <v>2989</v>
      </c>
      <c r="N3138" s="1"/>
      <c r="O3138" s="1" t="s">
        <v>30</v>
      </c>
      <c r="P3138" s="1" t="s">
        <v>31</v>
      </c>
      <c r="Q3138" s="1" t="s">
        <v>235</v>
      </c>
      <c r="R3138" s="1" t="s">
        <v>235</v>
      </c>
      <c r="S3138" s="1" t="s">
        <v>236</v>
      </c>
      <c r="T3138" s="1" t="s">
        <v>438</v>
      </c>
      <c r="U3138" s="1">
        <v>1.00647463E8</v>
      </c>
      <c r="X3138" s="1" t="s">
        <v>88</v>
      </c>
      <c r="Y3138" s="1" t="s">
        <v>2989</v>
      </c>
      <c r="Z3138" s="1" t="s">
        <v>37</v>
      </c>
    </row>
    <row r="3139" hidden="1">
      <c r="A3139" s="1" t="s">
        <v>9328</v>
      </c>
      <c r="B3139" s="1" t="s">
        <v>1720</v>
      </c>
      <c r="C3139" s="1" t="s">
        <v>9329</v>
      </c>
      <c r="D3139" s="1" t="s">
        <v>78</v>
      </c>
      <c r="E3139" s="1" t="s">
        <v>28</v>
      </c>
      <c r="F3139" s="2">
        <v>290000.0</v>
      </c>
      <c r="G3139" s="1" t="s">
        <v>3972</v>
      </c>
      <c r="H3139" s="4">
        <f>IFERROR(__xludf.DUMMYFUNCTION("DATE(INDEX(SPLIT(G3139,""/""),,3),INDEX(SPLIT(G3139,""/""),,2),INDEX(SPLIT(G3139,""/""),,1))"),44637.0)</f>
        <v>44637</v>
      </c>
      <c r="I3139" s="1" t="s">
        <v>130</v>
      </c>
      <c r="J3139" s="4">
        <f>IFERROR(__xludf.DUMMYFUNCTION("DATE(INDEX(SPLIT(I3139,""/""),,3),INDEX(SPLIT(I3139,""/""),,2),INDEX(SPLIT(I3139,""/""),,1))"),44804.0)</f>
        <v>44804</v>
      </c>
      <c r="L3139" s="1">
        <v>0.0</v>
      </c>
      <c r="M3139" s="1" t="s">
        <v>1621</v>
      </c>
      <c r="N3139" s="1"/>
      <c r="O3139" s="1" t="s">
        <v>30</v>
      </c>
      <c r="P3139" s="1" t="s">
        <v>31</v>
      </c>
      <c r="Q3139" s="1" t="s">
        <v>157</v>
      </c>
      <c r="R3139" s="1" t="s">
        <v>157</v>
      </c>
      <c r="S3139" s="1" t="s">
        <v>158</v>
      </c>
      <c r="U3139" s="1">
        <v>1.00650783E8</v>
      </c>
      <c r="X3139" s="1" t="s">
        <v>74</v>
      </c>
      <c r="Y3139" s="1" t="s">
        <v>6503</v>
      </c>
      <c r="Z3139" s="1" t="s">
        <v>37</v>
      </c>
    </row>
    <row r="3140">
      <c r="A3140" s="1" t="s">
        <v>9330</v>
      </c>
      <c r="B3140" s="1" t="s">
        <v>9331</v>
      </c>
      <c r="C3140" s="1" t="s">
        <v>9332</v>
      </c>
      <c r="D3140" s="1" t="s">
        <v>122</v>
      </c>
      <c r="E3140" s="1" t="s">
        <v>28</v>
      </c>
      <c r="F3140" s="2">
        <v>290000.0</v>
      </c>
      <c r="G3140" s="1" t="s">
        <v>1154</v>
      </c>
      <c r="H3140" s="4">
        <f>IFERROR(__xludf.DUMMYFUNCTION("DATE(INDEX(SPLIT(G3140,""/""),,3),INDEX(SPLIT(G3140,""/""),,2),INDEX(SPLIT(G3140,""/""),,1))"),44735.0)</f>
        <v>44735</v>
      </c>
      <c r="I3140" s="1" t="s">
        <v>226</v>
      </c>
      <c r="J3140" s="4">
        <f>IFERROR(__xludf.DUMMYFUNCTION("DATE(INDEX(SPLIT(I3140,""/""),,3),INDEX(SPLIT(I3140,""/""),,2),INDEX(SPLIT(I3140,""/""),,1))"),44771.0)</f>
        <v>44771</v>
      </c>
      <c r="L3140" s="1">
        <v>0.0</v>
      </c>
      <c r="M3140" s="1" t="s">
        <v>524</v>
      </c>
      <c r="N3140" s="1"/>
      <c r="O3140" s="1" t="s">
        <v>30</v>
      </c>
      <c r="P3140" s="1" t="s">
        <v>31</v>
      </c>
      <c r="Q3140" s="1" t="s">
        <v>32</v>
      </c>
      <c r="R3140" s="1" t="s">
        <v>32</v>
      </c>
      <c r="S3140" s="1" t="s">
        <v>33</v>
      </c>
      <c r="U3140" s="1">
        <v>1.00627768E8</v>
      </c>
      <c r="X3140" s="1" t="s">
        <v>81</v>
      </c>
      <c r="Y3140" s="1" t="s">
        <v>524</v>
      </c>
      <c r="Z3140" s="1" t="s">
        <v>527</v>
      </c>
    </row>
    <row r="3141">
      <c r="A3141" s="1" t="s">
        <v>9333</v>
      </c>
      <c r="B3141" s="1" t="s">
        <v>1420</v>
      </c>
      <c r="C3141" s="1" t="s">
        <v>9334</v>
      </c>
      <c r="D3141" s="1" t="s">
        <v>122</v>
      </c>
      <c r="E3141" s="1" t="s">
        <v>28</v>
      </c>
      <c r="F3141" s="2">
        <v>290000.0</v>
      </c>
      <c r="G3141" s="1" t="s">
        <v>185</v>
      </c>
      <c r="H3141" s="4">
        <f>IFERROR(__xludf.DUMMYFUNCTION("DATE(INDEX(SPLIT(G3141,""/""),,3),INDEX(SPLIT(G3141,""/""),,2),INDEX(SPLIT(G3141,""/""),,1))"),44741.0)</f>
        <v>44741</v>
      </c>
      <c r="I3141" s="1" t="s">
        <v>518</v>
      </c>
      <c r="J3141" s="4">
        <f>IFERROR(__xludf.DUMMYFUNCTION("DATE(INDEX(SPLIT(I3141,""/""),,3),INDEX(SPLIT(I3141,""/""),,2),INDEX(SPLIT(I3141,""/""),,1))"),44757.0)</f>
        <v>44757</v>
      </c>
      <c r="L3141" s="1">
        <v>0.0</v>
      </c>
      <c r="M3141" s="1" t="s">
        <v>1741</v>
      </c>
      <c r="N3141" s="1"/>
      <c r="O3141" s="1" t="s">
        <v>30</v>
      </c>
      <c r="P3141" s="1" t="s">
        <v>31</v>
      </c>
      <c r="Q3141" s="1" t="s">
        <v>32</v>
      </c>
      <c r="R3141" s="1" t="s">
        <v>32</v>
      </c>
      <c r="S3141" s="1" t="s">
        <v>33</v>
      </c>
      <c r="U3141" s="1">
        <v>1.00645852E8</v>
      </c>
      <c r="X3141" s="1" t="s">
        <v>46</v>
      </c>
      <c r="Y3141" s="1" t="s">
        <v>9335</v>
      </c>
      <c r="Z3141" s="1" t="s">
        <v>37</v>
      </c>
    </row>
    <row r="3142">
      <c r="A3142" s="1" t="s">
        <v>9336</v>
      </c>
      <c r="B3142" s="1" t="s">
        <v>5652</v>
      </c>
      <c r="C3142" s="1" t="s">
        <v>9337</v>
      </c>
      <c r="D3142" s="1" t="s">
        <v>122</v>
      </c>
      <c r="E3142" s="1" t="s">
        <v>28</v>
      </c>
      <c r="F3142" s="2">
        <v>290000.0</v>
      </c>
      <c r="G3142" s="1" t="s">
        <v>2900</v>
      </c>
      <c r="H3142" s="4">
        <f>IFERROR(__xludf.DUMMYFUNCTION("DATE(INDEX(SPLIT(G3142,""/""),,3),INDEX(SPLIT(G3142,""/""),,2),INDEX(SPLIT(G3142,""/""),,1))"),44678.0)</f>
        <v>44678</v>
      </c>
      <c r="I3142" s="1" t="s">
        <v>1244</v>
      </c>
      <c r="J3142" s="4">
        <f>IFERROR(__xludf.DUMMYFUNCTION("DATE(INDEX(SPLIT(I3142,""/""),,3),INDEX(SPLIT(I3142,""/""),,2),INDEX(SPLIT(I3142,""/""),,1))"),44742.0)</f>
        <v>44742</v>
      </c>
      <c r="L3142" s="1">
        <v>0.0</v>
      </c>
      <c r="M3142" s="1" t="s">
        <v>4807</v>
      </c>
      <c r="N3142" s="1"/>
      <c r="O3142" s="1" t="s">
        <v>30</v>
      </c>
      <c r="P3142" s="1" t="s">
        <v>31</v>
      </c>
      <c r="Q3142" s="1" t="s">
        <v>95</v>
      </c>
      <c r="R3142" s="1" t="s">
        <v>95</v>
      </c>
      <c r="S3142" s="1" t="s">
        <v>96</v>
      </c>
      <c r="U3142" s="1">
        <v>1.00569225E8</v>
      </c>
      <c r="X3142" s="1" t="s">
        <v>361</v>
      </c>
      <c r="Y3142" s="1" t="s">
        <v>5654</v>
      </c>
      <c r="Z3142" s="1" t="s">
        <v>37</v>
      </c>
    </row>
    <row r="3143">
      <c r="A3143" s="1" t="s">
        <v>9338</v>
      </c>
      <c r="B3143" s="1" t="s">
        <v>816</v>
      </c>
      <c r="C3143" s="1" t="s">
        <v>9339</v>
      </c>
      <c r="D3143" s="1" t="s">
        <v>27</v>
      </c>
      <c r="E3143" s="1" t="s">
        <v>28</v>
      </c>
      <c r="F3143" s="2">
        <v>288600.0</v>
      </c>
      <c r="G3143" s="4">
        <v>44777.0</v>
      </c>
      <c r="H3143" s="4">
        <f>IFERROR(__xludf.DUMMYFUNCTION("DATE(INDEX(SPLIT(G3143,""/""),,3),INDEX(SPLIT(G3143,""/""),,2),INDEX(SPLIT(G3143,""/""),,1))"),44659.0)</f>
        <v>44659</v>
      </c>
      <c r="I3143" s="1" t="s">
        <v>935</v>
      </c>
      <c r="J3143" s="4">
        <f>IFERROR(__xludf.DUMMYFUNCTION("DATE(INDEX(SPLIT(I3143,""/""),,3),INDEX(SPLIT(I3143,""/""),,2),INDEX(SPLIT(I3143,""/""),,1))"),44764.0)</f>
        <v>44764</v>
      </c>
      <c r="L3143" s="1">
        <v>0.0</v>
      </c>
      <c r="M3143" s="1" t="s">
        <v>819</v>
      </c>
      <c r="N3143" s="1"/>
      <c r="O3143" s="1" t="s">
        <v>30</v>
      </c>
      <c r="P3143" s="1" t="s">
        <v>31</v>
      </c>
      <c r="Q3143" s="1" t="s">
        <v>53</v>
      </c>
      <c r="R3143" s="1" t="s">
        <v>53</v>
      </c>
      <c r="S3143" s="1" t="s">
        <v>54</v>
      </c>
      <c r="T3143" s="1" t="s">
        <v>634</v>
      </c>
      <c r="U3143" s="1">
        <v>1.00661738E8</v>
      </c>
      <c r="X3143" s="1" t="s">
        <v>490</v>
      </c>
      <c r="Y3143" s="1" t="s">
        <v>2119</v>
      </c>
      <c r="Z3143" s="1" t="s">
        <v>37</v>
      </c>
    </row>
    <row r="3144" hidden="1">
      <c r="A3144" s="1" t="s">
        <v>9340</v>
      </c>
      <c r="B3144" s="1" t="s">
        <v>370</v>
      </c>
      <c r="C3144" s="1" t="s">
        <v>9341</v>
      </c>
      <c r="D3144" s="1" t="s">
        <v>78</v>
      </c>
      <c r="E3144" s="1" t="s">
        <v>28</v>
      </c>
      <c r="F3144" s="2">
        <v>287500.0</v>
      </c>
      <c r="G3144" s="1" t="s">
        <v>9342</v>
      </c>
      <c r="H3144" s="4">
        <f>IFERROR(__xludf.DUMMYFUNCTION("DATE(INDEX(SPLIT(G3144,""/""),,3),INDEX(SPLIT(G3144,""/""),,2),INDEX(SPLIT(G3144,""/""),,1))"),43938.0)</f>
        <v>43938</v>
      </c>
      <c r="I3144" s="1" t="s">
        <v>85</v>
      </c>
      <c r="J3144" s="4">
        <f>IFERROR(__xludf.DUMMYFUNCTION("DATE(INDEX(SPLIT(I3144,""/""),,3),INDEX(SPLIT(I3144,""/""),,2),INDEX(SPLIT(I3144,""/""),,1))"),44799.0)</f>
        <v>44799</v>
      </c>
      <c r="L3144" s="1">
        <v>0.0</v>
      </c>
      <c r="M3144" s="1" t="s">
        <v>2336</v>
      </c>
      <c r="N3144" s="1"/>
      <c r="O3144" s="1" t="s">
        <v>30</v>
      </c>
      <c r="P3144" s="1" t="s">
        <v>31</v>
      </c>
      <c r="Q3144" s="1" t="s">
        <v>235</v>
      </c>
      <c r="R3144" s="1" t="s">
        <v>235</v>
      </c>
      <c r="S3144" s="1" t="s">
        <v>236</v>
      </c>
      <c r="T3144" s="1" t="s">
        <v>237</v>
      </c>
      <c r="U3144" s="1">
        <v>1.00608366E8</v>
      </c>
      <c r="X3144" s="1" t="s">
        <v>239</v>
      </c>
      <c r="Y3144" s="1" t="s">
        <v>2336</v>
      </c>
      <c r="Z3144" s="1" t="s">
        <v>37</v>
      </c>
    </row>
    <row r="3145" hidden="1">
      <c r="A3145" s="1" t="s">
        <v>9343</v>
      </c>
      <c r="B3145" s="1" t="s">
        <v>3673</v>
      </c>
      <c r="C3145" s="1" t="s">
        <v>9344</v>
      </c>
      <c r="D3145" s="1" t="s">
        <v>78</v>
      </c>
      <c r="E3145" s="1" t="s">
        <v>28</v>
      </c>
      <c r="F3145" s="2">
        <v>287000.0</v>
      </c>
      <c r="G3145" s="1" t="s">
        <v>429</v>
      </c>
      <c r="H3145" s="4">
        <f>IFERROR(__xludf.DUMMYFUNCTION("DATE(INDEX(SPLIT(G3145,""/""),,3),INDEX(SPLIT(G3145,""/""),,2),INDEX(SPLIT(G3145,""/""),,1))"),44739.0)</f>
        <v>44739</v>
      </c>
      <c r="I3145" s="4">
        <v>44569.0</v>
      </c>
      <c r="J3145" s="4">
        <f>IFERROR(__xludf.DUMMYFUNCTION("DATE(INDEX(SPLIT(I3145,""/""),,3),INDEX(SPLIT(I3145,""/""),,2),INDEX(SPLIT(I3145,""/""),,1))"),44774.0)</f>
        <v>44774</v>
      </c>
      <c r="L3145" s="1">
        <v>0.0</v>
      </c>
      <c r="M3145" s="1" t="s">
        <v>891</v>
      </c>
      <c r="N3145" s="1"/>
      <c r="O3145" s="1" t="s">
        <v>30</v>
      </c>
      <c r="P3145" s="1" t="s">
        <v>31</v>
      </c>
      <c r="Q3145" s="1" t="s">
        <v>32</v>
      </c>
      <c r="R3145" s="1" t="s">
        <v>32</v>
      </c>
      <c r="S3145" s="1" t="s">
        <v>33</v>
      </c>
      <c r="U3145" s="1">
        <v>1.00866856E8</v>
      </c>
      <c r="X3145" s="1" t="s">
        <v>117</v>
      </c>
      <c r="Y3145" s="1" t="s">
        <v>2233</v>
      </c>
      <c r="Z3145" s="1" t="s">
        <v>37</v>
      </c>
    </row>
    <row r="3146" hidden="1">
      <c r="A3146" s="1" t="s">
        <v>9345</v>
      </c>
      <c r="B3146" s="1" t="s">
        <v>784</v>
      </c>
      <c r="C3146" s="1" t="s">
        <v>9346</v>
      </c>
      <c r="D3146" s="1" t="s">
        <v>68</v>
      </c>
      <c r="E3146" s="1" t="s">
        <v>28</v>
      </c>
      <c r="F3146" s="2">
        <v>286200.0</v>
      </c>
      <c r="G3146" s="1" t="s">
        <v>2110</v>
      </c>
      <c r="H3146" s="4">
        <f>IFERROR(__xludf.DUMMYFUNCTION("DATE(INDEX(SPLIT(G3146,""/""),,3),INDEX(SPLIT(G3146,""/""),,2),INDEX(SPLIT(G3146,""/""),,1))"),44650.0)</f>
        <v>44650</v>
      </c>
      <c r="I3146" s="1" t="s">
        <v>130</v>
      </c>
      <c r="J3146" s="4">
        <f>IFERROR(__xludf.DUMMYFUNCTION("DATE(INDEX(SPLIT(I3146,""/""),,3),INDEX(SPLIT(I3146,""/""),,2),INDEX(SPLIT(I3146,""/""),,1))"),44804.0)</f>
        <v>44804</v>
      </c>
      <c r="L3146" s="1">
        <v>0.0</v>
      </c>
      <c r="M3146" s="1" t="s">
        <v>7252</v>
      </c>
      <c r="N3146" s="1"/>
      <c r="O3146" s="1" t="s">
        <v>30</v>
      </c>
      <c r="P3146" s="1" t="s">
        <v>31</v>
      </c>
      <c r="Q3146" s="1" t="s">
        <v>157</v>
      </c>
      <c r="R3146" s="1" t="s">
        <v>157</v>
      </c>
      <c r="S3146" s="1" t="s">
        <v>158</v>
      </c>
      <c r="U3146" s="1">
        <v>1.00599152E8</v>
      </c>
      <c r="X3146" s="1" t="s">
        <v>63</v>
      </c>
      <c r="Y3146" s="1" t="s">
        <v>7279</v>
      </c>
      <c r="Z3146" s="1" t="s">
        <v>37</v>
      </c>
    </row>
    <row r="3147" hidden="1">
      <c r="A3147" s="1" t="s">
        <v>9347</v>
      </c>
      <c r="B3147" s="1" t="s">
        <v>9348</v>
      </c>
      <c r="C3147" s="1" t="s">
        <v>9349</v>
      </c>
      <c r="D3147" s="1" t="s">
        <v>122</v>
      </c>
      <c r="E3147" s="1" t="s">
        <v>28</v>
      </c>
      <c r="F3147" s="2">
        <v>285000.0</v>
      </c>
      <c r="G3147" s="4">
        <v>44776.0</v>
      </c>
      <c r="H3147" s="4">
        <f>IFERROR(__xludf.DUMMYFUNCTION("DATE(INDEX(SPLIT(G3147,""/""),,3),INDEX(SPLIT(G3147,""/""),,2),INDEX(SPLIT(G3147,""/""),,1))"),44628.0)</f>
        <v>44628</v>
      </c>
      <c r="I3147" s="1" t="s">
        <v>130</v>
      </c>
      <c r="J3147" s="4">
        <f>IFERROR(__xludf.DUMMYFUNCTION("DATE(INDEX(SPLIT(I3147,""/""),,3),INDEX(SPLIT(I3147,""/""),,2),INDEX(SPLIT(I3147,""/""),,1))"),44804.0)</f>
        <v>44804</v>
      </c>
      <c r="L3147" s="1">
        <v>0.0</v>
      </c>
      <c r="M3147" s="1" t="s">
        <v>1828</v>
      </c>
      <c r="N3147" s="1"/>
      <c r="O3147" s="1" t="s">
        <v>30</v>
      </c>
      <c r="P3147" s="1" t="s">
        <v>31</v>
      </c>
      <c r="Q3147" s="1" t="s">
        <v>235</v>
      </c>
      <c r="R3147" s="1" t="s">
        <v>235</v>
      </c>
      <c r="S3147" s="1" t="s">
        <v>236</v>
      </c>
      <c r="T3147" s="1" t="s">
        <v>1349</v>
      </c>
      <c r="U3147" s="1">
        <v>1.00593918E8</v>
      </c>
      <c r="X3147" s="1" t="s">
        <v>88</v>
      </c>
      <c r="Y3147" s="1" t="s">
        <v>5426</v>
      </c>
      <c r="Z3147" s="1" t="s">
        <v>37</v>
      </c>
    </row>
    <row r="3148">
      <c r="A3148" s="1" t="s">
        <v>9350</v>
      </c>
      <c r="B3148" s="1" t="s">
        <v>1831</v>
      </c>
      <c r="C3148" s="1" t="s">
        <v>9351</v>
      </c>
      <c r="D3148" s="1" t="s">
        <v>122</v>
      </c>
      <c r="E3148" s="1" t="s">
        <v>28</v>
      </c>
      <c r="F3148" s="2">
        <v>285000.0</v>
      </c>
      <c r="G3148" s="4">
        <v>44901.0</v>
      </c>
      <c r="H3148" s="4">
        <f>IFERROR(__xludf.DUMMYFUNCTION("DATE(INDEX(SPLIT(G3148,""/""),,3),INDEX(SPLIT(G3148,""/""),,2),INDEX(SPLIT(G3148,""/""),,1))"),44724.0)</f>
        <v>44724</v>
      </c>
      <c r="I3148" s="1" t="s">
        <v>518</v>
      </c>
      <c r="J3148" s="4">
        <f>IFERROR(__xludf.DUMMYFUNCTION("DATE(INDEX(SPLIT(I3148,""/""),,3),INDEX(SPLIT(I3148,""/""),,2),INDEX(SPLIT(I3148,""/""),,1))"),44757.0)</f>
        <v>44757</v>
      </c>
      <c r="L3148" s="1">
        <v>0.0</v>
      </c>
      <c r="M3148" s="1" t="s">
        <v>1833</v>
      </c>
      <c r="N3148" s="1"/>
      <c r="O3148" s="1" t="s">
        <v>30</v>
      </c>
      <c r="P3148" s="1" t="s">
        <v>31</v>
      </c>
      <c r="Q3148" s="1" t="s">
        <v>53</v>
      </c>
      <c r="R3148" s="1" t="s">
        <v>53</v>
      </c>
      <c r="S3148" s="1" t="s">
        <v>54</v>
      </c>
      <c r="T3148" s="1" t="s">
        <v>634</v>
      </c>
      <c r="U3148" s="1">
        <v>1.0105484E8</v>
      </c>
      <c r="X3148" s="1" t="s">
        <v>490</v>
      </c>
      <c r="Y3148" s="1" t="s">
        <v>1833</v>
      </c>
      <c r="Z3148" s="1" t="s">
        <v>37</v>
      </c>
    </row>
    <row r="3149" hidden="1">
      <c r="A3149" s="1" t="s">
        <v>9352</v>
      </c>
      <c r="B3149" s="1" t="s">
        <v>1371</v>
      </c>
      <c r="C3149" s="1" t="s">
        <v>9353</v>
      </c>
      <c r="D3149" s="1" t="s">
        <v>78</v>
      </c>
      <c r="E3149" s="1" t="s">
        <v>28</v>
      </c>
      <c r="F3149" s="2">
        <v>283000.0</v>
      </c>
      <c r="G3149" s="1" t="s">
        <v>382</v>
      </c>
      <c r="H3149" s="4">
        <f>IFERROR(__xludf.DUMMYFUNCTION("DATE(INDEX(SPLIT(G3149,""/""),,3),INDEX(SPLIT(G3149,""/""),,2),INDEX(SPLIT(G3149,""/""),,1))"),44758.0)</f>
        <v>44758</v>
      </c>
      <c r="I3149" s="1" t="s">
        <v>130</v>
      </c>
      <c r="J3149" s="4">
        <f>IFERROR(__xludf.DUMMYFUNCTION("DATE(INDEX(SPLIT(I3149,""/""),,3),INDEX(SPLIT(I3149,""/""),,2),INDEX(SPLIT(I3149,""/""),,1))"),44804.0)</f>
        <v>44804</v>
      </c>
      <c r="L3149" s="1">
        <v>0.0</v>
      </c>
      <c r="M3149" s="1" t="s">
        <v>1484</v>
      </c>
      <c r="N3149" s="1"/>
      <c r="O3149" s="1" t="s">
        <v>30</v>
      </c>
      <c r="P3149" s="1" t="s">
        <v>31</v>
      </c>
      <c r="Q3149" s="1" t="s">
        <v>95</v>
      </c>
      <c r="R3149" s="1" t="s">
        <v>95</v>
      </c>
      <c r="S3149" s="1" t="s">
        <v>96</v>
      </c>
      <c r="T3149" s="1" t="s">
        <v>111</v>
      </c>
      <c r="U3149" s="1">
        <v>1.00585718E8</v>
      </c>
      <c r="X3149" s="1" t="s">
        <v>63</v>
      </c>
      <c r="Y3149" s="1" t="s">
        <v>9354</v>
      </c>
      <c r="Z3149" s="1" t="s">
        <v>37</v>
      </c>
    </row>
    <row r="3150">
      <c r="A3150" s="1" t="s">
        <v>9355</v>
      </c>
      <c r="B3150" s="1" t="s">
        <v>9356</v>
      </c>
      <c r="C3150" s="1" t="s">
        <v>9357</v>
      </c>
      <c r="D3150" s="1" t="s">
        <v>27</v>
      </c>
      <c r="E3150" s="1" t="s">
        <v>28</v>
      </c>
      <c r="F3150" s="2">
        <v>280000.0</v>
      </c>
      <c r="G3150" s="4">
        <v>44718.0</v>
      </c>
      <c r="H3150" s="4">
        <f>IFERROR(__xludf.DUMMYFUNCTION("DATE(INDEX(SPLIT(G3150,""/""),,3),INDEX(SPLIT(G3150,""/""),,2),INDEX(SPLIT(G3150,""/""),,1))"),44718.0)</f>
        <v>44718</v>
      </c>
      <c r="I3150" s="1" t="s">
        <v>935</v>
      </c>
      <c r="J3150" s="4">
        <f>IFERROR(__xludf.DUMMYFUNCTION("DATE(INDEX(SPLIT(I3150,""/""),,3),INDEX(SPLIT(I3150,""/""),,2),INDEX(SPLIT(I3150,""/""),,1))"),44764.0)</f>
        <v>44764</v>
      </c>
      <c r="L3150" s="1">
        <v>0.0</v>
      </c>
      <c r="M3150" s="1" t="s">
        <v>4016</v>
      </c>
      <c r="N3150" s="1"/>
      <c r="O3150" s="1" t="s">
        <v>30</v>
      </c>
      <c r="P3150" s="1" t="s">
        <v>31</v>
      </c>
      <c r="Q3150" s="1" t="s">
        <v>95</v>
      </c>
      <c r="R3150" s="1" t="s">
        <v>95</v>
      </c>
      <c r="S3150" s="1" t="s">
        <v>96</v>
      </c>
      <c r="T3150" s="1" t="s">
        <v>311</v>
      </c>
      <c r="U3150" s="1">
        <v>1.00628223E8</v>
      </c>
      <c r="V3150" s="1" t="s">
        <v>9358</v>
      </c>
      <c r="W3150" s="1" t="s">
        <v>717</v>
      </c>
      <c r="X3150" s="1" t="s">
        <v>410</v>
      </c>
      <c r="Y3150" s="1" t="s">
        <v>9359</v>
      </c>
      <c r="Z3150" s="1" t="s">
        <v>206</v>
      </c>
    </row>
    <row r="3151">
      <c r="A3151" s="1" t="s">
        <v>9360</v>
      </c>
      <c r="B3151" s="1" t="s">
        <v>1144</v>
      </c>
      <c r="C3151" s="1" t="s">
        <v>9361</v>
      </c>
      <c r="D3151" s="1" t="s">
        <v>68</v>
      </c>
      <c r="E3151" s="1" t="s">
        <v>28</v>
      </c>
      <c r="F3151" s="2">
        <v>280000.0</v>
      </c>
      <c r="G3151" s="1" t="s">
        <v>714</v>
      </c>
      <c r="H3151" s="4">
        <f>IFERROR(__xludf.DUMMYFUNCTION("DATE(INDEX(SPLIT(G3151,""/""),,3),INDEX(SPLIT(G3151,""/""),,2),INDEX(SPLIT(G3151,""/""),,1))"),44546.0)</f>
        <v>44546</v>
      </c>
      <c r="I3151" s="1" t="s">
        <v>1244</v>
      </c>
      <c r="J3151" s="4">
        <f>IFERROR(__xludf.DUMMYFUNCTION("DATE(INDEX(SPLIT(I3151,""/""),,3),INDEX(SPLIT(I3151,""/""),,2),INDEX(SPLIT(I3151,""/""),,1))"),44742.0)</f>
        <v>44742</v>
      </c>
      <c r="L3151" s="1">
        <v>0.0</v>
      </c>
      <c r="M3151" s="1" t="s">
        <v>1146</v>
      </c>
      <c r="N3151" s="1"/>
      <c r="O3151" s="1" t="s">
        <v>30</v>
      </c>
      <c r="P3151" s="1" t="s">
        <v>31</v>
      </c>
      <c r="Q3151" s="1" t="s">
        <v>228</v>
      </c>
      <c r="R3151" s="1" t="s">
        <v>228</v>
      </c>
      <c r="S3151" s="1" t="s">
        <v>229</v>
      </c>
      <c r="T3151" s="1" t="s">
        <v>640</v>
      </c>
      <c r="U3151" s="1">
        <v>1.0061139E8</v>
      </c>
      <c r="V3151" s="1" t="s">
        <v>9362</v>
      </c>
      <c r="W3151" s="1" t="s">
        <v>717</v>
      </c>
      <c r="X3151" s="1" t="s">
        <v>63</v>
      </c>
      <c r="Y3151" s="1" t="s">
        <v>1147</v>
      </c>
      <c r="Z3151" s="1" t="s">
        <v>37</v>
      </c>
    </row>
    <row r="3152">
      <c r="A3152" s="1" t="s">
        <v>9363</v>
      </c>
      <c r="B3152" s="1" t="s">
        <v>9364</v>
      </c>
      <c r="C3152" s="1" t="s">
        <v>9365</v>
      </c>
      <c r="D3152" s="1" t="s">
        <v>122</v>
      </c>
      <c r="E3152" s="1" t="s">
        <v>28</v>
      </c>
      <c r="F3152" s="2">
        <v>280000.0</v>
      </c>
      <c r="G3152" s="1" t="s">
        <v>418</v>
      </c>
      <c r="H3152" s="4">
        <f>IFERROR(__xludf.DUMMYFUNCTION("DATE(INDEX(SPLIT(G3152,""/""),,3),INDEX(SPLIT(G3152,""/""),,2),INDEX(SPLIT(G3152,""/""),,1))"),44755.0)</f>
        <v>44755</v>
      </c>
      <c r="I3152" s="1" t="s">
        <v>226</v>
      </c>
      <c r="J3152" s="4">
        <f>IFERROR(__xludf.DUMMYFUNCTION("DATE(INDEX(SPLIT(I3152,""/""),,3),INDEX(SPLIT(I3152,""/""),,2),INDEX(SPLIT(I3152,""/""),,1))"),44771.0)</f>
        <v>44771</v>
      </c>
      <c r="L3152" s="1">
        <v>0.0</v>
      </c>
      <c r="M3152" s="1" t="s">
        <v>303</v>
      </c>
      <c r="N3152" s="1"/>
      <c r="O3152" s="1" t="s">
        <v>30</v>
      </c>
      <c r="P3152" s="1" t="s">
        <v>31</v>
      </c>
      <c r="Q3152" s="1" t="s">
        <v>95</v>
      </c>
      <c r="R3152" s="1" t="s">
        <v>95</v>
      </c>
      <c r="S3152" s="1" t="s">
        <v>96</v>
      </c>
      <c r="T3152" s="1" t="s">
        <v>304</v>
      </c>
      <c r="U3152" s="1">
        <v>1.00623914E8</v>
      </c>
      <c r="X3152" s="1" t="s">
        <v>98</v>
      </c>
      <c r="Y3152" s="1" t="s">
        <v>1852</v>
      </c>
      <c r="Z3152" s="1" t="s">
        <v>37</v>
      </c>
    </row>
    <row r="3153" hidden="1">
      <c r="A3153" s="1" t="s">
        <v>9366</v>
      </c>
      <c r="B3153" s="1" t="s">
        <v>1355</v>
      </c>
      <c r="C3153" s="1" t="s">
        <v>9367</v>
      </c>
      <c r="D3153" s="1" t="s">
        <v>78</v>
      </c>
      <c r="E3153" s="1" t="s">
        <v>28</v>
      </c>
      <c r="F3153" s="2">
        <v>280000.0</v>
      </c>
      <c r="G3153" s="1" t="s">
        <v>1058</v>
      </c>
      <c r="H3153" s="4">
        <f>IFERROR(__xludf.DUMMYFUNCTION("DATE(INDEX(SPLIT(G3153,""/""),,3),INDEX(SPLIT(G3153,""/""),,2),INDEX(SPLIT(G3153,""/""),,1))"),44733.0)</f>
        <v>44733</v>
      </c>
      <c r="I3153" s="1" t="s">
        <v>360</v>
      </c>
      <c r="J3153" s="4">
        <f>IFERROR(__xludf.DUMMYFUNCTION("DATE(INDEX(SPLIT(I3153,""/""),,3),INDEX(SPLIT(I3153,""/""),,2),INDEX(SPLIT(I3153,""/""),,1))"),44895.0)</f>
        <v>44895</v>
      </c>
      <c r="L3153" s="1">
        <v>0.0</v>
      </c>
      <c r="M3153" s="1" t="s">
        <v>5636</v>
      </c>
      <c r="N3153" s="1"/>
      <c r="O3153" s="1" t="s">
        <v>30</v>
      </c>
      <c r="P3153" s="1" t="s">
        <v>31</v>
      </c>
      <c r="Q3153" s="1" t="s">
        <v>228</v>
      </c>
      <c r="R3153" s="1" t="s">
        <v>228</v>
      </c>
      <c r="S3153" s="1" t="s">
        <v>229</v>
      </c>
      <c r="T3153" s="1" t="s">
        <v>513</v>
      </c>
      <c r="U3153" s="1">
        <v>1.00605581E8</v>
      </c>
      <c r="X3153" s="1" t="s">
        <v>35</v>
      </c>
      <c r="Y3153" s="1" t="s">
        <v>4742</v>
      </c>
      <c r="Z3153" s="1" t="s">
        <v>37</v>
      </c>
    </row>
    <row r="3154" hidden="1">
      <c r="A3154" s="1" t="s">
        <v>9368</v>
      </c>
      <c r="B3154" s="1" t="s">
        <v>301</v>
      </c>
      <c r="C3154" s="1" t="s">
        <v>9369</v>
      </c>
      <c r="D3154" s="1" t="s">
        <v>122</v>
      </c>
      <c r="E3154" s="1" t="s">
        <v>28</v>
      </c>
      <c r="F3154" s="2">
        <v>279000.0</v>
      </c>
      <c r="G3154" s="4">
        <v>44657.0</v>
      </c>
      <c r="H3154" s="4">
        <f>IFERROR(__xludf.DUMMYFUNCTION("DATE(INDEX(SPLIT(G3154,""/""),,3),INDEX(SPLIT(G3154,""/""),,2),INDEX(SPLIT(G3154,""/""),,1))"),44716.0)</f>
        <v>44716</v>
      </c>
      <c r="I3154" s="1" t="s">
        <v>360</v>
      </c>
      <c r="J3154" s="4">
        <f>IFERROR(__xludf.DUMMYFUNCTION("DATE(INDEX(SPLIT(I3154,""/""),,3),INDEX(SPLIT(I3154,""/""),,2),INDEX(SPLIT(I3154,""/""),,1))"),44895.0)</f>
        <v>44895</v>
      </c>
      <c r="L3154" s="1">
        <v>0.0</v>
      </c>
      <c r="M3154" s="1" t="s">
        <v>5693</v>
      </c>
      <c r="N3154" s="1"/>
      <c r="O3154" s="1" t="s">
        <v>30</v>
      </c>
      <c r="P3154" s="1" t="s">
        <v>31</v>
      </c>
      <c r="Q3154" s="1" t="s">
        <v>228</v>
      </c>
      <c r="R3154" s="1" t="s">
        <v>228</v>
      </c>
      <c r="S3154" s="1" t="s">
        <v>229</v>
      </c>
      <c r="T3154" s="1" t="s">
        <v>513</v>
      </c>
      <c r="U3154" s="1">
        <v>1.00640945E8</v>
      </c>
      <c r="X3154" s="1" t="s">
        <v>305</v>
      </c>
      <c r="Y3154" s="1" t="s">
        <v>8169</v>
      </c>
      <c r="Z3154" s="1" t="s">
        <v>37</v>
      </c>
    </row>
    <row r="3155">
      <c r="A3155" s="1" t="s">
        <v>9370</v>
      </c>
      <c r="B3155" s="1" t="s">
        <v>8674</v>
      </c>
      <c r="C3155" s="1" t="s">
        <v>9371</v>
      </c>
      <c r="D3155" s="1" t="s">
        <v>78</v>
      </c>
      <c r="E3155" s="1" t="s">
        <v>28</v>
      </c>
      <c r="F3155" s="2">
        <v>277906.44</v>
      </c>
      <c r="G3155" s="1" t="s">
        <v>1521</v>
      </c>
      <c r="H3155" s="4">
        <f>IFERROR(__xludf.DUMMYFUNCTION("DATE(INDEX(SPLIT(G3155,""/""),,3),INDEX(SPLIT(G3155,""/""),,2),INDEX(SPLIT(G3155,""/""),,1))"),44756.0)</f>
        <v>44756</v>
      </c>
      <c r="I3155" s="1" t="s">
        <v>69</v>
      </c>
      <c r="J3155" s="4">
        <f>IFERROR(__xludf.DUMMYFUNCTION("DATE(INDEX(SPLIT(I3155,""/""),,3),INDEX(SPLIT(I3155,""/""),,2),INDEX(SPLIT(I3155,""/""),,1))"),44773.0)</f>
        <v>44773</v>
      </c>
      <c r="L3155" s="1">
        <v>0.0</v>
      </c>
      <c r="M3155" s="1" t="s">
        <v>9372</v>
      </c>
      <c r="N3155" s="1"/>
      <c r="O3155" s="1" t="s">
        <v>30</v>
      </c>
      <c r="P3155" s="1" t="s">
        <v>31</v>
      </c>
      <c r="Q3155" s="1" t="s">
        <v>1320</v>
      </c>
      <c r="R3155" s="1" t="s">
        <v>1320</v>
      </c>
      <c r="S3155" s="1" t="s">
        <v>236</v>
      </c>
      <c r="U3155" s="1">
        <v>1.01146755E8</v>
      </c>
      <c r="X3155" s="1" t="s">
        <v>239</v>
      </c>
      <c r="Y3155" s="1" t="s">
        <v>9372</v>
      </c>
      <c r="Z3155" s="1" t="s">
        <v>206</v>
      </c>
    </row>
    <row r="3156">
      <c r="A3156" s="1" t="s">
        <v>9373</v>
      </c>
      <c r="B3156" s="1" t="s">
        <v>1144</v>
      </c>
      <c r="C3156" s="1" t="s">
        <v>9374</v>
      </c>
      <c r="D3156" s="1" t="s">
        <v>68</v>
      </c>
      <c r="E3156" s="1" t="s">
        <v>28</v>
      </c>
      <c r="F3156" s="2">
        <v>277600.0</v>
      </c>
      <c r="G3156" s="1" t="s">
        <v>2263</v>
      </c>
      <c r="H3156" s="4">
        <f>IFERROR(__xludf.DUMMYFUNCTION("DATE(INDEX(SPLIT(G3156,""/""),,3),INDEX(SPLIT(G3156,""/""),,2),INDEX(SPLIT(G3156,""/""),,1))"),44638.0)</f>
        <v>44638</v>
      </c>
      <c r="I3156" s="1" t="s">
        <v>1244</v>
      </c>
      <c r="J3156" s="4">
        <f>IFERROR(__xludf.DUMMYFUNCTION("DATE(INDEX(SPLIT(I3156,""/""),,3),INDEX(SPLIT(I3156,""/""),,2),INDEX(SPLIT(I3156,""/""),,1))"),44742.0)</f>
        <v>44742</v>
      </c>
      <c r="L3156" s="1">
        <v>0.0</v>
      </c>
      <c r="M3156" s="1" t="s">
        <v>1146</v>
      </c>
      <c r="N3156" s="1"/>
      <c r="O3156" s="1" t="s">
        <v>30</v>
      </c>
      <c r="P3156" s="1" t="s">
        <v>31</v>
      </c>
      <c r="Q3156" s="1" t="s">
        <v>228</v>
      </c>
      <c r="R3156" s="1" t="s">
        <v>228</v>
      </c>
      <c r="S3156" s="1" t="s">
        <v>229</v>
      </c>
      <c r="T3156" s="1" t="s">
        <v>640</v>
      </c>
      <c r="U3156" s="1">
        <v>1.0061139E8</v>
      </c>
      <c r="V3156" s="1" t="s">
        <v>9375</v>
      </c>
      <c r="W3156" s="1" t="s">
        <v>717</v>
      </c>
      <c r="X3156" s="1" t="s">
        <v>63</v>
      </c>
      <c r="Y3156" s="1" t="s">
        <v>1147</v>
      </c>
      <c r="Z3156" s="1" t="s">
        <v>37</v>
      </c>
    </row>
    <row r="3157">
      <c r="A3157" s="1" t="s">
        <v>9376</v>
      </c>
      <c r="B3157" s="1" t="s">
        <v>1131</v>
      </c>
      <c r="C3157" s="1" t="s">
        <v>9377</v>
      </c>
      <c r="D3157" s="1" t="s">
        <v>122</v>
      </c>
      <c r="E3157" s="1" t="s">
        <v>28</v>
      </c>
      <c r="F3157" s="2">
        <v>275000.0</v>
      </c>
      <c r="G3157" s="1" t="s">
        <v>1521</v>
      </c>
      <c r="H3157" s="4">
        <f>IFERROR(__xludf.DUMMYFUNCTION("DATE(INDEX(SPLIT(G3157,""/""),,3),INDEX(SPLIT(G3157,""/""),,2),INDEX(SPLIT(G3157,""/""),,1))"),44756.0)</f>
        <v>44756</v>
      </c>
      <c r="I3157" s="1" t="s">
        <v>226</v>
      </c>
      <c r="J3157" s="4">
        <f>IFERROR(__xludf.DUMMYFUNCTION("DATE(INDEX(SPLIT(I3157,""/""),,3),INDEX(SPLIT(I3157,""/""),,2),INDEX(SPLIT(I3157,""/""),,1))"),44771.0)</f>
        <v>44771</v>
      </c>
      <c r="L3157" s="1">
        <v>0.0</v>
      </c>
      <c r="M3157" s="1" t="s">
        <v>9378</v>
      </c>
      <c r="N3157" s="1"/>
      <c r="O3157" s="1" t="s">
        <v>30</v>
      </c>
      <c r="P3157" s="1" t="s">
        <v>31</v>
      </c>
      <c r="Q3157" s="1" t="s">
        <v>188</v>
      </c>
      <c r="R3157" s="1" t="s">
        <v>188</v>
      </c>
      <c r="S3157" s="1" t="s">
        <v>189</v>
      </c>
      <c r="T3157" s="1" t="s">
        <v>2893</v>
      </c>
      <c r="U3157" s="1">
        <v>1.00660828E8</v>
      </c>
      <c r="W3157" s="1" t="s">
        <v>389</v>
      </c>
      <c r="X3157" s="1" t="s">
        <v>74</v>
      </c>
      <c r="Y3157" s="1" t="s">
        <v>7629</v>
      </c>
      <c r="Z3157" s="1" t="s">
        <v>37</v>
      </c>
    </row>
    <row r="3158">
      <c r="A3158" s="1" t="s">
        <v>9379</v>
      </c>
      <c r="B3158" s="1" t="s">
        <v>1131</v>
      </c>
      <c r="C3158" s="1" t="s">
        <v>9380</v>
      </c>
      <c r="D3158" s="1" t="s">
        <v>27</v>
      </c>
      <c r="E3158" s="1" t="s">
        <v>28</v>
      </c>
      <c r="F3158" s="2">
        <v>275000.0</v>
      </c>
      <c r="G3158" s="1" t="s">
        <v>1521</v>
      </c>
      <c r="H3158" s="4">
        <f>IFERROR(__xludf.DUMMYFUNCTION("DATE(INDEX(SPLIT(G3158,""/""),,3),INDEX(SPLIT(G3158,""/""),,2),INDEX(SPLIT(G3158,""/""),,1))"),44756.0)</f>
        <v>44756</v>
      </c>
      <c r="I3158" s="1" t="s">
        <v>226</v>
      </c>
      <c r="J3158" s="4">
        <f>IFERROR(__xludf.DUMMYFUNCTION("DATE(INDEX(SPLIT(I3158,""/""),,3),INDEX(SPLIT(I3158,""/""),,2),INDEX(SPLIT(I3158,""/""),,1))"),44771.0)</f>
        <v>44771</v>
      </c>
      <c r="L3158" s="1">
        <v>0.0</v>
      </c>
      <c r="M3158" s="1" t="s">
        <v>9378</v>
      </c>
      <c r="N3158" s="1"/>
      <c r="O3158" s="1" t="s">
        <v>30</v>
      </c>
      <c r="P3158" s="1" t="s">
        <v>31</v>
      </c>
      <c r="Q3158" s="1" t="s">
        <v>188</v>
      </c>
      <c r="R3158" s="1" t="s">
        <v>188</v>
      </c>
      <c r="S3158" s="1" t="s">
        <v>189</v>
      </c>
      <c r="T3158" s="1" t="s">
        <v>2893</v>
      </c>
      <c r="U3158" s="1">
        <v>1.00660828E8</v>
      </c>
      <c r="V3158" s="1" t="s">
        <v>9377</v>
      </c>
      <c r="W3158" s="1" t="s">
        <v>45</v>
      </c>
      <c r="X3158" s="1" t="s">
        <v>74</v>
      </c>
      <c r="Y3158" s="1" t="s">
        <v>7629</v>
      </c>
      <c r="Z3158" s="1" t="s">
        <v>37</v>
      </c>
    </row>
    <row r="3159" hidden="1">
      <c r="A3159" s="1" t="s">
        <v>9381</v>
      </c>
      <c r="B3159" s="1" t="s">
        <v>784</v>
      </c>
      <c r="C3159" s="1" t="s">
        <v>9382</v>
      </c>
      <c r="D3159" s="1" t="s">
        <v>78</v>
      </c>
      <c r="E3159" s="1" t="s">
        <v>28</v>
      </c>
      <c r="F3159" s="2">
        <v>275000.0</v>
      </c>
      <c r="G3159" s="4">
        <v>44775.0</v>
      </c>
      <c r="H3159" s="4">
        <f>IFERROR(__xludf.DUMMYFUNCTION("DATE(INDEX(SPLIT(G3159,""/""),,3),INDEX(SPLIT(G3159,""/""),,2),INDEX(SPLIT(G3159,""/""),,1))"),44600.0)</f>
        <v>44600</v>
      </c>
      <c r="I3159" s="1" t="s">
        <v>109</v>
      </c>
      <c r="J3159" s="4">
        <f>IFERROR(__xludf.DUMMYFUNCTION("DATE(INDEX(SPLIT(I3159,""/""),,3),INDEX(SPLIT(I3159,""/""),,2),INDEX(SPLIT(I3159,""/""),,1))"),44834.0)</f>
        <v>44834</v>
      </c>
      <c r="L3159" s="1">
        <v>0.0</v>
      </c>
      <c r="M3159" s="1" t="s">
        <v>2787</v>
      </c>
      <c r="N3159" s="1"/>
      <c r="O3159" s="1" t="s">
        <v>30</v>
      </c>
      <c r="P3159" s="1" t="s">
        <v>31</v>
      </c>
      <c r="Q3159" s="1" t="s">
        <v>157</v>
      </c>
      <c r="R3159" s="1" t="s">
        <v>157</v>
      </c>
      <c r="S3159" s="1" t="s">
        <v>158</v>
      </c>
      <c r="T3159" s="1" t="s">
        <v>442</v>
      </c>
      <c r="U3159" s="1">
        <v>1.00708984E8</v>
      </c>
      <c r="X3159" s="1" t="s">
        <v>63</v>
      </c>
      <c r="Y3159" s="1" t="s">
        <v>4690</v>
      </c>
      <c r="Z3159" s="1" t="s">
        <v>37</v>
      </c>
    </row>
    <row r="3160" hidden="1">
      <c r="A3160" s="1" t="s">
        <v>9383</v>
      </c>
      <c r="B3160" s="1" t="s">
        <v>301</v>
      </c>
      <c r="C3160" s="1" t="s">
        <v>9384</v>
      </c>
      <c r="D3160" s="1" t="s">
        <v>78</v>
      </c>
      <c r="E3160" s="1" t="s">
        <v>28</v>
      </c>
      <c r="F3160" s="2">
        <v>275000.0</v>
      </c>
      <c r="G3160" s="1" t="s">
        <v>343</v>
      </c>
      <c r="H3160" s="4">
        <f>IFERROR(__xludf.DUMMYFUNCTION("DATE(INDEX(SPLIT(G3160,""/""),,3),INDEX(SPLIT(G3160,""/""),,2),INDEX(SPLIT(G3160,""/""),,1))"),44761.0)</f>
        <v>44761</v>
      </c>
      <c r="I3160" s="1" t="s">
        <v>109</v>
      </c>
      <c r="J3160" s="4">
        <f>IFERROR(__xludf.DUMMYFUNCTION("DATE(INDEX(SPLIT(I3160,""/""),,3),INDEX(SPLIT(I3160,""/""),,2),INDEX(SPLIT(I3160,""/""),,1))"),44834.0)</f>
        <v>44834</v>
      </c>
      <c r="L3160" s="1">
        <v>0.0</v>
      </c>
      <c r="M3160" s="1" t="s">
        <v>873</v>
      </c>
      <c r="N3160" s="1"/>
      <c r="O3160" s="1" t="s">
        <v>30</v>
      </c>
      <c r="P3160" s="1" t="s">
        <v>31</v>
      </c>
      <c r="Q3160" s="1" t="s">
        <v>157</v>
      </c>
      <c r="R3160" s="1" t="s">
        <v>157</v>
      </c>
      <c r="S3160" s="1" t="s">
        <v>158</v>
      </c>
      <c r="U3160" s="1">
        <v>1.00586701E8</v>
      </c>
      <c r="X3160" s="1" t="s">
        <v>305</v>
      </c>
      <c r="Y3160" s="1" t="s">
        <v>9385</v>
      </c>
      <c r="Z3160" s="1" t="s">
        <v>37</v>
      </c>
    </row>
    <row r="3161" hidden="1">
      <c r="A3161" s="1" t="s">
        <v>9386</v>
      </c>
      <c r="B3161" s="1" t="s">
        <v>3567</v>
      </c>
      <c r="C3161" s="1" t="s">
        <v>9387</v>
      </c>
      <c r="D3161" s="1" t="s">
        <v>27</v>
      </c>
      <c r="E3161" s="1" t="s">
        <v>28</v>
      </c>
      <c r="F3161" s="2">
        <v>275000.0</v>
      </c>
      <c r="G3161" s="1" t="s">
        <v>5172</v>
      </c>
      <c r="H3161" s="4">
        <f>IFERROR(__xludf.DUMMYFUNCTION("DATE(INDEX(SPLIT(G3161,""/""),,3),INDEX(SPLIT(G3161,""/""),,2),INDEX(SPLIT(G3161,""/""),,1))"),44268.0)</f>
        <v>44268</v>
      </c>
      <c r="I3161" s="1" t="s">
        <v>203</v>
      </c>
      <c r="J3161" s="4">
        <f>IFERROR(__xludf.DUMMYFUNCTION("DATE(INDEX(SPLIT(I3161,""/""),,3),INDEX(SPLIT(I3161,""/""),,2),INDEX(SPLIT(I3161,""/""),,1))"),44925.0)</f>
        <v>44925</v>
      </c>
      <c r="L3161" s="1">
        <v>0.0</v>
      </c>
      <c r="M3161" s="1" t="s">
        <v>266</v>
      </c>
      <c r="N3161" s="1"/>
      <c r="O3161" s="1" t="s">
        <v>30</v>
      </c>
      <c r="P3161" s="1" t="s">
        <v>31</v>
      </c>
      <c r="Q3161" s="1" t="s">
        <v>32</v>
      </c>
      <c r="R3161" s="1" t="s">
        <v>32</v>
      </c>
      <c r="S3161" s="1" t="s">
        <v>33</v>
      </c>
      <c r="T3161" s="1" t="s">
        <v>402</v>
      </c>
      <c r="U3161" s="1">
        <v>1.00597826E8</v>
      </c>
      <c r="X3161" s="1" t="s">
        <v>117</v>
      </c>
      <c r="Y3161" s="1" t="s">
        <v>5726</v>
      </c>
      <c r="Z3161" s="1" t="s">
        <v>37</v>
      </c>
    </row>
    <row r="3162" hidden="1">
      <c r="A3162" s="1" t="s">
        <v>9388</v>
      </c>
      <c r="B3162" s="1" t="s">
        <v>3293</v>
      </c>
      <c r="C3162" s="1" t="s">
        <v>9389</v>
      </c>
      <c r="D3162" s="1" t="s">
        <v>78</v>
      </c>
      <c r="E3162" s="1" t="s">
        <v>28</v>
      </c>
      <c r="F3162" s="2">
        <v>275000.0</v>
      </c>
      <c r="G3162" s="1" t="s">
        <v>2263</v>
      </c>
      <c r="H3162" s="4">
        <f>IFERROR(__xludf.DUMMYFUNCTION("DATE(INDEX(SPLIT(G3162,""/""),,3),INDEX(SPLIT(G3162,""/""),,2),INDEX(SPLIT(G3162,""/""),,1))"),44638.0)</f>
        <v>44638</v>
      </c>
      <c r="I3162" s="1" t="s">
        <v>130</v>
      </c>
      <c r="J3162" s="4">
        <f>IFERROR(__xludf.DUMMYFUNCTION("DATE(INDEX(SPLIT(I3162,""/""),,3),INDEX(SPLIT(I3162,""/""),,2),INDEX(SPLIT(I3162,""/""),,1))"),44804.0)</f>
        <v>44804</v>
      </c>
      <c r="L3162" s="1">
        <v>0.0</v>
      </c>
      <c r="M3162" s="1" t="s">
        <v>9390</v>
      </c>
      <c r="N3162" s="1"/>
      <c r="O3162" s="1" t="s">
        <v>30</v>
      </c>
      <c r="P3162" s="1" t="s">
        <v>31</v>
      </c>
      <c r="Q3162" s="1" t="s">
        <v>235</v>
      </c>
      <c r="R3162" s="1" t="s">
        <v>235</v>
      </c>
      <c r="S3162" s="1" t="s">
        <v>236</v>
      </c>
      <c r="U3162" s="1">
        <v>1.0061569E8</v>
      </c>
      <c r="X3162" s="1" t="s">
        <v>63</v>
      </c>
      <c r="Y3162" s="1" t="s">
        <v>7517</v>
      </c>
      <c r="Z3162" s="1" t="s">
        <v>527</v>
      </c>
    </row>
    <row r="3163">
      <c r="A3163" s="1" t="s">
        <v>9391</v>
      </c>
      <c r="B3163" s="1" t="s">
        <v>896</v>
      </c>
      <c r="C3163" s="1" t="s">
        <v>9392</v>
      </c>
      <c r="D3163" s="1" t="s">
        <v>78</v>
      </c>
      <c r="E3163" s="1" t="s">
        <v>28</v>
      </c>
      <c r="F3163" s="2">
        <v>275000.0</v>
      </c>
      <c r="G3163" s="1" t="s">
        <v>7843</v>
      </c>
      <c r="H3163" s="4">
        <f>IFERROR(__xludf.DUMMYFUNCTION("DATE(INDEX(SPLIT(G3163,""/""),,3),INDEX(SPLIT(G3163,""/""),,2),INDEX(SPLIT(G3163,""/""),,1))"),44639.0)</f>
        <v>44639</v>
      </c>
      <c r="I3163" s="4">
        <v>44568.0</v>
      </c>
      <c r="J3163" s="4">
        <f>IFERROR(__xludf.DUMMYFUNCTION("DATE(INDEX(SPLIT(I3163,""/""),,3),INDEX(SPLIT(I3163,""/""),,2),INDEX(SPLIT(I3163,""/""),,1))"),44743.0)</f>
        <v>44743</v>
      </c>
      <c r="L3163" s="1">
        <v>0.0</v>
      </c>
      <c r="M3163" s="1" t="s">
        <v>1552</v>
      </c>
      <c r="N3163" s="1"/>
      <c r="O3163" s="1" t="s">
        <v>30</v>
      </c>
      <c r="P3163" s="1" t="s">
        <v>31</v>
      </c>
      <c r="Q3163" s="1" t="s">
        <v>32</v>
      </c>
      <c r="R3163" s="1" t="s">
        <v>32</v>
      </c>
      <c r="S3163" s="1" t="s">
        <v>33</v>
      </c>
      <c r="T3163" s="1" t="s">
        <v>1195</v>
      </c>
      <c r="U3163" s="1">
        <v>1.00637597E8</v>
      </c>
      <c r="X3163" s="1" t="s">
        <v>490</v>
      </c>
      <c r="Y3163" s="1" t="s">
        <v>9393</v>
      </c>
      <c r="Z3163" s="1" t="s">
        <v>37</v>
      </c>
    </row>
    <row r="3164" hidden="1">
      <c r="A3164" s="1" t="s">
        <v>9394</v>
      </c>
      <c r="B3164" s="1" t="s">
        <v>1743</v>
      </c>
      <c r="C3164" s="1" t="s">
        <v>9395</v>
      </c>
      <c r="D3164" s="1" t="s">
        <v>122</v>
      </c>
      <c r="E3164" s="1" t="s">
        <v>28</v>
      </c>
      <c r="F3164" s="2">
        <v>275000.0</v>
      </c>
      <c r="G3164" s="1" t="s">
        <v>3467</v>
      </c>
      <c r="H3164" s="4">
        <f>IFERROR(__xludf.DUMMYFUNCTION("DATE(INDEX(SPLIT(G3164,""/""),,3),INDEX(SPLIT(G3164,""/""),,2),INDEX(SPLIT(G3164,""/""),,1))"),44615.0)</f>
        <v>44615</v>
      </c>
      <c r="I3164" s="1" t="s">
        <v>130</v>
      </c>
      <c r="J3164" s="4">
        <f>IFERROR(__xludf.DUMMYFUNCTION("DATE(INDEX(SPLIT(I3164,""/""),,3),INDEX(SPLIT(I3164,""/""),,2),INDEX(SPLIT(I3164,""/""),,1))"),44804.0)</f>
        <v>44804</v>
      </c>
      <c r="L3164" s="1">
        <v>0.0</v>
      </c>
      <c r="M3164" s="1" t="s">
        <v>2892</v>
      </c>
      <c r="N3164" s="1"/>
      <c r="O3164" s="1" t="s">
        <v>30</v>
      </c>
      <c r="P3164" s="1" t="s">
        <v>31</v>
      </c>
      <c r="Q3164" s="1" t="s">
        <v>188</v>
      </c>
      <c r="R3164" s="1" t="s">
        <v>188</v>
      </c>
      <c r="S3164" s="1" t="s">
        <v>189</v>
      </c>
      <c r="T3164" s="1" t="s">
        <v>2893</v>
      </c>
      <c r="U3164" s="1">
        <v>1.0059132E8</v>
      </c>
      <c r="X3164" s="1" t="s">
        <v>74</v>
      </c>
      <c r="Y3164" s="1" t="s">
        <v>9396</v>
      </c>
      <c r="Z3164" s="1" t="s">
        <v>37</v>
      </c>
    </row>
    <row r="3165">
      <c r="A3165" s="1" t="s">
        <v>9397</v>
      </c>
      <c r="B3165" s="1" t="s">
        <v>2261</v>
      </c>
      <c r="C3165" s="1" t="s">
        <v>9398</v>
      </c>
      <c r="D3165" s="1" t="s">
        <v>122</v>
      </c>
      <c r="E3165" s="1" t="s">
        <v>28</v>
      </c>
      <c r="F3165" s="2">
        <v>275000.0</v>
      </c>
      <c r="G3165" s="1" t="s">
        <v>2263</v>
      </c>
      <c r="H3165" s="4">
        <f>IFERROR(__xludf.DUMMYFUNCTION("DATE(INDEX(SPLIT(G3165,""/""),,3),INDEX(SPLIT(G3165,""/""),,2),INDEX(SPLIT(G3165,""/""),,1))"),44638.0)</f>
        <v>44638</v>
      </c>
      <c r="I3165" s="1" t="s">
        <v>935</v>
      </c>
      <c r="J3165" s="4">
        <f>IFERROR(__xludf.DUMMYFUNCTION("DATE(INDEX(SPLIT(I3165,""/""),,3),INDEX(SPLIT(I3165,""/""),,2),INDEX(SPLIT(I3165,""/""),,1))"),44764.0)</f>
        <v>44764</v>
      </c>
      <c r="L3165" s="1">
        <v>0.0</v>
      </c>
      <c r="M3165" s="1" t="s">
        <v>1239</v>
      </c>
      <c r="N3165" s="1"/>
      <c r="O3165" s="1" t="s">
        <v>30</v>
      </c>
      <c r="P3165" s="1" t="s">
        <v>31</v>
      </c>
      <c r="Q3165" s="1" t="s">
        <v>71</v>
      </c>
      <c r="R3165" s="1" t="s">
        <v>71</v>
      </c>
      <c r="S3165" s="1" t="s">
        <v>72</v>
      </c>
      <c r="T3165" s="1" t="s">
        <v>136</v>
      </c>
      <c r="U3165" s="1">
        <v>1.00943277E8</v>
      </c>
      <c r="X3165" s="1" t="s">
        <v>74</v>
      </c>
      <c r="Y3165" s="1" t="s">
        <v>1239</v>
      </c>
      <c r="Z3165" s="1" t="s">
        <v>37</v>
      </c>
    </row>
    <row r="3166">
      <c r="A3166" s="1" t="s">
        <v>9399</v>
      </c>
      <c r="B3166" s="1" t="s">
        <v>8280</v>
      </c>
      <c r="C3166" s="1" t="s">
        <v>9400</v>
      </c>
      <c r="D3166" s="1" t="s">
        <v>68</v>
      </c>
      <c r="E3166" s="1" t="s">
        <v>28</v>
      </c>
      <c r="F3166" s="2">
        <v>275000.0</v>
      </c>
      <c r="G3166" s="4">
        <v>44872.0</v>
      </c>
      <c r="H3166" s="4">
        <f>IFERROR(__xludf.DUMMYFUNCTION("DATE(INDEX(SPLIT(G3166,""/""),,3),INDEX(SPLIT(G3166,""/""),,2),INDEX(SPLIT(G3166,""/""),,1))"),44753.0)</f>
        <v>44753</v>
      </c>
      <c r="I3166" s="1" t="s">
        <v>414</v>
      </c>
      <c r="J3166" s="4">
        <f>IFERROR(__xludf.DUMMYFUNCTION("DATE(INDEX(SPLIT(I3166,""/""),,3),INDEX(SPLIT(I3166,""/""),,2),INDEX(SPLIT(I3166,""/""),,1))"),44772.0)</f>
        <v>44772</v>
      </c>
      <c r="K3166" s="1" t="s">
        <v>9401</v>
      </c>
      <c r="L3166" s="1">
        <v>0.0</v>
      </c>
      <c r="M3166" s="1" t="s">
        <v>9402</v>
      </c>
      <c r="N3166" s="1"/>
      <c r="O3166" s="1" t="s">
        <v>30</v>
      </c>
      <c r="P3166" s="1" t="s">
        <v>31</v>
      </c>
      <c r="Q3166" s="1" t="s">
        <v>228</v>
      </c>
      <c r="R3166" s="1" t="s">
        <v>228</v>
      </c>
      <c r="S3166" s="1" t="s">
        <v>229</v>
      </c>
      <c r="U3166" s="1">
        <v>1.00645763E8</v>
      </c>
      <c r="X3166" s="1" t="s">
        <v>490</v>
      </c>
      <c r="Y3166" s="1" t="s">
        <v>9403</v>
      </c>
      <c r="Z3166" s="1" t="s">
        <v>37</v>
      </c>
    </row>
    <row r="3167">
      <c r="A3167" s="1" t="s">
        <v>9404</v>
      </c>
      <c r="B3167" s="1" t="s">
        <v>3453</v>
      </c>
      <c r="C3167" s="1" t="s">
        <v>9405</v>
      </c>
      <c r="D3167" s="1" t="s">
        <v>122</v>
      </c>
      <c r="E3167" s="1" t="s">
        <v>28</v>
      </c>
      <c r="F3167" s="2">
        <v>275000.0</v>
      </c>
      <c r="G3167" s="1" t="s">
        <v>534</v>
      </c>
      <c r="H3167" s="4">
        <f>IFERROR(__xludf.DUMMYFUNCTION("DATE(INDEX(SPLIT(G3167,""/""),,3),INDEX(SPLIT(G3167,""/""),,2),INDEX(SPLIT(G3167,""/""),,1))"),44704.0)</f>
        <v>44704</v>
      </c>
      <c r="I3167" s="1" t="s">
        <v>69</v>
      </c>
      <c r="J3167" s="4">
        <f>IFERROR(__xludf.DUMMYFUNCTION("DATE(INDEX(SPLIT(I3167,""/""),,3),INDEX(SPLIT(I3167,""/""),,2),INDEX(SPLIT(I3167,""/""),,1))"),44773.0)</f>
        <v>44773</v>
      </c>
      <c r="L3167" s="1">
        <v>0.0</v>
      </c>
      <c r="M3167" s="1" t="s">
        <v>9406</v>
      </c>
      <c r="N3167" s="1"/>
      <c r="O3167" s="1" t="s">
        <v>30</v>
      </c>
      <c r="P3167" s="1" t="s">
        <v>31</v>
      </c>
      <c r="Q3167" s="1" t="s">
        <v>228</v>
      </c>
      <c r="R3167" s="1" t="s">
        <v>228</v>
      </c>
      <c r="S3167" s="1" t="s">
        <v>229</v>
      </c>
      <c r="T3167" s="1" t="s">
        <v>513</v>
      </c>
      <c r="U3167" s="1">
        <v>1.01000708E8</v>
      </c>
      <c r="X3167" s="1" t="s">
        <v>190</v>
      </c>
      <c r="Y3167" s="1" t="s">
        <v>9406</v>
      </c>
      <c r="Z3167" s="1" t="s">
        <v>37</v>
      </c>
    </row>
    <row r="3168">
      <c r="A3168" s="1" t="s">
        <v>9407</v>
      </c>
      <c r="B3168" s="1" t="s">
        <v>8729</v>
      </c>
      <c r="C3168" s="1" t="s">
        <v>9408</v>
      </c>
      <c r="D3168" s="1" t="s">
        <v>68</v>
      </c>
      <c r="E3168" s="1" t="s">
        <v>28</v>
      </c>
      <c r="F3168" s="2">
        <v>275000.0</v>
      </c>
      <c r="G3168" s="1" t="s">
        <v>418</v>
      </c>
      <c r="H3168" s="4">
        <f>IFERROR(__xludf.DUMMYFUNCTION("DATE(INDEX(SPLIT(G3168,""/""),,3),INDEX(SPLIT(G3168,""/""),,2),INDEX(SPLIT(G3168,""/""),,1))"),44755.0)</f>
        <v>44755</v>
      </c>
      <c r="I3168" s="1" t="s">
        <v>2422</v>
      </c>
      <c r="J3168" s="4">
        <f>IFERROR(__xludf.DUMMYFUNCTION("DATE(INDEX(SPLIT(I3168,""/""),,3),INDEX(SPLIT(I3168,""/""),,2),INDEX(SPLIT(I3168,""/""),,1))"),44769.0)</f>
        <v>44769</v>
      </c>
      <c r="L3168" s="1">
        <v>0.0</v>
      </c>
      <c r="M3168" s="1" t="s">
        <v>9409</v>
      </c>
      <c r="N3168" s="1"/>
      <c r="O3168" s="1" t="s">
        <v>30</v>
      </c>
      <c r="P3168" s="1" t="s">
        <v>31</v>
      </c>
      <c r="Q3168" s="1" t="s">
        <v>228</v>
      </c>
      <c r="R3168" s="1" t="s">
        <v>228</v>
      </c>
      <c r="S3168" s="1" t="s">
        <v>229</v>
      </c>
      <c r="U3168" s="1">
        <v>1.01064151E8</v>
      </c>
      <c r="X3168" s="1" t="s">
        <v>312</v>
      </c>
      <c r="Y3168" s="1" t="s">
        <v>9409</v>
      </c>
      <c r="Z3168" s="1" t="s">
        <v>37</v>
      </c>
    </row>
    <row r="3169">
      <c r="A3169" s="1" t="s">
        <v>9410</v>
      </c>
      <c r="B3169" s="1" t="s">
        <v>9135</v>
      </c>
      <c r="C3169" s="1" t="s">
        <v>9411</v>
      </c>
      <c r="D3169" s="1" t="s">
        <v>78</v>
      </c>
      <c r="E3169" s="1" t="s">
        <v>28</v>
      </c>
      <c r="F3169" s="2">
        <v>275000.0</v>
      </c>
      <c r="G3169" s="1" t="s">
        <v>1244</v>
      </c>
      <c r="H3169" s="4">
        <f>IFERROR(__xludf.DUMMYFUNCTION("DATE(INDEX(SPLIT(G3169,""/""),,3),INDEX(SPLIT(G3169,""/""),,2),INDEX(SPLIT(G3169,""/""),,1))"),44742.0)</f>
        <v>44742</v>
      </c>
      <c r="I3169" s="1" t="s">
        <v>935</v>
      </c>
      <c r="J3169" s="4">
        <f>IFERROR(__xludf.DUMMYFUNCTION("DATE(INDEX(SPLIT(I3169,""/""),,3),INDEX(SPLIT(I3169,""/""),,2),INDEX(SPLIT(I3169,""/""),,1))"),44764.0)</f>
        <v>44764</v>
      </c>
      <c r="L3169" s="1">
        <v>0.0</v>
      </c>
      <c r="M3169" s="1" t="s">
        <v>3361</v>
      </c>
      <c r="N3169" s="1"/>
      <c r="O3169" s="1" t="s">
        <v>30</v>
      </c>
      <c r="P3169" s="1" t="s">
        <v>31</v>
      </c>
      <c r="Q3169" s="1" t="s">
        <v>53</v>
      </c>
      <c r="R3169" s="1" t="s">
        <v>53</v>
      </c>
      <c r="S3169" s="1" t="s">
        <v>54</v>
      </c>
      <c r="U3169" s="1">
        <v>1.00652454E8</v>
      </c>
      <c r="X3169" s="1" t="s">
        <v>2028</v>
      </c>
      <c r="Y3169" s="1" t="s">
        <v>9412</v>
      </c>
      <c r="Z3169" s="1" t="s">
        <v>37</v>
      </c>
    </row>
    <row r="3170" hidden="1">
      <c r="A3170" s="1" t="s">
        <v>9413</v>
      </c>
      <c r="B3170" s="1" t="s">
        <v>9414</v>
      </c>
      <c r="C3170" s="1" t="s">
        <v>9415</v>
      </c>
      <c r="D3170" s="1" t="s">
        <v>122</v>
      </c>
      <c r="E3170" s="1" t="s">
        <v>28</v>
      </c>
      <c r="F3170" s="2">
        <v>275000.0</v>
      </c>
      <c r="G3170" s="4">
        <v>44840.0</v>
      </c>
      <c r="H3170" s="4">
        <f>IFERROR(__xludf.DUMMYFUNCTION("DATE(INDEX(SPLIT(G3170,""/""),,3),INDEX(SPLIT(G3170,""/""),,2),INDEX(SPLIT(G3170,""/""),,1))"),44722.0)</f>
        <v>44722</v>
      </c>
      <c r="I3170" s="1" t="s">
        <v>317</v>
      </c>
      <c r="J3170" s="4">
        <f>IFERROR(__xludf.DUMMYFUNCTION("DATE(INDEX(SPLIT(I3170,""/""),,3),INDEX(SPLIT(I3170,""/""),,2),INDEX(SPLIT(I3170,""/""),,1))"),44862.0)</f>
        <v>44862</v>
      </c>
      <c r="L3170" s="1">
        <v>0.0</v>
      </c>
      <c r="M3170" s="1" t="s">
        <v>249</v>
      </c>
      <c r="N3170" s="1"/>
      <c r="O3170" s="1" t="s">
        <v>30</v>
      </c>
      <c r="P3170" s="1" t="s">
        <v>31</v>
      </c>
      <c r="Q3170" s="1" t="s">
        <v>32</v>
      </c>
      <c r="R3170" s="1" t="s">
        <v>32</v>
      </c>
      <c r="S3170" s="1" t="s">
        <v>33</v>
      </c>
      <c r="T3170" s="1" t="s">
        <v>1386</v>
      </c>
      <c r="U3170" s="1">
        <v>1.00617853E8</v>
      </c>
      <c r="X3170" s="1" t="s">
        <v>98</v>
      </c>
      <c r="Y3170" s="1" t="s">
        <v>9416</v>
      </c>
      <c r="Z3170" s="1" t="s">
        <v>37</v>
      </c>
    </row>
    <row r="3171" hidden="1">
      <c r="A3171" s="1" t="s">
        <v>9417</v>
      </c>
      <c r="B3171" s="1" t="s">
        <v>1042</v>
      </c>
      <c r="C3171" s="1" t="s">
        <v>9418</v>
      </c>
      <c r="D3171" s="1" t="s">
        <v>122</v>
      </c>
      <c r="E3171" s="1" t="s">
        <v>28</v>
      </c>
      <c r="F3171" s="2">
        <v>275000.0</v>
      </c>
      <c r="G3171" s="4">
        <v>44870.0</v>
      </c>
      <c r="H3171" s="4">
        <f>IFERROR(__xludf.DUMMYFUNCTION("DATE(INDEX(SPLIT(G3171,""/""),,3),INDEX(SPLIT(G3171,""/""),,2),INDEX(SPLIT(G3171,""/""),,1))"),44692.0)</f>
        <v>44692</v>
      </c>
      <c r="I3171" s="1" t="s">
        <v>130</v>
      </c>
      <c r="J3171" s="4">
        <f>IFERROR(__xludf.DUMMYFUNCTION("DATE(INDEX(SPLIT(I3171,""/""),,3),INDEX(SPLIT(I3171,""/""),,2),INDEX(SPLIT(I3171,""/""),,1))"),44804.0)</f>
        <v>44804</v>
      </c>
      <c r="L3171" s="1">
        <v>0.0</v>
      </c>
      <c r="M3171" s="1" t="s">
        <v>3123</v>
      </c>
      <c r="N3171" s="1"/>
      <c r="O3171" s="1" t="s">
        <v>30</v>
      </c>
      <c r="P3171" s="1" t="s">
        <v>31</v>
      </c>
      <c r="Q3171" s="1" t="s">
        <v>157</v>
      </c>
      <c r="R3171" s="1" t="s">
        <v>157</v>
      </c>
      <c r="S3171" s="1" t="s">
        <v>158</v>
      </c>
      <c r="T3171" s="1" t="s">
        <v>442</v>
      </c>
      <c r="U3171" s="1">
        <v>1.00875111E8</v>
      </c>
      <c r="X3171" s="1" t="s">
        <v>88</v>
      </c>
      <c r="Y3171" s="1" t="s">
        <v>9419</v>
      </c>
      <c r="Z3171" s="1" t="s">
        <v>37</v>
      </c>
    </row>
    <row r="3172" hidden="1">
      <c r="A3172" s="1" t="s">
        <v>9420</v>
      </c>
      <c r="B3172" s="1" t="s">
        <v>5955</v>
      </c>
      <c r="C3172" s="1" t="s">
        <v>9421</v>
      </c>
      <c r="D3172" s="1" t="s">
        <v>122</v>
      </c>
      <c r="E3172" s="1" t="s">
        <v>28</v>
      </c>
      <c r="F3172" s="2">
        <v>275000.0</v>
      </c>
      <c r="G3172" s="4">
        <v>44747.0</v>
      </c>
      <c r="H3172" s="4">
        <f>IFERROR(__xludf.DUMMYFUNCTION("DATE(INDEX(SPLIT(G3172,""/""),,3),INDEX(SPLIT(G3172,""/""),,2),INDEX(SPLIT(G3172,""/""),,1))"),44688.0)</f>
        <v>44688</v>
      </c>
      <c r="I3172" s="1" t="s">
        <v>109</v>
      </c>
      <c r="J3172" s="4">
        <f>IFERROR(__xludf.DUMMYFUNCTION("DATE(INDEX(SPLIT(I3172,""/""),,3),INDEX(SPLIT(I3172,""/""),,2),INDEX(SPLIT(I3172,""/""),,1))"),44834.0)</f>
        <v>44834</v>
      </c>
      <c r="L3172" s="1">
        <v>0.0</v>
      </c>
      <c r="M3172" s="1" t="s">
        <v>4243</v>
      </c>
      <c r="N3172" s="1"/>
      <c r="O3172" s="1" t="s">
        <v>30</v>
      </c>
      <c r="P3172" s="1" t="s">
        <v>31</v>
      </c>
      <c r="Q3172" s="1" t="s">
        <v>157</v>
      </c>
      <c r="R3172" s="1" t="s">
        <v>157</v>
      </c>
      <c r="S3172" s="1" t="s">
        <v>158</v>
      </c>
      <c r="T3172" s="1" t="s">
        <v>159</v>
      </c>
      <c r="U3172" s="1">
        <v>1.0058537E8</v>
      </c>
      <c r="X3172" s="1" t="s">
        <v>490</v>
      </c>
      <c r="Y3172" s="1" t="s">
        <v>5957</v>
      </c>
      <c r="Z3172" s="1" t="s">
        <v>37</v>
      </c>
    </row>
    <row r="3173">
      <c r="A3173" s="1" t="s">
        <v>9422</v>
      </c>
      <c r="B3173" s="1" t="s">
        <v>896</v>
      </c>
      <c r="C3173" s="1" t="s">
        <v>9423</v>
      </c>
      <c r="D3173" s="1" t="s">
        <v>68</v>
      </c>
      <c r="E3173" s="1" t="s">
        <v>28</v>
      </c>
      <c r="F3173" s="2">
        <v>275000.0</v>
      </c>
      <c r="G3173" s="4">
        <v>44748.0</v>
      </c>
      <c r="H3173" s="4">
        <f>IFERROR(__xludf.DUMMYFUNCTION("DATE(INDEX(SPLIT(G3173,""/""),,3),INDEX(SPLIT(G3173,""/""),,2),INDEX(SPLIT(G3173,""/""),,1))"),44719.0)</f>
        <v>44719</v>
      </c>
      <c r="I3173" s="4">
        <v>44568.0</v>
      </c>
      <c r="J3173" s="4">
        <f>IFERROR(__xludf.DUMMYFUNCTION("DATE(INDEX(SPLIT(I3173,""/""),,3),INDEX(SPLIT(I3173,""/""),,2),INDEX(SPLIT(I3173,""/""),,1))"),44743.0)</f>
        <v>44743</v>
      </c>
      <c r="K3173" s="1" t="s">
        <v>9424</v>
      </c>
      <c r="L3173" s="1">
        <v>0.0</v>
      </c>
      <c r="M3173" s="1" t="s">
        <v>5366</v>
      </c>
      <c r="N3173" s="1"/>
      <c r="O3173" s="1" t="s">
        <v>30</v>
      </c>
      <c r="P3173" s="1" t="s">
        <v>31</v>
      </c>
      <c r="Q3173" s="1" t="s">
        <v>157</v>
      </c>
      <c r="R3173" s="1" t="s">
        <v>157</v>
      </c>
      <c r="S3173" s="1" t="s">
        <v>158</v>
      </c>
      <c r="T3173" s="1" t="s">
        <v>159</v>
      </c>
      <c r="U3173" s="1">
        <v>1.00609544E8</v>
      </c>
      <c r="X3173" s="1" t="s">
        <v>490</v>
      </c>
      <c r="Y3173" s="1" t="s">
        <v>9425</v>
      </c>
      <c r="Z3173" s="1" t="s">
        <v>37</v>
      </c>
    </row>
    <row r="3174">
      <c r="A3174" s="1" t="s">
        <v>9426</v>
      </c>
      <c r="B3174" s="1" t="s">
        <v>8630</v>
      </c>
      <c r="C3174" s="1" t="s">
        <v>9427</v>
      </c>
      <c r="D3174" s="1" t="s">
        <v>122</v>
      </c>
      <c r="E3174" s="1" t="s">
        <v>28</v>
      </c>
      <c r="F3174" s="2">
        <v>275000.0</v>
      </c>
      <c r="G3174" s="4">
        <v>44297.0</v>
      </c>
      <c r="H3174" s="4">
        <f>IFERROR(__xludf.DUMMYFUNCTION("DATE(INDEX(SPLIT(G3174,""/""),,3),INDEX(SPLIT(G3174,""/""),,2),INDEX(SPLIT(G3174,""/""),,1))"),44504.0)</f>
        <v>44504</v>
      </c>
      <c r="I3174" s="1" t="s">
        <v>1244</v>
      </c>
      <c r="J3174" s="4">
        <f>IFERROR(__xludf.DUMMYFUNCTION("DATE(INDEX(SPLIT(I3174,""/""),,3),INDEX(SPLIT(I3174,""/""),,2),INDEX(SPLIT(I3174,""/""),,1))"),44742.0)</f>
        <v>44742</v>
      </c>
      <c r="L3174" s="1">
        <v>0.0</v>
      </c>
      <c r="M3174" s="1" t="s">
        <v>7101</v>
      </c>
      <c r="N3174" s="1"/>
      <c r="O3174" s="1" t="s">
        <v>30</v>
      </c>
      <c r="P3174" s="1" t="s">
        <v>31</v>
      </c>
      <c r="Q3174" s="1" t="s">
        <v>32</v>
      </c>
      <c r="R3174" s="1" t="s">
        <v>32</v>
      </c>
      <c r="S3174" s="1" t="s">
        <v>33</v>
      </c>
      <c r="T3174" s="1" t="s">
        <v>1195</v>
      </c>
      <c r="U3174" s="1">
        <v>1.00599962E8</v>
      </c>
      <c r="X3174" s="1" t="s">
        <v>63</v>
      </c>
      <c r="Y3174" s="1" t="s">
        <v>7101</v>
      </c>
      <c r="Z3174" s="1" t="s">
        <v>206</v>
      </c>
    </row>
    <row r="3175" hidden="1">
      <c r="A3175" s="1" t="s">
        <v>9428</v>
      </c>
      <c r="B3175" s="1" t="s">
        <v>2257</v>
      </c>
      <c r="C3175" s="1" t="s">
        <v>9429</v>
      </c>
      <c r="D3175" s="1" t="s">
        <v>27</v>
      </c>
      <c r="E3175" s="1" t="s">
        <v>28</v>
      </c>
      <c r="F3175" s="2">
        <v>275000.0</v>
      </c>
      <c r="G3175" s="1" t="s">
        <v>41</v>
      </c>
      <c r="H3175" s="4">
        <f>IFERROR(__xludf.DUMMYFUNCTION("DATE(INDEX(SPLIT(G3175,""/""),,3),INDEX(SPLIT(G3175,""/""),,2),INDEX(SPLIT(G3175,""/""),,1))"),44607.0)</f>
        <v>44607</v>
      </c>
      <c r="I3175" s="4">
        <v>44573.0</v>
      </c>
      <c r="J3175" s="4">
        <f>IFERROR(__xludf.DUMMYFUNCTION("DATE(INDEX(SPLIT(I3175,""/""),,3),INDEX(SPLIT(I3175,""/""),,2),INDEX(SPLIT(I3175,""/""),,1))"),44896.0)</f>
        <v>44896</v>
      </c>
      <c r="L3175" s="1">
        <v>0.0</v>
      </c>
      <c r="M3175" s="1" t="s">
        <v>5507</v>
      </c>
      <c r="N3175" s="1"/>
      <c r="O3175" s="1" t="s">
        <v>30</v>
      </c>
      <c r="P3175" s="1" t="s">
        <v>31</v>
      </c>
      <c r="Q3175" s="1" t="s">
        <v>235</v>
      </c>
      <c r="R3175" s="1" t="s">
        <v>235</v>
      </c>
      <c r="S3175" s="1" t="s">
        <v>236</v>
      </c>
      <c r="T3175" s="1" t="s">
        <v>1386</v>
      </c>
      <c r="U3175" s="1">
        <v>1.00620643E8</v>
      </c>
      <c r="X3175" s="1" t="s">
        <v>88</v>
      </c>
      <c r="Y3175" s="1" t="s">
        <v>1387</v>
      </c>
      <c r="Z3175" s="1" t="s">
        <v>37</v>
      </c>
    </row>
    <row r="3176" hidden="1">
      <c r="A3176" s="1" t="s">
        <v>9430</v>
      </c>
      <c r="B3176" s="1" t="s">
        <v>5047</v>
      </c>
      <c r="C3176" s="1" t="s">
        <v>9431</v>
      </c>
      <c r="D3176" s="1" t="s">
        <v>78</v>
      </c>
      <c r="E3176" s="1" t="s">
        <v>28</v>
      </c>
      <c r="F3176" s="2">
        <v>275000.0</v>
      </c>
      <c r="G3176" s="1" t="s">
        <v>2540</v>
      </c>
      <c r="H3176" s="4">
        <f>IFERROR(__xludf.DUMMYFUNCTION("DATE(INDEX(SPLIT(G3176,""/""),,3),INDEX(SPLIT(G3176,""/""),,2),INDEX(SPLIT(G3176,""/""),,1))"),44491.0)</f>
        <v>44491</v>
      </c>
      <c r="I3176" s="1" t="s">
        <v>109</v>
      </c>
      <c r="J3176" s="4">
        <f>IFERROR(__xludf.DUMMYFUNCTION("DATE(INDEX(SPLIT(I3176,""/""),,3),INDEX(SPLIT(I3176,""/""),,2),INDEX(SPLIT(I3176,""/""),,1))"),44834.0)</f>
        <v>44834</v>
      </c>
      <c r="L3176" s="1">
        <v>0.0</v>
      </c>
      <c r="M3176" s="1" t="s">
        <v>8088</v>
      </c>
      <c r="N3176" s="1"/>
      <c r="O3176" s="1" t="s">
        <v>30</v>
      </c>
      <c r="P3176" s="1" t="s">
        <v>31</v>
      </c>
      <c r="Q3176" s="1" t="s">
        <v>228</v>
      </c>
      <c r="R3176" s="1" t="s">
        <v>228</v>
      </c>
      <c r="S3176" s="1" t="s">
        <v>229</v>
      </c>
      <c r="T3176" s="1" t="s">
        <v>640</v>
      </c>
      <c r="U3176" s="1">
        <v>1.00882877E8</v>
      </c>
      <c r="X3176" s="1" t="s">
        <v>5049</v>
      </c>
      <c r="Y3176" s="1" t="s">
        <v>8088</v>
      </c>
      <c r="Z3176" s="1" t="s">
        <v>206</v>
      </c>
    </row>
    <row r="3177">
      <c r="A3177" s="1" t="s">
        <v>9432</v>
      </c>
      <c r="B3177" s="1" t="s">
        <v>9433</v>
      </c>
      <c r="C3177" s="1" t="s">
        <v>9434</v>
      </c>
      <c r="D3177" s="1" t="s">
        <v>122</v>
      </c>
      <c r="E3177" s="1" t="s">
        <v>28</v>
      </c>
      <c r="F3177" s="2">
        <v>274000.0</v>
      </c>
      <c r="G3177" s="1" t="s">
        <v>486</v>
      </c>
      <c r="H3177" s="4">
        <f>IFERROR(__xludf.DUMMYFUNCTION("DATE(INDEX(SPLIT(G3177,""/""),,3),INDEX(SPLIT(G3177,""/""),,2),INDEX(SPLIT(G3177,""/""),,1))"),44209.0)</f>
        <v>44209</v>
      </c>
      <c r="I3177" s="1" t="s">
        <v>69</v>
      </c>
      <c r="J3177" s="4">
        <f>IFERROR(__xludf.DUMMYFUNCTION("DATE(INDEX(SPLIT(I3177,""/""),,3),INDEX(SPLIT(I3177,""/""),,2),INDEX(SPLIT(I3177,""/""),,1))"),44773.0)</f>
        <v>44773</v>
      </c>
      <c r="L3177" s="1">
        <v>0.0</v>
      </c>
      <c r="M3177" s="1" t="s">
        <v>3507</v>
      </c>
      <c r="N3177" s="1"/>
      <c r="O3177" s="1" t="s">
        <v>30</v>
      </c>
      <c r="P3177" s="1" t="s">
        <v>31</v>
      </c>
      <c r="Q3177" s="1" t="s">
        <v>235</v>
      </c>
      <c r="R3177" s="1" t="s">
        <v>235</v>
      </c>
      <c r="S3177" s="1" t="s">
        <v>236</v>
      </c>
      <c r="T3177" s="1" t="s">
        <v>1349</v>
      </c>
      <c r="U3177" s="1">
        <v>1.00585834E8</v>
      </c>
      <c r="X3177" s="1" t="s">
        <v>117</v>
      </c>
      <c r="Y3177" s="1" t="s">
        <v>9435</v>
      </c>
      <c r="Z3177" s="1" t="s">
        <v>37</v>
      </c>
    </row>
    <row r="3178" hidden="1">
      <c r="A3178" s="1" t="s">
        <v>9436</v>
      </c>
      <c r="B3178" s="1" t="s">
        <v>9437</v>
      </c>
      <c r="C3178" s="1" t="s">
        <v>9438</v>
      </c>
      <c r="D3178" s="1" t="s">
        <v>68</v>
      </c>
      <c r="E3178" s="1" t="s">
        <v>28</v>
      </c>
      <c r="F3178" s="2">
        <v>273274.66</v>
      </c>
      <c r="G3178" s="1" t="s">
        <v>2263</v>
      </c>
      <c r="H3178" s="4">
        <f>IFERROR(__xludf.DUMMYFUNCTION("DATE(INDEX(SPLIT(G3178,""/""),,3),INDEX(SPLIT(G3178,""/""),,2),INDEX(SPLIT(G3178,""/""),,1))"),44638.0)</f>
        <v>44638</v>
      </c>
      <c r="I3178" s="4">
        <v>44689.0</v>
      </c>
      <c r="J3178" s="4">
        <f>IFERROR(__xludf.DUMMYFUNCTION("DATE(INDEX(SPLIT(I3178,""/""),,3),INDEX(SPLIT(I3178,""/""),,2),INDEX(SPLIT(I3178,""/""),,1))"),44778.0)</f>
        <v>44778</v>
      </c>
      <c r="L3178" s="1">
        <v>0.0</v>
      </c>
      <c r="M3178" s="1" t="s">
        <v>9439</v>
      </c>
      <c r="N3178" s="1"/>
      <c r="O3178" s="1" t="s">
        <v>30</v>
      </c>
      <c r="P3178" s="1" t="s">
        <v>31</v>
      </c>
      <c r="Q3178" s="1" t="s">
        <v>1320</v>
      </c>
      <c r="R3178" s="1" t="s">
        <v>1320</v>
      </c>
      <c r="S3178" s="1" t="s">
        <v>229</v>
      </c>
      <c r="U3178" s="1">
        <v>1.01216124E8</v>
      </c>
      <c r="X3178" s="1" t="s">
        <v>125</v>
      </c>
      <c r="Y3178" s="1" t="s">
        <v>9440</v>
      </c>
      <c r="Z3178" s="1" t="s">
        <v>37</v>
      </c>
    </row>
    <row r="3179">
      <c r="A3179" s="1" t="s">
        <v>9441</v>
      </c>
      <c r="B3179" s="1" t="s">
        <v>9442</v>
      </c>
      <c r="C3179" s="1" t="s">
        <v>9443</v>
      </c>
      <c r="D3179" s="1" t="s">
        <v>68</v>
      </c>
      <c r="E3179" s="1" t="s">
        <v>28</v>
      </c>
      <c r="F3179" s="2">
        <v>272000.0</v>
      </c>
      <c r="G3179" s="1" t="s">
        <v>298</v>
      </c>
      <c r="H3179" s="4">
        <f>IFERROR(__xludf.DUMMYFUNCTION("DATE(INDEX(SPLIT(G3179,""/""),,3),INDEX(SPLIT(G3179,""/""),,2),INDEX(SPLIT(G3179,""/""),,1))"),44762.0)</f>
        <v>44762</v>
      </c>
      <c r="I3179" s="1" t="s">
        <v>69</v>
      </c>
      <c r="J3179" s="4">
        <f>IFERROR(__xludf.DUMMYFUNCTION("DATE(INDEX(SPLIT(I3179,""/""),,3),INDEX(SPLIT(I3179,""/""),,2),INDEX(SPLIT(I3179,""/""),,1))"),44773.0)</f>
        <v>44773</v>
      </c>
      <c r="L3179" s="1">
        <v>0.0</v>
      </c>
      <c r="M3179" s="1" t="s">
        <v>9444</v>
      </c>
      <c r="N3179" s="1"/>
      <c r="O3179" s="1" t="s">
        <v>30</v>
      </c>
      <c r="P3179" s="1" t="s">
        <v>31</v>
      </c>
      <c r="Q3179" s="1" t="s">
        <v>157</v>
      </c>
      <c r="R3179" s="1" t="s">
        <v>157</v>
      </c>
      <c r="S3179" s="1" t="s">
        <v>158</v>
      </c>
      <c r="U3179" s="1">
        <v>1.00614201E8</v>
      </c>
      <c r="X3179" s="1" t="s">
        <v>63</v>
      </c>
      <c r="Y3179" s="1" t="s">
        <v>9445</v>
      </c>
      <c r="Z3179" s="1" t="s">
        <v>37</v>
      </c>
    </row>
    <row r="3180">
      <c r="A3180" s="1" t="s">
        <v>9446</v>
      </c>
      <c r="B3180" s="1" t="s">
        <v>5130</v>
      </c>
      <c r="C3180" s="1" t="s">
        <v>9447</v>
      </c>
      <c r="D3180" s="1" t="s">
        <v>122</v>
      </c>
      <c r="E3180" s="1" t="s">
        <v>28</v>
      </c>
      <c r="F3180" s="2">
        <v>270000.0</v>
      </c>
      <c r="G3180" s="4">
        <v>44598.0</v>
      </c>
      <c r="H3180" s="4">
        <f>IFERROR(__xludf.DUMMYFUNCTION("DATE(INDEX(SPLIT(G3180,""/""),,3),INDEX(SPLIT(G3180,""/""),,2),INDEX(SPLIT(G3180,""/""),,1))"),44714.0)</f>
        <v>44714</v>
      </c>
      <c r="I3180" s="1" t="s">
        <v>518</v>
      </c>
      <c r="J3180" s="4">
        <f>IFERROR(__xludf.DUMMYFUNCTION("DATE(INDEX(SPLIT(I3180,""/""),,3),INDEX(SPLIT(I3180,""/""),,2),INDEX(SPLIT(I3180,""/""),,1))"),44757.0)</f>
        <v>44757</v>
      </c>
      <c r="L3180" s="1">
        <v>0.0</v>
      </c>
      <c r="M3180" s="1" t="s">
        <v>3601</v>
      </c>
      <c r="N3180" s="1"/>
      <c r="O3180" s="1" t="s">
        <v>30</v>
      </c>
      <c r="P3180" s="1" t="s">
        <v>31</v>
      </c>
      <c r="Q3180" s="1" t="s">
        <v>71</v>
      </c>
      <c r="R3180" s="1" t="s">
        <v>71</v>
      </c>
      <c r="S3180" s="1" t="s">
        <v>72</v>
      </c>
      <c r="T3180" s="1" t="s">
        <v>136</v>
      </c>
      <c r="U3180" s="1">
        <v>1.00611547E8</v>
      </c>
      <c r="X3180" s="1" t="s">
        <v>63</v>
      </c>
      <c r="Y3180" s="1" t="s">
        <v>1334</v>
      </c>
      <c r="Z3180" s="1" t="s">
        <v>37</v>
      </c>
    </row>
    <row r="3181">
      <c r="A3181" s="1" t="s">
        <v>9448</v>
      </c>
      <c r="B3181" s="1" t="s">
        <v>1845</v>
      </c>
      <c r="C3181" s="1" t="s">
        <v>9449</v>
      </c>
      <c r="D3181" s="1" t="s">
        <v>27</v>
      </c>
      <c r="E3181" s="1" t="s">
        <v>28</v>
      </c>
      <c r="F3181" s="2">
        <v>270000.0</v>
      </c>
      <c r="G3181" s="4">
        <v>44779.0</v>
      </c>
      <c r="H3181" s="4">
        <f>IFERROR(__xludf.DUMMYFUNCTION("DATE(INDEX(SPLIT(G3181,""/""),,3),INDEX(SPLIT(G3181,""/""),,2),INDEX(SPLIT(G3181,""/""),,1))"),44720.0)</f>
        <v>44720</v>
      </c>
      <c r="I3181" s="1" t="s">
        <v>518</v>
      </c>
      <c r="J3181" s="4">
        <f>IFERROR(__xludf.DUMMYFUNCTION("DATE(INDEX(SPLIT(I3181,""/""),,3),INDEX(SPLIT(I3181,""/""),,2),INDEX(SPLIT(I3181,""/""),,1))"),44757.0)</f>
        <v>44757</v>
      </c>
      <c r="L3181" s="1">
        <v>0.0</v>
      </c>
      <c r="M3181" s="1" t="s">
        <v>9444</v>
      </c>
      <c r="N3181" s="1"/>
      <c r="O3181" s="1" t="s">
        <v>30</v>
      </c>
      <c r="P3181" s="1" t="s">
        <v>31</v>
      </c>
      <c r="Q3181" s="1" t="s">
        <v>157</v>
      </c>
      <c r="R3181" s="1" t="s">
        <v>157</v>
      </c>
      <c r="S3181" s="1" t="s">
        <v>158</v>
      </c>
      <c r="T3181" s="1" t="s">
        <v>159</v>
      </c>
      <c r="U3181" s="1">
        <v>1.00614201E8</v>
      </c>
      <c r="X3181" s="1" t="s">
        <v>490</v>
      </c>
      <c r="Y3181" s="1" t="s">
        <v>9445</v>
      </c>
      <c r="Z3181" s="1" t="s">
        <v>37</v>
      </c>
    </row>
    <row r="3182" hidden="1">
      <c r="A3182" s="1" t="s">
        <v>9450</v>
      </c>
      <c r="B3182" s="1" t="s">
        <v>1352</v>
      </c>
      <c r="C3182" s="1" t="s">
        <v>9451</v>
      </c>
      <c r="D3182" s="1" t="s">
        <v>78</v>
      </c>
      <c r="E3182" s="1" t="s">
        <v>28</v>
      </c>
      <c r="F3182" s="2">
        <v>268000.0</v>
      </c>
      <c r="G3182" s="1" t="s">
        <v>6672</v>
      </c>
      <c r="H3182" s="4">
        <f>IFERROR(__xludf.DUMMYFUNCTION("DATE(INDEX(SPLIT(G3182,""/""),,3),INDEX(SPLIT(G3182,""/""),,2),INDEX(SPLIT(G3182,""/""),,1))"),44543.0)</f>
        <v>44543</v>
      </c>
      <c r="I3182" s="1" t="s">
        <v>109</v>
      </c>
      <c r="J3182" s="4">
        <f>IFERROR(__xludf.DUMMYFUNCTION("DATE(INDEX(SPLIT(I3182,""/""),,3),INDEX(SPLIT(I3182,""/""),,2),INDEX(SPLIT(I3182,""/""),,1))"),44834.0)</f>
        <v>44834</v>
      </c>
      <c r="L3182" s="1">
        <v>0.0</v>
      </c>
      <c r="M3182" s="1" t="s">
        <v>1532</v>
      </c>
      <c r="N3182" s="1"/>
      <c r="O3182" s="1" t="s">
        <v>30</v>
      </c>
      <c r="P3182" s="1" t="s">
        <v>31</v>
      </c>
      <c r="Q3182" s="1" t="s">
        <v>228</v>
      </c>
      <c r="R3182" s="1" t="s">
        <v>228</v>
      </c>
      <c r="S3182" s="1" t="s">
        <v>229</v>
      </c>
      <c r="T3182" s="1" t="s">
        <v>640</v>
      </c>
      <c r="U3182" s="1">
        <v>1.00711752E8</v>
      </c>
      <c r="X3182" s="1" t="s">
        <v>375</v>
      </c>
      <c r="Y3182" s="1" t="s">
        <v>1533</v>
      </c>
      <c r="Z3182" s="1" t="s">
        <v>37</v>
      </c>
    </row>
    <row r="3183">
      <c r="A3183" s="1" t="s">
        <v>9452</v>
      </c>
      <c r="B3183" s="1" t="s">
        <v>3399</v>
      </c>
      <c r="C3183" s="1" t="s">
        <v>9453</v>
      </c>
      <c r="D3183" s="1" t="s">
        <v>27</v>
      </c>
      <c r="E3183" s="1" t="s">
        <v>28</v>
      </c>
      <c r="F3183" s="2">
        <v>266600.0</v>
      </c>
      <c r="G3183" s="1" t="s">
        <v>185</v>
      </c>
      <c r="H3183" s="4">
        <f>IFERROR(__xludf.DUMMYFUNCTION("DATE(INDEX(SPLIT(G3183,""/""),,3),INDEX(SPLIT(G3183,""/""),,2),INDEX(SPLIT(G3183,""/""),,1))"),44741.0)</f>
        <v>44741</v>
      </c>
      <c r="I3183" s="1" t="s">
        <v>226</v>
      </c>
      <c r="J3183" s="4">
        <f>IFERROR(__xludf.DUMMYFUNCTION("DATE(INDEX(SPLIT(I3183,""/""),,3),INDEX(SPLIT(I3183,""/""),,2),INDEX(SPLIT(I3183,""/""),,1))"),44771.0)</f>
        <v>44771</v>
      </c>
      <c r="L3183" s="1">
        <v>0.0</v>
      </c>
      <c r="M3183" s="1" t="s">
        <v>8859</v>
      </c>
      <c r="N3183" s="1"/>
      <c r="O3183" s="1" t="s">
        <v>30</v>
      </c>
      <c r="P3183" s="1" t="s">
        <v>31</v>
      </c>
      <c r="Q3183" s="1" t="s">
        <v>228</v>
      </c>
      <c r="R3183" s="1" t="s">
        <v>228</v>
      </c>
      <c r="S3183" s="1" t="s">
        <v>229</v>
      </c>
      <c r="T3183" s="1" t="s">
        <v>513</v>
      </c>
      <c r="U3183" s="1">
        <v>1.00604296E8</v>
      </c>
      <c r="X3183" s="1" t="s">
        <v>63</v>
      </c>
      <c r="Y3183" s="1" t="s">
        <v>9454</v>
      </c>
      <c r="Z3183" s="1" t="s">
        <v>37</v>
      </c>
    </row>
    <row r="3184" hidden="1">
      <c r="A3184" s="1" t="s">
        <v>9455</v>
      </c>
      <c r="B3184" s="1" t="s">
        <v>6308</v>
      </c>
      <c r="C3184" s="1" t="s">
        <v>9456</v>
      </c>
      <c r="D3184" s="1" t="s">
        <v>78</v>
      </c>
      <c r="E3184" s="1" t="s">
        <v>28</v>
      </c>
      <c r="F3184" s="2">
        <v>265000.0</v>
      </c>
      <c r="G3184" s="1" t="s">
        <v>2309</v>
      </c>
      <c r="H3184" s="4">
        <f>IFERROR(__xludf.DUMMYFUNCTION("DATE(INDEX(SPLIT(G3184,""/""),,3),INDEX(SPLIT(G3184,""/""),,2),INDEX(SPLIT(G3184,""/""),,1))"),44672.0)</f>
        <v>44672</v>
      </c>
      <c r="I3184" s="1" t="s">
        <v>203</v>
      </c>
      <c r="J3184" s="4">
        <f>IFERROR(__xludf.DUMMYFUNCTION("DATE(INDEX(SPLIT(I3184,""/""),,3),INDEX(SPLIT(I3184,""/""),,2),INDEX(SPLIT(I3184,""/""),,1))"),44925.0)</f>
        <v>44925</v>
      </c>
      <c r="L3184" s="1">
        <v>0.0</v>
      </c>
      <c r="M3184" s="1" t="s">
        <v>4849</v>
      </c>
      <c r="N3184" s="1"/>
      <c r="O3184" s="1" t="s">
        <v>30</v>
      </c>
      <c r="P3184" s="1" t="s">
        <v>31</v>
      </c>
      <c r="Q3184" s="1" t="s">
        <v>157</v>
      </c>
      <c r="R3184" s="1" t="s">
        <v>157</v>
      </c>
      <c r="S3184" s="1" t="s">
        <v>158</v>
      </c>
      <c r="U3184" s="1">
        <v>1.00620934E8</v>
      </c>
      <c r="X3184" s="1" t="s">
        <v>63</v>
      </c>
      <c r="Y3184" s="1" t="s">
        <v>6565</v>
      </c>
      <c r="Z3184" s="1" t="s">
        <v>37</v>
      </c>
    </row>
    <row r="3185" hidden="1">
      <c r="A3185" s="1" t="s">
        <v>9457</v>
      </c>
      <c r="B3185" s="1" t="s">
        <v>120</v>
      </c>
      <c r="C3185" s="1" t="s">
        <v>9458</v>
      </c>
      <c r="D3185" s="1" t="s">
        <v>78</v>
      </c>
      <c r="E3185" s="1" t="s">
        <v>28</v>
      </c>
      <c r="F3185" s="2">
        <v>265000.0</v>
      </c>
      <c r="G3185" s="1" t="s">
        <v>2309</v>
      </c>
      <c r="H3185" s="4">
        <f>IFERROR(__xludf.DUMMYFUNCTION("DATE(INDEX(SPLIT(G3185,""/""),,3),INDEX(SPLIT(G3185,""/""),,2),INDEX(SPLIT(G3185,""/""),,1))"),44672.0)</f>
        <v>44672</v>
      </c>
      <c r="I3185" s="4">
        <v>44752.0</v>
      </c>
      <c r="J3185" s="4">
        <f>IFERROR(__xludf.DUMMYFUNCTION("DATE(INDEX(SPLIT(I3185,""/""),,3),INDEX(SPLIT(I3185,""/""),,2),INDEX(SPLIT(I3185,""/""),,1))"),44841.0)</f>
        <v>44841</v>
      </c>
      <c r="L3185" s="1">
        <v>0.0</v>
      </c>
      <c r="M3185" s="1" t="s">
        <v>2938</v>
      </c>
      <c r="N3185" s="1"/>
      <c r="O3185" s="1" t="s">
        <v>30</v>
      </c>
      <c r="P3185" s="1" t="s">
        <v>31</v>
      </c>
      <c r="Q3185" s="1" t="s">
        <v>95</v>
      </c>
      <c r="R3185" s="1" t="s">
        <v>95</v>
      </c>
      <c r="S3185" s="1" t="s">
        <v>96</v>
      </c>
      <c r="T3185" s="1" t="s">
        <v>97</v>
      </c>
      <c r="U3185" s="1">
        <v>1.00627224E8</v>
      </c>
      <c r="X3185" s="1" t="s">
        <v>125</v>
      </c>
      <c r="Y3185" s="1" t="s">
        <v>7523</v>
      </c>
      <c r="Z3185" s="1" t="s">
        <v>37</v>
      </c>
    </row>
    <row r="3186" hidden="1">
      <c r="A3186" s="1" t="s">
        <v>9459</v>
      </c>
      <c r="B3186" s="1" t="s">
        <v>896</v>
      </c>
      <c r="C3186" s="1" t="s">
        <v>9460</v>
      </c>
      <c r="D3186" s="1" t="s">
        <v>27</v>
      </c>
      <c r="E3186" s="1" t="s">
        <v>28</v>
      </c>
      <c r="F3186" s="2">
        <v>262800.0</v>
      </c>
      <c r="G3186" s="1" t="s">
        <v>343</v>
      </c>
      <c r="H3186" s="4">
        <f>IFERROR(__xludf.DUMMYFUNCTION("DATE(INDEX(SPLIT(G3186,""/""),,3),INDEX(SPLIT(G3186,""/""),,2),INDEX(SPLIT(G3186,""/""),,1))"),44761.0)</f>
        <v>44761</v>
      </c>
      <c r="I3186" s="1" t="s">
        <v>109</v>
      </c>
      <c r="J3186" s="4">
        <f>IFERROR(__xludf.DUMMYFUNCTION("DATE(INDEX(SPLIT(I3186,""/""),,3),INDEX(SPLIT(I3186,""/""),,2),INDEX(SPLIT(I3186,""/""),,1))"),44834.0)</f>
        <v>44834</v>
      </c>
      <c r="L3186" s="1">
        <v>0.0</v>
      </c>
      <c r="M3186" s="1" t="s">
        <v>9461</v>
      </c>
      <c r="N3186" s="1"/>
      <c r="O3186" s="1" t="s">
        <v>30</v>
      </c>
      <c r="P3186" s="1" t="s">
        <v>31</v>
      </c>
      <c r="Q3186" s="1" t="s">
        <v>188</v>
      </c>
      <c r="R3186" s="1" t="s">
        <v>188</v>
      </c>
      <c r="S3186" s="1" t="s">
        <v>189</v>
      </c>
      <c r="U3186" s="1">
        <v>1.00624636E8</v>
      </c>
      <c r="X3186" s="1" t="s">
        <v>490</v>
      </c>
      <c r="Y3186" s="1" t="s">
        <v>9462</v>
      </c>
      <c r="Z3186" s="1" t="s">
        <v>37</v>
      </c>
    </row>
    <row r="3187">
      <c r="A3187" s="1" t="s">
        <v>9463</v>
      </c>
      <c r="B3187" s="1" t="s">
        <v>7433</v>
      </c>
      <c r="C3187" s="1" t="s">
        <v>9464</v>
      </c>
      <c r="D3187" s="1" t="s">
        <v>27</v>
      </c>
      <c r="E3187" s="1" t="s">
        <v>28</v>
      </c>
      <c r="F3187" s="2">
        <v>261239.0</v>
      </c>
      <c r="G3187" s="1" t="s">
        <v>1154</v>
      </c>
      <c r="H3187" s="4">
        <f>IFERROR(__xludf.DUMMYFUNCTION("DATE(INDEX(SPLIT(G3187,""/""),,3),INDEX(SPLIT(G3187,""/""),,2),INDEX(SPLIT(G3187,""/""),,1))"),44735.0)</f>
        <v>44735</v>
      </c>
      <c r="I3187" s="4">
        <v>44872.0</v>
      </c>
      <c r="J3187" s="4">
        <f>IFERROR(__xludf.DUMMYFUNCTION("DATE(INDEX(SPLIT(I3187,""/""),,3),INDEX(SPLIT(I3187,""/""),,2),INDEX(SPLIT(I3187,""/""),,1))"),44753.0)</f>
        <v>44753</v>
      </c>
      <c r="L3187" s="1">
        <v>0.0</v>
      </c>
      <c r="M3187" s="1" t="s">
        <v>1036</v>
      </c>
      <c r="N3187" s="1"/>
      <c r="O3187" s="1" t="s">
        <v>30</v>
      </c>
      <c r="P3187" s="1" t="s">
        <v>31</v>
      </c>
      <c r="Q3187" s="1" t="s">
        <v>95</v>
      </c>
      <c r="R3187" s="1" t="s">
        <v>95</v>
      </c>
      <c r="S3187" s="1" t="s">
        <v>96</v>
      </c>
      <c r="T3187" s="1" t="s">
        <v>97</v>
      </c>
      <c r="U3187" s="1">
        <v>1.00633489E8</v>
      </c>
      <c r="X3187" s="1" t="s">
        <v>125</v>
      </c>
      <c r="Y3187" s="1" t="s">
        <v>9465</v>
      </c>
      <c r="Z3187" s="1" t="s">
        <v>37</v>
      </c>
    </row>
    <row r="3188" hidden="1">
      <c r="A3188" s="1" t="s">
        <v>9466</v>
      </c>
      <c r="B3188" s="1" t="s">
        <v>9467</v>
      </c>
      <c r="C3188" s="1" t="s">
        <v>9468</v>
      </c>
      <c r="D3188" s="1" t="s">
        <v>122</v>
      </c>
      <c r="E3188" s="1" t="s">
        <v>28</v>
      </c>
      <c r="F3188" s="2">
        <v>260000.0</v>
      </c>
      <c r="G3188" s="4">
        <v>44867.0</v>
      </c>
      <c r="H3188" s="4">
        <f>IFERROR(__xludf.DUMMYFUNCTION("DATE(INDEX(SPLIT(G3188,""/""),,3),INDEX(SPLIT(G3188,""/""),,2),INDEX(SPLIT(G3188,""/""),,1))"),44603.0)</f>
        <v>44603</v>
      </c>
      <c r="I3188" s="1" t="s">
        <v>85</v>
      </c>
      <c r="J3188" s="4">
        <f>IFERROR(__xludf.DUMMYFUNCTION("DATE(INDEX(SPLIT(I3188,""/""),,3),INDEX(SPLIT(I3188,""/""),,2),INDEX(SPLIT(I3188,""/""),,1))"),44799.0)</f>
        <v>44799</v>
      </c>
      <c r="L3188" s="1">
        <v>0.0</v>
      </c>
      <c r="M3188" s="1" t="s">
        <v>2020</v>
      </c>
      <c r="N3188" s="1"/>
      <c r="O3188" s="1" t="s">
        <v>30</v>
      </c>
      <c r="P3188" s="1" t="s">
        <v>31</v>
      </c>
      <c r="Q3188" s="1" t="s">
        <v>157</v>
      </c>
      <c r="R3188" s="1" t="s">
        <v>157</v>
      </c>
      <c r="S3188" s="1" t="s">
        <v>158</v>
      </c>
      <c r="T3188" s="1" t="s">
        <v>442</v>
      </c>
      <c r="U3188" s="1">
        <v>1.00650678E8</v>
      </c>
      <c r="X3188" s="1" t="s">
        <v>254</v>
      </c>
      <c r="Y3188" s="1" t="s">
        <v>9469</v>
      </c>
      <c r="Z3188" s="1" t="s">
        <v>37</v>
      </c>
    </row>
    <row r="3189">
      <c r="A3189" s="1" t="s">
        <v>9470</v>
      </c>
      <c r="B3189" s="1" t="s">
        <v>1655</v>
      </c>
      <c r="C3189" s="1" t="s">
        <v>9471</v>
      </c>
      <c r="D3189" s="1" t="s">
        <v>68</v>
      </c>
      <c r="E3189" s="1" t="s">
        <v>28</v>
      </c>
      <c r="F3189" s="2">
        <v>260000.0</v>
      </c>
      <c r="G3189" s="4">
        <v>44626.0</v>
      </c>
      <c r="H3189" s="4">
        <f>IFERROR(__xludf.DUMMYFUNCTION("DATE(INDEX(SPLIT(G3189,""/""),,3),INDEX(SPLIT(G3189,""/""),,2),INDEX(SPLIT(G3189,""/""),,1))"),44715.0)</f>
        <v>44715</v>
      </c>
      <c r="I3189" s="1" t="s">
        <v>414</v>
      </c>
      <c r="J3189" s="4">
        <f>IFERROR(__xludf.DUMMYFUNCTION("DATE(INDEX(SPLIT(I3189,""/""),,3),INDEX(SPLIT(I3189,""/""),,2),INDEX(SPLIT(I3189,""/""),,1))"),44772.0)</f>
        <v>44772</v>
      </c>
      <c r="L3189" s="1">
        <v>0.0</v>
      </c>
      <c r="M3189" s="1" t="s">
        <v>2596</v>
      </c>
      <c r="N3189" s="1"/>
      <c r="O3189" s="1" t="s">
        <v>30</v>
      </c>
      <c r="P3189" s="1" t="s">
        <v>31</v>
      </c>
      <c r="Q3189" s="1" t="s">
        <v>157</v>
      </c>
      <c r="R3189" s="1" t="s">
        <v>157</v>
      </c>
      <c r="S3189" s="1" t="s">
        <v>158</v>
      </c>
      <c r="U3189" s="1">
        <v>1.00653074E8</v>
      </c>
      <c r="X3189" s="1" t="s">
        <v>490</v>
      </c>
      <c r="Y3189" s="1" t="s">
        <v>7448</v>
      </c>
      <c r="Z3189" s="1" t="s">
        <v>37</v>
      </c>
    </row>
    <row r="3190">
      <c r="A3190" s="1" t="s">
        <v>9472</v>
      </c>
      <c r="B3190" s="1" t="s">
        <v>5627</v>
      </c>
      <c r="C3190" s="1" t="s">
        <v>9473</v>
      </c>
      <c r="D3190" s="1" t="s">
        <v>122</v>
      </c>
      <c r="E3190" s="1" t="s">
        <v>28</v>
      </c>
      <c r="F3190" s="2">
        <v>260000.0</v>
      </c>
      <c r="G3190" s="1" t="s">
        <v>935</v>
      </c>
      <c r="H3190" s="4">
        <f>IFERROR(__xludf.DUMMYFUNCTION("DATE(INDEX(SPLIT(G3190,""/""),,3),INDEX(SPLIT(G3190,""/""),,2),INDEX(SPLIT(G3190,""/""),,1))"),44764.0)</f>
        <v>44764</v>
      </c>
      <c r="I3190" s="1" t="s">
        <v>1141</v>
      </c>
      <c r="J3190" s="4">
        <f>IFERROR(__xludf.DUMMYFUNCTION("DATE(INDEX(SPLIT(I3190,""/""),,3),INDEX(SPLIT(I3190,""/""),,2),INDEX(SPLIT(I3190,""/""),,1))"),44767.0)</f>
        <v>44767</v>
      </c>
      <c r="L3190" s="1">
        <v>0.0</v>
      </c>
      <c r="M3190" s="1" t="s">
        <v>3116</v>
      </c>
      <c r="N3190" s="1"/>
      <c r="O3190" s="1" t="s">
        <v>30</v>
      </c>
      <c r="P3190" s="1" t="s">
        <v>31</v>
      </c>
      <c r="Q3190" s="1" t="s">
        <v>157</v>
      </c>
      <c r="R3190" s="1" t="s">
        <v>157</v>
      </c>
      <c r="S3190" s="1" t="s">
        <v>158</v>
      </c>
      <c r="U3190" s="1">
        <v>1.00574828E8</v>
      </c>
      <c r="X3190" s="1" t="s">
        <v>63</v>
      </c>
      <c r="Y3190" s="1" t="s">
        <v>9474</v>
      </c>
      <c r="Z3190" s="1" t="s">
        <v>37</v>
      </c>
    </row>
    <row r="3191" hidden="1">
      <c r="A3191" s="1" t="s">
        <v>9475</v>
      </c>
      <c r="B3191" s="1" t="s">
        <v>39</v>
      </c>
      <c r="C3191" s="1" t="s">
        <v>9476</v>
      </c>
      <c r="D3191" s="1" t="s">
        <v>27</v>
      </c>
      <c r="E3191" s="1" t="s">
        <v>28</v>
      </c>
      <c r="F3191" s="2">
        <v>260000.0</v>
      </c>
      <c r="G3191" s="1" t="s">
        <v>9477</v>
      </c>
      <c r="H3191" s="4">
        <f>IFERROR(__xludf.DUMMYFUNCTION("DATE(INDEX(SPLIT(G3191,""/""),,3),INDEX(SPLIT(G3191,""/""),,2),INDEX(SPLIT(G3191,""/""),,1))"),44152.0)</f>
        <v>44152</v>
      </c>
      <c r="I3191" s="1" t="s">
        <v>42</v>
      </c>
      <c r="J3191" s="4">
        <f>IFERROR(__xludf.DUMMYFUNCTION("DATE(INDEX(SPLIT(I3191,""/""),,3),INDEX(SPLIT(I3191,""/""),,2),INDEX(SPLIT(I3191,""/""),,1))"),44926.0)</f>
        <v>44926</v>
      </c>
      <c r="L3191" s="1">
        <v>0.0</v>
      </c>
      <c r="M3191" s="1" t="s">
        <v>9478</v>
      </c>
      <c r="N3191" s="1"/>
      <c r="O3191" s="1" t="s">
        <v>30</v>
      </c>
      <c r="P3191" s="1" t="s">
        <v>31</v>
      </c>
      <c r="Q3191" s="1" t="s">
        <v>228</v>
      </c>
      <c r="R3191" s="1" t="s">
        <v>228</v>
      </c>
      <c r="S3191" s="1" t="s">
        <v>229</v>
      </c>
      <c r="T3191" s="1" t="s">
        <v>513</v>
      </c>
      <c r="U3191" s="1">
        <v>1.00589357E8</v>
      </c>
      <c r="X3191" s="1" t="s">
        <v>46</v>
      </c>
      <c r="Y3191" s="1" t="s">
        <v>9478</v>
      </c>
      <c r="Z3191" s="1" t="s">
        <v>37</v>
      </c>
    </row>
    <row r="3192">
      <c r="A3192" s="1" t="s">
        <v>9479</v>
      </c>
      <c r="B3192" s="1" t="s">
        <v>1479</v>
      </c>
      <c r="C3192" s="1" t="s">
        <v>9480</v>
      </c>
      <c r="D3192" s="1" t="s">
        <v>27</v>
      </c>
      <c r="E3192" s="1" t="s">
        <v>28</v>
      </c>
      <c r="F3192" s="2">
        <v>260000.0</v>
      </c>
      <c r="G3192" s="4">
        <v>44686.0</v>
      </c>
      <c r="H3192" s="4">
        <f>IFERROR(__xludf.DUMMYFUNCTION("DATE(INDEX(SPLIT(G3192,""/""),,3),INDEX(SPLIT(G3192,""/""),,2),INDEX(SPLIT(G3192,""/""),,1))"),44686.0)</f>
        <v>44686</v>
      </c>
      <c r="I3192" s="1" t="s">
        <v>503</v>
      </c>
      <c r="J3192" s="4">
        <f>IFERROR(__xludf.DUMMYFUNCTION("DATE(INDEX(SPLIT(I3192,""/""),,3),INDEX(SPLIT(I3192,""/""),,2),INDEX(SPLIT(I3192,""/""),,1))"),44736.0)</f>
        <v>44736</v>
      </c>
      <c r="L3192" s="1">
        <v>0.0</v>
      </c>
      <c r="M3192" s="1" t="s">
        <v>5555</v>
      </c>
      <c r="N3192" s="1"/>
      <c r="O3192" s="1" t="s">
        <v>30</v>
      </c>
      <c r="P3192" s="1" t="s">
        <v>31</v>
      </c>
      <c r="Q3192" s="1" t="s">
        <v>228</v>
      </c>
      <c r="R3192" s="1" t="s">
        <v>228</v>
      </c>
      <c r="S3192" s="1" t="s">
        <v>229</v>
      </c>
      <c r="U3192" s="1">
        <v>1.00611354E8</v>
      </c>
      <c r="X3192" s="1" t="s">
        <v>305</v>
      </c>
      <c r="Y3192" s="1" t="s">
        <v>5555</v>
      </c>
      <c r="Z3192" s="1" t="s">
        <v>37</v>
      </c>
    </row>
    <row r="3193">
      <c r="A3193" s="1" t="s">
        <v>9481</v>
      </c>
      <c r="B3193" s="1" t="s">
        <v>9482</v>
      </c>
      <c r="C3193" s="1" t="s">
        <v>9483</v>
      </c>
      <c r="D3193" s="1" t="s">
        <v>78</v>
      </c>
      <c r="E3193" s="1" t="s">
        <v>28</v>
      </c>
      <c r="F3193" s="2">
        <v>256326.34</v>
      </c>
      <c r="G3193" s="1" t="s">
        <v>1442</v>
      </c>
      <c r="H3193" s="4">
        <f>IFERROR(__xludf.DUMMYFUNCTION("DATE(INDEX(SPLIT(G3193,""/""),,3),INDEX(SPLIT(G3193,""/""),,2),INDEX(SPLIT(G3193,""/""),,1))"),44727.0)</f>
        <v>44727</v>
      </c>
      <c r="I3193" s="1" t="s">
        <v>69</v>
      </c>
      <c r="J3193" s="4">
        <f>IFERROR(__xludf.DUMMYFUNCTION("DATE(INDEX(SPLIT(I3193,""/""),,3),INDEX(SPLIT(I3193,""/""),,2),INDEX(SPLIT(I3193,""/""),,1))"),44773.0)</f>
        <v>44773</v>
      </c>
      <c r="L3193" s="1">
        <v>0.0</v>
      </c>
      <c r="M3193" s="1" t="s">
        <v>620</v>
      </c>
      <c r="N3193" s="1"/>
      <c r="O3193" s="1" t="s">
        <v>30</v>
      </c>
      <c r="P3193" s="1" t="s">
        <v>31</v>
      </c>
      <c r="Q3193" s="1" t="s">
        <v>32</v>
      </c>
      <c r="R3193" s="1" t="s">
        <v>32</v>
      </c>
      <c r="S3193" s="1" t="s">
        <v>33</v>
      </c>
      <c r="U3193" s="1">
        <v>1.00609607E8</v>
      </c>
      <c r="X3193" s="1" t="s">
        <v>190</v>
      </c>
      <c r="Y3193" s="1" t="s">
        <v>9484</v>
      </c>
      <c r="Z3193" s="1" t="s">
        <v>37</v>
      </c>
    </row>
    <row r="3194" hidden="1">
      <c r="A3194" s="1" t="s">
        <v>9485</v>
      </c>
      <c r="B3194" s="1" t="s">
        <v>3673</v>
      </c>
      <c r="C3194" s="1" t="s">
        <v>9486</v>
      </c>
      <c r="D3194" s="1" t="s">
        <v>78</v>
      </c>
      <c r="E3194" s="1" t="s">
        <v>28</v>
      </c>
      <c r="F3194" s="2">
        <v>255000.0</v>
      </c>
      <c r="G3194" s="1" t="s">
        <v>1302</v>
      </c>
      <c r="H3194" s="4">
        <f>IFERROR(__xludf.DUMMYFUNCTION("DATE(INDEX(SPLIT(G3194,""/""),,3),INDEX(SPLIT(G3194,""/""),,2),INDEX(SPLIT(G3194,""/""),,1))"),44589.0)</f>
        <v>44589</v>
      </c>
      <c r="I3194" s="1" t="s">
        <v>548</v>
      </c>
      <c r="J3194" s="4">
        <f>IFERROR(__xludf.DUMMYFUNCTION("DATE(INDEX(SPLIT(I3194,""/""),,3),INDEX(SPLIT(I3194,""/""),,2),INDEX(SPLIT(I3194,""/""),,1))"),44946.0)</f>
        <v>44946</v>
      </c>
      <c r="L3194" s="1">
        <v>0.0</v>
      </c>
      <c r="M3194" s="1" t="s">
        <v>6691</v>
      </c>
      <c r="N3194" s="1"/>
      <c r="O3194" s="1" t="s">
        <v>30</v>
      </c>
      <c r="P3194" s="1" t="s">
        <v>31</v>
      </c>
      <c r="Q3194" s="1" t="s">
        <v>95</v>
      </c>
      <c r="R3194" s="1" t="s">
        <v>95</v>
      </c>
      <c r="S3194" s="1" t="s">
        <v>96</v>
      </c>
      <c r="T3194" s="1" t="s">
        <v>97</v>
      </c>
      <c r="U3194" s="1">
        <v>1.00694651E8</v>
      </c>
      <c r="X3194" s="1" t="s">
        <v>125</v>
      </c>
      <c r="Y3194" s="1" t="s">
        <v>7522</v>
      </c>
      <c r="Z3194" s="1" t="s">
        <v>37</v>
      </c>
    </row>
    <row r="3195" hidden="1">
      <c r="A3195" s="1" t="s">
        <v>9487</v>
      </c>
      <c r="B3195" s="1" t="s">
        <v>2265</v>
      </c>
      <c r="C3195" s="1" t="s">
        <v>9488</v>
      </c>
      <c r="D3195" s="1" t="s">
        <v>27</v>
      </c>
      <c r="E3195" s="1" t="s">
        <v>28</v>
      </c>
      <c r="F3195" s="2">
        <v>255000.0</v>
      </c>
      <c r="G3195" s="1" t="s">
        <v>185</v>
      </c>
      <c r="H3195" s="4">
        <f>IFERROR(__xludf.DUMMYFUNCTION("DATE(INDEX(SPLIT(G3195,""/""),,3),INDEX(SPLIT(G3195,""/""),,2),INDEX(SPLIT(G3195,""/""),,1))"),44741.0)</f>
        <v>44741</v>
      </c>
      <c r="I3195" s="4">
        <v>44662.0</v>
      </c>
      <c r="J3195" s="4">
        <f>IFERROR(__xludf.DUMMYFUNCTION("DATE(INDEX(SPLIT(I3195,""/""),,3),INDEX(SPLIT(I3195,""/""),,2),INDEX(SPLIT(I3195,""/""),,1))"),44869.0)</f>
        <v>44869</v>
      </c>
      <c r="L3195" s="1">
        <v>0.0</v>
      </c>
      <c r="M3195" s="1" t="s">
        <v>4705</v>
      </c>
      <c r="N3195" s="1"/>
      <c r="O3195" s="1" t="s">
        <v>30</v>
      </c>
      <c r="P3195" s="1" t="s">
        <v>31</v>
      </c>
      <c r="Q3195" s="1" t="s">
        <v>95</v>
      </c>
      <c r="R3195" s="1" t="s">
        <v>95</v>
      </c>
      <c r="S3195" s="1" t="s">
        <v>96</v>
      </c>
      <c r="U3195" s="1">
        <v>1.00615309E8</v>
      </c>
      <c r="X3195" s="1" t="s">
        <v>239</v>
      </c>
      <c r="Y3195" s="1" t="s">
        <v>4705</v>
      </c>
      <c r="Z3195" s="1" t="s">
        <v>527</v>
      </c>
    </row>
    <row r="3196" hidden="1">
      <c r="A3196" s="1" t="s">
        <v>9489</v>
      </c>
      <c r="B3196" s="1" t="s">
        <v>9490</v>
      </c>
      <c r="C3196" s="1" t="s">
        <v>9491</v>
      </c>
      <c r="D3196" s="1" t="s">
        <v>27</v>
      </c>
      <c r="E3196" s="1" t="s">
        <v>28</v>
      </c>
      <c r="F3196" s="2">
        <v>255000.0</v>
      </c>
      <c r="G3196" s="1" t="s">
        <v>418</v>
      </c>
      <c r="H3196" s="4">
        <f>IFERROR(__xludf.DUMMYFUNCTION("DATE(INDEX(SPLIT(G3196,""/""),,3),INDEX(SPLIT(G3196,""/""),,2),INDEX(SPLIT(G3196,""/""),,1))"),44755.0)</f>
        <v>44755</v>
      </c>
      <c r="I3196" s="1" t="s">
        <v>473</v>
      </c>
      <c r="J3196" s="4">
        <f>IFERROR(__xludf.DUMMYFUNCTION("DATE(INDEX(SPLIT(I3196,""/""),,3),INDEX(SPLIT(I3196,""/""),,2),INDEX(SPLIT(I3196,""/""),,1))"),45044.0)</f>
        <v>45044</v>
      </c>
      <c r="L3196" s="1">
        <v>0.0</v>
      </c>
      <c r="M3196" s="1" t="s">
        <v>2592</v>
      </c>
      <c r="N3196" s="1"/>
      <c r="O3196" s="1" t="s">
        <v>30</v>
      </c>
      <c r="P3196" s="1" t="s">
        <v>31</v>
      </c>
      <c r="Q3196" s="1" t="s">
        <v>71</v>
      </c>
      <c r="R3196" s="1" t="s">
        <v>71</v>
      </c>
      <c r="S3196" s="1" t="s">
        <v>72</v>
      </c>
      <c r="T3196" s="1" t="s">
        <v>136</v>
      </c>
      <c r="U3196" s="1">
        <v>1.00586452E8</v>
      </c>
      <c r="X3196" s="1" t="s">
        <v>74</v>
      </c>
      <c r="Y3196" s="1" t="s">
        <v>2593</v>
      </c>
      <c r="Z3196" s="1" t="s">
        <v>37</v>
      </c>
    </row>
    <row r="3197" hidden="1">
      <c r="A3197" s="1" t="s">
        <v>9492</v>
      </c>
      <c r="B3197" s="1" t="s">
        <v>396</v>
      </c>
      <c r="C3197" s="1" t="s">
        <v>9493</v>
      </c>
      <c r="D3197" s="1" t="s">
        <v>122</v>
      </c>
      <c r="E3197" s="1" t="s">
        <v>28</v>
      </c>
      <c r="F3197" s="2">
        <v>255000.0</v>
      </c>
      <c r="G3197" s="4">
        <v>44653.0</v>
      </c>
      <c r="H3197" s="4">
        <f>IFERROR(__xludf.DUMMYFUNCTION("DATE(INDEX(SPLIT(G3197,""/""),,3),INDEX(SPLIT(G3197,""/""),,2),INDEX(SPLIT(G3197,""/""),,1))"),44596.0)</f>
        <v>44596</v>
      </c>
      <c r="I3197" s="1" t="s">
        <v>130</v>
      </c>
      <c r="J3197" s="4">
        <f>IFERROR(__xludf.DUMMYFUNCTION("DATE(INDEX(SPLIT(I3197,""/""),,3),INDEX(SPLIT(I3197,""/""),,2),INDEX(SPLIT(I3197,""/""),,1))"),44804.0)</f>
        <v>44804</v>
      </c>
      <c r="L3197" s="1">
        <v>0.0</v>
      </c>
      <c r="M3197" s="1" t="s">
        <v>4432</v>
      </c>
      <c r="N3197" s="1"/>
      <c r="O3197" s="1" t="s">
        <v>30</v>
      </c>
      <c r="P3197" s="1" t="s">
        <v>31</v>
      </c>
      <c r="Q3197" s="1" t="s">
        <v>32</v>
      </c>
      <c r="R3197" s="1" t="s">
        <v>32</v>
      </c>
      <c r="S3197" s="1" t="s">
        <v>33</v>
      </c>
      <c r="T3197" s="1" t="s">
        <v>103</v>
      </c>
      <c r="U3197" s="1">
        <v>1.00584558E8</v>
      </c>
      <c r="X3197" s="1" t="s">
        <v>46</v>
      </c>
      <c r="Y3197" s="1" t="s">
        <v>9494</v>
      </c>
      <c r="Z3197" s="1" t="s">
        <v>37</v>
      </c>
    </row>
    <row r="3198" hidden="1">
      <c r="A3198" s="1" t="s">
        <v>9495</v>
      </c>
      <c r="B3198" s="1" t="s">
        <v>612</v>
      </c>
      <c r="C3198" s="1" t="s">
        <v>9496</v>
      </c>
      <c r="D3198" s="1" t="s">
        <v>122</v>
      </c>
      <c r="E3198" s="1" t="s">
        <v>28</v>
      </c>
      <c r="F3198" s="2">
        <v>255000.0</v>
      </c>
      <c r="G3198" s="4">
        <v>44902.0</v>
      </c>
      <c r="H3198" s="4">
        <f>IFERROR(__xludf.DUMMYFUNCTION("DATE(INDEX(SPLIT(G3198,""/""),,3),INDEX(SPLIT(G3198,""/""),,2),INDEX(SPLIT(G3198,""/""),,1))"),44754.0)</f>
        <v>44754</v>
      </c>
      <c r="I3198" s="4">
        <v>44689.0</v>
      </c>
      <c r="J3198" s="4">
        <f>IFERROR(__xludf.DUMMYFUNCTION("DATE(INDEX(SPLIT(I3198,""/""),,3),INDEX(SPLIT(I3198,""/""),,2),INDEX(SPLIT(I3198,""/""),,1))"),44778.0)</f>
        <v>44778</v>
      </c>
      <c r="L3198" s="1">
        <v>0.0</v>
      </c>
      <c r="M3198" s="1" t="s">
        <v>4455</v>
      </c>
      <c r="N3198" s="1"/>
      <c r="O3198" s="1" t="s">
        <v>30</v>
      </c>
      <c r="P3198" s="1" t="s">
        <v>31</v>
      </c>
      <c r="Q3198" s="1" t="s">
        <v>157</v>
      </c>
      <c r="R3198" s="1" t="s">
        <v>157</v>
      </c>
      <c r="S3198" s="1" t="s">
        <v>158</v>
      </c>
      <c r="U3198" s="1">
        <v>1.00910245E8</v>
      </c>
      <c r="X3198" s="1" t="s">
        <v>490</v>
      </c>
      <c r="Y3198" s="1" t="s">
        <v>9497</v>
      </c>
      <c r="Z3198" s="1" t="s">
        <v>37</v>
      </c>
    </row>
    <row r="3199" hidden="1">
      <c r="A3199" s="1" t="s">
        <v>9498</v>
      </c>
      <c r="B3199" s="1" t="s">
        <v>9499</v>
      </c>
      <c r="C3199" s="1" t="s">
        <v>9500</v>
      </c>
      <c r="D3199" s="1" t="s">
        <v>122</v>
      </c>
      <c r="E3199" s="1" t="s">
        <v>28</v>
      </c>
      <c r="F3199" s="2">
        <v>252213.0</v>
      </c>
      <c r="G3199" s="4">
        <v>44475.0</v>
      </c>
      <c r="H3199" s="4">
        <f>IFERROR(__xludf.DUMMYFUNCTION("DATE(INDEX(SPLIT(G3199,""/""),,3),INDEX(SPLIT(G3199,""/""),,2),INDEX(SPLIT(G3199,""/""),,1))"),44357.0)</f>
        <v>44357</v>
      </c>
      <c r="I3199" s="1" t="s">
        <v>130</v>
      </c>
      <c r="J3199" s="4">
        <f>IFERROR(__xludf.DUMMYFUNCTION("DATE(INDEX(SPLIT(I3199,""/""),,3),INDEX(SPLIT(I3199,""/""),,2),INDEX(SPLIT(I3199,""/""),,1))"),44804.0)</f>
        <v>44804</v>
      </c>
      <c r="K3199" s="9">
        <v>44475.05902777778</v>
      </c>
      <c r="L3199" s="1">
        <v>0.0</v>
      </c>
      <c r="M3199" s="1" t="s">
        <v>4738</v>
      </c>
      <c r="N3199" s="1"/>
      <c r="O3199" s="1" t="s">
        <v>30</v>
      </c>
      <c r="P3199" s="1" t="s">
        <v>31</v>
      </c>
      <c r="Q3199" s="1" t="s">
        <v>228</v>
      </c>
      <c r="R3199" s="1" t="s">
        <v>228</v>
      </c>
      <c r="S3199" s="1" t="s">
        <v>229</v>
      </c>
      <c r="T3199" s="1" t="s">
        <v>513</v>
      </c>
      <c r="U3199" s="1">
        <v>1.00888587E8</v>
      </c>
      <c r="V3199" s="1" t="s">
        <v>9501</v>
      </c>
      <c r="W3199" s="1" t="s">
        <v>2556</v>
      </c>
      <c r="X3199" s="1" t="s">
        <v>117</v>
      </c>
      <c r="Y3199" s="1" t="s">
        <v>5688</v>
      </c>
      <c r="Z3199" s="1" t="s">
        <v>206</v>
      </c>
    </row>
    <row r="3200" hidden="1">
      <c r="A3200" s="1" t="s">
        <v>9502</v>
      </c>
      <c r="B3200" s="1" t="s">
        <v>9503</v>
      </c>
      <c r="C3200" s="1" t="s">
        <v>9504</v>
      </c>
      <c r="D3200" s="1" t="s">
        <v>27</v>
      </c>
      <c r="E3200" s="1" t="s">
        <v>28</v>
      </c>
      <c r="F3200" s="2">
        <v>250000.0</v>
      </c>
      <c r="G3200" s="4">
        <v>44350.0</v>
      </c>
      <c r="H3200" s="4">
        <f>IFERROR(__xludf.DUMMYFUNCTION("DATE(INDEX(SPLIT(G3200,""/""),,3),INDEX(SPLIT(G3200,""/""),,2),INDEX(SPLIT(G3200,""/""),,1))"),44261.0)</f>
        <v>44261</v>
      </c>
      <c r="I3200" s="1" t="s">
        <v>2227</v>
      </c>
      <c r="J3200" s="4">
        <f>IFERROR(__xludf.DUMMYFUNCTION("DATE(INDEX(SPLIT(I3200,""/""),,3),INDEX(SPLIT(I3200,""/""),,2),INDEX(SPLIT(I3200,""/""),,1))"),44912.0)</f>
        <v>44912</v>
      </c>
      <c r="L3200" s="1">
        <v>0.0</v>
      </c>
      <c r="M3200" s="1" t="s">
        <v>2787</v>
      </c>
      <c r="N3200" s="1"/>
      <c r="O3200" s="1" t="s">
        <v>30</v>
      </c>
      <c r="P3200" s="1" t="s">
        <v>31</v>
      </c>
      <c r="Q3200" s="1" t="s">
        <v>157</v>
      </c>
      <c r="R3200" s="1" t="s">
        <v>157</v>
      </c>
      <c r="S3200" s="1" t="s">
        <v>158</v>
      </c>
      <c r="T3200" s="1" t="s">
        <v>442</v>
      </c>
      <c r="U3200" s="1">
        <v>1.00708984E8</v>
      </c>
      <c r="X3200" s="1" t="s">
        <v>98</v>
      </c>
      <c r="Y3200" s="1" t="s">
        <v>9505</v>
      </c>
      <c r="Z3200" s="1" t="s">
        <v>37</v>
      </c>
    </row>
    <row r="3201" hidden="1">
      <c r="A3201" s="1" t="s">
        <v>9506</v>
      </c>
      <c r="B3201" s="1" t="s">
        <v>5976</v>
      </c>
      <c r="C3201" s="1" t="s">
        <v>9507</v>
      </c>
      <c r="D3201" s="1" t="s">
        <v>27</v>
      </c>
      <c r="E3201" s="1" t="s">
        <v>28</v>
      </c>
      <c r="F3201" s="2">
        <v>250000.0</v>
      </c>
      <c r="G3201" s="4">
        <v>44599.0</v>
      </c>
      <c r="H3201" s="4">
        <f>IFERROR(__xludf.DUMMYFUNCTION("DATE(INDEX(SPLIT(G3201,""/""),,3),INDEX(SPLIT(G3201,""/""),,2),INDEX(SPLIT(G3201,""/""),,1))"),44744.0)</f>
        <v>44744</v>
      </c>
      <c r="I3201" s="4">
        <v>44573.0</v>
      </c>
      <c r="J3201" s="4">
        <f>IFERROR(__xludf.DUMMYFUNCTION("DATE(INDEX(SPLIT(I3201,""/""),,3),INDEX(SPLIT(I3201,""/""),,2),INDEX(SPLIT(I3201,""/""),,1))"),44896.0)</f>
        <v>44896</v>
      </c>
      <c r="L3201" s="1">
        <v>0.0</v>
      </c>
      <c r="M3201" s="1" t="s">
        <v>9508</v>
      </c>
      <c r="N3201" s="1"/>
      <c r="O3201" s="1" t="s">
        <v>30</v>
      </c>
      <c r="P3201" s="1" t="s">
        <v>31</v>
      </c>
      <c r="Q3201" s="1" t="s">
        <v>235</v>
      </c>
      <c r="R3201" s="1" t="s">
        <v>235</v>
      </c>
      <c r="S3201" s="1" t="s">
        <v>236</v>
      </c>
      <c r="U3201" s="1">
        <v>1.01218675E8</v>
      </c>
      <c r="X3201" s="1" t="s">
        <v>190</v>
      </c>
      <c r="Y3201" s="1" t="s">
        <v>9508</v>
      </c>
      <c r="Z3201" s="1" t="s">
        <v>206</v>
      </c>
    </row>
    <row r="3202" hidden="1">
      <c r="A3202" s="1" t="s">
        <v>9509</v>
      </c>
      <c r="B3202" s="1" t="s">
        <v>1144</v>
      </c>
      <c r="C3202" s="1" t="s">
        <v>9510</v>
      </c>
      <c r="D3202" s="1" t="s">
        <v>78</v>
      </c>
      <c r="E3202" s="1" t="s">
        <v>28</v>
      </c>
      <c r="F3202" s="2">
        <v>250000.0</v>
      </c>
      <c r="G3202" s="1" t="s">
        <v>5176</v>
      </c>
      <c r="H3202" s="4">
        <f>IFERROR(__xludf.DUMMYFUNCTION("DATE(INDEX(SPLIT(G3202,""/""),,3),INDEX(SPLIT(G3202,""/""),,2),INDEX(SPLIT(G3202,""/""),,1))"),44585.0)</f>
        <v>44585</v>
      </c>
      <c r="I3202" s="1" t="s">
        <v>109</v>
      </c>
      <c r="J3202" s="4">
        <f>IFERROR(__xludf.DUMMYFUNCTION("DATE(INDEX(SPLIT(I3202,""/""),,3),INDEX(SPLIT(I3202,""/""),,2),INDEX(SPLIT(I3202,""/""),,1))"),44834.0)</f>
        <v>44834</v>
      </c>
      <c r="L3202" s="1">
        <v>0.0</v>
      </c>
      <c r="M3202" s="1" t="s">
        <v>3839</v>
      </c>
      <c r="N3202" s="1"/>
      <c r="O3202" s="1" t="s">
        <v>30</v>
      </c>
      <c r="P3202" s="1" t="s">
        <v>31</v>
      </c>
      <c r="Q3202" s="1" t="s">
        <v>53</v>
      </c>
      <c r="R3202" s="1" t="s">
        <v>53</v>
      </c>
      <c r="S3202" s="1" t="s">
        <v>54</v>
      </c>
      <c r="U3202" s="1">
        <v>1.00613342E8</v>
      </c>
      <c r="X3202" s="1" t="s">
        <v>63</v>
      </c>
      <c r="Y3202" s="1" t="s">
        <v>787</v>
      </c>
      <c r="Z3202" s="1" t="s">
        <v>527</v>
      </c>
    </row>
    <row r="3203" hidden="1">
      <c r="A3203" s="1" t="s">
        <v>9511</v>
      </c>
      <c r="B3203" s="1" t="s">
        <v>5260</v>
      </c>
      <c r="C3203" s="1" t="s">
        <v>9512</v>
      </c>
      <c r="D3203" s="1" t="s">
        <v>27</v>
      </c>
      <c r="E3203" s="1" t="s">
        <v>28</v>
      </c>
      <c r="F3203" s="2">
        <v>250000.0</v>
      </c>
      <c r="G3203" s="1" t="s">
        <v>2387</v>
      </c>
      <c r="H3203" s="4">
        <f>IFERROR(__xludf.DUMMYFUNCTION("DATE(INDEX(SPLIT(G3203,""/""),,3),INDEX(SPLIT(G3203,""/""),,2),INDEX(SPLIT(G3203,""/""),,1))"),44274.0)</f>
        <v>44274</v>
      </c>
      <c r="I3203" s="1" t="s">
        <v>130</v>
      </c>
      <c r="J3203" s="4">
        <f>IFERROR(__xludf.DUMMYFUNCTION("DATE(INDEX(SPLIT(I3203,""/""),,3),INDEX(SPLIT(I3203,""/""),,2),INDEX(SPLIT(I3203,""/""),,1))"),44804.0)</f>
        <v>44804</v>
      </c>
      <c r="L3203" s="1">
        <v>0.0</v>
      </c>
      <c r="M3203" s="1" t="s">
        <v>3601</v>
      </c>
      <c r="N3203" s="1"/>
      <c r="O3203" s="1" t="s">
        <v>30</v>
      </c>
      <c r="P3203" s="1" t="s">
        <v>31</v>
      </c>
      <c r="Q3203" s="1" t="s">
        <v>71</v>
      </c>
      <c r="R3203" s="1" t="s">
        <v>71</v>
      </c>
      <c r="S3203" s="1" t="s">
        <v>72</v>
      </c>
      <c r="T3203" s="1" t="s">
        <v>136</v>
      </c>
      <c r="U3203" s="1">
        <v>1.00611547E8</v>
      </c>
      <c r="X3203" s="1" t="s">
        <v>74</v>
      </c>
      <c r="Y3203" s="1" t="s">
        <v>3601</v>
      </c>
      <c r="Z3203" s="1" t="s">
        <v>37</v>
      </c>
    </row>
    <row r="3204" hidden="1">
      <c r="A3204" s="1" t="s">
        <v>9513</v>
      </c>
      <c r="B3204" s="1" t="s">
        <v>416</v>
      </c>
      <c r="C3204" s="1" t="s">
        <v>9514</v>
      </c>
      <c r="D3204" s="1" t="s">
        <v>78</v>
      </c>
      <c r="E3204" s="1" t="s">
        <v>28</v>
      </c>
      <c r="F3204" s="2">
        <v>250000.0</v>
      </c>
      <c r="G3204" s="1" t="s">
        <v>1364</v>
      </c>
      <c r="H3204" s="4">
        <f>IFERROR(__xludf.DUMMYFUNCTION("DATE(INDEX(SPLIT(G3204,""/""),,3),INDEX(SPLIT(G3204,""/""),,2),INDEX(SPLIT(G3204,""/""),,1))"),44676.0)</f>
        <v>44676</v>
      </c>
      <c r="I3204" s="1" t="s">
        <v>109</v>
      </c>
      <c r="J3204" s="4">
        <f>IFERROR(__xludf.DUMMYFUNCTION("DATE(INDEX(SPLIT(I3204,""/""),,3),INDEX(SPLIT(I3204,""/""),,2),INDEX(SPLIT(I3204,""/""),,1))"),44834.0)</f>
        <v>44834</v>
      </c>
      <c r="L3204" s="1">
        <v>0.0</v>
      </c>
      <c r="M3204" s="1" t="s">
        <v>211</v>
      </c>
      <c r="N3204" s="1"/>
      <c r="O3204" s="1" t="s">
        <v>30</v>
      </c>
      <c r="P3204" s="1" t="s">
        <v>31</v>
      </c>
      <c r="Q3204" s="1" t="s">
        <v>71</v>
      </c>
      <c r="R3204" s="1" t="s">
        <v>71</v>
      </c>
      <c r="S3204" s="1" t="s">
        <v>72</v>
      </c>
      <c r="T3204" s="1" t="s">
        <v>136</v>
      </c>
      <c r="U3204" s="1">
        <v>1.00590896E8</v>
      </c>
      <c r="X3204" s="1" t="s">
        <v>74</v>
      </c>
      <c r="Y3204" s="1" t="s">
        <v>3280</v>
      </c>
      <c r="Z3204" s="1" t="s">
        <v>37</v>
      </c>
    </row>
    <row r="3205">
      <c r="A3205" s="1" t="s">
        <v>9515</v>
      </c>
      <c r="B3205" s="1" t="s">
        <v>9503</v>
      </c>
      <c r="C3205" s="1" t="s">
        <v>9516</v>
      </c>
      <c r="D3205" s="1" t="s">
        <v>27</v>
      </c>
      <c r="E3205" s="1" t="s">
        <v>28</v>
      </c>
      <c r="F3205" s="2">
        <v>250000.0</v>
      </c>
      <c r="G3205" s="4">
        <v>44746.0</v>
      </c>
      <c r="H3205" s="4">
        <f>IFERROR(__xludf.DUMMYFUNCTION("DATE(INDEX(SPLIT(G3205,""/""),,3),INDEX(SPLIT(G3205,""/""),,2),INDEX(SPLIT(G3205,""/""),,1))"),44658.0)</f>
        <v>44658</v>
      </c>
      <c r="I3205" s="4">
        <v>44780.0</v>
      </c>
      <c r="J3205" s="4">
        <f>IFERROR(__xludf.DUMMYFUNCTION("DATE(INDEX(SPLIT(I3205,""/""),,3),INDEX(SPLIT(I3205,""/""),,2),INDEX(SPLIT(I3205,""/""),,1))"),44750.0)</f>
        <v>44750</v>
      </c>
      <c r="L3205" s="1">
        <v>0.0</v>
      </c>
      <c r="M3205" s="1" t="s">
        <v>3538</v>
      </c>
      <c r="N3205" s="1"/>
      <c r="O3205" s="1" t="s">
        <v>30</v>
      </c>
      <c r="P3205" s="1" t="s">
        <v>31</v>
      </c>
      <c r="Q3205" s="1" t="s">
        <v>32</v>
      </c>
      <c r="R3205" s="1" t="s">
        <v>32</v>
      </c>
      <c r="S3205" s="1" t="s">
        <v>33</v>
      </c>
      <c r="U3205" s="1">
        <v>1.00589892E8</v>
      </c>
      <c r="X3205" s="1" t="s">
        <v>98</v>
      </c>
      <c r="Y3205" s="1" t="s">
        <v>3538</v>
      </c>
      <c r="Z3205" s="1" t="s">
        <v>527</v>
      </c>
    </row>
    <row r="3206">
      <c r="A3206" s="1" t="s">
        <v>9517</v>
      </c>
      <c r="B3206" s="1" t="s">
        <v>9437</v>
      </c>
      <c r="C3206" s="1" t="s">
        <v>9518</v>
      </c>
      <c r="D3206" s="1" t="s">
        <v>122</v>
      </c>
      <c r="E3206" s="1" t="s">
        <v>28</v>
      </c>
      <c r="F3206" s="2">
        <v>250000.0</v>
      </c>
      <c r="G3206" s="1" t="s">
        <v>779</v>
      </c>
      <c r="H3206" s="4">
        <f>IFERROR(__xludf.DUMMYFUNCTION("DATE(INDEX(SPLIT(G3206,""/""),,3),INDEX(SPLIT(G3206,""/""),,2),INDEX(SPLIT(G3206,""/""),,1))"),44734.0)</f>
        <v>44734</v>
      </c>
      <c r="I3206" s="1" t="s">
        <v>226</v>
      </c>
      <c r="J3206" s="4">
        <f>IFERROR(__xludf.DUMMYFUNCTION("DATE(INDEX(SPLIT(I3206,""/""),,3),INDEX(SPLIT(I3206,""/""),,2),INDEX(SPLIT(I3206,""/""),,1))"),44771.0)</f>
        <v>44771</v>
      </c>
      <c r="L3206" s="1">
        <v>0.0</v>
      </c>
      <c r="M3206" s="1" t="s">
        <v>6055</v>
      </c>
      <c r="N3206" s="1"/>
      <c r="O3206" s="1" t="s">
        <v>30</v>
      </c>
      <c r="P3206" s="1" t="s">
        <v>31</v>
      </c>
      <c r="Q3206" s="1" t="s">
        <v>1320</v>
      </c>
      <c r="R3206" s="1" t="s">
        <v>1320</v>
      </c>
      <c r="S3206" s="1" t="s">
        <v>54</v>
      </c>
      <c r="U3206" s="1">
        <v>1.00591095E8</v>
      </c>
      <c r="X3206" s="1" t="s">
        <v>117</v>
      </c>
      <c r="Y3206" s="1" t="s">
        <v>1321</v>
      </c>
      <c r="Z3206" s="1" t="s">
        <v>37</v>
      </c>
    </row>
    <row r="3207">
      <c r="A3207" s="1" t="s">
        <v>9519</v>
      </c>
      <c r="B3207" s="1" t="s">
        <v>1371</v>
      </c>
      <c r="C3207" s="1" t="s">
        <v>9520</v>
      </c>
      <c r="D3207" s="1" t="s">
        <v>122</v>
      </c>
      <c r="E3207" s="1" t="s">
        <v>28</v>
      </c>
      <c r="F3207" s="2">
        <v>250000.0</v>
      </c>
      <c r="G3207" s="4">
        <v>44840.0</v>
      </c>
      <c r="H3207" s="4">
        <f>IFERROR(__xludf.DUMMYFUNCTION("DATE(INDEX(SPLIT(G3207,""/""),,3),INDEX(SPLIT(G3207,""/""),,2),INDEX(SPLIT(G3207,""/""),,1))"),44722.0)</f>
        <v>44722</v>
      </c>
      <c r="I3207" s="4">
        <v>44568.0</v>
      </c>
      <c r="J3207" s="4">
        <f>IFERROR(__xludf.DUMMYFUNCTION("DATE(INDEX(SPLIT(I3207,""/""),,3),INDEX(SPLIT(I3207,""/""),,2),INDEX(SPLIT(I3207,""/""),,1))"),44743.0)</f>
        <v>44743</v>
      </c>
      <c r="L3207" s="1">
        <v>0.0</v>
      </c>
      <c r="M3207" s="1" t="s">
        <v>1484</v>
      </c>
      <c r="N3207" s="1"/>
      <c r="O3207" s="1" t="s">
        <v>30</v>
      </c>
      <c r="P3207" s="1" t="s">
        <v>31</v>
      </c>
      <c r="Q3207" s="1" t="s">
        <v>95</v>
      </c>
      <c r="R3207" s="1" t="s">
        <v>95</v>
      </c>
      <c r="S3207" s="1" t="s">
        <v>96</v>
      </c>
      <c r="T3207" s="1" t="s">
        <v>111</v>
      </c>
      <c r="U3207" s="1">
        <v>1.00585718E8</v>
      </c>
      <c r="X3207" s="1" t="s">
        <v>63</v>
      </c>
      <c r="Y3207" s="1" t="s">
        <v>3541</v>
      </c>
      <c r="Z3207" s="1" t="s">
        <v>37</v>
      </c>
    </row>
    <row r="3208">
      <c r="A3208" s="1" t="s">
        <v>9521</v>
      </c>
      <c r="B3208" s="1" t="s">
        <v>3008</v>
      </c>
      <c r="C3208" s="1" t="s">
        <v>9522</v>
      </c>
      <c r="D3208" s="1" t="s">
        <v>78</v>
      </c>
      <c r="E3208" s="1" t="s">
        <v>28</v>
      </c>
      <c r="F3208" s="2">
        <v>250000.0</v>
      </c>
      <c r="G3208" s="1" t="s">
        <v>2110</v>
      </c>
      <c r="H3208" s="4">
        <f>IFERROR(__xludf.DUMMYFUNCTION("DATE(INDEX(SPLIT(G3208,""/""),,3),INDEX(SPLIT(G3208,""/""),,2),INDEX(SPLIT(G3208,""/""),,1))"),44650.0)</f>
        <v>44650</v>
      </c>
      <c r="I3208" s="1" t="s">
        <v>226</v>
      </c>
      <c r="J3208" s="4">
        <f>IFERROR(__xludf.DUMMYFUNCTION("DATE(INDEX(SPLIT(I3208,""/""),,3),INDEX(SPLIT(I3208,""/""),,2),INDEX(SPLIT(I3208,""/""),,1))"),44771.0)</f>
        <v>44771</v>
      </c>
      <c r="L3208" s="1">
        <v>0.0</v>
      </c>
      <c r="M3208" s="1" t="s">
        <v>3474</v>
      </c>
      <c r="N3208" s="1"/>
      <c r="O3208" s="1" t="s">
        <v>30</v>
      </c>
      <c r="P3208" s="1" t="s">
        <v>31</v>
      </c>
      <c r="Q3208" s="1" t="s">
        <v>95</v>
      </c>
      <c r="R3208" s="1" t="s">
        <v>95</v>
      </c>
      <c r="S3208" s="1" t="s">
        <v>96</v>
      </c>
      <c r="U3208" s="1">
        <v>1.00650841E8</v>
      </c>
      <c r="X3208" s="1" t="s">
        <v>490</v>
      </c>
      <c r="Y3208" s="1" t="s">
        <v>3474</v>
      </c>
      <c r="Z3208" s="1" t="s">
        <v>37</v>
      </c>
    </row>
    <row r="3209" hidden="1">
      <c r="A3209" s="1" t="s">
        <v>9523</v>
      </c>
      <c r="B3209" s="1" t="s">
        <v>392</v>
      </c>
      <c r="C3209" s="1" t="s">
        <v>9524</v>
      </c>
      <c r="D3209" s="1" t="s">
        <v>27</v>
      </c>
      <c r="E3209" s="1" t="s">
        <v>28</v>
      </c>
      <c r="F3209" s="2">
        <v>250000.0</v>
      </c>
      <c r="G3209" s="4">
        <v>44598.0</v>
      </c>
      <c r="H3209" s="4">
        <f>IFERROR(__xludf.DUMMYFUNCTION("DATE(INDEX(SPLIT(G3209,""/""),,3),INDEX(SPLIT(G3209,""/""),,2),INDEX(SPLIT(G3209,""/""),,1))"),44714.0)</f>
        <v>44714</v>
      </c>
      <c r="I3209" s="1" t="s">
        <v>317</v>
      </c>
      <c r="J3209" s="4">
        <f>IFERROR(__xludf.DUMMYFUNCTION("DATE(INDEX(SPLIT(I3209,""/""),,3),INDEX(SPLIT(I3209,""/""),,2),INDEX(SPLIT(I3209,""/""),,1))"),44862.0)</f>
        <v>44862</v>
      </c>
      <c r="L3209" s="1">
        <v>0.0</v>
      </c>
      <c r="M3209" s="1" t="s">
        <v>9372</v>
      </c>
      <c r="N3209" s="1"/>
      <c r="O3209" s="1" t="s">
        <v>30</v>
      </c>
      <c r="P3209" s="1" t="s">
        <v>31</v>
      </c>
      <c r="Q3209" s="1" t="s">
        <v>1320</v>
      </c>
      <c r="R3209" s="1" t="s">
        <v>1320</v>
      </c>
      <c r="S3209" s="1" t="s">
        <v>236</v>
      </c>
      <c r="T3209" s="1" t="s">
        <v>571</v>
      </c>
      <c r="U3209" s="1">
        <v>1.01146755E8</v>
      </c>
      <c r="X3209" s="1" t="s">
        <v>239</v>
      </c>
      <c r="Y3209" s="1" t="s">
        <v>9525</v>
      </c>
      <c r="Z3209" s="1" t="s">
        <v>206</v>
      </c>
    </row>
    <row r="3210">
      <c r="A3210" s="1" t="s">
        <v>9526</v>
      </c>
      <c r="B3210" s="1" t="s">
        <v>9527</v>
      </c>
      <c r="C3210" s="1" t="s">
        <v>9528</v>
      </c>
      <c r="D3210" s="1" t="s">
        <v>27</v>
      </c>
      <c r="E3210" s="1" t="s">
        <v>28</v>
      </c>
      <c r="F3210" s="2">
        <v>250000.0</v>
      </c>
      <c r="G3210" s="1" t="s">
        <v>1357</v>
      </c>
      <c r="H3210" s="4">
        <f>IFERROR(__xludf.DUMMYFUNCTION("DATE(INDEX(SPLIT(G3210,""/""),,3),INDEX(SPLIT(G3210,""/""),,2),INDEX(SPLIT(G3210,""/""),,1))"),44398.0)</f>
        <v>44398</v>
      </c>
      <c r="I3210" s="1" t="s">
        <v>2300</v>
      </c>
      <c r="J3210" s="4">
        <f>IFERROR(__xludf.DUMMYFUNCTION("DATE(INDEX(SPLIT(I3210,""/""),,3),INDEX(SPLIT(I3210,""/""),,2),INDEX(SPLIT(I3210,""/""),,1))"),44712.0)</f>
        <v>44712</v>
      </c>
      <c r="L3210" s="1">
        <v>0.0</v>
      </c>
      <c r="M3210" s="1" t="s">
        <v>3580</v>
      </c>
      <c r="N3210" s="1"/>
      <c r="O3210" s="1" t="s">
        <v>30</v>
      </c>
      <c r="P3210" s="1" t="s">
        <v>31</v>
      </c>
      <c r="Q3210" s="1" t="s">
        <v>157</v>
      </c>
      <c r="R3210" s="1" t="s">
        <v>157</v>
      </c>
      <c r="S3210" s="1" t="s">
        <v>158</v>
      </c>
      <c r="T3210" s="1" t="s">
        <v>571</v>
      </c>
      <c r="U3210" s="1">
        <v>1.00956516E8</v>
      </c>
      <c r="X3210" s="1" t="s">
        <v>239</v>
      </c>
      <c r="Y3210" s="1" t="s">
        <v>3580</v>
      </c>
      <c r="Z3210" s="1" t="s">
        <v>37</v>
      </c>
    </row>
    <row r="3211">
      <c r="A3211" s="1" t="s">
        <v>9529</v>
      </c>
      <c r="B3211" s="1" t="s">
        <v>1291</v>
      </c>
      <c r="C3211" s="1" t="s">
        <v>9530</v>
      </c>
      <c r="D3211" s="1" t="s">
        <v>122</v>
      </c>
      <c r="E3211" s="1" t="s">
        <v>28</v>
      </c>
      <c r="F3211" s="2">
        <v>250000.0</v>
      </c>
      <c r="G3211" s="4">
        <v>44840.0</v>
      </c>
      <c r="H3211" s="4">
        <f>IFERROR(__xludf.DUMMYFUNCTION("DATE(INDEX(SPLIT(G3211,""/""),,3),INDEX(SPLIT(G3211,""/""),,2),INDEX(SPLIT(G3211,""/""),,1))"),44722.0)</f>
        <v>44722</v>
      </c>
      <c r="I3211" s="1" t="s">
        <v>226</v>
      </c>
      <c r="J3211" s="4">
        <f>IFERROR(__xludf.DUMMYFUNCTION("DATE(INDEX(SPLIT(I3211,""/""),,3),INDEX(SPLIT(I3211,""/""),,2),INDEX(SPLIT(I3211,""/""),,1))"),44771.0)</f>
        <v>44771</v>
      </c>
      <c r="L3211" s="1">
        <v>0.0</v>
      </c>
      <c r="M3211" s="1" t="s">
        <v>494</v>
      </c>
      <c r="N3211" s="1"/>
      <c r="O3211" s="1" t="s">
        <v>30</v>
      </c>
      <c r="P3211" s="1" t="s">
        <v>31</v>
      </c>
      <c r="Q3211" s="1" t="s">
        <v>95</v>
      </c>
      <c r="R3211" s="1" t="s">
        <v>95</v>
      </c>
      <c r="S3211" s="1" t="s">
        <v>96</v>
      </c>
      <c r="T3211" s="1" t="s">
        <v>311</v>
      </c>
      <c r="U3211" s="1">
        <v>1.0062347E8</v>
      </c>
      <c r="X3211" s="1" t="s">
        <v>312</v>
      </c>
      <c r="Y3211" s="1" t="s">
        <v>5363</v>
      </c>
      <c r="Z3211" s="1" t="s">
        <v>37</v>
      </c>
    </row>
    <row r="3212">
      <c r="A3212" s="1" t="s">
        <v>9531</v>
      </c>
      <c r="B3212" s="1" t="s">
        <v>9532</v>
      </c>
      <c r="C3212" s="1" t="s">
        <v>7978</v>
      </c>
      <c r="D3212" s="1" t="s">
        <v>27</v>
      </c>
      <c r="E3212" s="1" t="s">
        <v>28</v>
      </c>
      <c r="F3212" s="2">
        <v>250000.0</v>
      </c>
      <c r="G3212" s="1" t="s">
        <v>394</v>
      </c>
      <c r="H3212" s="4">
        <f>IFERROR(__xludf.DUMMYFUNCTION("DATE(INDEX(SPLIT(G3212,""/""),,3),INDEX(SPLIT(G3212,""/""),,2),INDEX(SPLIT(G3212,""/""),,1))"),44677.0)</f>
        <v>44677</v>
      </c>
      <c r="I3212" s="1" t="s">
        <v>414</v>
      </c>
      <c r="J3212" s="4">
        <f>IFERROR(__xludf.DUMMYFUNCTION("DATE(INDEX(SPLIT(I3212,""/""),,3),INDEX(SPLIT(I3212,""/""),,2),INDEX(SPLIT(I3212,""/""),,1))"),44772.0)</f>
        <v>44772</v>
      </c>
      <c r="L3212" s="1">
        <v>0.0</v>
      </c>
      <c r="M3212" s="1" t="s">
        <v>4111</v>
      </c>
      <c r="N3212" s="1"/>
      <c r="O3212" s="1" t="s">
        <v>30</v>
      </c>
      <c r="P3212" s="1" t="s">
        <v>31</v>
      </c>
      <c r="Q3212" s="1" t="s">
        <v>32</v>
      </c>
      <c r="R3212" s="1" t="s">
        <v>32</v>
      </c>
      <c r="S3212" s="1" t="s">
        <v>33</v>
      </c>
      <c r="U3212" s="1">
        <v>1.00586786E8</v>
      </c>
      <c r="X3212" s="1" t="s">
        <v>781</v>
      </c>
      <c r="Y3212" s="1" t="s">
        <v>9533</v>
      </c>
      <c r="Z3212" s="1" t="s">
        <v>37</v>
      </c>
    </row>
    <row r="3213">
      <c r="A3213" s="1" t="s">
        <v>9534</v>
      </c>
      <c r="B3213" s="1" t="s">
        <v>9527</v>
      </c>
      <c r="C3213" s="1" t="s">
        <v>9535</v>
      </c>
      <c r="D3213" s="1" t="s">
        <v>27</v>
      </c>
      <c r="E3213" s="1" t="s">
        <v>28</v>
      </c>
      <c r="F3213" s="2">
        <v>250000.0</v>
      </c>
      <c r="G3213" s="1" t="s">
        <v>1357</v>
      </c>
      <c r="H3213" s="4">
        <f>IFERROR(__xludf.DUMMYFUNCTION("DATE(INDEX(SPLIT(G3213,""/""),,3),INDEX(SPLIT(G3213,""/""),,2),INDEX(SPLIT(G3213,""/""),,1))"),44398.0)</f>
        <v>44398</v>
      </c>
      <c r="I3213" s="1" t="s">
        <v>2300</v>
      </c>
      <c r="J3213" s="4">
        <f>IFERROR(__xludf.DUMMYFUNCTION("DATE(INDEX(SPLIT(I3213,""/""),,3),INDEX(SPLIT(I3213,""/""),,2),INDEX(SPLIT(I3213,""/""),,1))"),44712.0)</f>
        <v>44712</v>
      </c>
      <c r="L3213" s="1">
        <v>0.0</v>
      </c>
      <c r="M3213" s="1" t="s">
        <v>3580</v>
      </c>
      <c r="N3213" s="1"/>
      <c r="O3213" s="1" t="s">
        <v>30</v>
      </c>
      <c r="P3213" s="1" t="s">
        <v>31</v>
      </c>
      <c r="Q3213" s="1" t="s">
        <v>157</v>
      </c>
      <c r="R3213" s="1" t="s">
        <v>157</v>
      </c>
      <c r="S3213" s="1" t="s">
        <v>158</v>
      </c>
      <c r="U3213" s="1">
        <v>1.00956516E8</v>
      </c>
      <c r="X3213" s="1" t="s">
        <v>239</v>
      </c>
      <c r="Y3213" s="1" t="s">
        <v>3580</v>
      </c>
      <c r="Z3213" s="1" t="s">
        <v>37</v>
      </c>
    </row>
    <row r="3214" hidden="1">
      <c r="A3214" s="1" t="s">
        <v>9536</v>
      </c>
      <c r="B3214" s="1" t="s">
        <v>9103</v>
      </c>
      <c r="C3214" s="1" t="s">
        <v>9537</v>
      </c>
      <c r="D3214" s="1" t="s">
        <v>27</v>
      </c>
      <c r="E3214" s="1" t="s">
        <v>28</v>
      </c>
      <c r="F3214" s="2">
        <v>250000.0</v>
      </c>
      <c r="G3214" s="4">
        <v>44231.0</v>
      </c>
      <c r="H3214" s="4">
        <f>IFERROR(__xludf.DUMMYFUNCTION("DATE(INDEX(SPLIT(G3214,""/""),,3),INDEX(SPLIT(G3214,""/""),,2),INDEX(SPLIT(G3214,""/""),,1))"),44288.0)</f>
        <v>44288</v>
      </c>
      <c r="I3214" s="1" t="s">
        <v>109</v>
      </c>
      <c r="J3214" s="4">
        <f>IFERROR(__xludf.DUMMYFUNCTION("DATE(INDEX(SPLIT(I3214,""/""),,3),INDEX(SPLIT(I3214,""/""),,2),INDEX(SPLIT(I3214,""/""),,1))"),44834.0)</f>
        <v>44834</v>
      </c>
      <c r="L3214" s="1">
        <v>0.0</v>
      </c>
      <c r="M3214" s="1" t="s">
        <v>3601</v>
      </c>
      <c r="N3214" s="1"/>
      <c r="O3214" s="1" t="s">
        <v>30</v>
      </c>
      <c r="P3214" s="1" t="s">
        <v>31</v>
      </c>
      <c r="Q3214" s="1" t="s">
        <v>71</v>
      </c>
      <c r="R3214" s="1" t="s">
        <v>71</v>
      </c>
      <c r="S3214" s="1" t="s">
        <v>72</v>
      </c>
      <c r="T3214" s="1" t="s">
        <v>136</v>
      </c>
      <c r="U3214" s="1">
        <v>1.00611547E8</v>
      </c>
      <c r="X3214" s="1" t="s">
        <v>2028</v>
      </c>
      <c r="Y3214" s="1" t="s">
        <v>3601</v>
      </c>
      <c r="Z3214" s="1" t="s">
        <v>37</v>
      </c>
    </row>
    <row r="3215">
      <c r="A3215" s="1" t="s">
        <v>9538</v>
      </c>
      <c r="B3215" s="1" t="s">
        <v>4109</v>
      </c>
      <c r="C3215" s="1" t="s">
        <v>9539</v>
      </c>
      <c r="D3215" s="1" t="s">
        <v>78</v>
      </c>
      <c r="E3215" s="1" t="s">
        <v>28</v>
      </c>
      <c r="F3215" s="2">
        <v>250000.0</v>
      </c>
      <c r="G3215" s="1" t="s">
        <v>2116</v>
      </c>
      <c r="H3215" s="4">
        <f>IFERROR(__xludf.DUMMYFUNCTION("DATE(INDEX(SPLIT(G3215,""/""),,3),INDEX(SPLIT(G3215,""/""),,2),INDEX(SPLIT(G3215,""/""),,1))"),44620.0)</f>
        <v>44620</v>
      </c>
      <c r="I3215" s="1" t="s">
        <v>1244</v>
      </c>
      <c r="J3215" s="4">
        <f>IFERROR(__xludf.DUMMYFUNCTION("DATE(INDEX(SPLIT(I3215,""/""),,3),INDEX(SPLIT(I3215,""/""),,2),INDEX(SPLIT(I3215,""/""),,1))"),44742.0)</f>
        <v>44742</v>
      </c>
      <c r="L3215" s="1">
        <v>0.0</v>
      </c>
      <c r="M3215" s="1" t="s">
        <v>4645</v>
      </c>
      <c r="N3215" s="1"/>
      <c r="O3215" s="1" t="s">
        <v>30</v>
      </c>
      <c r="P3215" s="1" t="s">
        <v>31</v>
      </c>
      <c r="Q3215" s="1" t="s">
        <v>95</v>
      </c>
      <c r="R3215" s="1" t="s">
        <v>95</v>
      </c>
      <c r="S3215" s="1" t="s">
        <v>96</v>
      </c>
      <c r="T3215" s="1" t="s">
        <v>97</v>
      </c>
      <c r="U3215" s="1">
        <v>1.0062141E8</v>
      </c>
      <c r="X3215" s="1" t="s">
        <v>117</v>
      </c>
      <c r="Y3215" s="1" t="s">
        <v>9540</v>
      </c>
      <c r="Z3215" s="1" t="s">
        <v>37</v>
      </c>
    </row>
    <row r="3216">
      <c r="A3216" s="1" t="s">
        <v>9541</v>
      </c>
      <c r="B3216" s="1" t="s">
        <v>9542</v>
      </c>
      <c r="C3216" s="1" t="s">
        <v>9543</v>
      </c>
      <c r="D3216" s="1" t="s">
        <v>78</v>
      </c>
      <c r="E3216" s="1" t="s">
        <v>28</v>
      </c>
      <c r="F3216" s="2">
        <v>250000.0</v>
      </c>
      <c r="G3216" s="1" t="s">
        <v>394</v>
      </c>
      <c r="H3216" s="4">
        <f>IFERROR(__xludf.DUMMYFUNCTION("DATE(INDEX(SPLIT(G3216,""/""),,3),INDEX(SPLIT(G3216,""/""),,2),INDEX(SPLIT(G3216,""/""),,1))"),44677.0)</f>
        <v>44677</v>
      </c>
      <c r="I3216" s="1" t="s">
        <v>226</v>
      </c>
      <c r="J3216" s="4">
        <f>IFERROR(__xludf.DUMMYFUNCTION("DATE(INDEX(SPLIT(I3216,""/""),,3),INDEX(SPLIT(I3216,""/""),,2),INDEX(SPLIT(I3216,""/""),,1))"),44771.0)</f>
        <v>44771</v>
      </c>
      <c r="L3216" s="1">
        <v>0.0</v>
      </c>
      <c r="M3216" s="1" t="s">
        <v>5880</v>
      </c>
      <c r="N3216" s="1"/>
      <c r="O3216" s="1" t="s">
        <v>30</v>
      </c>
      <c r="P3216" s="1" t="s">
        <v>31</v>
      </c>
      <c r="Q3216" s="1" t="s">
        <v>228</v>
      </c>
      <c r="R3216" s="1" t="s">
        <v>228</v>
      </c>
      <c r="S3216" s="1" t="s">
        <v>229</v>
      </c>
      <c r="T3216" s="1" t="s">
        <v>640</v>
      </c>
      <c r="U3216" s="1">
        <v>1.00933537E8</v>
      </c>
      <c r="X3216" s="1" t="s">
        <v>74</v>
      </c>
      <c r="Y3216" s="1" t="s">
        <v>5636</v>
      </c>
      <c r="Z3216" s="1" t="s">
        <v>37</v>
      </c>
    </row>
    <row r="3217" hidden="1">
      <c r="A3217" s="1" t="s">
        <v>9544</v>
      </c>
      <c r="B3217" s="1" t="s">
        <v>9545</v>
      </c>
      <c r="C3217" s="1" t="s">
        <v>9546</v>
      </c>
      <c r="D3217" s="1" t="s">
        <v>27</v>
      </c>
      <c r="E3217" s="1" t="s">
        <v>28</v>
      </c>
      <c r="F3217" s="2">
        <v>250000.0</v>
      </c>
      <c r="G3217" s="1" t="s">
        <v>1357</v>
      </c>
      <c r="H3217" s="4">
        <f>IFERROR(__xludf.DUMMYFUNCTION("DATE(INDEX(SPLIT(G3217,""/""),,3),INDEX(SPLIT(G3217,""/""),,2),INDEX(SPLIT(G3217,""/""),,1))"),44398.0)</f>
        <v>44398</v>
      </c>
      <c r="I3217" s="4">
        <v>44932.0</v>
      </c>
      <c r="J3217" s="4">
        <f>IFERROR(__xludf.DUMMYFUNCTION("DATE(INDEX(SPLIT(I3217,""/""),,3),INDEX(SPLIT(I3217,""/""),,2),INDEX(SPLIT(I3217,""/""),,1))"),45078.0)</f>
        <v>45078</v>
      </c>
      <c r="L3217" s="1">
        <v>0.0</v>
      </c>
      <c r="M3217" s="1" t="s">
        <v>4657</v>
      </c>
      <c r="N3217" s="1"/>
      <c r="O3217" s="1" t="s">
        <v>30</v>
      </c>
      <c r="P3217" s="1" t="s">
        <v>31</v>
      </c>
      <c r="Q3217" s="1" t="s">
        <v>32</v>
      </c>
      <c r="R3217" s="1" t="s">
        <v>32</v>
      </c>
      <c r="S3217" s="1" t="s">
        <v>33</v>
      </c>
      <c r="T3217" s="1" t="s">
        <v>402</v>
      </c>
      <c r="U3217" s="1">
        <v>1.00659865E8</v>
      </c>
      <c r="X3217" s="1" t="s">
        <v>117</v>
      </c>
      <c r="Y3217" s="1" t="s">
        <v>9547</v>
      </c>
      <c r="Z3217" s="1" t="s">
        <v>527</v>
      </c>
    </row>
    <row r="3218">
      <c r="A3218" s="1" t="s">
        <v>9548</v>
      </c>
      <c r="B3218" s="1" t="s">
        <v>9549</v>
      </c>
      <c r="C3218" s="1" t="s">
        <v>9550</v>
      </c>
      <c r="D3218" s="1" t="s">
        <v>27</v>
      </c>
      <c r="E3218" s="1" t="s">
        <v>28</v>
      </c>
      <c r="F3218" s="2">
        <v>250000.0</v>
      </c>
      <c r="G3218" s="1" t="s">
        <v>3595</v>
      </c>
      <c r="H3218" s="4">
        <f>IFERROR(__xludf.DUMMYFUNCTION("DATE(INDEX(SPLIT(G3218,""/""),,3),INDEX(SPLIT(G3218,""/""),,2),INDEX(SPLIT(G3218,""/""),,1))"),44460.0)</f>
        <v>44460</v>
      </c>
      <c r="I3218" s="1" t="s">
        <v>1244</v>
      </c>
      <c r="J3218" s="4">
        <f>IFERROR(__xludf.DUMMYFUNCTION("DATE(INDEX(SPLIT(I3218,""/""),,3),INDEX(SPLIT(I3218,""/""),,2),INDEX(SPLIT(I3218,""/""),,1))"),44742.0)</f>
        <v>44742</v>
      </c>
      <c r="L3218" s="1">
        <v>0.0</v>
      </c>
      <c r="M3218" s="1" t="s">
        <v>5017</v>
      </c>
      <c r="N3218" s="1"/>
      <c r="O3218" s="1" t="s">
        <v>30</v>
      </c>
      <c r="P3218" s="1" t="s">
        <v>31</v>
      </c>
      <c r="Q3218" s="1" t="s">
        <v>228</v>
      </c>
      <c r="R3218" s="1" t="s">
        <v>228</v>
      </c>
      <c r="S3218" s="1" t="s">
        <v>229</v>
      </c>
      <c r="T3218" s="1" t="s">
        <v>513</v>
      </c>
      <c r="U3218" s="1">
        <v>1.00620023E8</v>
      </c>
      <c r="X3218" s="1" t="s">
        <v>2769</v>
      </c>
      <c r="Y3218" s="1" t="s">
        <v>9551</v>
      </c>
      <c r="Z3218" s="1" t="s">
        <v>37</v>
      </c>
    </row>
    <row r="3219" hidden="1">
      <c r="A3219" s="1" t="s">
        <v>9552</v>
      </c>
      <c r="B3219" s="1" t="s">
        <v>612</v>
      </c>
      <c r="C3219" s="1" t="s">
        <v>9553</v>
      </c>
      <c r="D3219" s="1" t="s">
        <v>27</v>
      </c>
      <c r="E3219" s="1" t="s">
        <v>28</v>
      </c>
      <c r="F3219" s="2">
        <v>250000.0</v>
      </c>
      <c r="G3219" s="4">
        <v>44357.0</v>
      </c>
      <c r="H3219" s="4">
        <f>IFERROR(__xludf.DUMMYFUNCTION("DATE(INDEX(SPLIT(G3219,""/""),,3),INDEX(SPLIT(G3219,""/""),,2),INDEX(SPLIT(G3219,""/""),,1))"),44475.0)</f>
        <v>44475</v>
      </c>
      <c r="I3219" s="1" t="s">
        <v>109</v>
      </c>
      <c r="J3219" s="4">
        <f>IFERROR(__xludf.DUMMYFUNCTION("DATE(INDEX(SPLIT(I3219,""/""),,3),INDEX(SPLIT(I3219,""/""),,2),INDEX(SPLIT(I3219,""/""),,1))"),44834.0)</f>
        <v>44834</v>
      </c>
      <c r="L3219" s="1">
        <v>0.0</v>
      </c>
      <c r="M3219" s="1" t="s">
        <v>7887</v>
      </c>
      <c r="N3219" s="1"/>
      <c r="O3219" s="1" t="s">
        <v>30</v>
      </c>
      <c r="P3219" s="1" t="s">
        <v>31</v>
      </c>
      <c r="Q3219" s="1" t="s">
        <v>53</v>
      </c>
      <c r="R3219" s="1" t="s">
        <v>53</v>
      </c>
      <c r="S3219" s="1" t="s">
        <v>54</v>
      </c>
      <c r="T3219" s="1" t="s">
        <v>1386</v>
      </c>
      <c r="U3219" s="1">
        <v>1.00587219E8</v>
      </c>
      <c r="X3219" s="1" t="s">
        <v>490</v>
      </c>
      <c r="Y3219" s="1" t="s">
        <v>8365</v>
      </c>
      <c r="Z3219" s="1" t="s">
        <v>37</v>
      </c>
    </row>
    <row r="3220" hidden="1">
      <c r="A3220" s="1" t="s">
        <v>9554</v>
      </c>
      <c r="B3220" s="1" t="s">
        <v>6193</v>
      </c>
      <c r="C3220" s="1" t="s">
        <v>9555</v>
      </c>
      <c r="D3220" s="1" t="s">
        <v>27</v>
      </c>
      <c r="E3220" s="1" t="s">
        <v>28</v>
      </c>
      <c r="F3220" s="2">
        <v>250000.0</v>
      </c>
      <c r="G3220" s="1" t="s">
        <v>9556</v>
      </c>
      <c r="H3220" s="4">
        <f>IFERROR(__xludf.DUMMYFUNCTION("DATE(INDEX(SPLIT(G3220,""/""),,3),INDEX(SPLIT(G3220,""/""),,2),INDEX(SPLIT(G3220,""/""),,1))"),44312.0)</f>
        <v>44312</v>
      </c>
      <c r="I3220" s="1" t="s">
        <v>203</v>
      </c>
      <c r="J3220" s="4">
        <f>IFERROR(__xludf.DUMMYFUNCTION("DATE(INDEX(SPLIT(I3220,""/""),,3),INDEX(SPLIT(I3220,""/""),,2),INDEX(SPLIT(I3220,""/""),,1))"),44925.0)</f>
        <v>44925</v>
      </c>
      <c r="L3220" s="1">
        <v>0.0</v>
      </c>
      <c r="M3220" s="1" t="s">
        <v>1303</v>
      </c>
      <c r="N3220" s="1"/>
      <c r="O3220" s="1" t="s">
        <v>30</v>
      </c>
      <c r="P3220" s="1" t="s">
        <v>31</v>
      </c>
      <c r="Q3220" s="1" t="s">
        <v>235</v>
      </c>
      <c r="R3220" s="1" t="s">
        <v>235</v>
      </c>
      <c r="S3220" s="1" t="s">
        <v>236</v>
      </c>
      <c r="T3220" s="1" t="s">
        <v>438</v>
      </c>
      <c r="U3220" s="1">
        <v>1.00609073E8</v>
      </c>
      <c r="X3220" s="1" t="s">
        <v>88</v>
      </c>
      <c r="Y3220" s="1" t="s">
        <v>9557</v>
      </c>
      <c r="Z3220" s="1" t="s">
        <v>37</v>
      </c>
    </row>
    <row r="3221" hidden="1">
      <c r="A3221" s="1" t="s">
        <v>9558</v>
      </c>
      <c r="B3221" s="1" t="s">
        <v>666</v>
      </c>
      <c r="C3221" s="1" t="s">
        <v>9559</v>
      </c>
      <c r="D3221" s="1" t="s">
        <v>78</v>
      </c>
      <c r="E3221" s="1" t="s">
        <v>28</v>
      </c>
      <c r="F3221" s="2">
        <v>250000.0</v>
      </c>
      <c r="G3221" s="1" t="s">
        <v>321</v>
      </c>
      <c r="H3221" s="4">
        <f>IFERROR(__xludf.DUMMYFUNCTION("DATE(INDEX(SPLIT(G3221,""/""),,3),INDEX(SPLIT(G3221,""/""),,2),INDEX(SPLIT(G3221,""/""),,1))"),44586.0)</f>
        <v>44586</v>
      </c>
      <c r="I3221" s="1" t="s">
        <v>130</v>
      </c>
      <c r="J3221" s="4">
        <f>IFERROR(__xludf.DUMMYFUNCTION("DATE(INDEX(SPLIT(I3221,""/""),,3),INDEX(SPLIT(I3221,""/""),,2),INDEX(SPLIT(I3221,""/""),,1))"),44804.0)</f>
        <v>44804</v>
      </c>
      <c r="L3221" s="1">
        <v>0.0</v>
      </c>
      <c r="M3221" s="1" t="s">
        <v>1532</v>
      </c>
      <c r="N3221" s="1"/>
      <c r="O3221" s="1" t="s">
        <v>30</v>
      </c>
      <c r="P3221" s="1" t="s">
        <v>31</v>
      </c>
      <c r="Q3221" s="1" t="s">
        <v>228</v>
      </c>
      <c r="R3221" s="1" t="s">
        <v>228</v>
      </c>
      <c r="S3221" s="1" t="s">
        <v>229</v>
      </c>
      <c r="T3221" s="1" t="s">
        <v>640</v>
      </c>
      <c r="U3221" s="1">
        <v>1.00711752E8</v>
      </c>
      <c r="X3221" s="1" t="s">
        <v>35</v>
      </c>
      <c r="Y3221" s="1" t="s">
        <v>9560</v>
      </c>
      <c r="Z3221" s="1" t="s">
        <v>37</v>
      </c>
    </row>
    <row r="3222">
      <c r="A3222" s="1" t="s">
        <v>9561</v>
      </c>
      <c r="B3222" s="1" t="s">
        <v>1634</v>
      </c>
      <c r="C3222" s="1" t="s">
        <v>9562</v>
      </c>
      <c r="D3222" s="1" t="s">
        <v>122</v>
      </c>
      <c r="E3222" s="1" t="s">
        <v>28</v>
      </c>
      <c r="F3222" s="2">
        <v>250000.0</v>
      </c>
      <c r="G3222" s="4">
        <v>44599.0</v>
      </c>
      <c r="H3222" s="4">
        <f>IFERROR(__xludf.DUMMYFUNCTION("DATE(INDEX(SPLIT(G3222,""/""),,3),INDEX(SPLIT(G3222,""/""),,2),INDEX(SPLIT(G3222,""/""),,1))"),44744.0)</f>
        <v>44744</v>
      </c>
      <c r="I3222" s="1" t="s">
        <v>69</v>
      </c>
      <c r="J3222" s="4">
        <f>IFERROR(__xludf.DUMMYFUNCTION("DATE(INDEX(SPLIT(I3222,""/""),,3),INDEX(SPLIT(I3222,""/""),,2),INDEX(SPLIT(I3222,""/""),,1))"),44773.0)</f>
        <v>44773</v>
      </c>
      <c r="L3222" s="1">
        <v>0.0</v>
      </c>
      <c r="M3222" s="1" t="s">
        <v>1800</v>
      </c>
      <c r="N3222" s="1"/>
      <c r="O3222" s="1" t="s">
        <v>30</v>
      </c>
      <c r="P3222" s="1" t="s">
        <v>31</v>
      </c>
      <c r="Q3222" s="1" t="s">
        <v>32</v>
      </c>
      <c r="R3222" s="1" t="s">
        <v>32</v>
      </c>
      <c r="S3222" s="1" t="s">
        <v>33</v>
      </c>
      <c r="T3222" s="1" t="s">
        <v>1195</v>
      </c>
      <c r="U3222" s="1">
        <v>1.00610242E8</v>
      </c>
      <c r="X3222" s="1" t="s">
        <v>490</v>
      </c>
      <c r="Y3222" s="1" t="s">
        <v>1800</v>
      </c>
      <c r="Z3222" s="1" t="s">
        <v>37</v>
      </c>
    </row>
    <row r="3223" hidden="1">
      <c r="A3223" s="1" t="s">
        <v>9563</v>
      </c>
      <c r="B3223" s="1" t="s">
        <v>3721</v>
      </c>
      <c r="C3223" s="1" t="s">
        <v>9564</v>
      </c>
      <c r="D3223" s="1" t="s">
        <v>27</v>
      </c>
      <c r="E3223" s="1" t="s">
        <v>28</v>
      </c>
      <c r="F3223" s="2">
        <v>250000.0</v>
      </c>
      <c r="G3223" s="4">
        <v>44319.0</v>
      </c>
      <c r="H3223" s="4">
        <f>IFERROR(__xludf.DUMMYFUNCTION("DATE(INDEX(SPLIT(G3223,""/""),,3),INDEX(SPLIT(G3223,""/""),,2),INDEX(SPLIT(G3223,""/""),,1))"),44260.0)</f>
        <v>44260</v>
      </c>
      <c r="I3223" s="1" t="s">
        <v>425</v>
      </c>
      <c r="J3223" s="4">
        <f>IFERROR(__xludf.DUMMYFUNCTION("DATE(INDEX(SPLIT(I3223,""/""),,3),INDEX(SPLIT(I3223,""/""),,2),INDEX(SPLIT(I3223,""/""),,1))"),44911.0)</f>
        <v>44911</v>
      </c>
      <c r="L3223" s="1">
        <v>0.0</v>
      </c>
      <c r="M3223" s="1" t="s">
        <v>2787</v>
      </c>
      <c r="N3223" s="1"/>
      <c r="O3223" s="1" t="s">
        <v>30</v>
      </c>
      <c r="P3223" s="1" t="s">
        <v>31</v>
      </c>
      <c r="Q3223" s="1" t="s">
        <v>157</v>
      </c>
      <c r="R3223" s="1" t="s">
        <v>157</v>
      </c>
      <c r="S3223" s="1" t="s">
        <v>158</v>
      </c>
      <c r="T3223" s="1" t="s">
        <v>442</v>
      </c>
      <c r="U3223" s="1">
        <v>1.00708984E8</v>
      </c>
      <c r="X3223" s="1" t="s">
        <v>125</v>
      </c>
      <c r="Y3223" s="1" t="s">
        <v>9505</v>
      </c>
      <c r="Z3223" s="1" t="s">
        <v>37</v>
      </c>
    </row>
    <row r="3224">
      <c r="A3224" s="1" t="s">
        <v>9565</v>
      </c>
      <c r="B3224" s="1" t="s">
        <v>9566</v>
      </c>
      <c r="C3224" s="1" t="s">
        <v>9567</v>
      </c>
      <c r="D3224" s="1" t="s">
        <v>78</v>
      </c>
      <c r="E3224" s="1" t="s">
        <v>28</v>
      </c>
      <c r="F3224" s="2">
        <v>250000.0</v>
      </c>
      <c r="G3224" s="4">
        <v>44627.0</v>
      </c>
      <c r="H3224" s="4">
        <f>IFERROR(__xludf.DUMMYFUNCTION("DATE(INDEX(SPLIT(G3224,""/""),,3),INDEX(SPLIT(G3224,""/""),,2),INDEX(SPLIT(G3224,""/""),,1))"),44745.0)</f>
        <v>44745</v>
      </c>
      <c r="I3224" s="1" t="s">
        <v>226</v>
      </c>
      <c r="J3224" s="4">
        <f>IFERROR(__xludf.DUMMYFUNCTION("DATE(INDEX(SPLIT(I3224,""/""),,3),INDEX(SPLIT(I3224,""/""),,2),INDEX(SPLIT(I3224,""/""),,1))"),44771.0)</f>
        <v>44771</v>
      </c>
      <c r="L3224" s="1">
        <v>0.0</v>
      </c>
      <c r="M3224" s="1" t="s">
        <v>2663</v>
      </c>
      <c r="N3224" s="1"/>
      <c r="O3224" s="1" t="s">
        <v>30</v>
      </c>
      <c r="P3224" s="1" t="s">
        <v>31</v>
      </c>
      <c r="Q3224" s="1" t="s">
        <v>188</v>
      </c>
      <c r="R3224" s="1" t="s">
        <v>188</v>
      </c>
      <c r="S3224" s="1" t="s">
        <v>189</v>
      </c>
      <c r="U3224" s="1">
        <v>1.00623735E8</v>
      </c>
      <c r="X3224" s="1" t="s">
        <v>289</v>
      </c>
      <c r="Y3224" s="1" t="s">
        <v>9568</v>
      </c>
      <c r="Z3224" s="1" t="s">
        <v>37</v>
      </c>
    </row>
    <row r="3225" hidden="1">
      <c r="A3225" s="1" t="s">
        <v>9569</v>
      </c>
      <c r="B3225" s="1" t="s">
        <v>5165</v>
      </c>
      <c r="C3225" s="1" t="s">
        <v>9570</v>
      </c>
      <c r="D3225" s="1" t="s">
        <v>27</v>
      </c>
      <c r="E3225" s="1" t="s">
        <v>28</v>
      </c>
      <c r="F3225" s="2">
        <v>250000.0</v>
      </c>
      <c r="G3225" s="1" t="s">
        <v>862</v>
      </c>
      <c r="H3225" s="4">
        <f>IFERROR(__xludf.DUMMYFUNCTION("DATE(INDEX(SPLIT(G3225,""/""),,3),INDEX(SPLIT(G3225,""/""),,2),INDEX(SPLIT(G3225,""/""),,1))"),44699.0)</f>
        <v>44699</v>
      </c>
      <c r="I3225" s="4">
        <v>44601.0</v>
      </c>
      <c r="J3225" s="4">
        <f>IFERROR(__xludf.DUMMYFUNCTION("DATE(INDEX(SPLIT(I3225,""/""),,3),INDEX(SPLIT(I3225,""/""),,2),INDEX(SPLIT(I3225,""/""),,1))"),44806.0)</f>
        <v>44806</v>
      </c>
      <c r="L3225" s="1">
        <v>0.0</v>
      </c>
      <c r="M3225" s="1" t="s">
        <v>780</v>
      </c>
      <c r="N3225" s="1"/>
      <c r="O3225" s="1" t="s">
        <v>30</v>
      </c>
      <c r="P3225" s="1" t="s">
        <v>31</v>
      </c>
      <c r="Q3225" s="1" t="s">
        <v>157</v>
      </c>
      <c r="R3225" s="1" t="s">
        <v>157</v>
      </c>
      <c r="S3225" s="1" t="s">
        <v>158</v>
      </c>
      <c r="U3225" s="1">
        <v>1.00654914E8</v>
      </c>
      <c r="X3225" s="1" t="s">
        <v>88</v>
      </c>
      <c r="Y3225" s="1" t="s">
        <v>9571</v>
      </c>
      <c r="Z3225" s="1" t="s">
        <v>37</v>
      </c>
    </row>
    <row r="3226">
      <c r="A3226" s="1" t="s">
        <v>9572</v>
      </c>
      <c r="B3226" s="1" t="s">
        <v>9527</v>
      </c>
      <c r="C3226" s="1" t="s">
        <v>9573</v>
      </c>
      <c r="D3226" s="1" t="s">
        <v>27</v>
      </c>
      <c r="E3226" s="1" t="s">
        <v>28</v>
      </c>
      <c r="F3226" s="2">
        <v>250000.0</v>
      </c>
      <c r="G3226" s="1" t="s">
        <v>1357</v>
      </c>
      <c r="H3226" s="4">
        <f>IFERROR(__xludf.DUMMYFUNCTION("DATE(INDEX(SPLIT(G3226,""/""),,3),INDEX(SPLIT(G3226,""/""),,2),INDEX(SPLIT(G3226,""/""),,1))"),44398.0)</f>
        <v>44398</v>
      </c>
      <c r="I3226" s="1" t="s">
        <v>1244</v>
      </c>
      <c r="J3226" s="4">
        <f>IFERROR(__xludf.DUMMYFUNCTION("DATE(INDEX(SPLIT(I3226,""/""),,3),INDEX(SPLIT(I3226,""/""),,2),INDEX(SPLIT(I3226,""/""),,1))"),44742.0)</f>
        <v>44742</v>
      </c>
      <c r="L3226" s="1">
        <v>0.0</v>
      </c>
      <c r="M3226" s="1" t="s">
        <v>3580</v>
      </c>
      <c r="N3226" s="1"/>
      <c r="O3226" s="1" t="s">
        <v>30</v>
      </c>
      <c r="P3226" s="1" t="s">
        <v>31</v>
      </c>
      <c r="Q3226" s="1" t="s">
        <v>157</v>
      </c>
      <c r="R3226" s="1" t="s">
        <v>157</v>
      </c>
      <c r="S3226" s="1" t="s">
        <v>158</v>
      </c>
      <c r="T3226" s="1" t="s">
        <v>571</v>
      </c>
      <c r="U3226" s="1">
        <v>1.00956516E8</v>
      </c>
      <c r="X3226" s="1" t="s">
        <v>239</v>
      </c>
      <c r="Y3226" s="1" t="s">
        <v>3580</v>
      </c>
      <c r="Z3226" s="1" t="s">
        <v>37</v>
      </c>
    </row>
    <row r="3227" hidden="1">
      <c r="A3227" s="1" t="s">
        <v>9574</v>
      </c>
      <c r="B3227" s="1" t="s">
        <v>3429</v>
      </c>
      <c r="C3227" s="1" t="s">
        <v>9575</v>
      </c>
      <c r="D3227" s="1" t="s">
        <v>122</v>
      </c>
      <c r="E3227" s="1" t="s">
        <v>28</v>
      </c>
      <c r="F3227" s="2">
        <v>250000.0</v>
      </c>
      <c r="G3227" s="4">
        <v>44622.0</v>
      </c>
      <c r="H3227" s="4">
        <f>IFERROR(__xludf.DUMMYFUNCTION("DATE(INDEX(SPLIT(G3227,""/""),,3),INDEX(SPLIT(G3227,""/""),,2),INDEX(SPLIT(G3227,""/""),,1))"),44595.0)</f>
        <v>44595</v>
      </c>
      <c r="I3227" s="1" t="s">
        <v>7282</v>
      </c>
      <c r="J3227" s="4">
        <f>IFERROR(__xludf.DUMMYFUNCTION("DATE(INDEX(SPLIT(I3227,""/""),,3),INDEX(SPLIT(I3227,""/""),,2),INDEX(SPLIT(I3227,""/""),,1))"),44798.0)</f>
        <v>44798</v>
      </c>
      <c r="L3227" s="1">
        <v>0.0</v>
      </c>
      <c r="M3227" s="1" t="s">
        <v>61</v>
      </c>
      <c r="N3227" s="1"/>
      <c r="O3227" s="1" t="s">
        <v>30</v>
      </c>
      <c r="P3227" s="1" t="s">
        <v>31</v>
      </c>
      <c r="Q3227" s="1" t="s">
        <v>32</v>
      </c>
      <c r="R3227" s="1" t="s">
        <v>32</v>
      </c>
      <c r="S3227" s="1" t="s">
        <v>33</v>
      </c>
      <c r="T3227" s="1" t="s">
        <v>103</v>
      </c>
      <c r="U3227" s="1">
        <v>1.0060843E8</v>
      </c>
      <c r="X3227" s="1" t="s">
        <v>63</v>
      </c>
      <c r="Y3227" s="1" t="s">
        <v>61</v>
      </c>
      <c r="Z3227" s="1" t="s">
        <v>37</v>
      </c>
    </row>
    <row r="3228">
      <c r="A3228" s="1" t="s">
        <v>9576</v>
      </c>
      <c r="B3228" s="1" t="s">
        <v>434</v>
      </c>
      <c r="C3228" s="1" t="s">
        <v>9577</v>
      </c>
      <c r="D3228" s="1" t="s">
        <v>27</v>
      </c>
      <c r="E3228" s="1" t="s">
        <v>28</v>
      </c>
      <c r="F3228" s="2">
        <v>250000.0</v>
      </c>
      <c r="G3228" s="1" t="s">
        <v>446</v>
      </c>
      <c r="H3228" s="4">
        <f>IFERROR(__xludf.DUMMYFUNCTION("DATE(INDEX(SPLIT(G3228,""/""),,3),INDEX(SPLIT(G3228,""/""),,2),INDEX(SPLIT(G3228,""/""),,1))"),44210.0)</f>
        <v>44210</v>
      </c>
      <c r="I3228" s="1" t="s">
        <v>1244</v>
      </c>
      <c r="J3228" s="4">
        <f>IFERROR(__xludf.DUMMYFUNCTION("DATE(INDEX(SPLIT(I3228,""/""),,3),INDEX(SPLIT(I3228,""/""),,2),INDEX(SPLIT(I3228,""/""),,1))"),44742.0)</f>
        <v>44742</v>
      </c>
      <c r="L3228" s="1">
        <v>0.0</v>
      </c>
      <c r="M3228" s="1" t="s">
        <v>1792</v>
      </c>
      <c r="N3228" s="1"/>
      <c r="O3228" s="1" t="s">
        <v>30</v>
      </c>
      <c r="P3228" s="1" t="s">
        <v>31</v>
      </c>
      <c r="Q3228" s="1" t="s">
        <v>235</v>
      </c>
      <c r="R3228" s="1" t="s">
        <v>235</v>
      </c>
      <c r="S3228" s="1" t="s">
        <v>236</v>
      </c>
      <c r="T3228" s="1" t="s">
        <v>438</v>
      </c>
      <c r="U3228" s="1">
        <v>1.00964362E8</v>
      </c>
      <c r="X3228" s="1" t="s">
        <v>88</v>
      </c>
      <c r="Y3228" s="1" t="s">
        <v>2865</v>
      </c>
      <c r="Z3228" s="1" t="s">
        <v>37</v>
      </c>
    </row>
    <row r="3229" hidden="1">
      <c r="A3229" s="1" t="s">
        <v>9578</v>
      </c>
      <c r="B3229" s="1" t="s">
        <v>1131</v>
      </c>
      <c r="C3229" s="1" t="s">
        <v>9579</v>
      </c>
      <c r="D3229" s="1" t="s">
        <v>27</v>
      </c>
      <c r="E3229" s="1" t="s">
        <v>28</v>
      </c>
      <c r="F3229" s="2">
        <v>250000.0</v>
      </c>
      <c r="G3229" s="1" t="s">
        <v>4047</v>
      </c>
      <c r="H3229" s="4">
        <f>IFERROR(__xludf.DUMMYFUNCTION("DATE(INDEX(SPLIT(G3229,""/""),,3),INDEX(SPLIT(G3229,""/""),,2),INDEX(SPLIT(G3229,""/""),,1))"),44580.0)</f>
        <v>44580</v>
      </c>
      <c r="I3229" s="1" t="s">
        <v>42</v>
      </c>
      <c r="J3229" s="4">
        <f>IFERROR(__xludf.DUMMYFUNCTION("DATE(INDEX(SPLIT(I3229,""/""),,3),INDEX(SPLIT(I3229,""/""),,2),INDEX(SPLIT(I3229,""/""),,1))"),44926.0)</f>
        <v>44926</v>
      </c>
      <c r="L3229" s="1">
        <v>0.0</v>
      </c>
      <c r="M3229" s="1" t="s">
        <v>2622</v>
      </c>
      <c r="N3229" s="1"/>
      <c r="O3229" s="1" t="s">
        <v>30</v>
      </c>
      <c r="P3229" s="1" t="s">
        <v>31</v>
      </c>
      <c r="Q3229" s="1" t="s">
        <v>71</v>
      </c>
      <c r="R3229" s="1" t="s">
        <v>71</v>
      </c>
      <c r="S3229" s="1" t="s">
        <v>72</v>
      </c>
      <c r="T3229" s="1" t="s">
        <v>73</v>
      </c>
      <c r="U3229" s="1">
        <v>1.01082364E8</v>
      </c>
      <c r="X3229" s="1" t="s">
        <v>74</v>
      </c>
      <c r="Y3229" s="1" t="s">
        <v>9580</v>
      </c>
      <c r="Z3229" s="1" t="s">
        <v>206</v>
      </c>
    </row>
    <row r="3230" hidden="1">
      <c r="A3230" s="1" t="s">
        <v>9581</v>
      </c>
      <c r="B3230" s="1" t="s">
        <v>8910</v>
      </c>
      <c r="C3230" s="1" t="s">
        <v>9582</v>
      </c>
      <c r="D3230" s="1" t="s">
        <v>27</v>
      </c>
      <c r="E3230" s="1" t="s">
        <v>28</v>
      </c>
      <c r="F3230" s="2">
        <v>250000.0</v>
      </c>
      <c r="G3230" s="4">
        <v>44568.0</v>
      </c>
      <c r="H3230" s="4">
        <f>IFERROR(__xludf.DUMMYFUNCTION("DATE(INDEX(SPLIT(G3230,""/""),,3),INDEX(SPLIT(G3230,""/""),,2),INDEX(SPLIT(G3230,""/""),,1))"),44743.0)</f>
        <v>44743</v>
      </c>
      <c r="I3230" s="4">
        <v>44601.0</v>
      </c>
      <c r="J3230" s="4">
        <f>IFERROR(__xludf.DUMMYFUNCTION("DATE(INDEX(SPLIT(I3230,""/""),,3),INDEX(SPLIT(I3230,""/""),,2),INDEX(SPLIT(I3230,""/""),,1))"),44806.0)</f>
        <v>44806</v>
      </c>
      <c r="L3230" s="1">
        <v>0.0</v>
      </c>
      <c r="M3230" s="1" t="s">
        <v>863</v>
      </c>
      <c r="N3230" s="1"/>
      <c r="O3230" s="1" t="s">
        <v>30</v>
      </c>
      <c r="P3230" s="1" t="s">
        <v>31</v>
      </c>
      <c r="Q3230" s="1" t="s">
        <v>32</v>
      </c>
      <c r="R3230" s="1" t="s">
        <v>32</v>
      </c>
      <c r="S3230" s="1" t="s">
        <v>33</v>
      </c>
      <c r="T3230" s="1" t="s">
        <v>402</v>
      </c>
      <c r="U3230" s="1">
        <v>1.00650568E8</v>
      </c>
      <c r="X3230" s="1" t="s">
        <v>125</v>
      </c>
      <c r="Y3230" s="1" t="s">
        <v>863</v>
      </c>
      <c r="Z3230" s="1" t="s">
        <v>37</v>
      </c>
    </row>
    <row r="3231">
      <c r="A3231" s="1" t="s">
        <v>9583</v>
      </c>
      <c r="B3231" s="1" t="s">
        <v>9584</v>
      </c>
      <c r="C3231" s="1" t="s">
        <v>9585</v>
      </c>
      <c r="D3231" s="1" t="s">
        <v>122</v>
      </c>
      <c r="E3231" s="1" t="s">
        <v>28</v>
      </c>
      <c r="F3231" s="2">
        <v>250000.0</v>
      </c>
      <c r="G3231" s="1" t="s">
        <v>2572</v>
      </c>
      <c r="H3231" s="4">
        <f>IFERROR(__xludf.DUMMYFUNCTION("DATE(INDEX(SPLIT(G3231,""/""),,3),INDEX(SPLIT(G3231,""/""),,2),INDEX(SPLIT(G3231,""/""),,1))"),44581.0)</f>
        <v>44581</v>
      </c>
      <c r="I3231" s="1" t="s">
        <v>1244</v>
      </c>
      <c r="J3231" s="4">
        <f>IFERROR(__xludf.DUMMYFUNCTION("DATE(INDEX(SPLIT(I3231,""/""),,3),INDEX(SPLIT(I3231,""/""),,2),INDEX(SPLIT(I3231,""/""),,1))"),44742.0)</f>
        <v>44742</v>
      </c>
      <c r="L3231" s="1">
        <v>0.0</v>
      </c>
      <c r="M3231" s="1" t="s">
        <v>3617</v>
      </c>
      <c r="N3231" s="1"/>
      <c r="O3231" s="1" t="s">
        <v>30</v>
      </c>
      <c r="P3231" s="1" t="s">
        <v>31</v>
      </c>
      <c r="Q3231" s="1" t="s">
        <v>53</v>
      </c>
      <c r="R3231" s="1" t="s">
        <v>53</v>
      </c>
      <c r="S3231" s="1" t="s">
        <v>54</v>
      </c>
      <c r="T3231" s="1" t="s">
        <v>634</v>
      </c>
      <c r="U3231" s="1">
        <v>1.00568413E8</v>
      </c>
      <c r="Y3231" s="1" t="s">
        <v>9233</v>
      </c>
      <c r="Z3231" s="1" t="s">
        <v>37</v>
      </c>
    </row>
    <row r="3232">
      <c r="A3232" s="1" t="s">
        <v>9586</v>
      </c>
      <c r="B3232" s="1" t="s">
        <v>5851</v>
      </c>
      <c r="C3232" s="1" t="s">
        <v>9587</v>
      </c>
      <c r="D3232" s="1" t="s">
        <v>78</v>
      </c>
      <c r="E3232" s="1" t="s">
        <v>28</v>
      </c>
      <c r="F3232" s="2">
        <v>250000.0</v>
      </c>
      <c r="G3232" s="1" t="s">
        <v>9588</v>
      </c>
      <c r="H3232" s="4">
        <f>IFERROR(__xludf.DUMMYFUNCTION("DATE(INDEX(SPLIT(G3232,""/""),,3),INDEX(SPLIT(G3232,""/""),,2),INDEX(SPLIT(G3232,""/""),,1))"),44056.0)</f>
        <v>44056</v>
      </c>
      <c r="I3232" s="1" t="s">
        <v>226</v>
      </c>
      <c r="J3232" s="4">
        <f>IFERROR(__xludf.DUMMYFUNCTION("DATE(INDEX(SPLIT(I3232,""/""),,3),INDEX(SPLIT(I3232,""/""),,2),INDEX(SPLIT(I3232,""/""),,1))"),44771.0)</f>
        <v>44771</v>
      </c>
      <c r="L3232" s="1">
        <v>0.0</v>
      </c>
      <c r="M3232" s="1" t="s">
        <v>1239</v>
      </c>
      <c r="N3232" s="1"/>
      <c r="O3232" s="1" t="s">
        <v>30</v>
      </c>
      <c r="P3232" s="1" t="s">
        <v>31</v>
      </c>
      <c r="Q3232" s="1" t="s">
        <v>71</v>
      </c>
      <c r="R3232" s="1" t="s">
        <v>71</v>
      </c>
      <c r="S3232" s="1" t="s">
        <v>72</v>
      </c>
      <c r="T3232" s="1" t="s">
        <v>136</v>
      </c>
      <c r="U3232" s="1">
        <v>1.00943277E8</v>
      </c>
      <c r="X3232" s="1" t="s">
        <v>74</v>
      </c>
      <c r="Y3232" s="1" t="s">
        <v>9105</v>
      </c>
      <c r="Z3232" s="1" t="s">
        <v>37</v>
      </c>
    </row>
    <row r="3233" hidden="1">
      <c r="A3233" s="1" t="s">
        <v>9589</v>
      </c>
      <c r="B3233" s="1" t="s">
        <v>5562</v>
      </c>
      <c r="C3233" s="1" t="s">
        <v>9590</v>
      </c>
      <c r="D3233" s="1" t="s">
        <v>78</v>
      </c>
      <c r="E3233" s="1" t="s">
        <v>28</v>
      </c>
      <c r="F3233" s="2">
        <v>250000.0</v>
      </c>
      <c r="G3233" s="1" t="s">
        <v>298</v>
      </c>
      <c r="H3233" s="4">
        <f>IFERROR(__xludf.DUMMYFUNCTION("DATE(INDEX(SPLIT(G3233,""/""),,3),INDEX(SPLIT(G3233,""/""),,2),INDEX(SPLIT(G3233,""/""),,1))"),44762.0)</f>
        <v>44762</v>
      </c>
      <c r="I3233" s="4">
        <v>44689.0</v>
      </c>
      <c r="J3233" s="4">
        <f>IFERROR(__xludf.DUMMYFUNCTION("DATE(INDEX(SPLIT(I3233,""/""),,3),INDEX(SPLIT(I3233,""/""),,2),INDEX(SPLIT(I3233,""/""),,1))"),44778.0)</f>
        <v>44778</v>
      </c>
      <c r="L3233" s="1">
        <v>0.0</v>
      </c>
      <c r="M3233" s="1" t="s">
        <v>5564</v>
      </c>
      <c r="N3233" s="1"/>
      <c r="O3233" s="1" t="s">
        <v>30</v>
      </c>
      <c r="P3233" s="1" t="s">
        <v>31</v>
      </c>
      <c r="Q3233" s="1" t="s">
        <v>235</v>
      </c>
      <c r="R3233" s="1" t="s">
        <v>235</v>
      </c>
      <c r="S3233" s="1" t="s">
        <v>236</v>
      </c>
      <c r="T3233" s="1" t="s">
        <v>438</v>
      </c>
      <c r="U3233" s="1">
        <v>1.00623111E8</v>
      </c>
      <c r="X3233" s="1" t="s">
        <v>98</v>
      </c>
      <c r="Y3233" s="1" t="s">
        <v>5564</v>
      </c>
      <c r="Z3233" s="1" t="s">
        <v>37</v>
      </c>
    </row>
    <row r="3234">
      <c r="A3234" s="1" t="s">
        <v>9591</v>
      </c>
      <c r="B3234" s="1" t="s">
        <v>427</v>
      </c>
      <c r="C3234" s="1" t="s">
        <v>9592</v>
      </c>
      <c r="D3234" s="1" t="s">
        <v>27</v>
      </c>
      <c r="E3234" s="1" t="s">
        <v>28</v>
      </c>
      <c r="F3234" s="2">
        <v>250000.0</v>
      </c>
      <c r="G3234" s="1" t="s">
        <v>3745</v>
      </c>
      <c r="H3234" s="4">
        <f>IFERROR(__xludf.DUMMYFUNCTION("DATE(INDEX(SPLIT(G3234,""/""),,3),INDEX(SPLIT(G3234,""/""),,2),INDEX(SPLIT(G3234,""/""),,1))"),44343.0)</f>
        <v>44343</v>
      </c>
      <c r="I3234" s="1" t="s">
        <v>226</v>
      </c>
      <c r="J3234" s="4">
        <f>IFERROR(__xludf.DUMMYFUNCTION("DATE(INDEX(SPLIT(I3234,""/""),,3),INDEX(SPLIT(I3234,""/""),,2),INDEX(SPLIT(I3234,""/""),,1))"),44771.0)</f>
        <v>44771</v>
      </c>
      <c r="L3234" s="1">
        <v>0.0</v>
      </c>
      <c r="M3234" s="1" t="s">
        <v>770</v>
      </c>
      <c r="N3234" s="1"/>
      <c r="O3234" s="1" t="s">
        <v>30</v>
      </c>
      <c r="P3234" s="1" t="s">
        <v>31</v>
      </c>
      <c r="Q3234" s="1" t="s">
        <v>157</v>
      </c>
      <c r="R3234" s="1" t="s">
        <v>157</v>
      </c>
      <c r="S3234" s="1" t="s">
        <v>158</v>
      </c>
      <c r="T3234" s="1" t="s">
        <v>442</v>
      </c>
      <c r="U3234" s="1">
        <v>1.00623421E8</v>
      </c>
      <c r="X3234" s="1" t="s">
        <v>125</v>
      </c>
      <c r="Y3234" s="1" t="s">
        <v>4774</v>
      </c>
      <c r="Z3234" s="1" t="s">
        <v>37</v>
      </c>
    </row>
    <row r="3235">
      <c r="A3235" s="1" t="s">
        <v>9593</v>
      </c>
      <c r="B3235" s="1" t="s">
        <v>5091</v>
      </c>
      <c r="C3235" s="1" t="s">
        <v>9594</v>
      </c>
      <c r="D3235" s="1" t="s">
        <v>122</v>
      </c>
      <c r="E3235" s="1" t="s">
        <v>28</v>
      </c>
      <c r="F3235" s="2">
        <v>250000.0</v>
      </c>
      <c r="G3235" s="4">
        <v>44625.0</v>
      </c>
      <c r="H3235" s="4">
        <f>IFERROR(__xludf.DUMMYFUNCTION("DATE(INDEX(SPLIT(G3235,""/""),,3),INDEX(SPLIT(G3235,""/""),,2),INDEX(SPLIT(G3235,""/""),,1))"),44684.0)</f>
        <v>44684</v>
      </c>
      <c r="I3235" s="1" t="s">
        <v>226</v>
      </c>
      <c r="J3235" s="4">
        <f>IFERROR(__xludf.DUMMYFUNCTION("DATE(INDEX(SPLIT(I3235,""/""),,3),INDEX(SPLIT(I3235,""/""),,2),INDEX(SPLIT(I3235,""/""),,1))"),44771.0)</f>
        <v>44771</v>
      </c>
      <c r="L3235" s="1">
        <v>0.0</v>
      </c>
      <c r="M3235" s="1" t="s">
        <v>3854</v>
      </c>
      <c r="N3235" s="1"/>
      <c r="O3235" s="1" t="s">
        <v>30</v>
      </c>
      <c r="P3235" s="1" t="s">
        <v>31</v>
      </c>
      <c r="Q3235" s="1" t="s">
        <v>71</v>
      </c>
      <c r="R3235" s="1" t="s">
        <v>71</v>
      </c>
      <c r="S3235" s="1" t="s">
        <v>72</v>
      </c>
      <c r="T3235" s="1" t="s">
        <v>136</v>
      </c>
      <c r="U3235" s="1">
        <v>1.00603613E8</v>
      </c>
      <c r="X3235" s="1" t="s">
        <v>98</v>
      </c>
      <c r="Y3235" s="1" t="s">
        <v>4864</v>
      </c>
      <c r="Z3235" s="1" t="s">
        <v>37</v>
      </c>
    </row>
    <row r="3236">
      <c r="A3236" s="1" t="s">
        <v>9595</v>
      </c>
      <c r="B3236" s="1" t="s">
        <v>9596</v>
      </c>
      <c r="C3236" s="1" t="s">
        <v>9597</v>
      </c>
      <c r="D3236" s="1" t="s">
        <v>122</v>
      </c>
      <c r="E3236" s="1" t="s">
        <v>28</v>
      </c>
      <c r="F3236" s="2">
        <v>250000.0</v>
      </c>
      <c r="G3236" s="4">
        <v>44564.0</v>
      </c>
      <c r="H3236" s="4">
        <f>IFERROR(__xludf.DUMMYFUNCTION("DATE(INDEX(SPLIT(G3236,""/""),,3),INDEX(SPLIT(G3236,""/""),,2),INDEX(SPLIT(G3236,""/""),,1))"),44621.0)</f>
        <v>44621</v>
      </c>
      <c r="I3236" s="1" t="s">
        <v>1244</v>
      </c>
      <c r="J3236" s="4">
        <f>IFERROR(__xludf.DUMMYFUNCTION("DATE(INDEX(SPLIT(I3236,""/""),,3),INDEX(SPLIT(I3236,""/""),,2),INDEX(SPLIT(I3236,""/""),,1))"),44742.0)</f>
        <v>44742</v>
      </c>
      <c r="L3236" s="1">
        <v>0.0</v>
      </c>
      <c r="M3236" s="1" t="s">
        <v>5588</v>
      </c>
      <c r="N3236" s="1"/>
      <c r="O3236" s="1" t="s">
        <v>30</v>
      </c>
      <c r="P3236" s="1" t="s">
        <v>31</v>
      </c>
      <c r="Q3236" s="1" t="s">
        <v>1320</v>
      </c>
      <c r="R3236" s="1" t="s">
        <v>1320</v>
      </c>
      <c r="S3236" s="1" t="s">
        <v>54</v>
      </c>
      <c r="T3236" s="1" t="s">
        <v>55</v>
      </c>
      <c r="U3236" s="1">
        <v>1.00625588E8</v>
      </c>
      <c r="X3236" s="1" t="s">
        <v>125</v>
      </c>
      <c r="Y3236" s="1" t="s">
        <v>1321</v>
      </c>
      <c r="Z3236" s="1" t="s">
        <v>37</v>
      </c>
    </row>
    <row r="3237" hidden="1">
      <c r="A3237" s="1" t="s">
        <v>9598</v>
      </c>
      <c r="B3237" s="1" t="s">
        <v>3005</v>
      </c>
      <c r="C3237" s="1" t="s">
        <v>9599</v>
      </c>
      <c r="D3237" s="1" t="s">
        <v>78</v>
      </c>
      <c r="E3237" s="1" t="s">
        <v>28</v>
      </c>
      <c r="F3237" s="2">
        <v>250000.0</v>
      </c>
      <c r="G3237" s="4">
        <v>44716.0</v>
      </c>
      <c r="H3237" s="4">
        <f>IFERROR(__xludf.DUMMYFUNCTION("DATE(INDEX(SPLIT(G3237,""/""),,3),INDEX(SPLIT(G3237,""/""),,2),INDEX(SPLIT(G3237,""/""),,1))"),44657.0)</f>
        <v>44657</v>
      </c>
      <c r="I3237" s="1" t="s">
        <v>109</v>
      </c>
      <c r="J3237" s="4">
        <f>IFERROR(__xludf.DUMMYFUNCTION("DATE(INDEX(SPLIT(I3237,""/""),,3),INDEX(SPLIT(I3237,""/""),,2),INDEX(SPLIT(I3237,""/""),,1))"),44834.0)</f>
        <v>44834</v>
      </c>
      <c r="L3237" s="1">
        <v>0.0</v>
      </c>
      <c r="M3237" s="1" t="s">
        <v>3503</v>
      </c>
      <c r="N3237" s="1"/>
      <c r="O3237" s="1" t="s">
        <v>30</v>
      </c>
      <c r="P3237" s="1" t="s">
        <v>31</v>
      </c>
      <c r="Q3237" s="1" t="s">
        <v>95</v>
      </c>
      <c r="R3237" s="1" t="s">
        <v>95</v>
      </c>
      <c r="S3237" s="1" t="s">
        <v>96</v>
      </c>
      <c r="T3237" s="1" t="s">
        <v>489</v>
      </c>
      <c r="U3237" s="1">
        <v>1.00625578E8</v>
      </c>
      <c r="X3237" s="1" t="s">
        <v>490</v>
      </c>
      <c r="Y3237" s="1" t="s">
        <v>9600</v>
      </c>
      <c r="Z3237" s="1" t="s">
        <v>37</v>
      </c>
    </row>
    <row r="3238" hidden="1">
      <c r="A3238" s="1" t="s">
        <v>9601</v>
      </c>
      <c r="B3238" s="1" t="s">
        <v>8664</v>
      </c>
      <c r="C3238" s="1" t="s">
        <v>9602</v>
      </c>
      <c r="D3238" s="1" t="s">
        <v>122</v>
      </c>
      <c r="E3238" s="1" t="s">
        <v>28</v>
      </c>
      <c r="F3238" s="2">
        <v>250000.0</v>
      </c>
      <c r="G3238" s="1" t="s">
        <v>9603</v>
      </c>
      <c r="H3238" s="4">
        <f>IFERROR(__xludf.DUMMYFUNCTION("DATE(INDEX(SPLIT(G3238,""/""),,3),INDEX(SPLIT(G3238,""/""),,2),INDEX(SPLIT(G3238,""/""),,1))"),44033.0)</f>
        <v>44033</v>
      </c>
      <c r="I3238" s="1" t="s">
        <v>535</v>
      </c>
      <c r="J3238" s="4">
        <f>IFERROR(__xludf.DUMMYFUNCTION("DATE(INDEX(SPLIT(I3238,""/""),,3),INDEX(SPLIT(I3238,""/""),,2),INDEX(SPLIT(I3238,""/""),,1))"),44957.0)</f>
        <v>44957</v>
      </c>
      <c r="L3238" s="1">
        <v>0.0</v>
      </c>
      <c r="M3238" s="1" t="s">
        <v>2892</v>
      </c>
      <c r="N3238" s="1"/>
      <c r="O3238" s="1" t="s">
        <v>30</v>
      </c>
      <c r="P3238" s="1" t="s">
        <v>31</v>
      </c>
      <c r="Q3238" s="1" t="s">
        <v>188</v>
      </c>
      <c r="R3238" s="1" t="s">
        <v>188</v>
      </c>
      <c r="S3238" s="1" t="s">
        <v>189</v>
      </c>
      <c r="T3238" s="1" t="s">
        <v>136</v>
      </c>
      <c r="U3238" s="1">
        <v>1.0059132E8</v>
      </c>
      <c r="X3238" s="1" t="s">
        <v>74</v>
      </c>
      <c r="Y3238" s="1" t="s">
        <v>2593</v>
      </c>
      <c r="Z3238" s="1" t="s">
        <v>37</v>
      </c>
    </row>
    <row r="3239">
      <c r="A3239" s="1" t="s">
        <v>9604</v>
      </c>
      <c r="B3239" s="1" t="s">
        <v>2462</v>
      </c>
      <c r="C3239" s="1" t="s">
        <v>9605</v>
      </c>
      <c r="D3239" s="1" t="s">
        <v>27</v>
      </c>
      <c r="E3239" s="1" t="s">
        <v>28</v>
      </c>
      <c r="F3239" s="2">
        <v>250000.0</v>
      </c>
      <c r="G3239" s="1" t="s">
        <v>557</v>
      </c>
      <c r="H3239" s="4">
        <f>IFERROR(__xludf.DUMMYFUNCTION("DATE(INDEX(SPLIT(G3239,""/""),,3),INDEX(SPLIT(G3239,""/""),,2),INDEX(SPLIT(G3239,""/""),,1))"),44439.0)</f>
        <v>44439</v>
      </c>
      <c r="I3239" s="1" t="s">
        <v>69</v>
      </c>
      <c r="J3239" s="4">
        <f>IFERROR(__xludf.DUMMYFUNCTION("DATE(INDEX(SPLIT(I3239,""/""),,3),INDEX(SPLIT(I3239,""/""),,2),INDEX(SPLIT(I3239,""/""),,1))"),44773.0)</f>
        <v>44773</v>
      </c>
      <c r="L3239" s="1">
        <v>0.0</v>
      </c>
      <c r="M3239" s="1" t="s">
        <v>2464</v>
      </c>
      <c r="N3239" s="1"/>
      <c r="O3239" s="1" t="s">
        <v>30</v>
      </c>
      <c r="P3239" s="1" t="s">
        <v>31</v>
      </c>
      <c r="Q3239" s="1" t="s">
        <v>157</v>
      </c>
      <c r="R3239" s="1" t="s">
        <v>157</v>
      </c>
      <c r="S3239" s="1" t="s">
        <v>158</v>
      </c>
      <c r="T3239" s="1" t="s">
        <v>197</v>
      </c>
      <c r="U3239" s="1">
        <v>1.00589278E8</v>
      </c>
      <c r="Y3239" s="1" t="s">
        <v>2382</v>
      </c>
      <c r="Z3239" s="1" t="s">
        <v>37</v>
      </c>
    </row>
    <row r="3240" hidden="1">
      <c r="A3240" s="1" t="s">
        <v>9606</v>
      </c>
      <c r="B3240" s="1" t="s">
        <v>377</v>
      </c>
      <c r="C3240" s="1" t="s">
        <v>9607</v>
      </c>
      <c r="D3240" s="1" t="s">
        <v>27</v>
      </c>
      <c r="E3240" s="1" t="s">
        <v>28</v>
      </c>
      <c r="F3240" s="2">
        <v>250000.0</v>
      </c>
      <c r="G3240" s="4">
        <v>44685.0</v>
      </c>
      <c r="H3240" s="4">
        <f>IFERROR(__xludf.DUMMYFUNCTION("DATE(INDEX(SPLIT(G3240,""/""),,3),INDEX(SPLIT(G3240,""/""),,2),INDEX(SPLIT(G3240,""/""),,1))"),44656.0)</f>
        <v>44656</v>
      </c>
      <c r="I3240" s="1" t="s">
        <v>85</v>
      </c>
      <c r="J3240" s="4">
        <f>IFERROR(__xludf.DUMMYFUNCTION("DATE(INDEX(SPLIT(I3240,""/""),,3),INDEX(SPLIT(I3240,""/""),,2),INDEX(SPLIT(I3240,""/""),,1))"),44799.0)</f>
        <v>44799</v>
      </c>
      <c r="L3240" s="1">
        <v>0.0</v>
      </c>
      <c r="M3240" s="1" t="s">
        <v>1814</v>
      </c>
      <c r="N3240" s="1"/>
      <c r="O3240" s="1" t="s">
        <v>30</v>
      </c>
      <c r="P3240" s="1" t="s">
        <v>31</v>
      </c>
      <c r="Q3240" s="1" t="s">
        <v>95</v>
      </c>
      <c r="R3240" s="1" t="s">
        <v>95</v>
      </c>
      <c r="S3240" s="1" t="s">
        <v>96</v>
      </c>
      <c r="T3240" s="1" t="s">
        <v>260</v>
      </c>
      <c r="U3240" s="1">
        <v>1.00597983E8</v>
      </c>
      <c r="X3240" s="1" t="s">
        <v>239</v>
      </c>
      <c r="Y3240" s="1" t="s">
        <v>9608</v>
      </c>
      <c r="Z3240" s="1" t="s">
        <v>206</v>
      </c>
    </row>
    <row r="3241">
      <c r="A3241" s="1" t="s">
        <v>9609</v>
      </c>
      <c r="B3241" s="1" t="s">
        <v>9610</v>
      </c>
      <c r="C3241" s="1" t="s">
        <v>9611</v>
      </c>
      <c r="D3241" s="1" t="s">
        <v>27</v>
      </c>
      <c r="E3241" s="1" t="s">
        <v>28</v>
      </c>
      <c r="F3241" s="2">
        <v>250000.0</v>
      </c>
      <c r="G3241" s="4">
        <v>44807.0</v>
      </c>
      <c r="H3241" s="4">
        <f>IFERROR(__xludf.DUMMYFUNCTION("DATE(INDEX(SPLIT(G3241,""/""),,3),INDEX(SPLIT(G3241,""/""),,2),INDEX(SPLIT(G3241,""/""),,1))"),44629.0)</f>
        <v>44629</v>
      </c>
      <c r="I3241" s="1" t="s">
        <v>2300</v>
      </c>
      <c r="J3241" s="4">
        <f>IFERROR(__xludf.DUMMYFUNCTION("DATE(INDEX(SPLIT(I3241,""/""),,3),INDEX(SPLIT(I3241,""/""),,2),INDEX(SPLIT(I3241,""/""),,1))"),44712.0)</f>
        <v>44712</v>
      </c>
      <c r="L3241" s="1">
        <v>0.0</v>
      </c>
      <c r="M3241" s="1" t="s">
        <v>1828</v>
      </c>
      <c r="N3241" s="1"/>
      <c r="O3241" s="1" t="s">
        <v>30</v>
      </c>
      <c r="P3241" s="1" t="s">
        <v>31</v>
      </c>
      <c r="Q3241" s="1" t="s">
        <v>235</v>
      </c>
      <c r="R3241" s="1" t="s">
        <v>235</v>
      </c>
      <c r="S3241" s="1" t="s">
        <v>236</v>
      </c>
      <c r="T3241" s="1" t="s">
        <v>1349</v>
      </c>
      <c r="U3241" s="1">
        <v>1.00593918E8</v>
      </c>
      <c r="X3241" s="1" t="s">
        <v>609</v>
      </c>
      <c r="Y3241" s="1" t="s">
        <v>1829</v>
      </c>
      <c r="Z3241" s="1" t="s">
        <v>37</v>
      </c>
    </row>
    <row r="3242" hidden="1">
      <c r="A3242" s="1" t="s">
        <v>9612</v>
      </c>
      <c r="B3242" s="1" t="s">
        <v>532</v>
      </c>
      <c r="C3242" s="1" t="s">
        <v>9613</v>
      </c>
      <c r="D3242" s="1" t="s">
        <v>78</v>
      </c>
      <c r="E3242" s="1" t="s">
        <v>28</v>
      </c>
      <c r="F3242" s="2">
        <v>250000.0</v>
      </c>
      <c r="G3242" s="1" t="s">
        <v>576</v>
      </c>
      <c r="H3242" s="4">
        <f>IFERROR(__xludf.DUMMYFUNCTION("DATE(INDEX(SPLIT(G3242,""/""),,3),INDEX(SPLIT(G3242,""/""),,2),INDEX(SPLIT(G3242,""/""),,1))"),44614.0)</f>
        <v>44614</v>
      </c>
      <c r="I3242" s="4">
        <v>44813.0</v>
      </c>
      <c r="J3242" s="4">
        <f>IFERROR(__xludf.DUMMYFUNCTION("DATE(INDEX(SPLIT(I3242,""/""),,3),INDEX(SPLIT(I3242,""/""),,2),INDEX(SPLIT(I3242,""/""),,1))"),44813.0)</f>
        <v>44813</v>
      </c>
      <c r="L3242" s="1">
        <v>0.0</v>
      </c>
      <c r="M3242" s="1" t="s">
        <v>9614</v>
      </c>
      <c r="N3242" s="1"/>
      <c r="O3242" s="1" t="s">
        <v>30</v>
      </c>
      <c r="P3242" s="1" t="s">
        <v>31</v>
      </c>
      <c r="Q3242" s="1" t="s">
        <v>53</v>
      </c>
      <c r="R3242" s="1" t="s">
        <v>53</v>
      </c>
      <c r="S3242" s="1" t="s">
        <v>54</v>
      </c>
      <c r="T3242" s="1" t="s">
        <v>634</v>
      </c>
      <c r="U3242" s="1">
        <v>1.01161639E8</v>
      </c>
      <c r="X3242" s="1" t="s">
        <v>490</v>
      </c>
      <c r="Y3242" s="1" t="s">
        <v>614</v>
      </c>
      <c r="Z3242" s="1" t="s">
        <v>37</v>
      </c>
    </row>
    <row r="3243" hidden="1">
      <c r="A3243" s="1" t="s">
        <v>9615</v>
      </c>
      <c r="B3243" s="1" t="s">
        <v>9616</v>
      </c>
      <c r="C3243" s="1" t="s">
        <v>9617</v>
      </c>
      <c r="D3243" s="1" t="s">
        <v>27</v>
      </c>
      <c r="E3243" s="1" t="s">
        <v>28</v>
      </c>
      <c r="F3243" s="2">
        <v>250000.0</v>
      </c>
      <c r="G3243" s="4">
        <v>44810.0</v>
      </c>
      <c r="H3243" s="4">
        <f>IFERROR(__xludf.DUMMYFUNCTION("DATE(INDEX(SPLIT(G3243,""/""),,3),INDEX(SPLIT(G3243,""/""),,2),INDEX(SPLIT(G3243,""/""),,1))"),44721.0)</f>
        <v>44721</v>
      </c>
      <c r="I3243" s="1" t="s">
        <v>130</v>
      </c>
      <c r="J3243" s="4">
        <f>IFERROR(__xludf.DUMMYFUNCTION("DATE(INDEX(SPLIT(I3243,""/""),,3),INDEX(SPLIT(I3243,""/""),,2),INDEX(SPLIT(I3243,""/""),,1))"),44804.0)</f>
        <v>44804</v>
      </c>
      <c r="L3243" s="1">
        <v>0.0</v>
      </c>
      <c r="M3243" s="1" t="s">
        <v>9618</v>
      </c>
      <c r="N3243" s="1"/>
      <c r="O3243" s="1" t="s">
        <v>30</v>
      </c>
      <c r="P3243" s="1" t="s">
        <v>31</v>
      </c>
      <c r="Q3243" s="1" t="s">
        <v>157</v>
      </c>
      <c r="R3243" s="1" t="s">
        <v>157</v>
      </c>
      <c r="S3243" s="1" t="s">
        <v>158</v>
      </c>
      <c r="U3243" s="1">
        <v>1.00653538E8</v>
      </c>
      <c r="X3243" s="1" t="s">
        <v>125</v>
      </c>
      <c r="Y3243" s="1" t="s">
        <v>6682</v>
      </c>
      <c r="Z3243" s="1" t="s">
        <v>37</v>
      </c>
    </row>
    <row r="3244" hidden="1">
      <c r="A3244" s="1" t="s">
        <v>9619</v>
      </c>
      <c r="B3244" s="1" t="s">
        <v>9616</v>
      </c>
      <c r="C3244" s="1" t="s">
        <v>9620</v>
      </c>
      <c r="D3244" s="1" t="s">
        <v>27</v>
      </c>
      <c r="E3244" s="1" t="s">
        <v>28</v>
      </c>
      <c r="F3244" s="2">
        <v>250000.0</v>
      </c>
      <c r="G3244" s="4">
        <v>44810.0</v>
      </c>
      <c r="H3244" s="4">
        <f>IFERROR(__xludf.DUMMYFUNCTION("DATE(INDEX(SPLIT(G3244,""/""),,3),INDEX(SPLIT(G3244,""/""),,2),INDEX(SPLIT(G3244,""/""),,1))"),44721.0)</f>
        <v>44721</v>
      </c>
      <c r="I3244" s="1" t="s">
        <v>130</v>
      </c>
      <c r="J3244" s="4">
        <f>IFERROR(__xludf.DUMMYFUNCTION("DATE(INDEX(SPLIT(I3244,""/""),,3),INDEX(SPLIT(I3244,""/""),,2),INDEX(SPLIT(I3244,""/""),,1))"),44804.0)</f>
        <v>44804</v>
      </c>
      <c r="L3244" s="1">
        <v>0.0</v>
      </c>
      <c r="M3244" s="1" t="s">
        <v>9618</v>
      </c>
      <c r="N3244" s="1"/>
      <c r="O3244" s="1" t="s">
        <v>30</v>
      </c>
      <c r="P3244" s="1" t="s">
        <v>31</v>
      </c>
      <c r="Q3244" s="1" t="s">
        <v>157</v>
      </c>
      <c r="R3244" s="1" t="s">
        <v>157</v>
      </c>
      <c r="S3244" s="1" t="s">
        <v>158</v>
      </c>
      <c r="T3244" s="1" t="s">
        <v>442</v>
      </c>
      <c r="U3244" s="1">
        <v>1.00653538E8</v>
      </c>
      <c r="X3244" s="1" t="s">
        <v>125</v>
      </c>
      <c r="Y3244" s="1" t="s">
        <v>6682</v>
      </c>
      <c r="Z3244" s="1" t="s">
        <v>37</v>
      </c>
    </row>
    <row r="3245" hidden="1">
      <c r="A3245" s="1" t="s">
        <v>9621</v>
      </c>
      <c r="B3245" s="1" t="s">
        <v>301</v>
      </c>
      <c r="C3245" s="1" t="s">
        <v>9622</v>
      </c>
      <c r="D3245" s="1" t="s">
        <v>27</v>
      </c>
      <c r="E3245" s="1" t="s">
        <v>28</v>
      </c>
      <c r="F3245" s="2">
        <v>250000.0</v>
      </c>
      <c r="G3245" s="4">
        <v>44475.0</v>
      </c>
      <c r="H3245" s="4">
        <f>IFERROR(__xludf.DUMMYFUNCTION("DATE(INDEX(SPLIT(G3245,""/""),,3),INDEX(SPLIT(G3245,""/""),,2),INDEX(SPLIT(G3245,""/""),,1))"),44357.0)</f>
        <v>44357</v>
      </c>
      <c r="I3245" s="1" t="s">
        <v>130</v>
      </c>
      <c r="J3245" s="4">
        <f>IFERROR(__xludf.DUMMYFUNCTION("DATE(INDEX(SPLIT(I3245,""/""),,3),INDEX(SPLIT(I3245,""/""),,2),INDEX(SPLIT(I3245,""/""),,1))"),44804.0)</f>
        <v>44804</v>
      </c>
      <c r="L3245" s="1">
        <v>0.0</v>
      </c>
      <c r="M3245" s="1" t="s">
        <v>2464</v>
      </c>
      <c r="N3245" s="1"/>
      <c r="O3245" s="1" t="s">
        <v>30</v>
      </c>
      <c r="P3245" s="1" t="s">
        <v>31</v>
      </c>
      <c r="Q3245" s="1" t="s">
        <v>157</v>
      </c>
      <c r="R3245" s="1" t="s">
        <v>157</v>
      </c>
      <c r="S3245" s="1" t="s">
        <v>158</v>
      </c>
      <c r="T3245" s="1" t="s">
        <v>571</v>
      </c>
      <c r="U3245" s="1">
        <v>1.00589278E8</v>
      </c>
      <c r="X3245" s="1" t="s">
        <v>305</v>
      </c>
      <c r="Y3245" s="1" t="s">
        <v>9623</v>
      </c>
      <c r="Z3245" s="1" t="s">
        <v>37</v>
      </c>
    </row>
    <row r="3246" hidden="1">
      <c r="A3246" s="1" t="s">
        <v>9624</v>
      </c>
      <c r="B3246" s="1" t="s">
        <v>1070</v>
      </c>
      <c r="C3246" s="1" t="s">
        <v>9625</v>
      </c>
      <c r="D3246" s="1" t="s">
        <v>122</v>
      </c>
      <c r="E3246" s="1" t="s">
        <v>28</v>
      </c>
      <c r="F3246" s="2">
        <v>250000.0</v>
      </c>
      <c r="G3246" s="4">
        <v>43840.0</v>
      </c>
      <c r="H3246" s="4">
        <f>IFERROR(__xludf.DUMMYFUNCTION("DATE(INDEX(SPLIT(G3246,""/""),,3),INDEX(SPLIT(G3246,""/""),,2),INDEX(SPLIT(G3246,""/""),,1))"),44105.0)</f>
        <v>44105</v>
      </c>
      <c r="I3246" s="4">
        <v>44569.0</v>
      </c>
      <c r="J3246" s="4">
        <f>IFERROR(__xludf.DUMMYFUNCTION("DATE(INDEX(SPLIT(I3246,""/""),,3),INDEX(SPLIT(I3246,""/""),,2),INDEX(SPLIT(I3246,""/""),,1))"),44774.0)</f>
        <v>44774</v>
      </c>
      <c r="L3246" s="1">
        <v>0.0</v>
      </c>
      <c r="M3246" s="1" t="s">
        <v>5205</v>
      </c>
      <c r="N3246" s="1"/>
      <c r="O3246" s="1" t="s">
        <v>30</v>
      </c>
      <c r="P3246" s="1" t="s">
        <v>31</v>
      </c>
      <c r="Q3246" s="1" t="s">
        <v>32</v>
      </c>
      <c r="R3246" s="1" t="s">
        <v>32</v>
      </c>
      <c r="S3246" s="1" t="s">
        <v>33</v>
      </c>
      <c r="T3246" s="1" t="s">
        <v>34</v>
      </c>
      <c r="U3246" s="1">
        <v>1.00587881E8</v>
      </c>
      <c r="X3246" s="1" t="s">
        <v>305</v>
      </c>
      <c r="Y3246" s="1" t="s">
        <v>5205</v>
      </c>
      <c r="Z3246" s="1" t="s">
        <v>37</v>
      </c>
    </row>
    <row r="3247" hidden="1">
      <c r="A3247" s="1" t="s">
        <v>9626</v>
      </c>
      <c r="B3247" s="1" t="s">
        <v>5763</v>
      </c>
      <c r="C3247" s="1" t="s">
        <v>9627</v>
      </c>
      <c r="D3247" s="1" t="s">
        <v>78</v>
      </c>
      <c r="E3247" s="1" t="s">
        <v>28</v>
      </c>
      <c r="F3247" s="2">
        <v>250000.0</v>
      </c>
      <c r="G3247" s="1" t="s">
        <v>6091</v>
      </c>
      <c r="H3247" s="4">
        <f>IFERROR(__xludf.DUMMYFUNCTION("DATE(INDEX(SPLIT(G3247,""/""),,3),INDEX(SPLIT(G3247,""/""),,2),INDEX(SPLIT(G3247,""/""),,1))"),44278.0)</f>
        <v>44278</v>
      </c>
      <c r="I3247" s="1" t="s">
        <v>872</v>
      </c>
      <c r="J3247" s="4">
        <f>IFERROR(__xludf.DUMMYFUNCTION("DATE(INDEX(SPLIT(I3247,""/""),,3),INDEX(SPLIT(I3247,""/""),,2),INDEX(SPLIT(I3247,""/""),,1))"),44820.0)</f>
        <v>44820</v>
      </c>
      <c r="L3247" s="1">
        <v>0.0</v>
      </c>
      <c r="M3247" s="1" t="s">
        <v>1704</v>
      </c>
      <c r="N3247" s="1"/>
      <c r="O3247" s="1" t="s">
        <v>30</v>
      </c>
      <c r="P3247" s="1" t="s">
        <v>31</v>
      </c>
      <c r="Q3247" s="1" t="s">
        <v>157</v>
      </c>
      <c r="R3247" s="1" t="s">
        <v>157</v>
      </c>
      <c r="S3247" s="1" t="s">
        <v>158</v>
      </c>
      <c r="T3247" s="1" t="s">
        <v>442</v>
      </c>
      <c r="U3247" s="1">
        <v>1.00654991E8</v>
      </c>
      <c r="X3247" s="1" t="s">
        <v>63</v>
      </c>
      <c r="Y3247" s="1" t="s">
        <v>1704</v>
      </c>
      <c r="Z3247" s="1" t="s">
        <v>37</v>
      </c>
    </row>
    <row r="3248" hidden="1">
      <c r="A3248" s="1" t="s">
        <v>9628</v>
      </c>
      <c r="B3248" s="1" t="s">
        <v>854</v>
      </c>
      <c r="C3248" s="1" t="s">
        <v>9629</v>
      </c>
      <c r="D3248" s="1" t="s">
        <v>27</v>
      </c>
      <c r="E3248" s="1" t="s">
        <v>28</v>
      </c>
      <c r="F3248" s="2">
        <v>250000.0</v>
      </c>
      <c r="G3248" s="1" t="s">
        <v>619</v>
      </c>
      <c r="H3248" s="4">
        <f>IFERROR(__xludf.DUMMYFUNCTION("DATE(INDEX(SPLIT(G3248,""/""),,3),INDEX(SPLIT(G3248,""/""),,2),INDEX(SPLIT(G3248,""/""),,1))"),44490.0)</f>
        <v>44490</v>
      </c>
      <c r="I3248" s="1" t="s">
        <v>109</v>
      </c>
      <c r="J3248" s="4">
        <f>IFERROR(__xludf.DUMMYFUNCTION("DATE(INDEX(SPLIT(I3248,""/""),,3),INDEX(SPLIT(I3248,""/""),,2),INDEX(SPLIT(I3248,""/""),,1))"),44834.0)</f>
        <v>44834</v>
      </c>
      <c r="L3248" s="1">
        <v>0.0</v>
      </c>
      <c r="M3248" s="1" t="s">
        <v>856</v>
      </c>
      <c r="N3248" s="1"/>
      <c r="O3248" s="1" t="s">
        <v>30</v>
      </c>
      <c r="P3248" s="1" t="s">
        <v>31</v>
      </c>
      <c r="Q3248" s="1" t="s">
        <v>235</v>
      </c>
      <c r="R3248" s="1" t="s">
        <v>235</v>
      </c>
      <c r="S3248" s="1" t="s">
        <v>236</v>
      </c>
      <c r="T3248" s="1" t="s">
        <v>438</v>
      </c>
      <c r="U3248" s="1">
        <v>1.01017204E8</v>
      </c>
      <c r="X3248" s="1" t="s">
        <v>88</v>
      </c>
      <c r="Y3248" s="1" t="s">
        <v>856</v>
      </c>
      <c r="Z3248" s="1" t="s">
        <v>37</v>
      </c>
    </row>
    <row r="3249">
      <c r="A3249" s="1" t="s">
        <v>9630</v>
      </c>
      <c r="B3249" s="1" t="s">
        <v>1772</v>
      </c>
      <c r="C3249" s="1" t="s">
        <v>9631</v>
      </c>
      <c r="D3249" s="1" t="s">
        <v>122</v>
      </c>
      <c r="E3249" s="1" t="s">
        <v>28</v>
      </c>
      <c r="F3249" s="2">
        <v>250000.0</v>
      </c>
      <c r="G3249" s="1" t="s">
        <v>429</v>
      </c>
      <c r="H3249" s="4">
        <f>IFERROR(__xludf.DUMMYFUNCTION("DATE(INDEX(SPLIT(G3249,""/""),,3),INDEX(SPLIT(G3249,""/""),,2),INDEX(SPLIT(G3249,""/""),,1))"),44739.0)</f>
        <v>44739</v>
      </c>
      <c r="I3249" s="1" t="s">
        <v>226</v>
      </c>
      <c r="J3249" s="4">
        <f>IFERROR(__xludf.DUMMYFUNCTION("DATE(INDEX(SPLIT(I3249,""/""),,3),INDEX(SPLIT(I3249,""/""),,2),INDEX(SPLIT(I3249,""/""),,1))"),44771.0)</f>
        <v>44771</v>
      </c>
      <c r="L3249" s="1">
        <v>0.0</v>
      </c>
      <c r="M3249" s="1" t="s">
        <v>1548</v>
      </c>
      <c r="N3249" s="1"/>
      <c r="O3249" s="1" t="s">
        <v>30</v>
      </c>
      <c r="P3249" s="1" t="s">
        <v>31</v>
      </c>
      <c r="Q3249" s="1" t="s">
        <v>32</v>
      </c>
      <c r="R3249" s="1" t="s">
        <v>32</v>
      </c>
      <c r="S3249" s="1" t="s">
        <v>33</v>
      </c>
      <c r="U3249" s="1">
        <v>1.01215106E8</v>
      </c>
      <c r="X3249" s="1" t="s">
        <v>81</v>
      </c>
      <c r="Y3249" s="1" t="s">
        <v>1548</v>
      </c>
      <c r="Z3249" s="1" t="s">
        <v>37</v>
      </c>
    </row>
    <row r="3250">
      <c r="A3250" s="1" t="s">
        <v>9632</v>
      </c>
      <c r="B3250" s="1" t="s">
        <v>427</v>
      </c>
      <c r="C3250" s="1" t="s">
        <v>9633</v>
      </c>
      <c r="D3250" s="1" t="s">
        <v>27</v>
      </c>
      <c r="E3250" s="1" t="s">
        <v>28</v>
      </c>
      <c r="F3250" s="2">
        <v>250000.0</v>
      </c>
      <c r="G3250" s="1" t="s">
        <v>6317</v>
      </c>
      <c r="H3250" s="4">
        <f>IFERROR(__xludf.DUMMYFUNCTION("DATE(INDEX(SPLIT(G3250,""/""),,3),INDEX(SPLIT(G3250,""/""),,2),INDEX(SPLIT(G3250,""/""),,1))"),44217.0)</f>
        <v>44217</v>
      </c>
      <c r="I3250" s="1" t="s">
        <v>226</v>
      </c>
      <c r="J3250" s="4">
        <f>IFERROR(__xludf.DUMMYFUNCTION("DATE(INDEX(SPLIT(I3250,""/""),,3),INDEX(SPLIT(I3250,""/""),,2),INDEX(SPLIT(I3250,""/""),,1))"),44771.0)</f>
        <v>44771</v>
      </c>
      <c r="L3250" s="1">
        <v>0.0</v>
      </c>
      <c r="M3250" s="1" t="s">
        <v>770</v>
      </c>
      <c r="N3250" s="1"/>
      <c r="O3250" s="1" t="s">
        <v>30</v>
      </c>
      <c r="P3250" s="1" t="s">
        <v>31</v>
      </c>
      <c r="Q3250" s="1" t="s">
        <v>157</v>
      </c>
      <c r="R3250" s="1" t="s">
        <v>157</v>
      </c>
      <c r="S3250" s="1" t="s">
        <v>158</v>
      </c>
      <c r="T3250" s="1" t="s">
        <v>442</v>
      </c>
      <c r="U3250" s="1">
        <v>1.00623421E8</v>
      </c>
      <c r="X3250" s="1" t="s">
        <v>125</v>
      </c>
      <c r="Y3250" s="1" t="s">
        <v>770</v>
      </c>
      <c r="Z3250" s="1" t="s">
        <v>37</v>
      </c>
    </row>
    <row r="3251">
      <c r="A3251" s="1" t="s">
        <v>9634</v>
      </c>
      <c r="B3251" s="1" t="s">
        <v>9635</v>
      </c>
      <c r="C3251" s="1" t="s">
        <v>9636</v>
      </c>
      <c r="D3251" s="1" t="s">
        <v>122</v>
      </c>
      <c r="E3251" s="1" t="s">
        <v>28</v>
      </c>
      <c r="F3251" s="2">
        <v>250000.0</v>
      </c>
      <c r="G3251" s="1" t="s">
        <v>737</v>
      </c>
      <c r="H3251" s="4">
        <f>IFERROR(__xludf.DUMMYFUNCTION("DATE(INDEX(SPLIT(G3251,""/""),,3),INDEX(SPLIT(G3251,""/""),,2),INDEX(SPLIT(G3251,""/""),,1))"),44544.0)</f>
        <v>44544</v>
      </c>
      <c r="I3251" s="4">
        <v>44658.0</v>
      </c>
      <c r="J3251" s="4">
        <f>IFERROR(__xludf.DUMMYFUNCTION("DATE(INDEX(SPLIT(I3251,""/""),,3),INDEX(SPLIT(I3251,""/""),,2),INDEX(SPLIT(I3251,""/""),,1))"),44746.0)</f>
        <v>44746</v>
      </c>
      <c r="L3251" s="1">
        <v>0.0</v>
      </c>
      <c r="M3251" s="1" t="s">
        <v>1284</v>
      </c>
      <c r="N3251" s="1"/>
      <c r="O3251" s="1" t="s">
        <v>30</v>
      </c>
      <c r="P3251" s="1" t="s">
        <v>31</v>
      </c>
      <c r="Q3251" s="1" t="s">
        <v>32</v>
      </c>
      <c r="R3251" s="1" t="s">
        <v>32</v>
      </c>
      <c r="S3251" s="1" t="s">
        <v>33</v>
      </c>
      <c r="T3251" s="1" t="s">
        <v>402</v>
      </c>
      <c r="U3251" s="1">
        <v>1.00626898E8</v>
      </c>
      <c r="X3251" s="1" t="s">
        <v>117</v>
      </c>
      <c r="Y3251" s="1" t="s">
        <v>1284</v>
      </c>
      <c r="Z3251" s="1" t="s">
        <v>37</v>
      </c>
    </row>
    <row r="3252" hidden="1">
      <c r="A3252" s="1" t="s">
        <v>9637</v>
      </c>
      <c r="B3252" s="1" t="s">
        <v>1797</v>
      </c>
      <c r="C3252" s="1" t="s">
        <v>9638</v>
      </c>
      <c r="D3252" s="1" t="s">
        <v>122</v>
      </c>
      <c r="E3252" s="1" t="s">
        <v>28</v>
      </c>
      <c r="F3252" s="2">
        <v>250000.0</v>
      </c>
      <c r="G3252" s="1" t="s">
        <v>359</v>
      </c>
      <c r="H3252" s="4">
        <f>IFERROR(__xludf.DUMMYFUNCTION("DATE(INDEX(SPLIT(G3252,""/""),,3),INDEX(SPLIT(G3252,""/""),,2),INDEX(SPLIT(G3252,""/""),,1))"),44740.0)</f>
        <v>44740</v>
      </c>
      <c r="I3252" s="1" t="s">
        <v>85</v>
      </c>
      <c r="J3252" s="4">
        <f>IFERROR(__xludf.DUMMYFUNCTION("DATE(INDEX(SPLIT(I3252,""/""),,3),INDEX(SPLIT(I3252,""/""),,2),INDEX(SPLIT(I3252,""/""),,1))"),44799.0)</f>
        <v>44799</v>
      </c>
      <c r="L3252" s="1">
        <v>0.0</v>
      </c>
      <c r="M3252" s="1" t="s">
        <v>4328</v>
      </c>
      <c r="N3252" s="1"/>
      <c r="O3252" s="1" t="s">
        <v>30</v>
      </c>
      <c r="P3252" s="1" t="s">
        <v>31</v>
      </c>
      <c r="Q3252" s="1" t="s">
        <v>32</v>
      </c>
      <c r="R3252" s="1" t="s">
        <v>32</v>
      </c>
      <c r="S3252" s="1" t="s">
        <v>33</v>
      </c>
      <c r="T3252" s="1" t="s">
        <v>1195</v>
      </c>
      <c r="U3252" s="1">
        <v>1.00581763E8</v>
      </c>
      <c r="X3252" s="1" t="s">
        <v>490</v>
      </c>
      <c r="Y3252" s="1" t="s">
        <v>9639</v>
      </c>
      <c r="Z3252" s="1" t="s">
        <v>37</v>
      </c>
    </row>
    <row r="3253">
      <c r="A3253" s="1" t="s">
        <v>9640</v>
      </c>
      <c r="B3253" s="1" t="s">
        <v>427</v>
      </c>
      <c r="C3253" s="1" t="s">
        <v>9641</v>
      </c>
      <c r="D3253" s="1" t="s">
        <v>27</v>
      </c>
      <c r="E3253" s="1" t="s">
        <v>28</v>
      </c>
      <c r="F3253" s="2">
        <v>250000.0</v>
      </c>
      <c r="G3253" s="1" t="s">
        <v>6317</v>
      </c>
      <c r="H3253" s="4">
        <f>IFERROR(__xludf.DUMMYFUNCTION("DATE(INDEX(SPLIT(G3253,""/""),,3),INDEX(SPLIT(G3253,""/""),,2),INDEX(SPLIT(G3253,""/""),,1))"),44217.0)</f>
        <v>44217</v>
      </c>
      <c r="I3253" s="1" t="s">
        <v>226</v>
      </c>
      <c r="J3253" s="4">
        <f>IFERROR(__xludf.DUMMYFUNCTION("DATE(INDEX(SPLIT(I3253,""/""),,3),INDEX(SPLIT(I3253,""/""),,2),INDEX(SPLIT(I3253,""/""),,1))"),44771.0)</f>
        <v>44771</v>
      </c>
      <c r="L3253" s="1">
        <v>0.0</v>
      </c>
      <c r="M3253" s="1" t="s">
        <v>770</v>
      </c>
      <c r="N3253" s="1"/>
      <c r="O3253" s="1" t="s">
        <v>30</v>
      </c>
      <c r="P3253" s="1" t="s">
        <v>31</v>
      </c>
      <c r="Q3253" s="1" t="s">
        <v>157</v>
      </c>
      <c r="R3253" s="1" t="s">
        <v>157</v>
      </c>
      <c r="S3253" s="1" t="s">
        <v>158</v>
      </c>
      <c r="T3253" s="1" t="s">
        <v>442</v>
      </c>
      <c r="U3253" s="1">
        <v>1.00623421E8</v>
      </c>
      <c r="X3253" s="1" t="s">
        <v>125</v>
      </c>
      <c r="Y3253" s="1" t="s">
        <v>770</v>
      </c>
      <c r="Z3253" s="1" t="s">
        <v>37</v>
      </c>
    </row>
    <row r="3254" hidden="1">
      <c r="A3254" s="1" t="s">
        <v>9642</v>
      </c>
      <c r="B3254" s="1" t="s">
        <v>2970</v>
      </c>
      <c r="C3254" s="1" t="s">
        <v>9643</v>
      </c>
      <c r="D3254" s="1" t="s">
        <v>122</v>
      </c>
      <c r="E3254" s="1" t="s">
        <v>28</v>
      </c>
      <c r="F3254" s="2">
        <v>250000.0</v>
      </c>
      <c r="G3254" s="1" t="s">
        <v>343</v>
      </c>
      <c r="H3254" s="4">
        <f>IFERROR(__xludf.DUMMYFUNCTION("DATE(INDEX(SPLIT(G3254,""/""),,3),INDEX(SPLIT(G3254,""/""),,2),INDEX(SPLIT(G3254,""/""),,1))"),44761.0)</f>
        <v>44761</v>
      </c>
      <c r="I3254" s="4">
        <v>44569.0</v>
      </c>
      <c r="J3254" s="4">
        <f>IFERROR(__xludf.DUMMYFUNCTION("DATE(INDEX(SPLIT(I3254,""/""),,3),INDEX(SPLIT(I3254,""/""),,2),INDEX(SPLIT(I3254,""/""),,1))"),44774.0)</f>
        <v>44774</v>
      </c>
      <c r="L3254" s="1">
        <v>0.0</v>
      </c>
      <c r="M3254" s="1" t="s">
        <v>3854</v>
      </c>
      <c r="N3254" s="1"/>
      <c r="O3254" s="1" t="s">
        <v>30</v>
      </c>
      <c r="P3254" s="1" t="s">
        <v>31</v>
      </c>
      <c r="Q3254" s="1" t="s">
        <v>71</v>
      </c>
      <c r="R3254" s="1" t="s">
        <v>71</v>
      </c>
      <c r="S3254" s="1" t="s">
        <v>72</v>
      </c>
      <c r="U3254" s="1">
        <v>1.00603613E8</v>
      </c>
      <c r="X3254" s="1" t="s">
        <v>74</v>
      </c>
      <c r="Y3254" s="1" t="s">
        <v>3854</v>
      </c>
      <c r="Z3254" s="1" t="s">
        <v>37</v>
      </c>
    </row>
    <row r="3255">
      <c r="A3255" s="1" t="s">
        <v>9644</v>
      </c>
      <c r="B3255" s="1" t="s">
        <v>1546</v>
      </c>
      <c r="C3255" s="1" t="s">
        <v>9645</v>
      </c>
      <c r="D3255" s="1" t="s">
        <v>78</v>
      </c>
      <c r="E3255" s="1" t="s">
        <v>28</v>
      </c>
      <c r="F3255" s="2">
        <v>250000.0</v>
      </c>
      <c r="G3255" s="1" t="s">
        <v>359</v>
      </c>
      <c r="H3255" s="4">
        <f>IFERROR(__xludf.DUMMYFUNCTION("DATE(INDEX(SPLIT(G3255,""/""),,3),INDEX(SPLIT(G3255,""/""),,2),INDEX(SPLIT(G3255,""/""),,1))"),44740.0)</f>
        <v>44740</v>
      </c>
      <c r="I3255" s="1" t="s">
        <v>69</v>
      </c>
      <c r="J3255" s="4">
        <f>IFERROR(__xludf.DUMMYFUNCTION("DATE(INDEX(SPLIT(I3255,""/""),,3),INDEX(SPLIT(I3255,""/""),,2),INDEX(SPLIT(I3255,""/""),,1))"),44773.0)</f>
        <v>44773</v>
      </c>
      <c r="L3255" s="1">
        <v>0.0</v>
      </c>
      <c r="M3255" s="1" t="s">
        <v>9646</v>
      </c>
      <c r="N3255" s="1"/>
      <c r="O3255" s="1" t="s">
        <v>30</v>
      </c>
      <c r="P3255" s="1" t="s">
        <v>31</v>
      </c>
      <c r="Q3255" s="1" t="s">
        <v>157</v>
      </c>
      <c r="R3255" s="1" t="s">
        <v>157</v>
      </c>
      <c r="S3255" s="1" t="s">
        <v>158</v>
      </c>
      <c r="U3255" s="1">
        <v>1.01223871E8</v>
      </c>
      <c r="X3255" s="1" t="s">
        <v>46</v>
      </c>
      <c r="Y3255" s="1" t="s">
        <v>9646</v>
      </c>
      <c r="Z3255" s="1" t="s">
        <v>527</v>
      </c>
    </row>
    <row r="3256" hidden="1">
      <c r="A3256" s="1" t="s">
        <v>9647</v>
      </c>
      <c r="B3256" s="1" t="s">
        <v>7930</v>
      </c>
      <c r="C3256" s="1" t="s">
        <v>9648</v>
      </c>
      <c r="D3256" s="1" t="s">
        <v>27</v>
      </c>
      <c r="E3256" s="1" t="s">
        <v>28</v>
      </c>
      <c r="F3256" s="2">
        <v>250000.0</v>
      </c>
      <c r="G3256" s="1" t="s">
        <v>2455</v>
      </c>
      <c r="H3256" s="4">
        <f>IFERROR(__xludf.DUMMYFUNCTION("DATE(INDEX(SPLIT(G3256,""/""),,3),INDEX(SPLIT(G3256,""/""),,2),INDEX(SPLIT(G3256,""/""),,1))"),44606.0)</f>
        <v>44606</v>
      </c>
      <c r="I3256" s="4">
        <v>44569.0</v>
      </c>
      <c r="J3256" s="4">
        <f>IFERROR(__xludf.DUMMYFUNCTION("DATE(INDEX(SPLIT(I3256,""/""),,3),INDEX(SPLIT(I3256,""/""),,2),INDEX(SPLIT(I3256,""/""),,1))"),44774.0)</f>
        <v>44774</v>
      </c>
      <c r="L3256" s="1">
        <v>0.0</v>
      </c>
      <c r="M3256" s="1" t="s">
        <v>2277</v>
      </c>
      <c r="N3256" s="1"/>
      <c r="O3256" s="1" t="s">
        <v>30</v>
      </c>
      <c r="P3256" s="1" t="s">
        <v>31</v>
      </c>
      <c r="Q3256" s="1" t="s">
        <v>71</v>
      </c>
      <c r="R3256" s="1" t="s">
        <v>71</v>
      </c>
      <c r="S3256" s="1" t="s">
        <v>72</v>
      </c>
      <c r="T3256" s="1" t="s">
        <v>136</v>
      </c>
      <c r="U3256" s="1">
        <v>1.00619607E8</v>
      </c>
      <c r="X3256" s="1" t="s">
        <v>2028</v>
      </c>
      <c r="Y3256" s="1" t="s">
        <v>2277</v>
      </c>
      <c r="Z3256" s="1" t="s">
        <v>37</v>
      </c>
    </row>
    <row r="3257" hidden="1">
      <c r="A3257" s="1" t="s">
        <v>9649</v>
      </c>
      <c r="B3257" s="1" t="s">
        <v>9650</v>
      </c>
      <c r="C3257" s="1" t="s">
        <v>9651</v>
      </c>
      <c r="D3257" s="1" t="s">
        <v>27</v>
      </c>
      <c r="E3257" s="1" t="s">
        <v>28</v>
      </c>
      <c r="F3257" s="2">
        <v>250000.0</v>
      </c>
      <c r="G3257" s="4">
        <v>44350.0</v>
      </c>
      <c r="H3257" s="4">
        <f>IFERROR(__xludf.DUMMYFUNCTION("DATE(INDEX(SPLIT(G3257,""/""),,3),INDEX(SPLIT(G3257,""/""),,2),INDEX(SPLIT(G3257,""/""),,1))"),44261.0)</f>
        <v>44261</v>
      </c>
      <c r="I3257" s="1" t="s">
        <v>2227</v>
      </c>
      <c r="J3257" s="4">
        <f>IFERROR(__xludf.DUMMYFUNCTION("DATE(INDEX(SPLIT(I3257,""/""),,3),INDEX(SPLIT(I3257,""/""),,2),INDEX(SPLIT(I3257,""/""),,1))"),44912.0)</f>
        <v>44912</v>
      </c>
      <c r="L3257" s="1">
        <v>0.0</v>
      </c>
      <c r="M3257" s="1" t="s">
        <v>2787</v>
      </c>
      <c r="N3257" s="1"/>
      <c r="O3257" s="1" t="s">
        <v>30</v>
      </c>
      <c r="P3257" s="1" t="s">
        <v>31</v>
      </c>
      <c r="Q3257" s="1" t="s">
        <v>157</v>
      </c>
      <c r="R3257" s="1" t="s">
        <v>157</v>
      </c>
      <c r="S3257" s="1" t="s">
        <v>158</v>
      </c>
      <c r="T3257" s="1" t="s">
        <v>442</v>
      </c>
      <c r="U3257" s="1">
        <v>1.00708984E8</v>
      </c>
      <c r="X3257" s="1" t="s">
        <v>88</v>
      </c>
      <c r="Y3257" s="1" t="s">
        <v>9505</v>
      </c>
      <c r="Z3257" s="1" t="s">
        <v>37</v>
      </c>
    </row>
    <row r="3258" hidden="1">
      <c r="A3258" s="1" t="s">
        <v>9652</v>
      </c>
      <c r="B3258" s="1" t="s">
        <v>4109</v>
      </c>
      <c r="C3258" s="1" t="s">
        <v>9653</v>
      </c>
      <c r="D3258" s="1" t="s">
        <v>27</v>
      </c>
      <c r="E3258" s="1" t="s">
        <v>28</v>
      </c>
      <c r="F3258" s="2">
        <v>250000.0</v>
      </c>
      <c r="G3258" s="4">
        <v>44840.0</v>
      </c>
      <c r="H3258" s="4">
        <f>IFERROR(__xludf.DUMMYFUNCTION("DATE(INDEX(SPLIT(G3258,""/""),,3),INDEX(SPLIT(G3258,""/""),,2),INDEX(SPLIT(G3258,""/""),,1))"),44722.0)</f>
        <v>44722</v>
      </c>
      <c r="I3258" s="1" t="s">
        <v>109</v>
      </c>
      <c r="J3258" s="4">
        <f>IFERROR(__xludf.DUMMYFUNCTION("DATE(INDEX(SPLIT(I3258,""/""),,3),INDEX(SPLIT(I3258,""/""),,2),INDEX(SPLIT(I3258,""/""),,1))"),44834.0)</f>
        <v>44834</v>
      </c>
      <c r="L3258" s="1">
        <v>0.0</v>
      </c>
      <c r="M3258" s="1" t="s">
        <v>4111</v>
      </c>
      <c r="N3258" s="1"/>
      <c r="O3258" s="1" t="s">
        <v>30</v>
      </c>
      <c r="P3258" s="1" t="s">
        <v>31</v>
      </c>
      <c r="Q3258" s="1" t="s">
        <v>32</v>
      </c>
      <c r="R3258" s="1" t="s">
        <v>32</v>
      </c>
      <c r="S3258" s="1" t="s">
        <v>33</v>
      </c>
      <c r="T3258" s="1" t="s">
        <v>9654</v>
      </c>
      <c r="U3258" s="1">
        <v>1.00586786E8</v>
      </c>
      <c r="X3258" s="1" t="s">
        <v>117</v>
      </c>
      <c r="Y3258" s="1" t="s">
        <v>9655</v>
      </c>
      <c r="Z3258" s="1" t="s">
        <v>37</v>
      </c>
    </row>
    <row r="3259" hidden="1">
      <c r="A3259" s="1" t="s">
        <v>9656</v>
      </c>
      <c r="B3259" s="1" t="s">
        <v>529</v>
      </c>
      <c r="C3259" s="1" t="s">
        <v>9657</v>
      </c>
      <c r="D3259" s="1" t="s">
        <v>78</v>
      </c>
      <c r="E3259" s="1" t="s">
        <v>28</v>
      </c>
      <c r="F3259" s="2">
        <v>250000.0</v>
      </c>
      <c r="G3259" s="4">
        <v>44167.0</v>
      </c>
      <c r="H3259" s="4">
        <f>IFERROR(__xludf.DUMMYFUNCTION("DATE(INDEX(SPLIT(G3259,""/""),,3),INDEX(SPLIT(G3259,""/""),,2),INDEX(SPLIT(G3259,""/""),,1))"),43873.0)</f>
        <v>43873</v>
      </c>
      <c r="I3259" s="1" t="s">
        <v>109</v>
      </c>
      <c r="J3259" s="4">
        <f>IFERROR(__xludf.DUMMYFUNCTION("DATE(INDEX(SPLIT(I3259,""/""),,3),INDEX(SPLIT(I3259,""/""),,2),INDEX(SPLIT(I3259,""/""),,1))"),44834.0)</f>
        <v>44834</v>
      </c>
      <c r="L3259" s="1">
        <v>0.0</v>
      </c>
      <c r="M3259" s="1" t="s">
        <v>3376</v>
      </c>
      <c r="N3259" s="1"/>
      <c r="O3259" s="1" t="s">
        <v>30</v>
      </c>
      <c r="P3259" s="1" t="s">
        <v>31</v>
      </c>
      <c r="Q3259" s="1" t="s">
        <v>32</v>
      </c>
      <c r="R3259" s="1" t="s">
        <v>32</v>
      </c>
      <c r="S3259" s="1" t="s">
        <v>33</v>
      </c>
      <c r="T3259" s="1" t="s">
        <v>103</v>
      </c>
      <c r="U3259" s="1">
        <v>1.00597272E8</v>
      </c>
      <c r="X3259" s="1" t="s">
        <v>410</v>
      </c>
      <c r="Y3259" s="1" t="s">
        <v>767</v>
      </c>
      <c r="Z3259" s="1" t="s">
        <v>206</v>
      </c>
    </row>
    <row r="3260" hidden="1">
      <c r="A3260" s="1" t="s">
        <v>9658</v>
      </c>
      <c r="B3260" s="1" t="s">
        <v>1492</v>
      </c>
      <c r="C3260" s="1" t="s">
        <v>9659</v>
      </c>
      <c r="D3260" s="1" t="s">
        <v>122</v>
      </c>
      <c r="E3260" s="1" t="s">
        <v>28</v>
      </c>
      <c r="F3260" s="2">
        <v>250000.0</v>
      </c>
      <c r="G3260" s="1" t="s">
        <v>934</v>
      </c>
      <c r="H3260" s="4">
        <f>IFERROR(__xludf.DUMMYFUNCTION("DATE(INDEX(SPLIT(G3260,""/""),,3),INDEX(SPLIT(G3260,""/""),,2),INDEX(SPLIT(G3260,""/""),,1))"),44681.0)</f>
        <v>44681</v>
      </c>
      <c r="I3260" s="1" t="s">
        <v>165</v>
      </c>
      <c r="J3260" s="4">
        <f>IFERROR(__xludf.DUMMYFUNCTION("DATE(INDEX(SPLIT(I3260,""/""),,3),INDEX(SPLIT(I3260,""/""),,2),INDEX(SPLIT(I3260,""/""),,1))"),44803.0)</f>
        <v>44803</v>
      </c>
      <c r="L3260" s="1">
        <v>0.0</v>
      </c>
      <c r="M3260" s="1" t="s">
        <v>1496</v>
      </c>
      <c r="N3260" s="1"/>
      <c r="O3260" s="1" t="s">
        <v>30</v>
      </c>
      <c r="P3260" s="1" t="s">
        <v>31</v>
      </c>
      <c r="Q3260" s="1" t="s">
        <v>53</v>
      </c>
      <c r="R3260" s="1" t="s">
        <v>53</v>
      </c>
      <c r="S3260" s="1" t="s">
        <v>54</v>
      </c>
      <c r="T3260" s="1" t="s">
        <v>34</v>
      </c>
      <c r="U3260" s="1">
        <v>1.00610014E8</v>
      </c>
      <c r="X3260" s="1" t="s">
        <v>81</v>
      </c>
      <c r="Y3260" s="1" t="s">
        <v>104</v>
      </c>
      <c r="Z3260" s="1" t="s">
        <v>37</v>
      </c>
    </row>
    <row r="3261">
      <c r="A3261" s="1" t="s">
        <v>9660</v>
      </c>
      <c r="B3261" s="1" t="s">
        <v>784</v>
      </c>
      <c r="C3261" s="1" t="s">
        <v>9661</v>
      </c>
      <c r="D3261" s="1" t="s">
        <v>78</v>
      </c>
      <c r="E3261" s="1" t="s">
        <v>28</v>
      </c>
      <c r="F3261" s="2">
        <v>250000.0</v>
      </c>
      <c r="G3261" s="1" t="s">
        <v>394</v>
      </c>
      <c r="H3261" s="4">
        <f>IFERROR(__xludf.DUMMYFUNCTION("DATE(INDEX(SPLIT(G3261,""/""),,3),INDEX(SPLIT(G3261,""/""),,2),INDEX(SPLIT(G3261,""/""),,1))"),44677.0)</f>
        <v>44677</v>
      </c>
      <c r="I3261" s="1" t="s">
        <v>1244</v>
      </c>
      <c r="J3261" s="4">
        <f>IFERROR(__xludf.DUMMYFUNCTION("DATE(INDEX(SPLIT(I3261,""/""),,3),INDEX(SPLIT(I3261,""/""),,2),INDEX(SPLIT(I3261,""/""),,1))"),44742.0)</f>
        <v>44742</v>
      </c>
      <c r="L3261" s="1">
        <v>0.0</v>
      </c>
      <c r="M3261" s="1" t="s">
        <v>4129</v>
      </c>
      <c r="N3261" s="1"/>
      <c r="O3261" s="1" t="s">
        <v>30</v>
      </c>
      <c r="P3261" s="1" t="s">
        <v>31</v>
      </c>
      <c r="Q3261" s="1" t="s">
        <v>228</v>
      </c>
      <c r="R3261" s="1" t="s">
        <v>228</v>
      </c>
      <c r="S3261" s="1" t="s">
        <v>229</v>
      </c>
      <c r="T3261" s="1" t="s">
        <v>640</v>
      </c>
      <c r="U3261" s="1">
        <v>1.00599268E8</v>
      </c>
      <c r="X3261" s="1" t="s">
        <v>63</v>
      </c>
      <c r="Y3261" s="1" t="s">
        <v>4130</v>
      </c>
      <c r="Z3261" s="1" t="s">
        <v>37</v>
      </c>
    </row>
    <row r="3262" hidden="1">
      <c r="A3262" s="1" t="s">
        <v>9662</v>
      </c>
      <c r="B3262" s="1" t="s">
        <v>2009</v>
      </c>
      <c r="C3262" s="1" t="s">
        <v>9663</v>
      </c>
      <c r="D3262" s="1" t="s">
        <v>27</v>
      </c>
      <c r="E3262" s="1" t="s">
        <v>28</v>
      </c>
      <c r="F3262" s="2">
        <v>250000.0</v>
      </c>
      <c r="G3262" s="4">
        <v>44810.0</v>
      </c>
      <c r="H3262" s="4">
        <f>IFERROR(__xludf.DUMMYFUNCTION("DATE(INDEX(SPLIT(G3262,""/""),,3),INDEX(SPLIT(G3262,""/""),,2),INDEX(SPLIT(G3262,""/""),,1))"),44721.0)</f>
        <v>44721</v>
      </c>
      <c r="I3262" s="1" t="s">
        <v>109</v>
      </c>
      <c r="J3262" s="4">
        <f>IFERROR(__xludf.DUMMYFUNCTION("DATE(INDEX(SPLIT(I3262,""/""),,3),INDEX(SPLIT(I3262,""/""),,2),INDEX(SPLIT(I3262,""/""),,1))"),44834.0)</f>
        <v>44834</v>
      </c>
      <c r="L3262" s="1">
        <v>0.0</v>
      </c>
      <c r="M3262" s="1" t="s">
        <v>9664</v>
      </c>
      <c r="N3262" s="1"/>
      <c r="O3262" s="1" t="s">
        <v>30</v>
      </c>
      <c r="P3262" s="1" t="s">
        <v>31</v>
      </c>
      <c r="Q3262" s="1" t="s">
        <v>235</v>
      </c>
      <c r="R3262" s="1" t="s">
        <v>235</v>
      </c>
      <c r="S3262" s="1" t="s">
        <v>236</v>
      </c>
      <c r="U3262" s="1">
        <v>1.01235519E8</v>
      </c>
      <c r="X3262" s="1" t="s">
        <v>239</v>
      </c>
      <c r="Y3262" s="1" t="s">
        <v>9664</v>
      </c>
      <c r="Z3262" s="1" t="s">
        <v>37</v>
      </c>
    </row>
    <row r="3263" hidden="1">
      <c r="A3263" s="1" t="s">
        <v>9665</v>
      </c>
      <c r="B3263" s="1" t="s">
        <v>4013</v>
      </c>
      <c r="C3263" s="1" t="s">
        <v>9666</v>
      </c>
      <c r="D3263" s="1" t="s">
        <v>27</v>
      </c>
      <c r="E3263" s="1" t="s">
        <v>28</v>
      </c>
      <c r="F3263" s="2">
        <v>250000.0</v>
      </c>
      <c r="G3263" s="4">
        <v>44840.0</v>
      </c>
      <c r="H3263" s="4">
        <f>IFERROR(__xludf.DUMMYFUNCTION("DATE(INDEX(SPLIT(G3263,""/""),,3),INDEX(SPLIT(G3263,""/""),,2),INDEX(SPLIT(G3263,""/""),,1))"),44722.0)</f>
        <v>44722</v>
      </c>
      <c r="I3263" s="1" t="s">
        <v>109</v>
      </c>
      <c r="J3263" s="4">
        <f>IFERROR(__xludf.DUMMYFUNCTION("DATE(INDEX(SPLIT(I3263,""/""),,3),INDEX(SPLIT(I3263,""/""),,2),INDEX(SPLIT(I3263,""/""),,1))"),44834.0)</f>
        <v>44834</v>
      </c>
      <c r="L3263" s="1">
        <v>0.0</v>
      </c>
      <c r="M3263" s="1" t="s">
        <v>1433</v>
      </c>
      <c r="N3263" s="1"/>
      <c r="O3263" s="1" t="s">
        <v>30</v>
      </c>
      <c r="P3263" s="1" t="s">
        <v>31</v>
      </c>
      <c r="Q3263" s="1" t="s">
        <v>228</v>
      </c>
      <c r="R3263" s="1" t="s">
        <v>228</v>
      </c>
      <c r="S3263" s="1" t="s">
        <v>229</v>
      </c>
      <c r="T3263" s="1" t="s">
        <v>640</v>
      </c>
      <c r="U3263" s="1">
        <v>1.00609118E8</v>
      </c>
      <c r="X3263" s="1" t="s">
        <v>190</v>
      </c>
      <c r="Y3263" s="1" t="s">
        <v>5726</v>
      </c>
      <c r="Z3263" s="1" t="s">
        <v>37</v>
      </c>
    </row>
    <row r="3264" hidden="1">
      <c r="A3264" s="1" t="s">
        <v>9667</v>
      </c>
      <c r="B3264" s="1" t="s">
        <v>4013</v>
      </c>
      <c r="C3264" s="1" t="s">
        <v>9668</v>
      </c>
      <c r="D3264" s="1" t="s">
        <v>27</v>
      </c>
      <c r="E3264" s="1" t="s">
        <v>28</v>
      </c>
      <c r="F3264" s="2">
        <v>250000.0</v>
      </c>
      <c r="G3264" s="4">
        <v>44840.0</v>
      </c>
      <c r="H3264" s="4">
        <f>IFERROR(__xludf.DUMMYFUNCTION("DATE(INDEX(SPLIT(G3264,""/""),,3),INDEX(SPLIT(G3264,""/""),,2),INDEX(SPLIT(G3264,""/""),,1))"),44722.0)</f>
        <v>44722</v>
      </c>
      <c r="I3264" s="1" t="s">
        <v>281</v>
      </c>
      <c r="J3264" s="4">
        <f>IFERROR(__xludf.DUMMYFUNCTION("DATE(INDEX(SPLIT(I3264,""/""),,3),INDEX(SPLIT(I3264,""/""),,2),INDEX(SPLIT(I3264,""/""),,1))"),44865.0)</f>
        <v>44865</v>
      </c>
      <c r="L3264" s="1">
        <v>0.0</v>
      </c>
      <c r="M3264" s="1" t="s">
        <v>1433</v>
      </c>
      <c r="N3264" s="1"/>
      <c r="O3264" s="1" t="s">
        <v>30</v>
      </c>
      <c r="P3264" s="1" t="s">
        <v>31</v>
      </c>
      <c r="Q3264" s="1" t="s">
        <v>228</v>
      </c>
      <c r="R3264" s="1" t="s">
        <v>228</v>
      </c>
      <c r="S3264" s="1" t="s">
        <v>229</v>
      </c>
      <c r="T3264" s="1" t="s">
        <v>505</v>
      </c>
      <c r="U3264" s="1">
        <v>1.00609118E8</v>
      </c>
      <c r="X3264" s="1" t="s">
        <v>190</v>
      </c>
      <c r="Y3264" s="1" t="s">
        <v>5726</v>
      </c>
      <c r="Z3264" s="1" t="s">
        <v>37</v>
      </c>
    </row>
    <row r="3265">
      <c r="A3265" s="1" t="s">
        <v>9669</v>
      </c>
      <c r="B3265" s="1" t="s">
        <v>4013</v>
      </c>
      <c r="C3265" s="1" t="s">
        <v>9670</v>
      </c>
      <c r="D3265" s="1" t="s">
        <v>27</v>
      </c>
      <c r="E3265" s="1" t="s">
        <v>28</v>
      </c>
      <c r="F3265" s="2">
        <v>250000.0</v>
      </c>
      <c r="G3265" s="4">
        <v>44840.0</v>
      </c>
      <c r="H3265" s="4">
        <f>IFERROR(__xludf.DUMMYFUNCTION("DATE(INDEX(SPLIT(G3265,""/""),,3),INDEX(SPLIT(G3265,""/""),,2),INDEX(SPLIT(G3265,""/""),,1))"),44722.0)</f>
        <v>44722</v>
      </c>
      <c r="I3265" s="1" t="s">
        <v>226</v>
      </c>
      <c r="J3265" s="4">
        <f>IFERROR(__xludf.DUMMYFUNCTION("DATE(INDEX(SPLIT(I3265,""/""),,3),INDEX(SPLIT(I3265,""/""),,2),INDEX(SPLIT(I3265,""/""),,1))"),44771.0)</f>
        <v>44771</v>
      </c>
      <c r="L3265" s="1">
        <v>0.0</v>
      </c>
      <c r="M3265" s="1" t="s">
        <v>1433</v>
      </c>
      <c r="N3265" s="1"/>
      <c r="O3265" s="1" t="s">
        <v>30</v>
      </c>
      <c r="P3265" s="1" t="s">
        <v>31</v>
      </c>
      <c r="Q3265" s="1" t="s">
        <v>228</v>
      </c>
      <c r="R3265" s="1" t="s">
        <v>228</v>
      </c>
      <c r="S3265" s="1" t="s">
        <v>229</v>
      </c>
      <c r="T3265" s="1" t="s">
        <v>505</v>
      </c>
      <c r="U3265" s="1">
        <v>1.00609118E8</v>
      </c>
      <c r="X3265" s="1" t="s">
        <v>190</v>
      </c>
      <c r="Y3265" s="1" t="s">
        <v>5726</v>
      </c>
      <c r="Z3265" s="1" t="s">
        <v>37</v>
      </c>
    </row>
    <row r="3266">
      <c r="A3266" s="1" t="s">
        <v>9671</v>
      </c>
      <c r="B3266" s="1" t="s">
        <v>5577</v>
      </c>
      <c r="C3266" s="1" t="s">
        <v>9672</v>
      </c>
      <c r="D3266" s="1" t="s">
        <v>78</v>
      </c>
      <c r="E3266" s="1" t="s">
        <v>28</v>
      </c>
      <c r="F3266" s="2">
        <v>250000.0</v>
      </c>
      <c r="G3266" s="1" t="s">
        <v>3467</v>
      </c>
      <c r="H3266" s="4">
        <f>IFERROR(__xludf.DUMMYFUNCTION("DATE(INDEX(SPLIT(G3266,""/""),,3),INDEX(SPLIT(G3266,""/""),,2),INDEX(SPLIT(G3266,""/""),,1))"),44615.0)</f>
        <v>44615</v>
      </c>
      <c r="I3266" s="4">
        <v>44626.0</v>
      </c>
      <c r="J3266" s="4">
        <f>IFERROR(__xludf.DUMMYFUNCTION("DATE(INDEX(SPLIT(I3266,""/""),,3),INDEX(SPLIT(I3266,""/""),,2),INDEX(SPLIT(I3266,""/""),,1))"),44715.0)</f>
        <v>44715</v>
      </c>
      <c r="L3266" s="1">
        <v>0.0</v>
      </c>
      <c r="M3266" s="1" t="s">
        <v>9673</v>
      </c>
      <c r="N3266" s="1"/>
      <c r="O3266" s="1" t="s">
        <v>30</v>
      </c>
      <c r="P3266" s="1" t="s">
        <v>31</v>
      </c>
      <c r="Q3266" s="1" t="s">
        <v>95</v>
      </c>
      <c r="R3266" s="1" t="s">
        <v>95</v>
      </c>
      <c r="S3266" s="1" t="s">
        <v>96</v>
      </c>
      <c r="U3266" s="1">
        <v>1.00637451E8</v>
      </c>
      <c r="X3266" s="1" t="s">
        <v>63</v>
      </c>
      <c r="Y3266" s="1" t="s">
        <v>9673</v>
      </c>
      <c r="Z3266" s="1" t="s">
        <v>527</v>
      </c>
    </row>
    <row r="3267" hidden="1">
      <c r="A3267" s="1" t="s">
        <v>9674</v>
      </c>
      <c r="B3267" s="1" t="s">
        <v>5483</v>
      </c>
      <c r="C3267" s="1" t="s">
        <v>9675</v>
      </c>
      <c r="D3267" s="1" t="s">
        <v>27</v>
      </c>
      <c r="E3267" s="1" t="s">
        <v>28</v>
      </c>
      <c r="F3267" s="2">
        <v>250000.0</v>
      </c>
      <c r="G3267" s="1" t="s">
        <v>2077</v>
      </c>
      <c r="H3267" s="4">
        <f>IFERROR(__xludf.DUMMYFUNCTION("DATE(INDEX(SPLIT(G3267,""/""),,3),INDEX(SPLIT(G3267,""/""),,2),INDEX(SPLIT(G3267,""/""),,1))"),44700.0)</f>
        <v>44700</v>
      </c>
      <c r="I3267" s="1" t="s">
        <v>102</v>
      </c>
      <c r="J3267" s="4">
        <f>IFERROR(__xludf.DUMMYFUNCTION("DATE(INDEX(SPLIT(I3267,""/""),,3),INDEX(SPLIT(I3267,""/""),,2),INDEX(SPLIT(I3267,""/""),,1))"),45046.0)</f>
        <v>45046</v>
      </c>
      <c r="L3267" s="1">
        <v>0.0</v>
      </c>
      <c r="M3267" s="1" t="s">
        <v>620</v>
      </c>
      <c r="N3267" s="1"/>
      <c r="O3267" s="1" t="s">
        <v>30</v>
      </c>
      <c r="P3267" s="1" t="s">
        <v>31</v>
      </c>
      <c r="Q3267" s="1" t="s">
        <v>32</v>
      </c>
      <c r="R3267" s="1" t="s">
        <v>32</v>
      </c>
      <c r="S3267" s="1" t="s">
        <v>33</v>
      </c>
      <c r="T3267" s="1" t="s">
        <v>1386</v>
      </c>
      <c r="U3267" s="1">
        <v>1.00609607E8</v>
      </c>
      <c r="X3267" s="1" t="s">
        <v>190</v>
      </c>
      <c r="Y3267" s="1" t="s">
        <v>5485</v>
      </c>
      <c r="Z3267" s="1" t="s">
        <v>37</v>
      </c>
    </row>
    <row r="3268" hidden="1">
      <c r="A3268" s="1" t="s">
        <v>9676</v>
      </c>
      <c r="B3268" s="1" t="s">
        <v>9677</v>
      </c>
      <c r="C3268" s="1" t="s">
        <v>9678</v>
      </c>
      <c r="D3268" s="1" t="s">
        <v>27</v>
      </c>
      <c r="E3268" s="1" t="s">
        <v>28</v>
      </c>
      <c r="F3268" s="2">
        <v>250000.0</v>
      </c>
      <c r="G3268" s="1" t="s">
        <v>619</v>
      </c>
      <c r="H3268" s="4">
        <f>IFERROR(__xludf.DUMMYFUNCTION("DATE(INDEX(SPLIT(G3268,""/""),,3),INDEX(SPLIT(G3268,""/""),,2),INDEX(SPLIT(G3268,""/""),,1))"),44490.0)</f>
        <v>44490</v>
      </c>
      <c r="I3268" s="1" t="s">
        <v>1097</v>
      </c>
      <c r="J3268" s="4">
        <f>IFERROR(__xludf.DUMMYFUNCTION("DATE(INDEX(SPLIT(I3268,""/""),,3),INDEX(SPLIT(I3268,""/""),,2),INDEX(SPLIT(I3268,""/""),,1))"),45107.0)</f>
        <v>45107</v>
      </c>
      <c r="L3268" s="1">
        <v>0.0</v>
      </c>
      <c r="M3268" s="1" t="s">
        <v>43</v>
      </c>
      <c r="N3268" s="1"/>
      <c r="O3268" s="1" t="s">
        <v>30</v>
      </c>
      <c r="P3268" s="1" t="s">
        <v>31</v>
      </c>
      <c r="Q3268" s="1" t="s">
        <v>32</v>
      </c>
      <c r="R3268" s="1" t="s">
        <v>32</v>
      </c>
      <c r="S3268" s="1" t="s">
        <v>33</v>
      </c>
      <c r="T3268" s="1" t="s">
        <v>103</v>
      </c>
      <c r="U3268" s="1">
        <v>1.00587944E8</v>
      </c>
      <c r="X3268" s="1" t="s">
        <v>46</v>
      </c>
      <c r="Y3268" s="1" t="s">
        <v>1099</v>
      </c>
      <c r="Z3268" s="1" t="s">
        <v>37</v>
      </c>
    </row>
    <row r="3269" hidden="1">
      <c r="A3269" s="1" t="s">
        <v>9679</v>
      </c>
      <c r="B3269" s="1" t="s">
        <v>7571</v>
      </c>
      <c r="C3269" s="1" t="s">
        <v>9680</v>
      </c>
      <c r="D3269" s="1" t="s">
        <v>78</v>
      </c>
      <c r="E3269" s="1" t="s">
        <v>28</v>
      </c>
      <c r="F3269" s="2">
        <v>250000.0</v>
      </c>
      <c r="G3269" s="1" t="s">
        <v>2387</v>
      </c>
      <c r="H3269" s="4">
        <f>IFERROR(__xludf.DUMMYFUNCTION("DATE(INDEX(SPLIT(G3269,""/""),,3),INDEX(SPLIT(G3269,""/""),,2),INDEX(SPLIT(G3269,""/""),,1))"),44274.0)</f>
        <v>44274</v>
      </c>
      <c r="I3269" s="1" t="s">
        <v>109</v>
      </c>
      <c r="J3269" s="4">
        <f>IFERROR(__xludf.DUMMYFUNCTION("DATE(INDEX(SPLIT(I3269,""/""),,3),INDEX(SPLIT(I3269,""/""),,2),INDEX(SPLIT(I3269,""/""),,1))"),44834.0)</f>
        <v>44834</v>
      </c>
      <c r="L3269" s="1">
        <v>0.0</v>
      </c>
      <c r="M3269" s="1" t="s">
        <v>211</v>
      </c>
      <c r="N3269" s="1"/>
      <c r="O3269" s="1" t="s">
        <v>30</v>
      </c>
      <c r="P3269" s="1" t="s">
        <v>31</v>
      </c>
      <c r="Q3269" s="1" t="s">
        <v>71</v>
      </c>
      <c r="R3269" s="1" t="s">
        <v>71</v>
      </c>
      <c r="S3269" s="1" t="s">
        <v>72</v>
      </c>
      <c r="T3269" s="1" t="s">
        <v>136</v>
      </c>
      <c r="U3269" s="1">
        <v>1.00590896E8</v>
      </c>
      <c r="X3269" s="1" t="s">
        <v>74</v>
      </c>
      <c r="Y3269" s="1" t="s">
        <v>9681</v>
      </c>
      <c r="Z3269" s="1" t="s">
        <v>37</v>
      </c>
    </row>
    <row r="3270" hidden="1">
      <c r="A3270" s="1" t="s">
        <v>9682</v>
      </c>
      <c r="B3270" s="1" t="s">
        <v>7944</v>
      </c>
      <c r="C3270" s="1" t="s">
        <v>9683</v>
      </c>
      <c r="D3270" s="1" t="s">
        <v>27</v>
      </c>
      <c r="E3270" s="1" t="s">
        <v>28</v>
      </c>
      <c r="F3270" s="2">
        <v>250000.0</v>
      </c>
      <c r="G3270" s="4">
        <v>44319.0</v>
      </c>
      <c r="H3270" s="4">
        <f>IFERROR(__xludf.DUMMYFUNCTION("DATE(INDEX(SPLIT(G3270,""/""),,3),INDEX(SPLIT(G3270,""/""),,2),INDEX(SPLIT(G3270,""/""),,1))"),44260.0)</f>
        <v>44260</v>
      </c>
      <c r="I3270" s="1" t="s">
        <v>203</v>
      </c>
      <c r="J3270" s="4">
        <f>IFERROR(__xludf.DUMMYFUNCTION("DATE(INDEX(SPLIT(I3270,""/""),,3),INDEX(SPLIT(I3270,""/""),,2),INDEX(SPLIT(I3270,""/""),,1))"),44925.0)</f>
        <v>44925</v>
      </c>
      <c r="L3270" s="1">
        <v>0.0</v>
      </c>
      <c r="M3270" s="1" t="s">
        <v>2787</v>
      </c>
      <c r="N3270" s="1"/>
      <c r="O3270" s="1" t="s">
        <v>30</v>
      </c>
      <c r="P3270" s="1" t="s">
        <v>31</v>
      </c>
      <c r="Q3270" s="1" t="s">
        <v>157</v>
      </c>
      <c r="R3270" s="1" t="s">
        <v>157</v>
      </c>
      <c r="S3270" s="1" t="s">
        <v>158</v>
      </c>
      <c r="T3270" s="1" t="s">
        <v>442</v>
      </c>
      <c r="U3270" s="1">
        <v>1.00708984E8</v>
      </c>
      <c r="X3270" s="1" t="s">
        <v>98</v>
      </c>
      <c r="Y3270" s="1" t="s">
        <v>9505</v>
      </c>
      <c r="Z3270" s="1" t="s">
        <v>37</v>
      </c>
    </row>
    <row r="3271" hidden="1">
      <c r="A3271" s="1" t="s">
        <v>9684</v>
      </c>
      <c r="B3271" s="1" t="s">
        <v>532</v>
      </c>
      <c r="C3271" s="1" t="s">
        <v>9685</v>
      </c>
      <c r="D3271" s="1" t="s">
        <v>27</v>
      </c>
      <c r="E3271" s="1" t="s">
        <v>28</v>
      </c>
      <c r="F3271" s="2">
        <v>250000.0</v>
      </c>
      <c r="G3271" s="4">
        <v>44319.0</v>
      </c>
      <c r="H3271" s="4">
        <f>IFERROR(__xludf.DUMMYFUNCTION("DATE(INDEX(SPLIT(G3271,""/""),,3),INDEX(SPLIT(G3271,""/""),,2),INDEX(SPLIT(G3271,""/""),,1))"),44260.0)</f>
        <v>44260</v>
      </c>
      <c r="I3271" s="1" t="s">
        <v>203</v>
      </c>
      <c r="J3271" s="4">
        <f>IFERROR(__xludf.DUMMYFUNCTION("DATE(INDEX(SPLIT(I3271,""/""),,3),INDEX(SPLIT(I3271,""/""),,2),INDEX(SPLIT(I3271,""/""),,1))"),44925.0)</f>
        <v>44925</v>
      </c>
      <c r="L3271" s="1">
        <v>0.0</v>
      </c>
      <c r="M3271" s="1" t="s">
        <v>2787</v>
      </c>
      <c r="N3271" s="1"/>
      <c r="O3271" s="1" t="s">
        <v>30</v>
      </c>
      <c r="P3271" s="1" t="s">
        <v>31</v>
      </c>
      <c r="Q3271" s="1" t="s">
        <v>157</v>
      </c>
      <c r="R3271" s="1" t="s">
        <v>157</v>
      </c>
      <c r="S3271" s="1" t="s">
        <v>158</v>
      </c>
      <c r="T3271" s="1" t="s">
        <v>442</v>
      </c>
      <c r="U3271" s="1">
        <v>1.00708984E8</v>
      </c>
      <c r="X3271" s="1" t="s">
        <v>490</v>
      </c>
      <c r="Y3271" s="1" t="s">
        <v>9505</v>
      </c>
      <c r="Z3271" s="1" t="s">
        <v>37</v>
      </c>
    </row>
    <row r="3272">
      <c r="A3272" s="1" t="s">
        <v>9686</v>
      </c>
      <c r="B3272" s="1" t="s">
        <v>6131</v>
      </c>
      <c r="C3272" s="1" t="s">
        <v>9687</v>
      </c>
      <c r="D3272" s="1" t="s">
        <v>27</v>
      </c>
      <c r="E3272" s="1" t="s">
        <v>28</v>
      </c>
      <c r="F3272" s="2">
        <v>250000.0</v>
      </c>
      <c r="G3272" s="1" t="s">
        <v>41</v>
      </c>
      <c r="H3272" s="4">
        <f>IFERROR(__xludf.DUMMYFUNCTION("DATE(INDEX(SPLIT(G3272,""/""),,3),INDEX(SPLIT(G3272,""/""),,2),INDEX(SPLIT(G3272,""/""),,1))"),44607.0)</f>
        <v>44607</v>
      </c>
      <c r="I3272" s="1" t="s">
        <v>69</v>
      </c>
      <c r="J3272" s="4">
        <f>IFERROR(__xludf.DUMMYFUNCTION("DATE(INDEX(SPLIT(I3272,""/""),,3),INDEX(SPLIT(I3272,""/""),,2),INDEX(SPLIT(I3272,""/""),,1))"),44773.0)</f>
        <v>44773</v>
      </c>
      <c r="L3272" s="1">
        <v>0.0</v>
      </c>
      <c r="M3272" s="1" t="s">
        <v>2752</v>
      </c>
      <c r="N3272" s="1"/>
      <c r="O3272" s="1" t="s">
        <v>30</v>
      </c>
      <c r="P3272" s="1" t="s">
        <v>31</v>
      </c>
      <c r="Q3272" s="1" t="s">
        <v>235</v>
      </c>
      <c r="R3272" s="1" t="s">
        <v>235</v>
      </c>
      <c r="S3272" s="1" t="s">
        <v>236</v>
      </c>
      <c r="T3272" s="1" t="s">
        <v>1349</v>
      </c>
      <c r="U3272" s="1">
        <v>1.0062606E8</v>
      </c>
      <c r="X3272" s="1" t="s">
        <v>375</v>
      </c>
      <c r="Y3272" s="1" t="s">
        <v>3508</v>
      </c>
      <c r="Z3272" s="1" t="s">
        <v>37</v>
      </c>
    </row>
    <row r="3273" hidden="1">
      <c r="A3273" s="1" t="s">
        <v>9688</v>
      </c>
      <c r="B3273" s="1" t="s">
        <v>301</v>
      </c>
      <c r="C3273" s="1" t="s">
        <v>9689</v>
      </c>
      <c r="D3273" s="1" t="s">
        <v>78</v>
      </c>
      <c r="E3273" s="1" t="s">
        <v>28</v>
      </c>
      <c r="F3273" s="2">
        <v>250000.0</v>
      </c>
      <c r="G3273" s="4">
        <v>44238.0</v>
      </c>
      <c r="H3273" s="4">
        <f>IFERROR(__xludf.DUMMYFUNCTION("DATE(INDEX(SPLIT(G3273,""/""),,3),INDEX(SPLIT(G3273,""/""),,2),INDEX(SPLIT(G3273,""/""),,1))"),44502.0)</f>
        <v>44502</v>
      </c>
      <c r="I3273" s="1" t="s">
        <v>130</v>
      </c>
      <c r="J3273" s="4">
        <f>IFERROR(__xludf.DUMMYFUNCTION("DATE(INDEX(SPLIT(I3273,""/""),,3),INDEX(SPLIT(I3273,""/""),,2),INDEX(SPLIT(I3273,""/""),,1))"),44804.0)</f>
        <v>44804</v>
      </c>
      <c r="L3273" s="1">
        <v>0.0</v>
      </c>
      <c r="M3273" s="1" t="s">
        <v>9690</v>
      </c>
      <c r="N3273" s="1"/>
      <c r="O3273" s="1" t="s">
        <v>30</v>
      </c>
      <c r="P3273" s="1" t="s">
        <v>31</v>
      </c>
      <c r="Q3273" s="1" t="s">
        <v>157</v>
      </c>
      <c r="R3273" s="1" t="s">
        <v>157</v>
      </c>
      <c r="S3273" s="1" t="s">
        <v>158</v>
      </c>
      <c r="T3273" s="1" t="s">
        <v>571</v>
      </c>
      <c r="U3273" s="1">
        <v>1.00641346E8</v>
      </c>
      <c r="X3273" s="1" t="s">
        <v>305</v>
      </c>
      <c r="Y3273" s="1" t="s">
        <v>1663</v>
      </c>
      <c r="Z3273" s="1" t="s">
        <v>206</v>
      </c>
    </row>
    <row r="3274">
      <c r="A3274" s="1" t="s">
        <v>9691</v>
      </c>
      <c r="B3274" s="1" t="s">
        <v>9692</v>
      </c>
      <c r="C3274" s="1" t="s">
        <v>9693</v>
      </c>
      <c r="D3274" s="1" t="s">
        <v>27</v>
      </c>
      <c r="E3274" s="1" t="s">
        <v>28</v>
      </c>
      <c r="F3274" s="2">
        <v>250000.0</v>
      </c>
      <c r="G3274" s="1" t="s">
        <v>271</v>
      </c>
      <c r="H3274" s="4">
        <f>IFERROR(__xludf.DUMMYFUNCTION("DATE(INDEX(SPLIT(G3274,""/""),,3),INDEX(SPLIT(G3274,""/""),,2),INDEX(SPLIT(G3274,""/""),,1))"),44680.0)</f>
        <v>44680</v>
      </c>
      <c r="I3274" s="4">
        <v>44626.0</v>
      </c>
      <c r="J3274" s="4">
        <f>IFERROR(__xludf.DUMMYFUNCTION("DATE(INDEX(SPLIT(I3274,""/""),,3),INDEX(SPLIT(I3274,""/""),,2),INDEX(SPLIT(I3274,""/""),,1))"),44715.0)</f>
        <v>44715</v>
      </c>
      <c r="L3274" s="1">
        <v>0.0</v>
      </c>
      <c r="M3274" s="1" t="s">
        <v>5974</v>
      </c>
      <c r="N3274" s="1"/>
      <c r="O3274" s="1" t="s">
        <v>30</v>
      </c>
      <c r="P3274" s="1" t="s">
        <v>31</v>
      </c>
      <c r="Q3274" s="1" t="s">
        <v>235</v>
      </c>
      <c r="R3274" s="1" t="s">
        <v>235</v>
      </c>
      <c r="S3274" s="1" t="s">
        <v>236</v>
      </c>
      <c r="T3274" s="1" t="s">
        <v>438</v>
      </c>
      <c r="U3274" s="1">
        <v>1.00637651E8</v>
      </c>
      <c r="X3274" s="1" t="s">
        <v>63</v>
      </c>
      <c r="Y3274" s="1" t="s">
        <v>5974</v>
      </c>
      <c r="Z3274" s="1" t="s">
        <v>206</v>
      </c>
    </row>
    <row r="3275">
      <c r="A3275" s="1" t="s">
        <v>9694</v>
      </c>
      <c r="B3275" s="1" t="s">
        <v>9695</v>
      </c>
      <c r="C3275" s="1" t="s">
        <v>9696</v>
      </c>
      <c r="D3275" s="1" t="s">
        <v>27</v>
      </c>
      <c r="E3275" s="1" t="s">
        <v>28</v>
      </c>
      <c r="F3275" s="2">
        <v>250000.0</v>
      </c>
      <c r="G3275" s="4">
        <v>44594.0</v>
      </c>
      <c r="H3275" s="4">
        <f>IFERROR(__xludf.DUMMYFUNCTION("DATE(INDEX(SPLIT(G3275,""/""),,3),INDEX(SPLIT(G3275,""/""),,2),INDEX(SPLIT(G3275,""/""),,1))"),44594.0)</f>
        <v>44594</v>
      </c>
      <c r="I3275" s="1" t="s">
        <v>1244</v>
      </c>
      <c r="J3275" s="4">
        <f>IFERROR(__xludf.DUMMYFUNCTION("DATE(INDEX(SPLIT(I3275,""/""),,3),INDEX(SPLIT(I3275,""/""),,2),INDEX(SPLIT(I3275,""/""),,1))"),44742.0)</f>
        <v>44742</v>
      </c>
      <c r="L3275" s="1">
        <v>0.0</v>
      </c>
      <c r="M3275" s="1" t="s">
        <v>7088</v>
      </c>
      <c r="N3275" s="1"/>
      <c r="O3275" s="1" t="s">
        <v>30</v>
      </c>
      <c r="P3275" s="1" t="s">
        <v>31</v>
      </c>
      <c r="Q3275" s="1" t="s">
        <v>228</v>
      </c>
      <c r="R3275" s="1" t="s">
        <v>228</v>
      </c>
      <c r="S3275" s="1" t="s">
        <v>229</v>
      </c>
      <c r="T3275" s="1" t="s">
        <v>513</v>
      </c>
      <c r="U3275" s="1">
        <v>1.00597339E8</v>
      </c>
      <c r="X3275" s="1" t="s">
        <v>361</v>
      </c>
      <c r="Y3275" s="1" t="s">
        <v>9697</v>
      </c>
      <c r="Z3275" s="1" t="s">
        <v>37</v>
      </c>
    </row>
    <row r="3276" hidden="1">
      <c r="A3276" s="1" t="s">
        <v>9698</v>
      </c>
      <c r="B3276" s="1" t="s">
        <v>337</v>
      </c>
      <c r="C3276" s="1" t="s">
        <v>9699</v>
      </c>
      <c r="D3276" s="1" t="s">
        <v>27</v>
      </c>
      <c r="E3276" s="1" t="s">
        <v>28</v>
      </c>
      <c r="F3276" s="2">
        <v>250000.0</v>
      </c>
      <c r="G3276" s="1" t="s">
        <v>4294</v>
      </c>
      <c r="H3276" s="4">
        <f>IFERROR(__xludf.DUMMYFUNCTION("DATE(INDEX(SPLIT(G3276,""/""),,3),INDEX(SPLIT(G3276,""/""),,2),INDEX(SPLIT(G3276,""/""),,1))"),44133.0)</f>
        <v>44133</v>
      </c>
      <c r="I3276" s="1" t="s">
        <v>317</v>
      </c>
      <c r="J3276" s="4">
        <f>IFERROR(__xludf.DUMMYFUNCTION("DATE(INDEX(SPLIT(I3276,""/""),,3),INDEX(SPLIT(I3276,""/""),,2),INDEX(SPLIT(I3276,""/""),,1))"),44862.0)</f>
        <v>44862</v>
      </c>
      <c r="L3276" s="1">
        <v>0.0</v>
      </c>
      <c r="M3276" s="1" t="s">
        <v>5814</v>
      </c>
      <c r="N3276" s="1"/>
      <c r="O3276" s="1" t="s">
        <v>30</v>
      </c>
      <c r="P3276" s="1" t="s">
        <v>31</v>
      </c>
      <c r="Q3276" s="1" t="s">
        <v>53</v>
      </c>
      <c r="R3276" s="1" t="s">
        <v>53</v>
      </c>
      <c r="S3276" s="1" t="s">
        <v>54</v>
      </c>
      <c r="T3276" s="1" t="s">
        <v>2372</v>
      </c>
      <c r="U3276" s="1">
        <v>1.00910509E8</v>
      </c>
      <c r="X3276" s="1" t="s">
        <v>239</v>
      </c>
      <c r="Y3276" s="1" t="s">
        <v>2373</v>
      </c>
      <c r="Z3276" s="1" t="s">
        <v>37</v>
      </c>
    </row>
    <row r="3277" hidden="1">
      <c r="A3277" s="1" t="s">
        <v>9700</v>
      </c>
      <c r="B3277" s="1" t="s">
        <v>2462</v>
      </c>
      <c r="C3277" s="1" t="s">
        <v>9701</v>
      </c>
      <c r="D3277" s="1" t="s">
        <v>27</v>
      </c>
      <c r="E3277" s="1" t="s">
        <v>28</v>
      </c>
      <c r="F3277" s="2">
        <v>250000.0</v>
      </c>
      <c r="G3277" s="4">
        <v>44387.0</v>
      </c>
      <c r="H3277" s="4">
        <f>IFERROR(__xludf.DUMMYFUNCTION("DATE(INDEX(SPLIT(G3277,""/""),,3),INDEX(SPLIT(G3277,""/""),,2),INDEX(SPLIT(G3277,""/""),,1))"),44476.0)</f>
        <v>44476</v>
      </c>
      <c r="I3277" s="1" t="s">
        <v>9702</v>
      </c>
      <c r="J3277" s="4">
        <f>IFERROR(__xludf.DUMMYFUNCTION("DATE(INDEX(SPLIT(I3277,""/""),,3),INDEX(SPLIT(I3277,""/""),,2),INDEX(SPLIT(I3277,""/""),,1))"),45260.0)</f>
        <v>45260</v>
      </c>
      <c r="L3277" s="1">
        <v>0.0</v>
      </c>
      <c r="M3277" s="1" t="s">
        <v>5030</v>
      </c>
      <c r="N3277" s="1"/>
      <c r="O3277" s="1" t="s">
        <v>30</v>
      </c>
      <c r="P3277" s="1" t="s">
        <v>31</v>
      </c>
      <c r="Q3277" s="1" t="s">
        <v>228</v>
      </c>
      <c r="R3277" s="1" t="s">
        <v>228</v>
      </c>
      <c r="S3277" s="1" t="s">
        <v>229</v>
      </c>
      <c r="T3277" s="1" t="s">
        <v>505</v>
      </c>
      <c r="U3277" s="1">
        <v>1.00986592E8</v>
      </c>
      <c r="Y3277" s="1" t="s">
        <v>5206</v>
      </c>
      <c r="Z3277" s="1" t="s">
        <v>37</v>
      </c>
    </row>
    <row r="3278" hidden="1">
      <c r="A3278" s="1" t="s">
        <v>9703</v>
      </c>
      <c r="B3278" s="1" t="s">
        <v>806</v>
      </c>
      <c r="C3278" s="1" t="s">
        <v>9704</v>
      </c>
      <c r="D3278" s="1" t="s">
        <v>27</v>
      </c>
      <c r="E3278" s="1" t="s">
        <v>28</v>
      </c>
      <c r="F3278" s="2">
        <v>250000.0</v>
      </c>
      <c r="G3278" s="1" t="s">
        <v>9705</v>
      </c>
      <c r="H3278" s="4">
        <f>IFERROR(__xludf.DUMMYFUNCTION("DATE(INDEX(SPLIT(G3278,""/""),,3),INDEX(SPLIT(G3278,""/""),,2),INDEX(SPLIT(G3278,""/""),,1))"),44457.0)</f>
        <v>44457</v>
      </c>
      <c r="I3278" s="4">
        <v>44629.0</v>
      </c>
      <c r="J3278" s="4">
        <f>IFERROR(__xludf.DUMMYFUNCTION("DATE(INDEX(SPLIT(I3278,""/""),,3),INDEX(SPLIT(I3278,""/""),,2),INDEX(SPLIT(I3278,""/""),,1))"),44807.0)</f>
        <v>44807</v>
      </c>
      <c r="L3278" s="1">
        <v>0.0</v>
      </c>
      <c r="M3278" s="1" t="s">
        <v>9706</v>
      </c>
      <c r="N3278" s="1"/>
      <c r="O3278" s="1" t="s">
        <v>30</v>
      </c>
      <c r="P3278" s="1" t="s">
        <v>31</v>
      </c>
      <c r="Q3278" s="1" t="s">
        <v>157</v>
      </c>
      <c r="R3278" s="1" t="s">
        <v>157</v>
      </c>
      <c r="S3278" s="1" t="s">
        <v>158</v>
      </c>
      <c r="T3278" s="1" t="s">
        <v>442</v>
      </c>
      <c r="U3278" s="1">
        <v>1.00611781E8</v>
      </c>
      <c r="X3278" s="1" t="s">
        <v>117</v>
      </c>
      <c r="Y3278" s="1" t="s">
        <v>9706</v>
      </c>
      <c r="Z3278" s="1" t="s">
        <v>527</v>
      </c>
    </row>
    <row r="3279" hidden="1">
      <c r="A3279" s="1" t="s">
        <v>9707</v>
      </c>
      <c r="B3279" s="1" t="s">
        <v>826</v>
      </c>
      <c r="C3279" s="1" t="s">
        <v>9708</v>
      </c>
      <c r="D3279" s="1" t="s">
        <v>27</v>
      </c>
      <c r="E3279" s="1" t="s">
        <v>28</v>
      </c>
      <c r="F3279" s="2">
        <v>250000.0</v>
      </c>
      <c r="G3279" s="4">
        <v>44387.0</v>
      </c>
      <c r="H3279" s="4">
        <f>IFERROR(__xludf.DUMMYFUNCTION("DATE(INDEX(SPLIT(G3279,""/""),,3),INDEX(SPLIT(G3279,""/""),,2),INDEX(SPLIT(G3279,""/""),,1))"),44476.0)</f>
        <v>44476</v>
      </c>
      <c r="I3279" s="1" t="s">
        <v>487</v>
      </c>
      <c r="J3279" s="4">
        <f>IFERROR(__xludf.DUMMYFUNCTION("DATE(INDEX(SPLIT(I3279,""/""),,3),INDEX(SPLIT(I3279,""/""),,2),INDEX(SPLIT(I3279,""/""),,1))"),44855.0)</f>
        <v>44855</v>
      </c>
      <c r="L3279" s="1">
        <v>0.0</v>
      </c>
      <c r="M3279" s="1" t="s">
        <v>441</v>
      </c>
      <c r="N3279" s="1"/>
      <c r="O3279" s="1" t="s">
        <v>30</v>
      </c>
      <c r="P3279" s="1" t="s">
        <v>31</v>
      </c>
      <c r="Q3279" s="1" t="s">
        <v>157</v>
      </c>
      <c r="R3279" s="1" t="s">
        <v>157</v>
      </c>
      <c r="S3279" s="1" t="s">
        <v>158</v>
      </c>
      <c r="T3279" s="1" t="s">
        <v>442</v>
      </c>
      <c r="U3279" s="1">
        <v>1.00581784E8</v>
      </c>
      <c r="X3279" s="1" t="s">
        <v>125</v>
      </c>
      <c r="Y3279" s="1" t="s">
        <v>7949</v>
      </c>
      <c r="Z3279" s="1" t="s">
        <v>37</v>
      </c>
    </row>
    <row r="3280">
      <c r="A3280" s="1" t="s">
        <v>9709</v>
      </c>
      <c r="B3280" s="1" t="s">
        <v>301</v>
      </c>
      <c r="C3280" s="1" t="s">
        <v>9710</v>
      </c>
      <c r="D3280" s="1" t="s">
        <v>78</v>
      </c>
      <c r="E3280" s="1" t="s">
        <v>28</v>
      </c>
      <c r="F3280" s="2">
        <v>250000.0</v>
      </c>
      <c r="G3280" s="1" t="s">
        <v>6672</v>
      </c>
      <c r="H3280" s="4">
        <f>IFERROR(__xludf.DUMMYFUNCTION("DATE(INDEX(SPLIT(G3280,""/""),,3),INDEX(SPLIT(G3280,""/""),,2),INDEX(SPLIT(G3280,""/""),,1))"),44543.0)</f>
        <v>44543</v>
      </c>
      <c r="I3280" s="1" t="s">
        <v>1438</v>
      </c>
      <c r="J3280" s="4">
        <f>IFERROR(__xludf.DUMMYFUNCTION("DATE(INDEX(SPLIT(I3280,""/""),,3),INDEX(SPLIT(I3280,""/""),,2),INDEX(SPLIT(I3280,""/""),,1))"),44708.0)</f>
        <v>44708</v>
      </c>
      <c r="L3280" s="1">
        <v>0.0</v>
      </c>
      <c r="M3280" s="1" t="s">
        <v>9690</v>
      </c>
      <c r="N3280" s="1"/>
      <c r="O3280" s="1" t="s">
        <v>30</v>
      </c>
      <c r="P3280" s="1" t="s">
        <v>31</v>
      </c>
      <c r="Q3280" s="1" t="s">
        <v>157</v>
      </c>
      <c r="R3280" s="1" t="s">
        <v>157</v>
      </c>
      <c r="S3280" s="1" t="s">
        <v>158</v>
      </c>
      <c r="T3280" s="1" t="s">
        <v>442</v>
      </c>
      <c r="U3280" s="1">
        <v>1.00641346E8</v>
      </c>
      <c r="X3280" s="1" t="s">
        <v>305</v>
      </c>
      <c r="Y3280" s="1" t="s">
        <v>9711</v>
      </c>
      <c r="Z3280" s="1" t="s">
        <v>206</v>
      </c>
    </row>
    <row r="3281">
      <c r="A3281" s="1" t="s">
        <v>9712</v>
      </c>
      <c r="B3281" s="1" t="s">
        <v>826</v>
      </c>
      <c r="C3281" s="1" t="s">
        <v>9713</v>
      </c>
      <c r="D3281" s="1" t="s">
        <v>27</v>
      </c>
      <c r="E3281" s="1" t="s">
        <v>28</v>
      </c>
      <c r="F3281" s="2">
        <v>250000.0</v>
      </c>
      <c r="G3281" s="4">
        <v>44387.0</v>
      </c>
      <c r="H3281" s="4">
        <f>IFERROR(__xludf.DUMMYFUNCTION("DATE(INDEX(SPLIT(G3281,""/""),,3),INDEX(SPLIT(G3281,""/""),,2),INDEX(SPLIT(G3281,""/""),,1))"),44476.0)</f>
        <v>44476</v>
      </c>
      <c r="I3281" s="1" t="s">
        <v>69</v>
      </c>
      <c r="J3281" s="4">
        <f>IFERROR(__xludf.DUMMYFUNCTION("DATE(INDEX(SPLIT(I3281,""/""),,3),INDEX(SPLIT(I3281,""/""),,2),INDEX(SPLIT(I3281,""/""),,1))"),44773.0)</f>
        <v>44773</v>
      </c>
      <c r="L3281" s="1">
        <v>0.0</v>
      </c>
      <c r="M3281" s="1" t="s">
        <v>9714</v>
      </c>
      <c r="N3281" s="1"/>
      <c r="O3281" s="1" t="s">
        <v>30</v>
      </c>
      <c r="P3281" s="1" t="s">
        <v>31</v>
      </c>
      <c r="Q3281" s="1" t="s">
        <v>157</v>
      </c>
      <c r="R3281" s="1" t="s">
        <v>157</v>
      </c>
      <c r="S3281" s="1" t="s">
        <v>158</v>
      </c>
      <c r="T3281" s="1" t="s">
        <v>442</v>
      </c>
      <c r="U3281" s="1">
        <v>1.00866857E8</v>
      </c>
      <c r="X3281" s="1" t="s">
        <v>125</v>
      </c>
      <c r="Y3281" s="1" t="s">
        <v>7949</v>
      </c>
      <c r="Z3281" s="1" t="s">
        <v>37</v>
      </c>
    </row>
    <row r="3282" hidden="1">
      <c r="A3282" s="1" t="s">
        <v>9715</v>
      </c>
      <c r="B3282" s="1" t="s">
        <v>1596</v>
      </c>
      <c r="C3282" s="1" t="s">
        <v>9716</v>
      </c>
      <c r="D3282" s="1" t="s">
        <v>27</v>
      </c>
      <c r="E3282" s="1" t="s">
        <v>28</v>
      </c>
      <c r="F3282" s="2">
        <v>250000.0</v>
      </c>
      <c r="G3282" s="1" t="s">
        <v>1244</v>
      </c>
      <c r="H3282" s="4">
        <f>IFERROR(__xludf.DUMMYFUNCTION("DATE(INDEX(SPLIT(G3282,""/""),,3),INDEX(SPLIT(G3282,""/""),,2),INDEX(SPLIT(G3282,""/""),,1))"),44742.0)</f>
        <v>44742</v>
      </c>
      <c r="I3282" s="1" t="s">
        <v>203</v>
      </c>
      <c r="J3282" s="4">
        <f>IFERROR(__xludf.DUMMYFUNCTION("DATE(INDEX(SPLIT(I3282,""/""),,3),INDEX(SPLIT(I3282,""/""),,2),INDEX(SPLIT(I3282,""/""),,1))"),44925.0)</f>
        <v>44925</v>
      </c>
      <c r="L3282" s="1">
        <v>0.0</v>
      </c>
      <c r="M3282" s="1" t="s">
        <v>406</v>
      </c>
      <c r="N3282" s="1"/>
      <c r="O3282" s="1" t="s">
        <v>30</v>
      </c>
      <c r="P3282" s="1" t="s">
        <v>31</v>
      </c>
      <c r="Q3282" s="1" t="s">
        <v>32</v>
      </c>
      <c r="R3282" s="1" t="s">
        <v>32</v>
      </c>
      <c r="S3282" s="1" t="s">
        <v>33</v>
      </c>
      <c r="U3282" s="1">
        <v>1.00642129E8</v>
      </c>
      <c r="X3282" s="1" t="s">
        <v>125</v>
      </c>
      <c r="Y3282" s="1" t="s">
        <v>6553</v>
      </c>
      <c r="Z3282" s="1" t="s">
        <v>37</v>
      </c>
    </row>
    <row r="3283">
      <c r="A3283" s="1" t="s">
        <v>9717</v>
      </c>
      <c r="B3283" s="1" t="s">
        <v>981</v>
      </c>
      <c r="C3283" s="1" t="s">
        <v>9718</v>
      </c>
      <c r="D3283" s="1" t="s">
        <v>78</v>
      </c>
      <c r="E3283" s="1" t="s">
        <v>28</v>
      </c>
      <c r="F3283" s="2">
        <v>250000.0</v>
      </c>
      <c r="G3283" s="4">
        <v>44685.0</v>
      </c>
      <c r="H3283" s="4">
        <f>IFERROR(__xludf.DUMMYFUNCTION("DATE(INDEX(SPLIT(G3283,""/""),,3),INDEX(SPLIT(G3283,""/""),,2),INDEX(SPLIT(G3283,""/""),,1))"),44656.0)</f>
        <v>44656</v>
      </c>
      <c r="I3283" s="1" t="s">
        <v>518</v>
      </c>
      <c r="J3283" s="4">
        <f>IFERROR(__xludf.DUMMYFUNCTION("DATE(INDEX(SPLIT(I3283,""/""),,3),INDEX(SPLIT(I3283,""/""),,2),INDEX(SPLIT(I3283,""/""),,1))"),44757.0)</f>
        <v>44757</v>
      </c>
      <c r="L3283" s="1">
        <v>0.0</v>
      </c>
      <c r="M3283" s="1" t="s">
        <v>1527</v>
      </c>
      <c r="N3283" s="1"/>
      <c r="O3283" s="1" t="s">
        <v>30</v>
      </c>
      <c r="P3283" s="1" t="s">
        <v>31</v>
      </c>
      <c r="Q3283" s="1" t="s">
        <v>95</v>
      </c>
      <c r="R3283" s="1" t="s">
        <v>95</v>
      </c>
      <c r="S3283" s="1" t="s">
        <v>96</v>
      </c>
      <c r="T3283" s="1" t="s">
        <v>489</v>
      </c>
      <c r="U3283" s="1">
        <v>1.00651554E8</v>
      </c>
      <c r="X3283" s="1" t="s">
        <v>490</v>
      </c>
      <c r="Y3283" s="1" t="s">
        <v>9600</v>
      </c>
      <c r="Z3283" s="1" t="s">
        <v>37</v>
      </c>
    </row>
    <row r="3284" hidden="1">
      <c r="A3284" s="1" t="s">
        <v>9719</v>
      </c>
      <c r="B3284" s="1" t="s">
        <v>9720</v>
      </c>
      <c r="C3284" s="1" t="s">
        <v>9721</v>
      </c>
      <c r="D3284" s="1" t="s">
        <v>78</v>
      </c>
      <c r="E3284" s="1" t="s">
        <v>28</v>
      </c>
      <c r="F3284" s="2">
        <v>250000.0</v>
      </c>
      <c r="G3284" s="1" t="s">
        <v>248</v>
      </c>
      <c r="H3284" s="4">
        <f>IFERROR(__xludf.DUMMYFUNCTION("DATE(INDEX(SPLIT(G3284,""/""),,3),INDEX(SPLIT(G3284,""/""),,2),INDEX(SPLIT(G3284,""/""),,1))"),44483.0)</f>
        <v>44483</v>
      </c>
      <c r="I3284" s="1" t="s">
        <v>1799</v>
      </c>
      <c r="J3284" s="4">
        <f>IFERROR(__xludf.DUMMYFUNCTION("DATE(INDEX(SPLIT(I3284,""/""),,3),INDEX(SPLIT(I3284,""/""),,2),INDEX(SPLIT(I3284,""/""),,1))"),44788.0)</f>
        <v>44788</v>
      </c>
      <c r="L3284" s="1">
        <v>0.0</v>
      </c>
      <c r="M3284" s="1" t="s">
        <v>5974</v>
      </c>
      <c r="N3284" s="1"/>
      <c r="O3284" s="1" t="s">
        <v>30</v>
      </c>
      <c r="P3284" s="1" t="s">
        <v>31</v>
      </c>
      <c r="Q3284" s="1" t="s">
        <v>235</v>
      </c>
      <c r="R3284" s="1" t="s">
        <v>235</v>
      </c>
      <c r="S3284" s="1" t="s">
        <v>236</v>
      </c>
      <c r="T3284" s="1" t="s">
        <v>438</v>
      </c>
      <c r="U3284" s="1">
        <v>1.00637651E8</v>
      </c>
      <c r="X3284" s="1" t="s">
        <v>88</v>
      </c>
      <c r="Y3284" s="1" t="s">
        <v>5974</v>
      </c>
      <c r="Z3284" s="1" t="s">
        <v>206</v>
      </c>
    </row>
    <row r="3285" hidden="1">
      <c r="A3285" s="1" t="s">
        <v>9722</v>
      </c>
      <c r="B3285" s="1" t="s">
        <v>501</v>
      </c>
      <c r="C3285" s="1" t="s">
        <v>9723</v>
      </c>
      <c r="D3285" s="1" t="s">
        <v>27</v>
      </c>
      <c r="E3285" s="1" t="s">
        <v>28</v>
      </c>
      <c r="F3285" s="2">
        <v>250000.0</v>
      </c>
      <c r="G3285" s="4">
        <v>44776.0</v>
      </c>
      <c r="H3285" s="4">
        <f>IFERROR(__xludf.DUMMYFUNCTION("DATE(INDEX(SPLIT(G3285,""/""),,3),INDEX(SPLIT(G3285,""/""),,2),INDEX(SPLIT(G3285,""/""),,1))"),44628.0)</f>
        <v>44628</v>
      </c>
      <c r="I3285" s="1" t="s">
        <v>109</v>
      </c>
      <c r="J3285" s="4">
        <f>IFERROR(__xludf.DUMMYFUNCTION("DATE(INDEX(SPLIT(I3285,""/""),,3),INDEX(SPLIT(I3285,""/""),,2),INDEX(SPLIT(I3285,""/""),,1))"),44834.0)</f>
        <v>44834</v>
      </c>
      <c r="L3285" s="1">
        <v>0.0</v>
      </c>
      <c r="M3285" s="1" t="s">
        <v>3376</v>
      </c>
      <c r="N3285" s="1"/>
      <c r="O3285" s="1" t="s">
        <v>30</v>
      </c>
      <c r="P3285" s="1" t="s">
        <v>31</v>
      </c>
      <c r="Q3285" s="1" t="s">
        <v>32</v>
      </c>
      <c r="R3285" s="1" t="s">
        <v>32</v>
      </c>
      <c r="S3285" s="1" t="s">
        <v>33</v>
      </c>
      <c r="T3285" s="1" t="s">
        <v>103</v>
      </c>
      <c r="U3285" s="1">
        <v>1.00597272E8</v>
      </c>
      <c r="X3285" s="1" t="s">
        <v>410</v>
      </c>
      <c r="Y3285" s="1" t="s">
        <v>7327</v>
      </c>
      <c r="Z3285" s="1" t="s">
        <v>206</v>
      </c>
    </row>
    <row r="3286" hidden="1">
      <c r="A3286" s="1" t="s">
        <v>9724</v>
      </c>
      <c r="B3286" s="1" t="s">
        <v>1596</v>
      </c>
      <c r="C3286" s="1" t="s">
        <v>9725</v>
      </c>
      <c r="D3286" s="1" t="s">
        <v>27</v>
      </c>
      <c r="E3286" s="1" t="s">
        <v>28</v>
      </c>
      <c r="F3286" s="2">
        <v>250000.0</v>
      </c>
      <c r="G3286" s="1" t="s">
        <v>1244</v>
      </c>
      <c r="H3286" s="4">
        <f>IFERROR(__xludf.DUMMYFUNCTION("DATE(INDEX(SPLIT(G3286,""/""),,3),INDEX(SPLIT(G3286,""/""),,2),INDEX(SPLIT(G3286,""/""),,1))"),44742.0)</f>
        <v>44742</v>
      </c>
      <c r="I3286" s="1" t="s">
        <v>203</v>
      </c>
      <c r="J3286" s="4">
        <f>IFERROR(__xludf.DUMMYFUNCTION("DATE(INDEX(SPLIT(I3286,""/""),,3),INDEX(SPLIT(I3286,""/""),,2),INDEX(SPLIT(I3286,""/""),,1))"),44925.0)</f>
        <v>44925</v>
      </c>
      <c r="L3286" s="1">
        <v>0.0</v>
      </c>
      <c r="M3286" s="1" t="s">
        <v>1433</v>
      </c>
      <c r="N3286" s="1"/>
      <c r="O3286" s="1" t="s">
        <v>30</v>
      </c>
      <c r="P3286" s="1" t="s">
        <v>31</v>
      </c>
      <c r="Q3286" s="1" t="s">
        <v>228</v>
      </c>
      <c r="R3286" s="1" t="s">
        <v>228</v>
      </c>
      <c r="S3286" s="1" t="s">
        <v>229</v>
      </c>
      <c r="T3286" s="1" t="s">
        <v>505</v>
      </c>
      <c r="U3286" s="1">
        <v>1.00609118E8</v>
      </c>
      <c r="X3286" s="1" t="s">
        <v>125</v>
      </c>
      <c r="Y3286" s="1" t="s">
        <v>6553</v>
      </c>
      <c r="Z3286" s="1" t="s">
        <v>37</v>
      </c>
    </row>
    <row r="3287" hidden="1">
      <c r="A3287" s="1" t="s">
        <v>9726</v>
      </c>
      <c r="B3287" s="1" t="s">
        <v>9026</v>
      </c>
      <c r="C3287" s="1" t="s">
        <v>9727</v>
      </c>
      <c r="D3287" s="1" t="s">
        <v>78</v>
      </c>
      <c r="E3287" s="1" t="s">
        <v>28</v>
      </c>
      <c r="F3287" s="2">
        <v>250000.0</v>
      </c>
      <c r="G3287" s="4">
        <v>44567.0</v>
      </c>
      <c r="H3287" s="4">
        <f>IFERROR(__xludf.DUMMYFUNCTION("DATE(INDEX(SPLIT(G3287,""/""),,3),INDEX(SPLIT(G3287,""/""),,2),INDEX(SPLIT(G3287,""/""),,1))"),44713.0)</f>
        <v>44713</v>
      </c>
      <c r="I3287" s="1" t="s">
        <v>317</v>
      </c>
      <c r="J3287" s="4">
        <f>IFERROR(__xludf.DUMMYFUNCTION("DATE(INDEX(SPLIT(I3287,""/""),,3),INDEX(SPLIT(I3287,""/""),,2),INDEX(SPLIT(I3287,""/""),,1))"),44862.0)</f>
        <v>44862</v>
      </c>
      <c r="L3287" s="1">
        <v>0.0</v>
      </c>
      <c r="M3287" s="1" t="s">
        <v>180</v>
      </c>
      <c r="N3287" s="1"/>
      <c r="O3287" s="1" t="s">
        <v>30</v>
      </c>
      <c r="P3287" s="1" t="s">
        <v>31</v>
      </c>
      <c r="Q3287" s="1" t="s">
        <v>53</v>
      </c>
      <c r="R3287" s="1" t="s">
        <v>53</v>
      </c>
      <c r="S3287" s="1" t="s">
        <v>54</v>
      </c>
      <c r="T3287" s="1" t="s">
        <v>181</v>
      </c>
      <c r="U3287" s="1">
        <v>1.00650619E8</v>
      </c>
      <c r="X3287" s="1" t="s">
        <v>74</v>
      </c>
      <c r="Y3287" s="1" t="s">
        <v>180</v>
      </c>
      <c r="Z3287" s="1" t="s">
        <v>37</v>
      </c>
    </row>
    <row r="3288" hidden="1">
      <c r="A3288" s="1" t="s">
        <v>9728</v>
      </c>
      <c r="B3288" s="1" t="s">
        <v>8377</v>
      </c>
      <c r="C3288" s="1" t="s">
        <v>9729</v>
      </c>
      <c r="D3288" s="1" t="s">
        <v>78</v>
      </c>
      <c r="E3288" s="1" t="s">
        <v>28</v>
      </c>
      <c r="F3288" s="2">
        <v>250000.0</v>
      </c>
      <c r="G3288" s="4">
        <v>44567.0</v>
      </c>
      <c r="H3288" s="4">
        <f>IFERROR(__xludf.DUMMYFUNCTION("DATE(INDEX(SPLIT(G3288,""/""),,3),INDEX(SPLIT(G3288,""/""),,2),INDEX(SPLIT(G3288,""/""),,1))"),44713.0)</f>
        <v>44713</v>
      </c>
      <c r="I3288" s="4">
        <v>44601.0</v>
      </c>
      <c r="J3288" s="4">
        <f>IFERROR(__xludf.DUMMYFUNCTION("DATE(INDEX(SPLIT(I3288,""/""),,3),INDEX(SPLIT(I3288,""/""),,2),INDEX(SPLIT(I3288,""/""),,1))"),44806.0)</f>
        <v>44806</v>
      </c>
      <c r="L3288" s="1">
        <v>0.0</v>
      </c>
      <c r="M3288" s="1" t="s">
        <v>180</v>
      </c>
      <c r="N3288" s="1"/>
      <c r="O3288" s="1" t="s">
        <v>30</v>
      </c>
      <c r="P3288" s="1" t="s">
        <v>31</v>
      </c>
      <c r="Q3288" s="1" t="s">
        <v>53</v>
      </c>
      <c r="R3288" s="1" t="s">
        <v>53</v>
      </c>
      <c r="S3288" s="1" t="s">
        <v>54</v>
      </c>
      <c r="T3288" s="1" t="s">
        <v>181</v>
      </c>
      <c r="U3288" s="1">
        <v>1.00650619E8</v>
      </c>
      <c r="X3288" s="1" t="s">
        <v>74</v>
      </c>
      <c r="Y3288" s="1" t="s">
        <v>180</v>
      </c>
      <c r="Z3288" s="1" t="s">
        <v>37</v>
      </c>
    </row>
    <row r="3289">
      <c r="A3289" s="1" t="s">
        <v>9730</v>
      </c>
      <c r="B3289" s="1" t="s">
        <v>2231</v>
      </c>
      <c r="C3289" s="1" t="s">
        <v>9731</v>
      </c>
      <c r="D3289" s="1" t="s">
        <v>27</v>
      </c>
      <c r="E3289" s="1" t="s">
        <v>28</v>
      </c>
      <c r="F3289" s="2">
        <v>250000.0</v>
      </c>
      <c r="G3289" s="4">
        <v>44652.0</v>
      </c>
      <c r="H3289" s="4">
        <f>IFERROR(__xludf.DUMMYFUNCTION("DATE(INDEX(SPLIT(G3289,""/""),,3),INDEX(SPLIT(G3289,""/""),,2),INDEX(SPLIT(G3289,""/""),,1))"),44565.0)</f>
        <v>44565</v>
      </c>
      <c r="I3289" s="1" t="s">
        <v>1244</v>
      </c>
      <c r="J3289" s="4">
        <f>IFERROR(__xludf.DUMMYFUNCTION("DATE(INDEX(SPLIT(I3289,""/""),,3),INDEX(SPLIT(I3289,""/""),,2),INDEX(SPLIT(I3289,""/""),,1))"),44742.0)</f>
        <v>44742</v>
      </c>
      <c r="L3289" s="1">
        <v>0.0</v>
      </c>
      <c r="M3289" s="1" t="s">
        <v>891</v>
      </c>
      <c r="N3289" s="1"/>
      <c r="O3289" s="1" t="s">
        <v>30</v>
      </c>
      <c r="P3289" s="1" t="s">
        <v>31</v>
      </c>
      <c r="Q3289" s="1" t="s">
        <v>32</v>
      </c>
      <c r="R3289" s="1" t="s">
        <v>32</v>
      </c>
      <c r="S3289" s="1" t="s">
        <v>33</v>
      </c>
      <c r="T3289" s="1" t="s">
        <v>402</v>
      </c>
      <c r="U3289" s="1">
        <v>1.00866856E8</v>
      </c>
      <c r="X3289" s="1" t="s">
        <v>125</v>
      </c>
      <c r="Y3289" s="1" t="s">
        <v>891</v>
      </c>
      <c r="Z3289" s="1" t="s">
        <v>37</v>
      </c>
    </row>
    <row r="3290" hidden="1">
      <c r="A3290" s="1" t="s">
        <v>9732</v>
      </c>
      <c r="B3290" s="1" t="s">
        <v>650</v>
      </c>
      <c r="C3290" s="1" t="s">
        <v>9733</v>
      </c>
      <c r="D3290" s="1" t="s">
        <v>78</v>
      </c>
      <c r="E3290" s="1" t="s">
        <v>28</v>
      </c>
      <c r="F3290" s="2">
        <v>250000.0</v>
      </c>
      <c r="G3290" s="1" t="s">
        <v>3444</v>
      </c>
      <c r="H3290" s="4">
        <f>IFERROR(__xludf.DUMMYFUNCTION("DATE(INDEX(SPLIT(G3290,""/""),,3),INDEX(SPLIT(G3290,""/""),,2),INDEX(SPLIT(G3290,""/""),,1))"),44545.0)</f>
        <v>44545</v>
      </c>
      <c r="I3290" s="1" t="s">
        <v>109</v>
      </c>
      <c r="J3290" s="4">
        <f>IFERROR(__xludf.DUMMYFUNCTION("DATE(INDEX(SPLIT(I3290,""/""),,3),INDEX(SPLIT(I3290,""/""),,2),INDEX(SPLIT(I3290,""/""),,1))"),44834.0)</f>
        <v>44834</v>
      </c>
      <c r="L3290" s="1">
        <v>0.0</v>
      </c>
      <c r="M3290" s="1" t="s">
        <v>5135</v>
      </c>
      <c r="N3290" s="1"/>
      <c r="O3290" s="1" t="s">
        <v>30</v>
      </c>
      <c r="P3290" s="1" t="s">
        <v>31</v>
      </c>
      <c r="Q3290" s="1" t="s">
        <v>228</v>
      </c>
      <c r="R3290" s="1" t="s">
        <v>228</v>
      </c>
      <c r="S3290" s="1" t="s">
        <v>229</v>
      </c>
      <c r="T3290" s="1" t="s">
        <v>640</v>
      </c>
      <c r="U3290" s="1">
        <v>1.0064195E8</v>
      </c>
      <c r="X3290" s="1" t="s">
        <v>63</v>
      </c>
      <c r="Y3290" s="1" t="s">
        <v>4289</v>
      </c>
      <c r="Z3290" s="1" t="s">
        <v>37</v>
      </c>
    </row>
    <row r="3291" hidden="1">
      <c r="A3291" s="1" t="s">
        <v>9734</v>
      </c>
      <c r="B3291" s="1" t="s">
        <v>4109</v>
      </c>
      <c r="C3291" s="1" t="s">
        <v>9735</v>
      </c>
      <c r="D3291" s="1" t="s">
        <v>27</v>
      </c>
      <c r="E3291" s="1" t="s">
        <v>28</v>
      </c>
      <c r="F3291" s="2">
        <v>250000.0</v>
      </c>
      <c r="G3291" s="4">
        <v>44775.0</v>
      </c>
      <c r="H3291" s="4">
        <f>IFERROR(__xludf.DUMMYFUNCTION("DATE(INDEX(SPLIT(G3291,""/""),,3),INDEX(SPLIT(G3291,""/""),,2),INDEX(SPLIT(G3291,""/""),,1))"),44600.0)</f>
        <v>44600</v>
      </c>
      <c r="I3291" s="1" t="s">
        <v>203</v>
      </c>
      <c r="J3291" s="4">
        <f>IFERROR(__xludf.DUMMYFUNCTION("DATE(INDEX(SPLIT(I3291,""/""),,3),INDEX(SPLIT(I3291,""/""),,2),INDEX(SPLIT(I3291,""/""),,1))"),44925.0)</f>
        <v>44925</v>
      </c>
      <c r="L3291" s="1">
        <v>0.0</v>
      </c>
      <c r="M3291" s="1" t="s">
        <v>1565</v>
      </c>
      <c r="N3291" s="1"/>
      <c r="O3291" s="1" t="s">
        <v>30</v>
      </c>
      <c r="P3291" s="1" t="s">
        <v>31</v>
      </c>
      <c r="Q3291" s="1" t="s">
        <v>157</v>
      </c>
      <c r="R3291" s="1" t="s">
        <v>157</v>
      </c>
      <c r="S3291" s="1" t="s">
        <v>158</v>
      </c>
      <c r="T3291" s="1" t="s">
        <v>442</v>
      </c>
      <c r="U3291" s="1">
        <v>1.00646908E8</v>
      </c>
      <c r="X3291" s="1" t="s">
        <v>117</v>
      </c>
      <c r="Y3291" s="1" t="s">
        <v>9540</v>
      </c>
      <c r="Z3291" s="1" t="s">
        <v>37</v>
      </c>
    </row>
    <row r="3292" hidden="1">
      <c r="A3292" s="1" t="s">
        <v>9736</v>
      </c>
      <c r="B3292" s="1" t="s">
        <v>6535</v>
      </c>
      <c r="C3292" s="1" t="s">
        <v>9737</v>
      </c>
      <c r="D3292" s="1" t="s">
        <v>27</v>
      </c>
      <c r="E3292" s="1" t="s">
        <v>28</v>
      </c>
      <c r="F3292" s="2">
        <v>250000.0</v>
      </c>
      <c r="G3292" s="1" t="s">
        <v>1244</v>
      </c>
      <c r="H3292" s="4">
        <f>IFERROR(__xludf.DUMMYFUNCTION("DATE(INDEX(SPLIT(G3292,""/""),,3),INDEX(SPLIT(G3292,""/""),,2),INDEX(SPLIT(G3292,""/""),,1))"),44742.0)</f>
        <v>44742</v>
      </c>
      <c r="I3292" s="1" t="s">
        <v>1799</v>
      </c>
      <c r="J3292" s="4">
        <f>IFERROR(__xludf.DUMMYFUNCTION("DATE(INDEX(SPLIT(I3292,""/""),,3),INDEX(SPLIT(I3292,""/""),,2),INDEX(SPLIT(I3292,""/""),,1))"),44788.0)</f>
        <v>44788</v>
      </c>
      <c r="L3292" s="1">
        <v>0.0</v>
      </c>
      <c r="M3292" s="1" t="s">
        <v>6570</v>
      </c>
      <c r="N3292" s="1"/>
      <c r="O3292" s="1" t="s">
        <v>30</v>
      </c>
      <c r="P3292" s="1" t="s">
        <v>31</v>
      </c>
      <c r="Q3292" s="1" t="s">
        <v>53</v>
      </c>
      <c r="R3292" s="1" t="s">
        <v>53</v>
      </c>
      <c r="S3292" s="1" t="s">
        <v>54</v>
      </c>
      <c r="T3292" s="1" t="s">
        <v>1386</v>
      </c>
      <c r="U3292" s="1">
        <v>1.01230882E8</v>
      </c>
      <c r="X3292" s="1" t="s">
        <v>490</v>
      </c>
      <c r="Y3292" s="1" t="s">
        <v>6570</v>
      </c>
      <c r="Z3292" s="1" t="s">
        <v>37</v>
      </c>
    </row>
    <row r="3293" hidden="1">
      <c r="A3293" s="1" t="s">
        <v>9738</v>
      </c>
      <c r="B3293" s="1" t="s">
        <v>9739</v>
      </c>
      <c r="C3293" s="1" t="s">
        <v>9740</v>
      </c>
      <c r="D3293" s="1" t="s">
        <v>27</v>
      </c>
      <c r="E3293" s="1" t="s">
        <v>28</v>
      </c>
      <c r="F3293" s="2">
        <v>250000.0</v>
      </c>
      <c r="G3293" s="1" t="s">
        <v>1244</v>
      </c>
      <c r="H3293" s="4">
        <f>IFERROR(__xludf.DUMMYFUNCTION("DATE(INDEX(SPLIT(G3293,""/""),,3),INDEX(SPLIT(G3293,""/""),,2),INDEX(SPLIT(G3293,""/""),,1))"),44742.0)</f>
        <v>44742</v>
      </c>
      <c r="I3293" s="4">
        <v>44573.0</v>
      </c>
      <c r="J3293" s="4">
        <f>IFERROR(__xludf.DUMMYFUNCTION("DATE(INDEX(SPLIT(I3293,""/""),,3),INDEX(SPLIT(I3293,""/""),,2),INDEX(SPLIT(I3293,""/""),,1))"),44896.0)</f>
        <v>44896</v>
      </c>
      <c r="L3293" s="1">
        <v>0.0</v>
      </c>
      <c r="M3293" s="1" t="s">
        <v>6570</v>
      </c>
      <c r="N3293" s="1"/>
      <c r="O3293" s="1" t="s">
        <v>30</v>
      </c>
      <c r="P3293" s="1" t="s">
        <v>31</v>
      </c>
      <c r="Q3293" s="1" t="s">
        <v>53</v>
      </c>
      <c r="R3293" s="1" t="s">
        <v>53</v>
      </c>
      <c r="S3293" s="1" t="s">
        <v>54</v>
      </c>
      <c r="T3293" s="1" t="s">
        <v>1386</v>
      </c>
      <c r="U3293" s="1">
        <v>1.01230882E8</v>
      </c>
      <c r="X3293" s="1" t="s">
        <v>375</v>
      </c>
      <c r="Y3293" s="1" t="s">
        <v>6570</v>
      </c>
      <c r="Z3293" s="1" t="s">
        <v>37</v>
      </c>
    </row>
    <row r="3294">
      <c r="A3294" s="1" t="s">
        <v>9741</v>
      </c>
      <c r="B3294" s="1" t="s">
        <v>464</v>
      </c>
      <c r="C3294" s="1" t="s">
        <v>9742</v>
      </c>
      <c r="D3294" s="1" t="s">
        <v>27</v>
      </c>
      <c r="E3294" s="1" t="s">
        <v>28</v>
      </c>
      <c r="F3294" s="2">
        <v>250000.0</v>
      </c>
      <c r="G3294" s="1" t="s">
        <v>1244</v>
      </c>
      <c r="H3294" s="4">
        <f>IFERROR(__xludf.DUMMYFUNCTION("DATE(INDEX(SPLIT(G3294,""/""),,3),INDEX(SPLIT(G3294,""/""),,2),INDEX(SPLIT(G3294,""/""),,1))"),44742.0)</f>
        <v>44742</v>
      </c>
      <c r="I3294" s="1" t="s">
        <v>1141</v>
      </c>
      <c r="J3294" s="4">
        <f>IFERROR(__xludf.DUMMYFUNCTION("DATE(INDEX(SPLIT(I3294,""/""),,3),INDEX(SPLIT(I3294,""/""),,2),INDEX(SPLIT(I3294,""/""),,1))"),44767.0)</f>
        <v>44767</v>
      </c>
      <c r="L3294" s="1">
        <v>0.0</v>
      </c>
      <c r="M3294" s="1" t="s">
        <v>6570</v>
      </c>
      <c r="N3294" s="1"/>
      <c r="O3294" s="1" t="s">
        <v>30</v>
      </c>
      <c r="P3294" s="1" t="s">
        <v>31</v>
      </c>
      <c r="Q3294" s="1" t="s">
        <v>53</v>
      </c>
      <c r="R3294" s="1" t="s">
        <v>53</v>
      </c>
      <c r="S3294" s="1" t="s">
        <v>54</v>
      </c>
      <c r="T3294" s="1" t="s">
        <v>1386</v>
      </c>
      <c r="U3294" s="1">
        <v>1.01230882E8</v>
      </c>
      <c r="X3294" s="1" t="s">
        <v>468</v>
      </c>
      <c r="Y3294" s="1" t="s">
        <v>6570</v>
      </c>
      <c r="Z3294" s="1" t="s">
        <v>37</v>
      </c>
    </row>
    <row r="3295" hidden="1">
      <c r="A3295" s="1" t="s">
        <v>9743</v>
      </c>
      <c r="B3295" s="1" t="s">
        <v>2369</v>
      </c>
      <c r="C3295" s="1" t="s">
        <v>9744</v>
      </c>
      <c r="D3295" s="1" t="s">
        <v>27</v>
      </c>
      <c r="E3295" s="1" t="s">
        <v>28</v>
      </c>
      <c r="F3295" s="2">
        <v>250000.0</v>
      </c>
      <c r="G3295" s="1" t="s">
        <v>1863</v>
      </c>
      <c r="H3295" s="4">
        <f>IFERROR(__xludf.DUMMYFUNCTION("DATE(INDEX(SPLIT(G3295,""/""),,3),INDEX(SPLIT(G3295,""/""),,2),INDEX(SPLIT(G3295,""/""),,1))"),44069.0)</f>
        <v>44069</v>
      </c>
      <c r="I3295" s="1" t="s">
        <v>999</v>
      </c>
      <c r="J3295" s="4">
        <f>IFERROR(__xludf.DUMMYFUNCTION("DATE(INDEX(SPLIT(I3295,""/""),,3),INDEX(SPLIT(I3295,""/""),,2),INDEX(SPLIT(I3295,""/""),,1))"),44953.0)</f>
        <v>44953</v>
      </c>
      <c r="L3295" s="1">
        <v>0.0</v>
      </c>
      <c r="M3295" s="1" t="s">
        <v>259</v>
      </c>
      <c r="N3295" s="1"/>
      <c r="O3295" s="1" t="s">
        <v>30</v>
      </c>
      <c r="P3295" s="1" t="s">
        <v>31</v>
      </c>
      <c r="Q3295" s="1" t="s">
        <v>95</v>
      </c>
      <c r="R3295" s="1" t="s">
        <v>95</v>
      </c>
      <c r="S3295" s="1" t="s">
        <v>96</v>
      </c>
      <c r="T3295" s="1" t="s">
        <v>260</v>
      </c>
      <c r="U3295" s="1">
        <v>1.00659114E8</v>
      </c>
      <c r="X3295" s="1" t="s">
        <v>239</v>
      </c>
      <c r="Y3295" s="1" t="s">
        <v>350</v>
      </c>
      <c r="Z3295" s="1" t="s">
        <v>37</v>
      </c>
    </row>
    <row r="3296" hidden="1">
      <c r="A3296" s="1" t="s">
        <v>9745</v>
      </c>
      <c r="B3296" s="1" t="s">
        <v>9746</v>
      </c>
      <c r="C3296" s="1" t="s">
        <v>9747</v>
      </c>
      <c r="D3296" s="1" t="s">
        <v>27</v>
      </c>
      <c r="E3296" s="1" t="s">
        <v>28</v>
      </c>
      <c r="F3296" s="2">
        <v>250000.0</v>
      </c>
      <c r="G3296" s="1" t="s">
        <v>619</v>
      </c>
      <c r="H3296" s="4">
        <f>IFERROR(__xludf.DUMMYFUNCTION("DATE(INDEX(SPLIT(G3296,""/""),,3),INDEX(SPLIT(G3296,""/""),,2),INDEX(SPLIT(G3296,""/""),,1))"),44490.0)</f>
        <v>44490</v>
      </c>
      <c r="I3296" s="4">
        <v>44569.0</v>
      </c>
      <c r="J3296" s="4">
        <f>IFERROR(__xludf.DUMMYFUNCTION("DATE(INDEX(SPLIT(I3296,""/""),,3),INDEX(SPLIT(I3296,""/""),,2),INDEX(SPLIT(I3296,""/""),,1))"),44774.0)</f>
        <v>44774</v>
      </c>
      <c r="L3296" s="1">
        <v>0.0</v>
      </c>
      <c r="M3296" s="1" t="s">
        <v>914</v>
      </c>
      <c r="N3296" s="1"/>
      <c r="O3296" s="1" t="s">
        <v>30</v>
      </c>
      <c r="P3296" s="1" t="s">
        <v>31</v>
      </c>
      <c r="Q3296" s="1" t="s">
        <v>71</v>
      </c>
      <c r="R3296" s="1" t="s">
        <v>71</v>
      </c>
      <c r="S3296" s="1" t="s">
        <v>72</v>
      </c>
      <c r="T3296" s="1" t="s">
        <v>136</v>
      </c>
      <c r="U3296" s="1">
        <v>1.01033479E8</v>
      </c>
      <c r="X3296" s="1" t="s">
        <v>74</v>
      </c>
      <c r="Y3296" s="1" t="s">
        <v>913</v>
      </c>
      <c r="Z3296" s="1" t="s">
        <v>37</v>
      </c>
    </row>
    <row r="3297">
      <c r="A3297" s="1" t="s">
        <v>9748</v>
      </c>
      <c r="B3297" s="1" t="s">
        <v>816</v>
      </c>
      <c r="C3297" s="1" t="s">
        <v>9749</v>
      </c>
      <c r="D3297" s="1" t="s">
        <v>122</v>
      </c>
      <c r="E3297" s="1" t="s">
        <v>28</v>
      </c>
      <c r="F3297" s="2">
        <v>250000.0</v>
      </c>
      <c r="G3297" s="4">
        <v>44716.0</v>
      </c>
      <c r="H3297" s="4">
        <f>IFERROR(__xludf.DUMMYFUNCTION("DATE(INDEX(SPLIT(G3297,""/""),,3),INDEX(SPLIT(G3297,""/""),,2),INDEX(SPLIT(G3297,""/""),,1))"),44657.0)</f>
        <v>44657</v>
      </c>
      <c r="I3297" s="1" t="s">
        <v>414</v>
      </c>
      <c r="J3297" s="4">
        <f>IFERROR(__xludf.DUMMYFUNCTION("DATE(INDEX(SPLIT(I3297,""/""),,3),INDEX(SPLIT(I3297,""/""),,2),INDEX(SPLIT(I3297,""/""),,1))"),44772.0)</f>
        <v>44772</v>
      </c>
      <c r="L3297" s="1">
        <v>0.0</v>
      </c>
      <c r="M3297" s="1" t="s">
        <v>819</v>
      </c>
      <c r="N3297" s="1"/>
      <c r="O3297" s="1" t="s">
        <v>30</v>
      </c>
      <c r="P3297" s="1" t="s">
        <v>31</v>
      </c>
      <c r="Q3297" s="1" t="s">
        <v>53</v>
      </c>
      <c r="R3297" s="1" t="s">
        <v>53</v>
      </c>
      <c r="S3297" s="1" t="s">
        <v>54</v>
      </c>
      <c r="T3297" s="1" t="s">
        <v>634</v>
      </c>
      <c r="U3297" s="1">
        <v>1.00661738E8</v>
      </c>
      <c r="X3297" s="1" t="s">
        <v>490</v>
      </c>
      <c r="Y3297" s="1" t="s">
        <v>7857</v>
      </c>
      <c r="Z3297" s="1" t="s">
        <v>37</v>
      </c>
    </row>
    <row r="3298" hidden="1">
      <c r="A3298" s="1" t="s">
        <v>9750</v>
      </c>
      <c r="B3298" s="1" t="s">
        <v>9751</v>
      </c>
      <c r="C3298" s="1" t="s">
        <v>9752</v>
      </c>
      <c r="D3298" s="1" t="s">
        <v>78</v>
      </c>
      <c r="E3298" s="1" t="s">
        <v>28</v>
      </c>
      <c r="F3298" s="2">
        <v>250000.0</v>
      </c>
      <c r="G3298" s="1" t="s">
        <v>5600</v>
      </c>
      <c r="H3298" s="4">
        <f>IFERROR(__xludf.DUMMYFUNCTION("DATE(INDEX(SPLIT(G3298,""/""),,3),INDEX(SPLIT(G3298,""/""),,2),INDEX(SPLIT(G3298,""/""),,1))"),44394.0)</f>
        <v>44394</v>
      </c>
      <c r="I3298" s="1" t="s">
        <v>42</v>
      </c>
      <c r="J3298" s="4">
        <f>IFERROR(__xludf.DUMMYFUNCTION("DATE(INDEX(SPLIT(I3298,""/""),,3),INDEX(SPLIT(I3298,""/""),,2),INDEX(SPLIT(I3298,""/""),,1))"),44926.0)</f>
        <v>44926</v>
      </c>
      <c r="L3298" s="1">
        <v>0.0</v>
      </c>
      <c r="M3298" s="1" t="s">
        <v>9753</v>
      </c>
      <c r="N3298" s="1"/>
      <c r="O3298" s="1" t="s">
        <v>30</v>
      </c>
      <c r="P3298" s="1" t="s">
        <v>31</v>
      </c>
      <c r="Q3298" s="1" t="s">
        <v>235</v>
      </c>
      <c r="R3298" s="1" t="s">
        <v>235</v>
      </c>
      <c r="S3298" s="1" t="s">
        <v>236</v>
      </c>
      <c r="T3298" s="1" t="s">
        <v>438</v>
      </c>
      <c r="U3298" s="1">
        <v>1.00590659E8</v>
      </c>
      <c r="X3298" s="1" t="s">
        <v>88</v>
      </c>
      <c r="Y3298" s="1" t="s">
        <v>1582</v>
      </c>
      <c r="Z3298" s="1" t="s">
        <v>206</v>
      </c>
    </row>
    <row r="3299" hidden="1">
      <c r="A3299" s="1" t="s">
        <v>9754</v>
      </c>
      <c r="B3299" s="1" t="s">
        <v>2030</v>
      </c>
      <c r="C3299" s="1" t="s">
        <v>9755</v>
      </c>
      <c r="D3299" s="1" t="s">
        <v>27</v>
      </c>
      <c r="E3299" s="1" t="s">
        <v>28</v>
      </c>
      <c r="F3299" s="2">
        <v>250000.0</v>
      </c>
      <c r="G3299" s="4">
        <v>44806.0</v>
      </c>
      <c r="H3299" s="4">
        <f>IFERROR(__xludf.DUMMYFUNCTION("DATE(INDEX(SPLIT(G3299,""/""),,3),INDEX(SPLIT(G3299,""/""),,2),INDEX(SPLIT(G3299,""/""),,1))"),44601.0)</f>
        <v>44601</v>
      </c>
      <c r="I3299" s="1" t="s">
        <v>85</v>
      </c>
      <c r="J3299" s="4">
        <f>IFERROR(__xludf.DUMMYFUNCTION("DATE(INDEX(SPLIT(I3299,""/""),,3),INDEX(SPLIT(I3299,""/""),,2),INDEX(SPLIT(I3299,""/""),,1))"),44799.0)</f>
        <v>44799</v>
      </c>
      <c r="L3299" s="1">
        <v>0.0</v>
      </c>
      <c r="M3299" s="1" t="s">
        <v>1040</v>
      </c>
      <c r="N3299" s="1"/>
      <c r="O3299" s="1" t="s">
        <v>30</v>
      </c>
      <c r="P3299" s="1" t="s">
        <v>31</v>
      </c>
      <c r="Q3299" s="1" t="s">
        <v>71</v>
      </c>
      <c r="R3299" s="1" t="s">
        <v>71</v>
      </c>
      <c r="S3299" s="1" t="s">
        <v>72</v>
      </c>
      <c r="T3299" s="1" t="s">
        <v>73</v>
      </c>
      <c r="U3299" s="1">
        <v>1.00619899E8</v>
      </c>
      <c r="X3299" s="1" t="s">
        <v>74</v>
      </c>
      <c r="Y3299" s="1" t="s">
        <v>5153</v>
      </c>
      <c r="Z3299" s="1" t="s">
        <v>37</v>
      </c>
    </row>
    <row r="3300" hidden="1">
      <c r="A3300" s="1" t="s">
        <v>9756</v>
      </c>
      <c r="B3300" s="1" t="s">
        <v>4582</v>
      </c>
      <c r="C3300" s="1" t="s">
        <v>9757</v>
      </c>
      <c r="D3300" s="1" t="s">
        <v>78</v>
      </c>
      <c r="E3300" s="1" t="s">
        <v>28</v>
      </c>
      <c r="F3300" s="2">
        <v>250000.0</v>
      </c>
      <c r="G3300" s="4">
        <v>44567.0</v>
      </c>
      <c r="H3300" s="4">
        <f>IFERROR(__xludf.DUMMYFUNCTION("DATE(INDEX(SPLIT(G3300,""/""),,3),INDEX(SPLIT(G3300,""/""),,2),INDEX(SPLIT(G3300,""/""),,1))"),44713.0)</f>
        <v>44713</v>
      </c>
      <c r="I3300" s="1" t="s">
        <v>109</v>
      </c>
      <c r="J3300" s="4">
        <f>IFERROR(__xludf.DUMMYFUNCTION("DATE(INDEX(SPLIT(I3300,""/""),,3),INDEX(SPLIT(I3300,""/""),,2),INDEX(SPLIT(I3300,""/""),,1))"),44834.0)</f>
        <v>44834</v>
      </c>
      <c r="L3300" s="1">
        <v>0.0</v>
      </c>
      <c r="M3300" s="1" t="s">
        <v>180</v>
      </c>
      <c r="N3300" s="1"/>
      <c r="O3300" s="1" t="s">
        <v>30</v>
      </c>
      <c r="P3300" s="1" t="s">
        <v>31</v>
      </c>
      <c r="Q3300" s="1" t="s">
        <v>53</v>
      </c>
      <c r="R3300" s="1" t="s">
        <v>53</v>
      </c>
      <c r="S3300" s="1" t="s">
        <v>54</v>
      </c>
      <c r="T3300" s="1" t="s">
        <v>181</v>
      </c>
      <c r="U3300" s="1">
        <v>1.00650619E8</v>
      </c>
      <c r="V3300" s="1" t="s">
        <v>9053</v>
      </c>
      <c r="W3300" s="1" t="s">
        <v>45</v>
      </c>
      <c r="X3300" s="1" t="s">
        <v>74</v>
      </c>
      <c r="Y3300" s="1" t="s">
        <v>180</v>
      </c>
      <c r="Z3300" s="1" t="s">
        <v>37</v>
      </c>
    </row>
    <row r="3301" hidden="1">
      <c r="A3301" s="1" t="s">
        <v>9758</v>
      </c>
      <c r="B3301" s="1" t="s">
        <v>1371</v>
      </c>
      <c r="C3301" s="1" t="s">
        <v>9759</v>
      </c>
      <c r="D3301" s="1" t="s">
        <v>27</v>
      </c>
      <c r="E3301" s="1" t="s">
        <v>28</v>
      </c>
      <c r="F3301" s="2">
        <v>250000.0</v>
      </c>
      <c r="G3301" s="1" t="s">
        <v>2064</v>
      </c>
      <c r="H3301" s="4">
        <f>IFERROR(__xludf.DUMMYFUNCTION("DATE(INDEX(SPLIT(G3301,""/""),,3),INDEX(SPLIT(G3301,""/""),,2),INDEX(SPLIT(G3301,""/""),,1))"),44616.0)</f>
        <v>44616</v>
      </c>
      <c r="I3301" s="4">
        <v>44570.0</v>
      </c>
      <c r="J3301" s="4">
        <f>IFERROR(__xludf.DUMMYFUNCTION("DATE(INDEX(SPLIT(I3301,""/""),,3),INDEX(SPLIT(I3301,""/""),,2),INDEX(SPLIT(I3301,""/""),,1))"),44805.0)</f>
        <v>44805</v>
      </c>
      <c r="L3301" s="1">
        <v>0.0</v>
      </c>
      <c r="M3301" s="1" t="s">
        <v>2381</v>
      </c>
      <c r="N3301" s="1"/>
      <c r="O3301" s="1" t="s">
        <v>30</v>
      </c>
      <c r="P3301" s="1" t="s">
        <v>31</v>
      </c>
      <c r="Q3301" s="1" t="s">
        <v>95</v>
      </c>
      <c r="R3301" s="1" t="s">
        <v>95</v>
      </c>
      <c r="S3301" s="1" t="s">
        <v>96</v>
      </c>
      <c r="T3301" s="1" t="s">
        <v>111</v>
      </c>
      <c r="U3301" s="1">
        <v>1.00694304E8</v>
      </c>
      <c r="X3301" s="1" t="s">
        <v>63</v>
      </c>
      <c r="Y3301" s="1" t="s">
        <v>2901</v>
      </c>
      <c r="Z3301" s="1" t="s">
        <v>206</v>
      </c>
    </row>
    <row r="3302" hidden="1">
      <c r="A3302" s="1" t="s">
        <v>9760</v>
      </c>
      <c r="B3302" s="1" t="s">
        <v>4988</v>
      </c>
      <c r="C3302" s="1" t="s">
        <v>9761</v>
      </c>
      <c r="D3302" s="1" t="s">
        <v>27</v>
      </c>
      <c r="E3302" s="1" t="s">
        <v>28</v>
      </c>
      <c r="F3302" s="2">
        <v>250000.0</v>
      </c>
      <c r="G3302" s="1" t="s">
        <v>1450</v>
      </c>
      <c r="H3302" s="4">
        <f>IFERROR(__xludf.DUMMYFUNCTION("DATE(INDEX(SPLIT(G3302,""/""),,3),INDEX(SPLIT(G3302,""/""),,2),INDEX(SPLIT(G3302,""/""),,1))"),44064.0)</f>
        <v>44064</v>
      </c>
      <c r="I3302" s="1" t="s">
        <v>281</v>
      </c>
      <c r="J3302" s="4">
        <f>IFERROR(__xludf.DUMMYFUNCTION("DATE(INDEX(SPLIT(I3302,""/""),,3),INDEX(SPLIT(I3302,""/""),,2),INDEX(SPLIT(I3302,""/""),,1))"),44865.0)</f>
        <v>44865</v>
      </c>
      <c r="L3302" s="1">
        <v>0.0</v>
      </c>
      <c r="M3302" s="1" t="s">
        <v>9762</v>
      </c>
      <c r="N3302" s="1"/>
      <c r="O3302" s="1" t="s">
        <v>30</v>
      </c>
      <c r="P3302" s="1" t="s">
        <v>31</v>
      </c>
      <c r="Q3302" s="1" t="s">
        <v>228</v>
      </c>
      <c r="R3302" s="1" t="s">
        <v>228</v>
      </c>
      <c r="S3302" s="1" t="s">
        <v>229</v>
      </c>
      <c r="T3302" s="1" t="s">
        <v>640</v>
      </c>
      <c r="U3302" s="1">
        <v>1.00603415E8</v>
      </c>
      <c r="X3302" s="1" t="s">
        <v>410</v>
      </c>
      <c r="Y3302" s="1" t="s">
        <v>507</v>
      </c>
      <c r="Z3302" s="1" t="s">
        <v>37</v>
      </c>
    </row>
    <row r="3303" hidden="1">
      <c r="A3303" s="1" t="s">
        <v>9763</v>
      </c>
      <c r="B3303" s="1" t="s">
        <v>3673</v>
      </c>
      <c r="C3303" s="1" t="s">
        <v>9764</v>
      </c>
      <c r="D3303" s="1" t="s">
        <v>27</v>
      </c>
      <c r="E3303" s="1" t="s">
        <v>28</v>
      </c>
      <c r="F3303" s="2">
        <v>250000.0</v>
      </c>
      <c r="G3303" s="4">
        <v>44594.0</v>
      </c>
      <c r="H3303" s="4">
        <f>IFERROR(__xludf.DUMMYFUNCTION("DATE(INDEX(SPLIT(G3303,""/""),,3),INDEX(SPLIT(G3303,""/""),,2),INDEX(SPLIT(G3303,""/""),,1))"),44594.0)</f>
        <v>44594</v>
      </c>
      <c r="I3303" s="1" t="s">
        <v>42</v>
      </c>
      <c r="J3303" s="4">
        <f>IFERROR(__xludf.DUMMYFUNCTION("DATE(INDEX(SPLIT(I3303,""/""),,3),INDEX(SPLIT(I3303,""/""),,2),INDEX(SPLIT(I3303,""/""),,1))"),44926.0)</f>
        <v>44926</v>
      </c>
      <c r="L3303" s="1">
        <v>0.0</v>
      </c>
      <c r="M3303" s="1" t="s">
        <v>891</v>
      </c>
      <c r="N3303" s="1"/>
      <c r="O3303" s="1" t="s">
        <v>30</v>
      </c>
      <c r="P3303" s="1" t="s">
        <v>31</v>
      </c>
      <c r="Q3303" s="1" t="s">
        <v>32</v>
      </c>
      <c r="R3303" s="1" t="s">
        <v>32</v>
      </c>
      <c r="S3303" s="1" t="s">
        <v>33</v>
      </c>
      <c r="T3303" s="1" t="s">
        <v>442</v>
      </c>
      <c r="U3303" s="1">
        <v>1.00866856E8</v>
      </c>
      <c r="X3303" s="1" t="s">
        <v>125</v>
      </c>
      <c r="Y3303" s="1" t="s">
        <v>891</v>
      </c>
      <c r="Z3303" s="1" t="s">
        <v>37</v>
      </c>
    </row>
    <row r="3304">
      <c r="A3304" s="1" t="s">
        <v>9765</v>
      </c>
      <c r="B3304" s="1" t="s">
        <v>39</v>
      </c>
      <c r="C3304" s="1" t="s">
        <v>9766</v>
      </c>
      <c r="D3304" s="1" t="s">
        <v>27</v>
      </c>
      <c r="E3304" s="1" t="s">
        <v>28</v>
      </c>
      <c r="F3304" s="2">
        <v>250000.0</v>
      </c>
      <c r="G3304" s="1" t="s">
        <v>1774</v>
      </c>
      <c r="H3304" s="4">
        <f>IFERROR(__xludf.DUMMYFUNCTION("DATE(INDEX(SPLIT(G3304,""/""),,3),INDEX(SPLIT(G3304,""/""),,2),INDEX(SPLIT(G3304,""/""),,1))"),44043.0)</f>
        <v>44043</v>
      </c>
      <c r="I3304" s="1" t="s">
        <v>414</v>
      </c>
      <c r="J3304" s="4">
        <f>IFERROR(__xludf.DUMMYFUNCTION("DATE(INDEX(SPLIT(I3304,""/""),,3),INDEX(SPLIT(I3304,""/""),,2),INDEX(SPLIT(I3304,""/""),,1))"),44772.0)</f>
        <v>44772</v>
      </c>
      <c r="L3304" s="1">
        <v>0.0</v>
      </c>
      <c r="M3304" s="1" t="s">
        <v>9767</v>
      </c>
      <c r="N3304" s="1"/>
      <c r="O3304" s="1" t="s">
        <v>30</v>
      </c>
      <c r="P3304" s="1" t="s">
        <v>31</v>
      </c>
      <c r="Q3304" s="1" t="s">
        <v>228</v>
      </c>
      <c r="R3304" s="1" t="s">
        <v>228</v>
      </c>
      <c r="S3304" s="1" t="s">
        <v>229</v>
      </c>
      <c r="T3304" s="1" t="s">
        <v>505</v>
      </c>
      <c r="U3304" s="1">
        <v>1.00632043E8</v>
      </c>
      <c r="X3304" s="1" t="s">
        <v>46</v>
      </c>
      <c r="Y3304" s="1" t="s">
        <v>9767</v>
      </c>
      <c r="Z3304" s="1" t="s">
        <v>37</v>
      </c>
    </row>
    <row r="3305" hidden="1">
      <c r="A3305" s="1" t="s">
        <v>9768</v>
      </c>
      <c r="B3305" s="1" t="s">
        <v>2000</v>
      </c>
      <c r="C3305" s="1" t="s">
        <v>9769</v>
      </c>
      <c r="D3305" s="1" t="s">
        <v>78</v>
      </c>
      <c r="E3305" s="1" t="s">
        <v>28</v>
      </c>
      <c r="F3305" s="2">
        <v>250000.0</v>
      </c>
      <c r="G3305" s="1" t="s">
        <v>7840</v>
      </c>
      <c r="H3305" s="4">
        <f>IFERROR(__xludf.DUMMYFUNCTION("DATE(INDEX(SPLIT(G3305,""/""),,3),INDEX(SPLIT(G3305,""/""),,2),INDEX(SPLIT(G3305,""/""),,1))"),44035.0)</f>
        <v>44035</v>
      </c>
      <c r="I3305" s="1" t="s">
        <v>42</v>
      </c>
      <c r="J3305" s="4">
        <f>IFERROR(__xludf.DUMMYFUNCTION("DATE(INDEX(SPLIT(I3305,""/""),,3),INDEX(SPLIT(I3305,""/""),,2),INDEX(SPLIT(I3305,""/""),,1))"),44926.0)</f>
        <v>44926</v>
      </c>
      <c r="L3305" s="1">
        <v>0.0</v>
      </c>
      <c r="M3305" s="1" t="s">
        <v>2752</v>
      </c>
      <c r="N3305" s="1"/>
      <c r="O3305" s="1" t="s">
        <v>30</v>
      </c>
      <c r="P3305" s="1" t="s">
        <v>31</v>
      </c>
      <c r="Q3305" s="1" t="s">
        <v>235</v>
      </c>
      <c r="R3305" s="1" t="s">
        <v>235</v>
      </c>
      <c r="S3305" s="1" t="s">
        <v>236</v>
      </c>
      <c r="T3305" s="1" t="s">
        <v>1349</v>
      </c>
      <c r="U3305" s="1">
        <v>1.0062606E8</v>
      </c>
      <c r="X3305" s="1" t="s">
        <v>609</v>
      </c>
      <c r="Y3305" s="1" t="s">
        <v>7800</v>
      </c>
      <c r="Z3305" s="1" t="s">
        <v>37</v>
      </c>
    </row>
    <row r="3306" hidden="1">
      <c r="A3306" s="1" t="s">
        <v>9770</v>
      </c>
      <c r="B3306" s="1" t="s">
        <v>1002</v>
      </c>
      <c r="C3306" s="1" t="s">
        <v>9771</v>
      </c>
      <c r="D3306" s="1" t="s">
        <v>78</v>
      </c>
      <c r="E3306" s="1" t="s">
        <v>28</v>
      </c>
      <c r="F3306" s="2">
        <v>250000.0</v>
      </c>
      <c r="G3306" s="4">
        <v>44685.0</v>
      </c>
      <c r="H3306" s="4">
        <f>IFERROR(__xludf.DUMMYFUNCTION("DATE(INDEX(SPLIT(G3306,""/""),,3),INDEX(SPLIT(G3306,""/""),,2),INDEX(SPLIT(G3306,""/""),,1))"),44656.0)</f>
        <v>44656</v>
      </c>
      <c r="I3306" s="1" t="s">
        <v>317</v>
      </c>
      <c r="J3306" s="4">
        <f>IFERROR(__xludf.DUMMYFUNCTION("DATE(INDEX(SPLIT(I3306,""/""),,3),INDEX(SPLIT(I3306,""/""),,2),INDEX(SPLIT(I3306,""/""),,1))"),44862.0)</f>
        <v>44862</v>
      </c>
      <c r="L3306" s="1">
        <v>0.0</v>
      </c>
      <c r="M3306" s="1" t="s">
        <v>3138</v>
      </c>
      <c r="N3306" s="1"/>
      <c r="O3306" s="1" t="s">
        <v>30</v>
      </c>
      <c r="P3306" s="1" t="s">
        <v>31</v>
      </c>
      <c r="Q3306" s="1" t="s">
        <v>157</v>
      </c>
      <c r="R3306" s="1" t="s">
        <v>157</v>
      </c>
      <c r="S3306" s="1" t="s">
        <v>158</v>
      </c>
      <c r="U3306" s="1">
        <v>1.00616377E8</v>
      </c>
      <c r="X3306" s="1" t="s">
        <v>74</v>
      </c>
      <c r="Y3306" s="1" t="s">
        <v>1746</v>
      </c>
      <c r="Z3306" s="1" t="s">
        <v>37</v>
      </c>
    </row>
    <row r="3307" hidden="1">
      <c r="A3307" s="1" t="s">
        <v>9772</v>
      </c>
      <c r="B3307" s="1" t="s">
        <v>8156</v>
      </c>
      <c r="C3307" s="1" t="s">
        <v>9773</v>
      </c>
      <c r="D3307" s="1" t="s">
        <v>27</v>
      </c>
      <c r="E3307" s="1" t="s">
        <v>28</v>
      </c>
      <c r="F3307" s="2">
        <v>250000.0</v>
      </c>
      <c r="G3307" s="1" t="s">
        <v>1244</v>
      </c>
      <c r="H3307" s="4">
        <f>IFERROR(__xludf.DUMMYFUNCTION("DATE(INDEX(SPLIT(G3307,""/""),,3),INDEX(SPLIT(G3307,""/""),,2),INDEX(SPLIT(G3307,""/""),,1))"),44742.0)</f>
        <v>44742</v>
      </c>
      <c r="I3307" s="4">
        <v>44601.0</v>
      </c>
      <c r="J3307" s="4">
        <f>IFERROR(__xludf.DUMMYFUNCTION("DATE(INDEX(SPLIT(I3307,""/""),,3),INDEX(SPLIT(I3307,""/""),,2),INDEX(SPLIT(I3307,""/""),,1))"),44806.0)</f>
        <v>44806</v>
      </c>
      <c r="L3307" s="1">
        <v>0.0</v>
      </c>
      <c r="M3307" s="1" t="s">
        <v>2448</v>
      </c>
      <c r="N3307" s="1"/>
      <c r="O3307" s="1" t="s">
        <v>30</v>
      </c>
      <c r="P3307" s="1" t="s">
        <v>31</v>
      </c>
      <c r="Q3307" s="1" t="s">
        <v>53</v>
      </c>
      <c r="R3307" s="1" t="s">
        <v>53</v>
      </c>
      <c r="S3307" s="1" t="s">
        <v>54</v>
      </c>
      <c r="T3307" s="1" t="s">
        <v>197</v>
      </c>
      <c r="U3307" s="1">
        <v>1.00584032E8</v>
      </c>
      <c r="X3307" s="1" t="s">
        <v>63</v>
      </c>
      <c r="Y3307" s="1" t="s">
        <v>2448</v>
      </c>
      <c r="Z3307" s="1" t="s">
        <v>37</v>
      </c>
    </row>
    <row r="3308">
      <c r="A3308" s="1" t="s">
        <v>9774</v>
      </c>
      <c r="B3308" s="1" t="s">
        <v>9775</v>
      </c>
      <c r="C3308" s="1" t="s">
        <v>9776</v>
      </c>
      <c r="D3308" s="1" t="s">
        <v>122</v>
      </c>
      <c r="E3308" s="1" t="s">
        <v>28</v>
      </c>
      <c r="F3308" s="2">
        <v>250000.0</v>
      </c>
      <c r="G3308" s="4">
        <v>44746.0</v>
      </c>
      <c r="H3308" s="4">
        <f>IFERROR(__xludf.DUMMYFUNCTION("DATE(INDEX(SPLIT(G3308,""/""),,3),INDEX(SPLIT(G3308,""/""),,2),INDEX(SPLIT(G3308,""/""),,1))"),44658.0)</f>
        <v>44658</v>
      </c>
      <c r="I3308" s="4">
        <v>44626.0</v>
      </c>
      <c r="J3308" s="4">
        <f>IFERROR(__xludf.DUMMYFUNCTION("DATE(INDEX(SPLIT(I3308,""/""),,3),INDEX(SPLIT(I3308,""/""),,2),INDEX(SPLIT(I3308,""/""),,1))"),44715.0)</f>
        <v>44715</v>
      </c>
      <c r="L3308" s="1">
        <v>0.0</v>
      </c>
      <c r="M3308" s="1" t="s">
        <v>2096</v>
      </c>
      <c r="N3308" s="1"/>
      <c r="O3308" s="1" t="s">
        <v>30</v>
      </c>
      <c r="P3308" s="1" t="s">
        <v>31</v>
      </c>
      <c r="Q3308" s="1" t="s">
        <v>228</v>
      </c>
      <c r="R3308" s="1" t="s">
        <v>228</v>
      </c>
      <c r="S3308" s="1" t="s">
        <v>229</v>
      </c>
      <c r="T3308" s="1" t="s">
        <v>505</v>
      </c>
      <c r="U3308" s="1">
        <v>1.00619128E8</v>
      </c>
      <c r="X3308" s="1" t="s">
        <v>63</v>
      </c>
      <c r="Y3308" s="1" t="s">
        <v>6770</v>
      </c>
      <c r="Z3308" s="1" t="s">
        <v>37</v>
      </c>
    </row>
    <row r="3309" hidden="1">
      <c r="A3309" s="1" t="s">
        <v>9777</v>
      </c>
      <c r="B3309" s="1" t="s">
        <v>9778</v>
      </c>
      <c r="C3309" s="1" t="s">
        <v>9779</v>
      </c>
      <c r="D3309" s="1" t="s">
        <v>78</v>
      </c>
      <c r="E3309" s="1" t="s">
        <v>28</v>
      </c>
      <c r="F3309" s="2">
        <v>250000.0</v>
      </c>
      <c r="G3309" s="1" t="s">
        <v>298</v>
      </c>
      <c r="H3309" s="4">
        <f>IFERROR(__xludf.DUMMYFUNCTION("DATE(INDEX(SPLIT(G3309,""/""),,3),INDEX(SPLIT(G3309,""/""),,2),INDEX(SPLIT(G3309,""/""),,1))"),44762.0)</f>
        <v>44762</v>
      </c>
      <c r="I3309" s="1" t="s">
        <v>872</v>
      </c>
      <c r="J3309" s="4">
        <f>IFERROR(__xludf.DUMMYFUNCTION("DATE(INDEX(SPLIT(I3309,""/""),,3),INDEX(SPLIT(I3309,""/""),,2),INDEX(SPLIT(I3309,""/""),,1))"),44820.0)</f>
        <v>44820</v>
      </c>
      <c r="L3309" s="1">
        <v>0.0</v>
      </c>
      <c r="M3309" s="1" t="s">
        <v>1588</v>
      </c>
      <c r="N3309" s="1"/>
      <c r="O3309" s="1" t="s">
        <v>30</v>
      </c>
      <c r="P3309" s="1" t="s">
        <v>31</v>
      </c>
      <c r="Q3309" s="1" t="s">
        <v>32</v>
      </c>
      <c r="R3309" s="1" t="s">
        <v>32</v>
      </c>
      <c r="S3309" s="1" t="s">
        <v>33</v>
      </c>
      <c r="U3309" s="1">
        <v>1.00611316E8</v>
      </c>
      <c r="X3309" s="1" t="s">
        <v>117</v>
      </c>
      <c r="Y3309" s="1" t="s">
        <v>9780</v>
      </c>
      <c r="Z3309" s="1" t="s">
        <v>37</v>
      </c>
    </row>
    <row r="3310" hidden="1">
      <c r="A3310" s="1" t="s">
        <v>9781</v>
      </c>
      <c r="B3310" s="1" t="s">
        <v>6274</v>
      </c>
      <c r="C3310" s="1" t="s">
        <v>9782</v>
      </c>
      <c r="D3310" s="1" t="s">
        <v>27</v>
      </c>
      <c r="E3310" s="1" t="s">
        <v>28</v>
      </c>
      <c r="F3310" s="2">
        <v>250000.0</v>
      </c>
      <c r="G3310" s="1" t="s">
        <v>1767</v>
      </c>
      <c r="H3310" s="4">
        <f>IFERROR(__xludf.DUMMYFUNCTION("DATE(INDEX(SPLIT(G3310,""/""),,3),INDEX(SPLIT(G3310,""/""),,2),INDEX(SPLIT(G3310,""/""),,1))"),44698.0)</f>
        <v>44698</v>
      </c>
      <c r="I3310" s="4">
        <v>44689.0</v>
      </c>
      <c r="J3310" s="4">
        <f>IFERROR(__xludf.DUMMYFUNCTION("DATE(INDEX(SPLIT(I3310,""/""),,3),INDEX(SPLIT(I3310,""/""),,2),INDEX(SPLIT(I3310,""/""),,1))"),44778.0)</f>
        <v>44778</v>
      </c>
      <c r="L3310" s="1">
        <v>0.0</v>
      </c>
      <c r="M3310" s="1" t="s">
        <v>7252</v>
      </c>
      <c r="N3310" s="1"/>
      <c r="O3310" s="1" t="s">
        <v>30</v>
      </c>
      <c r="P3310" s="1" t="s">
        <v>31</v>
      </c>
      <c r="Q3310" s="1" t="s">
        <v>157</v>
      </c>
      <c r="R3310" s="1" t="s">
        <v>157</v>
      </c>
      <c r="S3310" s="1" t="s">
        <v>158</v>
      </c>
      <c r="U3310" s="1">
        <v>1.00599152E8</v>
      </c>
      <c r="X3310" s="1" t="s">
        <v>98</v>
      </c>
      <c r="Y3310" s="1" t="s">
        <v>7279</v>
      </c>
      <c r="Z3310" s="1" t="s">
        <v>37</v>
      </c>
    </row>
    <row r="3311" hidden="1">
      <c r="A3311" s="1" t="s">
        <v>9783</v>
      </c>
      <c r="B3311" s="1" t="s">
        <v>9784</v>
      </c>
      <c r="C3311" s="1" t="s">
        <v>9785</v>
      </c>
      <c r="D3311" s="1" t="s">
        <v>27</v>
      </c>
      <c r="E3311" s="1" t="s">
        <v>28</v>
      </c>
      <c r="F3311" s="2">
        <v>250000.0</v>
      </c>
      <c r="G3311" s="1" t="s">
        <v>1244</v>
      </c>
      <c r="H3311" s="4">
        <f>IFERROR(__xludf.DUMMYFUNCTION("DATE(INDEX(SPLIT(G3311,""/""),,3),INDEX(SPLIT(G3311,""/""),,2),INDEX(SPLIT(G3311,""/""),,1))"),44742.0)</f>
        <v>44742</v>
      </c>
      <c r="I3311" s="4">
        <v>44813.0</v>
      </c>
      <c r="J3311" s="4">
        <f>IFERROR(__xludf.DUMMYFUNCTION("DATE(INDEX(SPLIT(I3311,""/""),,3),INDEX(SPLIT(I3311,""/""),,2),INDEX(SPLIT(I3311,""/""),,1))"),44813.0)</f>
        <v>44813</v>
      </c>
      <c r="L3311" s="1">
        <v>0.0</v>
      </c>
      <c r="M3311" s="1" t="s">
        <v>2448</v>
      </c>
      <c r="N3311" s="1"/>
      <c r="O3311" s="1" t="s">
        <v>30</v>
      </c>
      <c r="P3311" s="1" t="s">
        <v>31</v>
      </c>
      <c r="Q3311" s="1" t="s">
        <v>53</v>
      </c>
      <c r="R3311" s="1" t="s">
        <v>53</v>
      </c>
      <c r="S3311" s="1" t="s">
        <v>54</v>
      </c>
      <c r="T3311" s="1" t="s">
        <v>197</v>
      </c>
      <c r="U3311" s="1">
        <v>1.00584032E8</v>
      </c>
      <c r="X3311" s="1" t="s">
        <v>63</v>
      </c>
      <c r="Y3311" s="1" t="s">
        <v>2448</v>
      </c>
      <c r="Z3311" s="1" t="s">
        <v>37</v>
      </c>
    </row>
    <row r="3312">
      <c r="A3312" s="1" t="s">
        <v>9786</v>
      </c>
      <c r="B3312" s="1" t="s">
        <v>1417</v>
      </c>
      <c r="C3312" s="1" t="s">
        <v>9787</v>
      </c>
      <c r="D3312" s="1" t="s">
        <v>27</v>
      </c>
      <c r="E3312" s="1" t="s">
        <v>28</v>
      </c>
      <c r="F3312" s="2">
        <v>250000.0</v>
      </c>
      <c r="G3312" s="4">
        <v>44594.0</v>
      </c>
      <c r="H3312" s="4">
        <f>IFERROR(__xludf.DUMMYFUNCTION("DATE(INDEX(SPLIT(G3312,""/""),,3),INDEX(SPLIT(G3312,""/""),,2),INDEX(SPLIT(G3312,""/""),,1))"),44594.0)</f>
        <v>44594</v>
      </c>
      <c r="I3312" s="1" t="s">
        <v>1244</v>
      </c>
      <c r="J3312" s="4">
        <f>IFERROR(__xludf.DUMMYFUNCTION("DATE(INDEX(SPLIT(I3312,""/""),,3),INDEX(SPLIT(I3312,""/""),,2),INDEX(SPLIT(I3312,""/""),,1))"),44742.0)</f>
        <v>44742</v>
      </c>
      <c r="L3312" s="1">
        <v>0.0</v>
      </c>
      <c r="M3312" s="1" t="s">
        <v>936</v>
      </c>
      <c r="N3312" s="1"/>
      <c r="O3312" s="1" t="s">
        <v>30</v>
      </c>
      <c r="P3312" s="1" t="s">
        <v>31</v>
      </c>
      <c r="Q3312" s="1" t="s">
        <v>71</v>
      </c>
      <c r="R3312" s="1" t="s">
        <v>71</v>
      </c>
      <c r="S3312" s="1" t="s">
        <v>72</v>
      </c>
      <c r="T3312" s="1" t="s">
        <v>73</v>
      </c>
      <c r="U3312" s="1">
        <v>1.00941744E8</v>
      </c>
      <c r="X3312" s="1" t="s">
        <v>74</v>
      </c>
      <c r="Y3312" s="1" t="s">
        <v>9788</v>
      </c>
      <c r="Z3312" s="1" t="s">
        <v>37</v>
      </c>
    </row>
    <row r="3313">
      <c r="A3313" s="1" t="s">
        <v>9789</v>
      </c>
      <c r="B3313" s="1" t="s">
        <v>2030</v>
      </c>
      <c r="C3313" s="1" t="s">
        <v>9790</v>
      </c>
      <c r="D3313" s="1" t="s">
        <v>27</v>
      </c>
      <c r="E3313" s="1" t="s">
        <v>28</v>
      </c>
      <c r="F3313" s="2">
        <v>250000.0</v>
      </c>
      <c r="G3313" s="4">
        <v>44594.0</v>
      </c>
      <c r="H3313" s="4">
        <f>IFERROR(__xludf.DUMMYFUNCTION("DATE(INDEX(SPLIT(G3313,""/""),,3),INDEX(SPLIT(G3313,""/""),,2),INDEX(SPLIT(G3313,""/""),,1))"),44594.0)</f>
        <v>44594</v>
      </c>
      <c r="I3313" s="1" t="s">
        <v>1244</v>
      </c>
      <c r="J3313" s="4">
        <f>IFERROR(__xludf.DUMMYFUNCTION("DATE(INDEX(SPLIT(I3313,""/""),,3),INDEX(SPLIT(I3313,""/""),,2),INDEX(SPLIT(I3313,""/""),,1))"),44742.0)</f>
        <v>44742</v>
      </c>
      <c r="L3313" s="1">
        <v>0.0</v>
      </c>
      <c r="M3313" s="1" t="s">
        <v>936</v>
      </c>
      <c r="N3313" s="1"/>
      <c r="O3313" s="1" t="s">
        <v>30</v>
      </c>
      <c r="P3313" s="1" t="s">
        <v>31</v>
      </c>
      <c r="Q3313" s="1" t="s">
        <v>71</v>
      </c>
      <c r="R3313" s="1" t="s">
        <v>71</v>
      </c>
      <c r="S3313" s="1" t="s">
        <v>72</v>
      </c>
      <c r="T3313" s="1" t="s">
        <v>73</v>
      </c>
      <c r="U3313" s="1">
        <v>1.00941744E8</v>
      </c>
      <c r="X3313" s="1" t="s">
        <v>74</v>
      </c>
      <c r="Y3313" s="1" t="s">
        <v>9788</v>
      </c>
      <c r="Z3313" s="1" t="s">
        <v>37</v>
      </c>
    </row>
    <row r="3314" hidden="1">
      <c r="A3314" s="1" t="s">
        <v>9791</v>
      </c>
      <c r="B3314" s="1" t="s">
        <v>1748</v>
      </c>
      <c r="C3314" s="1" t="s">
        <v>9792</v>
      </c>
      <c r="D3314" s="1" t="s">
        <v>78</v>
      </c>
      <c r="E3314" s="1" t="s">
        <v>28</v>
      </c>
      <c r="F3314" s="2">
        <v>250000.0</v>
      </c>
      <c r="G3314" s="1" t="s">
        <v>1244</v>
      </c>
      <c r="H3314" s="4">
        <f>IFERROR(__xludf.DUMMYFUNCTION("DATE(INDEX(SPLIT(G3314,""/""),,3),INDEX(SPLIT(G3314,""/""),,2),INDEX(SPLIT(G3314,""/""),,1))"),44742.0)</f>
        <v>44742</v>
      </c>
      <c r="I3314" s="1" t="s">
        <v>281</v>
      </c>
      <c r="J3314" s="4">
        <f>IFERROR(__xludf.DUMMYFUNCTION("DATE(INDEX(SPLIT(I3314,""/""),,3),INDEX(SPLIT(I3314,""/""),,2),INDEX(SPLIT(I3314,""/""),,1))"),44865.0)</f>
        <v>44865</v>
      </c>
      <c r="L3314" s="1">
        <v>0.0</v>
      </c>
      <c r="M3314" s="1" t="s">
        <v>5525</v>
      </c>
      <c r="N3314" s="1"/>
      <c r="O3314" s="1" t="s">
        <v>30</v>
      </c>
      <c r="P3314" s="1" t="s">
        <v>31</v>
      </c>
      <c r="Q3314" s="1" t="s">
        <v>157</v>
      </c>
      <c r="R3314" s="1" t="s">
        <v>157</v>
      </c>
      <c r="S3314" s="1" t="s">
        <v>158</v>
      </c>
      <c r="U3314" s="1">
        <v>1.00609393E8</v>
      </c>
      <c r="X3314" s="1" t="s">
        <v>88</v>
      </c>
      <c r="Y3314" s="1" t="s">
        <v>9793</v>
      </c>
      <c r="Z3314" s="1" t="s">
        <v>37</v>
      </c>
    </row>
    <row r="3315" hidden="1">
      <c r="A3315" s="1" t="s">
        <v>9794</v>
      </c>
      <c r="B3315" s="1" t="s">
        <v>6099</v>
      </c>
      <c r="C3315" s="1" t="s">
        <v>9795</v>
      </c>
      <c r="D3315" s="1" t="s">
        <v>27</v>
      </c>
      <c r="E3315" s="1" t="s">
        <v>28</v>
      </c>
      <c r="F3315" s="2">
        <v>250000.0</v>
      </c>
      <c r="G3315" s="1" t="s">
        <v>511</v>
      </c>
      <c r="H3315" s="4">
        <f>IFERROR(__xludf.DUMMYFUNCTION("DATE(INDEX(SPLIT(G3315,""/""),,3),INDEX(SPLIT(G3315,""/""),,2),INDEX(SPLIT(G3315,""/""),,1))"),44400.0)</f>
        <v>44400</v>
      </c>
      <c r="I3315" s="1" t="s">
        <v>130</v>
      </c>
      <c r="J3315" s="4">
        <f>IFERROR(__xludf.DUMMYFUNCTION("DATE(INDEX(SPLIT(I3315,""/""),,3),INDEX(SPLIT(I3315,""/""),,2),INDEX(SPLIT(I3315,""/""),,1))"),44804.0)</f>
        <v>44804</v>
      </c>
      <c r="L3315" s="1">
        <v>0.0</v>
      </c>
      <c r="M3315" s="1" t="s">
        <v>563</v>
      </c>
      <c r="N3315" s="1"/>
      <c r="O3315" s="1" t="s">
        <v>30</v>
      </c>
      <c r="P3315" s="1" t="s">
        <v>31</v>
      </c>
      <c r="Q3315" s="1" t="s">
        <v>95</v>
      </c>
      <c r="R3315" s="1" t="s">
        <v>95</v>
      </c>
      <c r="S3315" s="1" t="s">
        <v>96</v>
      </c>
      <c r="T3315" s="1" t="s">
        <v>1386</v>
      </c>
      <c r="U3315" s="1">
        <v>1.00646702E8</v>
      </c>
      <c r="X3315" s="1" t="s">
        <v>361</v>
      </c>
      <c r="Y3315" s="1" t="s">
        <v>9796</v>
      </c>
      <c r="Z3315" s="1" t="s">
        <v>37</v>
      </c>
    </row>
    <row r="3316" hidden="1">
      <c r="A3316" s="1" t="s">
        <v>9797</v>
      </c>
      <c r="B3316" s="1" t="s">
        <v>954</v>
      </c>
      <c r="C3316" s="1" t="s">
        <v>9798</v>
      </c>
      <c r="D3316" s="1" t="s">
        <v>27</v>
      </c>
      <c r="E3316" s="1" t="s">
        <v>28</v>
      </c>
      <c r="F3316" s="2">
        <v>250000.0</v>
      </c>
      <c r="G3316" s="4">
        <v>44594.0</v>
      </c>
      <c r="H3316" s="4">
        <f>IFERROR(__xludf.DUMMYFUNCTION("DATE(INDEX(SPLIT(G3316,""/""),,3),INDEX(SPLIT(G3316,""/""),,2),INDEX(SPLIT(G3316,""/""),,1))"),44594.0)</f>
        <v>44594</v>
      </c>
      <c r="I3316" s="1" t="s">
        <v>872</v>
      </c>
      <c r="J3316" s="4">
        <f>IFERROR(__xludf.DUMMYFUNCTION("DATE(INDEX(SPLIT(I3316,""/""),,3),INDEX(SPLIT(I3316,""/""),,2),INDEX(SPLIT(I3316,""/""),,1))"),44820.0)</f>
        <v>44820</v>
      </c>
      <c r="L3316" s="1">
        <v>0.0</v>
      </c>
      <c r="M3316" s="1" t="s">
        <v>2032</v>
      </c>
      <c r="N3316" s="1"/>
      <c r="O3316" s="1" t="s">
        <v>30</v>
      </c>
      <c r="P3316" s="1" t="s">
        <v>31</v>
      </c>
      <c r="Q3316" s="1" t="s">
        <v>71</v>
      </c>
      <c r="R3316" s="1" t="s">
        <v>71</v>
      </c>
      <c r="S3316" s="1" t="s">
        <v>72</v>
      </c>
      <c r="T3316" s="1" t="s">
        <v>73</v>
      </c>
      <c r="U3316" s="1">
        <v>1.00929557E8</v>
      </c>
      <c r="X3316" s="1" t="s">
        <v>74</v>
      </c>
      <c r="Y3316" s="1" t="s">
        <v>9788</v>
      </c>
      <c r="Z3316" s="1" t="s">
        <v>206</v>
      </c>
    </row>
    <row r="3317" hidden="1">
      <c r="A3317" s="1" t="s">
        <v>9799</v>
      </c>
      <c r="B3317" s="1" t="s">
        <v>4321</v>
      </c>
      <c r="C3317" s="1" t="s">
        <v>9800</v>
      </c>
      <c r="D3317" s="1" t="s">
        <v>27</v>
      </c>
      <c r="E3317" s="1" t="s">
        <v>28</v>
      </c>
      <c r="F3317" s="2">
        <v>250000.0</v>
      </c>
      <c r="G3317" s="4">
        <v>44566.0</v>
      </c>
      <c r="H3317" s="4">
        <f>IFERROR(__xludf.DUMMYFUNCTION("DATE(INDEX(SPLIT(G3317,""/""),,3),INDEX(SPLIT(G3317,""/""),,2),INDEX(SPLIT(G3317,""/""),,1))"),44682.0)</f>
        <v>44682</v>
      </c>
      <c r="I3317" s="1" t="s">
        <v>109</v>
      </c>
      <c r="J3317" s="4">
        <f>IFERROR(__xludf.DUMMYFUNCTION("DATE(INDEX(SPLIT(I3317,""/""),,3),INDEX(SPLIT(I3317,""/""),,2),INDEX(SPLIT(I3317,""/""),,1))"),44834.0)</f>
        <v>44834</v>
      </c>
      <c r="L3317" s="1">
        <v>0.0</v>
      </c>
      <c r="M3317" s="1" t="s">
        <v>4282</v>
      </c>
      <c r="N3317" s="1"/>
      <c r="O3317" s="1" t="s">
        <v>30</v>
      </c>
      <c r="P3317" s="1" t="s">
        <v>31</v>
      </c>
      <c r="Q3317" s="1" t="s">
        <v>53</v>
      </c>
      <c r="R3317" s="1" t="s">
        <v>53</v>
      </c>
      <c r="S3317" s="1" t="s">
        <v>54</v>
      </c>
      <c r="U3317" s="1">
        <v>1.01238292E8</v>
      </c>
      <c r="X3317" s="1" t="s">
        <v>305</v>
      </c>
      <c r="Y3317" s="1" t="s">
        <v>4282</v>
      </c>
      <c r="Z3317" s="1" t="s">
        <v>37</v>
      </c>
    </row>
    <row r="3318">
      <c r="A3318" s="1" t="s">
        <v>9801</v>
      </c>
      <c r="B3318" s="1" t="s">
        <v>954</v>
      </c>
      <c r="C3318" s="1" t="s">
        <v>9802</v>
      </c>
      <c r="D3318" s="1" t="s">
        <v>27</v>
      </c>
      <c r="E3318" s="1" t="s">
        <v>28</v>
      </c>
      <c r="F3318" s="2">
        <v>250000.0</v>
      </c>
      <c r="G3318" s="4">
        <v>44594.0</v>
      </c>
      <c r="H3318" s="4">
        <f>IFERROR(__xludf.DUMMYFUNCTION("DATE(INDEX(SPLIT(G3318,""/""),,3),INDEX(SPLIT(G3318,""/""),,2),INDEX(SPLIT(G3318,""/""),,1))"),44594.0)</f>
        <v>44594</v>
      </c>
      <c r="I3318" s="1" t="s">
        <v>1244</v>
      </c>
      <c r="J3318" s="4">
        <f>IFERROR(__xludf.DUMMYFUNCTION("DATE(INDEX(SPLIT(I3318,""/""),,3),INDEX(SPLIT(I3318,""/""),,2),INDEX(SPLIT(I3318,""/""),,1))"),44742.0)</f>
        <v>44742</v>
      </c>
      <c r="L3318" s="1">
        <v>0.0</v>
      </c>
      <c r="M3318" s="1" t="s">
        <v>936</v>
      </c>
      <c r="N3318" s="1"/>
      <c r="O3318" s="1" t="s">
        <v>30</v>
      </c>
      <c r="P3318" s="1" t="s">
        <v>31</v>
      </c>
      <c r="Q3318" s="1" t="s">
        <v>71</v>
      </c>
      <c r="R3318" s="1" t="s">
        <v>71</v>
      </c>
      <c r="S3318" s="1" t="s">
        <v>72</v>
      </c>
      <c r="T3318" s="1" t="s">
        <v>73</v>
      </c>
      <c r="U3318" s="1">
        <v>1.00941744E8</v>
      </c>
      <c r="X3318" s="1" t="s">
        <v>74</v>
      </c>
      <c r="Y3318" s="1" t="s">
        <v>9788</v>
      </c>
      <c r="Z3318" s="1" t="s">
        <v>37</v>
      </c>
    </row>
    <row r="3319" hidden="1">
      <c r="A3319" s="1" t="s">
        <v>9803</v>
      </c>
      <c r="B3319" s="1" t="s">
        <v>2030</v>
      </c>
      <c r="C3319" s="1" t="s">
        <v>9804</v>
      </c>
      <c r="D3319" s="1" t="s">
        <v>27</v>
      </c>
      <c r="E3319" s="1" t="s">
        <v>28</v>
      </c>
      <c r="F3319" s="2">
        <v>250000.0</v>
      </c>
      <c r="G3319" s="4">
        <v>44594.0</v>
      </c>
      <c r="H3319" s="4">
        <f>IFERROR(__xludf.DUMMYFUNCTION("DATE(INDEX(SPLIT(G3319,""/""),,3),INDEX(SPLIT(G3319,""/""),,2),INDEX(SPLIT(G3319,""/""),,1))"),44594.0)</f>
        <v>44594</v>
      </c>
      <c r="I3319" s="1" t="s">
        <v>109</v>
      </c>
      <c r="J3319" s="4">
        <f>IFERROR(__xludf.DUMMYFUNCTION("DATE(INDEX(SPLIT(I3319,""/""),,3),INDEX(SPLIT(I3319,""/""),,2),INDEX(SPLIT(I3319,""/""),,1))"),44834.0)</f>
        <v>44834</v>
      </c>
      <c r="L3319" s="1">
        <v>0.0</v>
      </c>
      <c r="M3319" s="1" t="s">
        <v>2032</v>
      </c>
      <c r="N3319" s="1"/>
      <c r="O3319" s="1" t="s">
        <v>30</v>
      </c>
      <c r="P3319" s="1" t="s">
        <v>31</v>
      </c>
      <c r="Q3319" s="1" t="s">
        <v>71</v>
      </c>
      <c r="R3319" s="1" t="s">
        <v>71</v>
      </c>
      <c r="S3319" s="1" t="s">
        <v>72</v>
      </c>
      <c r="T3319" s="1" t="s">
        <v>73</v>
      </c>
      <c r="U3319" s="1">
        <v>1.00929557E8</v>
      </c>
      <c r="X3319" s="1" t="s">
        <v>74</v>
      </c>
      <c r="Y3319" s="1" t="s">
        <v>9788</v>
      </c>
      <c r="Z3319" s="1" t="s">
        <v>206</v>
      </c>
    </row>
    <row r="3320">
      <c r="A3320" s="1" t="s">
        <v>9805</v>
      </c>
      <c r="B3320" s="1" t="s">
        <v>6001</v>
      </c>
      <c r="C3320" s="1" t="s">
        <v>9806</v>
      </c>
      <c r="D3320" s="1" t="s">
        <v>122</v>
      </c>
      <c r="E3320" s="1" t="s">
        <v>28</v>
      </c>
      <c r="F3320" s="2">
        <v>250000.0</v>
      </c>
      <c r="G3320" s="1" t="s">
        <v>164</v>
      </c>
      <c r="H3320" s="4">
        <f>IFERROR(__xludf.DUMMYFUNCTION("DATE(INDEX(SPLIT(G3320,""/""),,3),INDEX(SPLIT(G3320,""/""),,2),INDEX(SPLIT(G3320,""/""),,1))"),44706.0)</f>
        <v>44706</v>
      </c>
      <c r="I3320" s="4">
        <v>44840.0</v>
      </c>
      <c r="J3320" s="4">
        <f>IFERROR(__xludf.DUMMYFUNCTION("DATE(INDEX(SPLIT(I3320,""/""),,3),INDEX(SPLIT(I3320,""/""),,2),INDEX(SPLIT(I3320,""/""),,1))"),44722.0)</f>
        <v>44722</v>
      </c>
      <c r="L3320" s="1">
        <v>0.0</v>
      </c>
      <c r="M3320" s="1" t="s">
        <v>4639</v>
      </c>
      <c r="N3320" s="1"/>
      <c r="O3320" s="1" t="s">
        <v>30</v>
      </c>
      <c r="P3320" s="1" t="s">
        <v>31</v>
      </c>
      <c r="Q3320" s="1" t="s">
        <v>53</v>
      </c>
      <c r="R3320" s="1" t="s">
        <v>53</v>
      </c>
      <c r="S3320" s="1" t="s">
        <v>54</v>
      </c>
      <c r="U3320" s="1">
        <v>1.00660049E8</v>
      </c>
      <c r="X3320" s="1" t="s">
        <v>88</v>
      </c>
      <c r="Y3320" s="1" t="s">
        <v>4713</v>
      </c>
      <c r="Z3320" s="1" t="s">
        <v>37</v>
      </c>
    </row>
    <row r="3321" hidden="1">
      <c r="A3321" s="1" t="s">
        <v>9807</v>
      </c>
      <c r="B3321" s="1" t="s">
        <v>3532</v>
      </c>
      <c r="C3321" s="1" t="s">
        <v>9808</v>
      </c>
      <c r="D3321" s="1" t="s">
        <v>78</v>
      </c>
      <c r="E3321" s="1" t="s">
        <v>28</v>
      </c>
      <c r="F3321" s="2">
        <v>250000.0</v>
      </c>
      <c r="G3321" s="1" t="s">
        <v>3178</v>
      </c>
      <c r="H3321" s="4">
        <f>IFERROR(__xludf.DUMMYFUNCTION("DATE(INDEX(SPLIT(G3321,""/""),,3),INDEX(SPLIT(G3321,""/""),,2),INDEX(SPLIT(G3321,""/""),,1))"),44644.0)</f>
        <v>44644</v>
      </c>
      <c r="I3321" s="1" t="s">
        <v>109</v>
      </c>
      <c r="J3321" s="4">
        <f>IFERROR(__xludf.DUMMYFUNCTION("DATE(INDEX(SPLIT(I3321,""/""),,3),INDEX(SPLIT(I3321,""/""),,2),INDEX(SPLIT(I3321,""/""),,1))"),44834.0)</f>
        <v>44834</v>
      </c>
      <c r="L3321" s="1">
        <v>0.0</v>
      </c>
      <c r="M3321" s="1" t="s">
        <v>1373</v>
      </c>
      <c r="N3321" s="1"/>
      <c r="O3321" s="1" t="s">
        <v>30</v>
      </c>
      <c r="P3321" s="1" t="s">
        <v>31</v>
      </c>
      <c r="Q3321" s="1" t="s">
        <v>95</v>
      </c>
      <c r="R3321" s="1" t="s">
        <v>95</v>
      </c>
      <c r="S3321" s="1" t="s">
        <v>96</v>
      </c>
      <c r="U3321" s="1">
        <v>1.00626753E8</v>
      </c>
      <c r="X3321" s="1" t="s">
        <v>63</v>
      </c>
      <c r="Y3321" s="1" t="s">
        <v>3534</v>
      </c>
      <c r="Z3321" s="1" t="s">
        <v>37</v>
      </c>
    </row>
    <row r="3322" hidden="1">
      <c r="A3322" s="1" t="s">
        <v>9809</v>
      </c>
      <c r="B3322" s="1" t="s">
        <v>59</v>
      </c>
      <c r="C3322" s="1" t="s">
        <v>9810</v>
      </c>
      <c r="D3322" s="1" t="s">
        <v>27</v>
      </c>
      <c r="E3322" s="1" t="s">
        <v>28</v>
      </c>
      <c r="F3322" s="2">
        <v>250000.0</v>
      </c>
      <c r="G3322" s="1" t="s">
        <v>9811</v>
      </c>
      <c r="H3322" s="4">
        <f>IFERROR(__xludf.DUMMYFUNCTION("DATE(INDEX(SPLIT(G3322,""/""),,3),INDEX(SPLIT(G3322,""/""),,2),INDEX(SPLIT(G3322,""/""),,1))"),43335.0)</f>
        <v>43335</v>
      </c>
      <c r="I3322" s="1" t="s">
        <v>9812</v>
      </c>
      <c r="J3322" s="4">
        <f>IFERROR(__xludf.DUMMYFUNCTION("DATE(INDEX(SPLIT(I3322,""/""),,3),INDEX(SPLIT(I3322,""/""),,2),INDEX(SPLIT(I3322,""/""),,1))"),44886.0)</f>
        <v>44886</v>
      </c>
      <c r="L3322" s="1">
        <v>0.0</v>
      </c>
      <c r="M3322" s="1" t="s">
        <v>2237</v>
      </c>
      <c r="N3322" s="1"/>
      <c r="O3322" s="1" t="s">
        <v>30</v>
      </c>
      <c r="P3322" s="1" t="s">
        <v>31</v>
      </c>
      <c r="Q3322" s="1" t="s">
        <v>32</v>
      </c>
      <c r="R3322" s="1" t="s">
        <v>32</v>
      </c>
      <c r="S3322" s="1" t="s">
        <v>33</v>
      </c>
      <c r="T3322" s="1" t="s">
        <v>103</v>
      </c>
      <c r="U3322" s="1">
        <v>1.00611284E8</v>
      </c>
      <c r="X3322" s="1" t="s">
        <v>63</v>
      </c>
      <c r="Y3322" s="1" t="s">
        <v>2237</v>
      </c>
      <c r="Z3322" s="1" t="s">
        <v>37</v>
      </c>
    </row>
    <row r="3323" hidden="1">
      <c r="A3323" s="1" t="s">
        <v>9813</v>
      </c>
      <c r="B3323" s="1" t="s">
        <v>9814</v>
      </c>
      <c r="C3323" s="1" t="s">
        <v>9815</v>
      </c>
      <c r="D3323" s="1" t="s">
        <v>78</v>
      </c>
      <c r="E3323" s="1" t="s">
        <v>28</v>
      </c>
      <c r="F3323" s="2">
        <v>250000.0</v>
      </c>
      <c r="G3323" s="1" t="s">
        <v>1494</v>
      </c>
      <c r="H3323" s="4">
        <f>IFERROR(__xludf.DUMMYFUNCTION("DATE(INDEX(SPLIT(G3323,""/""),,3),INDEX(SPLIT(G3323,""/""),,2),INDEX(SPLIT(G3323,""/""),,1))"),44463.0)</f>
        <v>44463</v>
      </c>
      <c r="I3323" s="1" t="s">
        <v>203</v>
      </c>
      <c r="J3323" s="4">
        <f>IFERROR(__xludf.DUMMYFUNCTION("DATE(INDEX(SPLIT(I3323,""/""),,3),INDEX(SPLIT(I3323,""/""),,2),INDEX(SPLIT(I3323,""/""),,1))"),44925.0)</f>
        <v>44925</v>
      </c>
      <c r="L3323" s="1">
        <v>0.0</v>
      </c>
      <c r="M3323" s="1" t="s">
        <v>3860</v>
      </c>
      <c r="N3323" s="1"/>
      <c r="O3323" s="1" t="s">
        <v>30</v>
      </c>
      <c r="P3323" s="1" t="s">
        <v>31</v>
      </c>
      <c r="Q3323" s="1" t="s">
        <v>235</v>
      </c>
      <c r="R3323" s="1" t="s">
        <v>235</v>
      </c>
      <c r="S3323" s="1" t="s">
        <v>236</v>
      </c>
      <c r="T3323" s="1" t="s">
        <v>753</v>
      </c>
      <c r="U3323" s="1">
        <v>1.00636461E8</v>
      </c>
      <c r="X3323" s="1" t="s">
        <v>88</v>
      </c>
      <c r="Y3323" s="1" t="s">
        <v>3860</v>
      </c>
      <c r="Z3323" s="1" t="s">
        <v>37</v>
      </c>
    </row>
    <row r="3324">
      <c r="A3324" s="1" t="s">
        <v>9816</v>
      </c>
      <c r="B3324" s="1" t="s">
        <v>59</v>
      </c>
      <c r="C3324" s="1" t="s">
        <v>9817</v>
      </c>
      <c r="D3324" s="1" t="s">
        <v>78</v>
      </c>
      <c r="E3324" s="1" t="s">
        <v>28</v>
      </c>
      <c r="F3324" s="2">
        <v>250000.0</v>
      </c>
      <c r="G3324" s="4">
        <v>44779.0</v>
      </c>
      <c r="H3324" s="4">
        <f>IFERROR(__xludf.DUMMYFUNCTION("DATE(INDEX(SPLIT(G3324,""/""),,3),INDEX(SPLIT(G3324,""/""),,2),INDEX(SPLIT(G3324,""/""),,1))"),44720.0)</f>
        <v>44720</v>
      </c>
      <c r="I3324" s="1" t="s">
        <v>226</v>
      </c>
      <c r="J3324" s="4">
        <f>IFERROR(__xludf.DUMMYFUNCTION("DATE(INDEX(SPLIT(I3324,""/""),,3),INDEX(SPLIT(I3324,""/""),,2),INDEX(SPLIT(I3324,""/""),,1))"),44771.0)</f>
        <v>44771</v>
      </c>
      <c r="L3324" s="1">
        <v>0.0</v>
      </c>
      <c r="M3324" s="1" t="s">
        <v>249</v>
      </c>
      <c r="N3324" s="1"/>
      <c r="O3324" s="1" t="s">
        <v>30</v>
      </c>
      <c r="P3324" s="1" t="s">
        <v>31</v>
      </c>
      <c r="Q3324" s="1" t="s">
        <v>32</v>
      </c>
      <c r="R3324" s="1" t="s">
        <v>32</v>
      </c>
      <c r="S3324" s="1" t="s">
        <v>33</v>
      </c>
      <c r="U3324" s="1">
        <v>1.00617853E8</v>
      </c>
      <c r="X3324" s="1" t="s">
        <v>63</v>
      </c>
      <c r="Y3324" s="1" t="s">
        <v>249</v>
      </c>
      <c r="Z3324" s="1" t="s">
        <v>37</v>
      </c>
    </row>
    <row r="3325" hidden="1">
      <c r="A3325" s="1" t="s">
        <v>9818</v>
      </c>
      <c r="B3325" s="1" t="s">
        <v>1070</v>
      </c>
      <c r="C3325" s="1" t="s">
        <v>9819</v>
      </c>
      <c r="D3325" s="1" t="s">
        <v>78</v>
      </c>
      <c r="E3325" s="1" t="s">
        <v>28</v>
      </c>
      <c r="F3325" s="2">
        <v>250000.0</v>
      </c>
      <c r="G3325" s="1" t="s">
        <v>751</v>
      </c>
      <c r="H3325" s="4">
        <f>IFERROR(__xludf.DUMMYFUNCTION("DATE(INDEX(SPLIT(G3325,""/""),,3),INDEX(SPLIT(G3325,""/""),,2),INDEX(SPLIT(G3325,""/""),,1))"),44519.0)</f>
        <v>44519</v>
      </c>
      <c r="I3325" s="1" t="s">
        <v>6544</v>
      </c>
      <c r="J3325" s="4">
        <f>IFERROR(__xludf.DUMMYFUNCTION("DATE(INDEX(SPLIT(I3325,""/""),,3),INDEX(SPLIT(I3325,""/""),,2),INDEX(SPLIT(I3325,""/""),,1))"),44939.0)</f>
        <v>44939</v>
      </c>
      <c r="L3325" s="1">
        <v>0.0</v>
      </c>
      <c r="M3325" s="1" t="s">
        <v>5205</v>
      </c>
      <c r="N3325" s="1"/>
      <c r="O3325" s="1" t="s">
        <v>30</v>
      </c>
      <c r="P3325" s="1" t="s">
        <v>31</v>
      </c>
      <c r="Q3325" s="1" t="s">
        <v>32</v>
      </c>
      <c r="R3325" s="1" t="s">
        <v>32</v>
      </c>
      <c r="S3325" s="1" t="s">
        <v>33</v>
      </c>
      <c r="T3325" s="1" t="s">
        <v>571</v>
      </c>
      <c r="U3325" s="1">
        <v>1.00587881E8</v>
      </c>
      <c r="X3325" s="1" t="s">
        <v>305</v>
      </c>
      <c r="Y3325" s="1" t="s">
        <v>9706</v>
      </c>
      <c r="Z3325" s="1" t="s">
        <v>37</v>
      </c>
    </row>
    <row r="3326">
      <c r="A3326" s="1" t="s">
        <v>9820</v>
      </c>
      <c r="B3326" s="1" t="s">
        <v>9821</v>
      </c>
      <c r="C3326" s="1" t="s">
        <v>9822</v>
      </c>
      <c r="D3326" s="1" t="s">
        <v>122</v>
      </c>
      <c r="E3326" s="1" t="s">
        <v>28</v>
      </c>
      <c r="F3326" s="2">
        <v>250000.0</v>
      </c>
      <c r="G3326" s="1" t="s">
        <v>1767</v>
      </c>
      <c r="H3326" s="4">
        <f>IFERROR(__xludf.DUMMYFUNCTION("DATE(INDEX(SPLIT(G3326,""/""),,3),INDEX(SPLIT(G3326,""/""),,2),INDEX(SPLIT(G3326,""/""),,1))"),44698.0)</f>
        <v>44698</v>
      </c>
      <c r="I3326" s="1" t="s">
        <v>226</v>
      </c>
      <c r="J3326" s="4">
        <f>IFERROR(__xludf.DUMMYFUNCTION("DATE(INDEX(SPLIT(I3326,""/""),,3),INDEX(SPLIT(I3326,""/""),,2),INDEX(SPLIT(I3326,""/""),,1))"),44771.0)</f>
        <v>44771</v>
      </c>
      <c r="L3326" s="1">
        <v>0.0</v>
      </c>
      <c r="M3326" s="1" t="s">
        <v>6055</v>
      </c>
      <c r="N3326" s="1"/>
      <c r="O3326" s="1" t="s">
        <v>30</v>
      </c>
      <c r="P3326" s="1" t="s">
        <v>31</v>
      </c>
      <c r="Q3326" s="1" t="s">
        <v>1320</v>
      </c>
      <c r="R3326" s="1" t="s">
        <v>1320</v>
      </c>
      <c r="S3326" s="1" t="s">
        <v>54</v>
      </c>
      <c r="U3326" s="1">
        <v>1.00591095E8</v>
      </c>
      <c r="X3326" s="1" t="s">
        <v>289</v>
      </c>
      <c r="Y3326" s="1" t="s">
        <v>1321</v>
      </c>
      <c r="Z3326" s="1" t="s">
        <v>37</v>
      </c>
    </row>
    <row r="3327" hidden="1">
      <c r="A3327" s="1" t="s">
        <v>9823</v>
      </c>
      <c r="B3327" s="1" t="s">
        <v>1286</v>
      </c>
      <c r="C3327" s="1" t="s">
        <v>9824</v>
      </c>
      <c r="D3327" s="1" t="s">
        <v>78</v>
      </c>
      <c r="E3327" s="1" t="s">
        <v>28</v>
      </c>
      <c r="F3327" s="2">
        <v>250000.0</v>
      </c>
      <c r="G3327" s="1" t="s">
        <v>5293</v>
      </c>
      <c r="H3327" s="4">
        <f>IFERROR(__xludf.DUMMYFUNCTION("DATE(INDEX(SPLIT(G3327,""/""),,3),INDEX(SPLIT(G3327,""/""),,2),INDEX(SPLIT(G3327,""/""),,1))"),44036.0)</f>
        <v>44036</v>
      </c>
      <c r="I3327" s="1" t="s">
        <v>165</v>
      </c>
      <c r="J3327" s="4">
        <f>IFERROR(__xludf.DUMMYFUNCTION("DATE(INDEX(SPLIT(I3327,""/""),,3),INDEX(SPLIT(I3327,""/""),,2),INDEX(SPLIT(I3327,""/""),,1))"),44803.0)</f>
        <v>44803</v>
      </c>
      <c r="L3327" s="1">
        <v>0.0</v>
      </c>
      <c r="M3327" s="1" t="s">
        <v>3768</v>
      </c>
      <c r="N3327" s="1"/>
      <c r="O3327" s="1" t="s">
        <v>30</v>
      </c>
      <c r="P3327" s="1" t="s">
        <v>31</v>
      </c>
      <c r="Q3327" s="1" t="s">
        <v>157</v>
      </c>
      <c r="R3327" s="1" t="s">
        <v>157</v>
      </c>
      <c r="S3327" s="1" t="s">
        <v>158</v>
      </c>
      <c r="T3327" s="1" t="s">
        <v>571</v>
      </c>
      <c r="U3327" s="1">
        <v>1.00633763E8</v>
      </c>
      <c r="X3327" s="1" t="s">
        <v>312</v>
      </c>
      <c r="Y3327" s="1" t="s">
        <v>2367</v>
      </c>
      <c r="Z3327" s="1" t="s">
        <v>37</v>
      </c>
    </row>
    <row r="3328" hidden="1">
      <c r="A3328" s="1" t="s">
        <v>9825</v>
      </c>
      <c r="B3328" s="1" t="s">
        <v>1042</v>
      </c>
      <c r="C3328" s="1" t="s">
        <v>9826</v>
      </c>
      <c r="D3328" s="1" t="s">
        <v>27</v>
      </c>
      <c r="E3328" s="1" t="s">
        <v>28</v>
      </c>
      <c r="F3328" s="2">
        <v>250000.0</v>
      </c>
      <c r="G3328" s="1" t="s">
        <v>2994</v>
      </c>
      <c r="H3328" s="4">
        <f>IFERROR(__xludf.DUMMYFUNCTION("DATE(INDEX(SPLIT(G3328,""/""),,3),INDEX(SPLIT(G3328,""/""),,2),INDEX(SPLIT(G3328,""/""),,1))"),44310.0)</f>
        <v>44310</v>
      </c>
      <c r="I3328" s="1" t="s">
        <v>109</v>
      </c>
      <c r="J3328" s="4">
        <f>IFERROR(__xludf.DUMMYFUNCTION("DATE(INDEX(SPLIT(I3328,""/""),,3),INDEX(SPLIT(I3328,""/""),,2),INDEX(SPLIT(I3328,""/""),,1))"),44834.0)</f>
        <v>44834</v>
      </c>
      <c r="L3328" s="1">
        <v>0.0</v>
      </c>
      <c r="M3328" s="1" t="s">
        <v>1303</v>
      </c>
      <c r="N3328" s="1"/>
      <c r="O3328" s="1" t="s">
        <v>30</v>
      </c>
      <c r="P3328" s="1" t="s">
        <v>31</v>
      </c>
      <c r="Q3328" s="1" t="s">
        <v>235</v>
      </c>
      <c r="R3328" s="1" t="s">
        <v>235</v>
      </c>
      <c r="S3328" s="1" t="s">
        <v>236</v>
      </c>
      <c r="T3328" s="1" t="s">
        <v>438</v>
      </c>
      <c r="U3328" s="1">
        <v>1.00609073E8</v>
      </c>
      <c r="X3328" s="1" t="s">
        <v>88</v>
      </c>
      <c r="Y3328" s="1" t="s">
        <v>1045</v>
      </c>
      <c r="Z3328" s="1" t="s">
        <v>37</v>
      </c>
    </row>
    <row r="3329" hidden="1">
      <c r="A3329" s="1" t="s">
        <v>9827</v>
      </c>
      <c r="B3329" s="1" t="s">
        <v>932</v>
      </c>
      <c r="C3329" s="1" t="s">
        <v>9828</v>
      </c>
      <c r="D3329" s="1" t="s">
        <v>27</v>
      </c>
      <c r="E3329" s="1" t="s">
        <v>28</v>
      </c>
      <c r="F3329" s="2">
        <v>250000.0</v>
      </c>
      <c r="G3329" s="1" t="s">
        <v>576</v>
      </c>
      <c r="H3329" s="4">
        <f>IFERROR(__xludf.DUMMYFUNCTION("DATE(INDEX(SPLIT(G3329,""/""),,3),INDEX(SPLIT(G3329,""/""),,2),INDEX(SPLIT(G3329,""/""),,1))"),44614.0)</f>
        <v>44614</v>
      </c>
      <c r="I3329" s="1" t="s">
        <v>85</v>
      </c>
      <c r="J3329" s="4">
        <f>IFERROR(__xludf.DUMMYFUNCTION("DATE(INDEX(SPLIT(I3329,""/""),,3),INDEX(SPLIT(I3329,""/""),,2),INDEX(SPLIT(I3329,""/""),,1))"),44799.0)</f>
        <v>44799</v>
      </c>
      <c r="K3329" s="9">
        <v>44809.85486111111</v>
      </c>
      <c r="L3329" s="1">
        <v>0.0</v>
      </c>
      <c r="M3329" s="1" t="s">
        <v>2032</v>
      </c>
      <c r="N3329" s="1"/>
      <c r="O3329" s="1" t="s">
        <v>30</v>
      </c>
      <c r="P3329" s="1" t="s">
        <v>31</v>
      </c>
      <c r="Q3329" s="1" t="s">
        <v>71</v>
      </c>
      <c r="R3329" s="1" t="s">
        <v>71</v>
      </c>
      <c r="S3329" s="1" t="s">
        <v>72</v>
      </c>
      <c r="T3329" s="1" t="s">
        <v>73</v>
      </c>
      <c r="U3329" s="1">
        <v>1.00929557E8</v>
      </c>
      <c r="X3329" s="1" t="s">
        <v>74</v>
      </c>
      <c r="Y3329" s="1" t="s">
        <v>2032</v>
      </c>
      <c r="Z3329" s="1" t="s">
        <v>206</v>
      </c>
    </row>
    <row r="3330" hidden="1">
      <c r="A3330" s="1" t="s">
        <v>9829</v>
      </c>
      <c r="B3330" s="1" t="s">
        <v>4884</v>
      </c>
      <c r="C3330" s="1" t="s">
        <v>9830</v>
      </c>
      <c r="D3330" s="1" t="s">
        <v>27</v>
      </c>
      <c r="E3330" s="1" t="s">
        <v>28</v>
      </c>
      <c r="F3330" s="2">
        <v>250000.0</v>
      </c>
      <c r="G3330" s="1" t="s">
        <v>576</v>
      </c>
      <c r="H3330" s="4">
        <f>IFERROR(__xludf.DUMMYFUNCTION("DATE(INDEX(SPLIT(G3330,""/""),,3),INDEX(SPLIT(G3330,""/""),,2),INDEX(SPLIT(G3330,""/""),,1))"),44614.0)</f>
        <v>44614</v>
      </c>
      <c r="I3330" s="1" t="s">
        <v>130</v>
      </c>
      <c r="J3330" s="4">
        <f>IFERROR(__xludf.DUMMYFUNCTION("DATE(INDEX(SPLIT(I3330,""/""),,3),INDEX(SPLIT(I3330,""/""),,2),INDEX(SPLIT(I3330,""/""),,1))"),44804.0)</f>
        <v>44804</v>
      </c>
      <c r="L3330" s="1">
        <v>0.0</v>
      </c>
      <c r="M3330" s="1" t="s">
        <v>2032</v>
      </c>
      <c r="N3330" s="1"/>
      <c r="O3330" s="1" t="s">
        <v>30</v>
      </c>
      <c r="P3330" s="1" t="s">
        <v>31</v>
      </c>
      <c r="Q3330" s="1" t="s">
        <v>71</v>
      </c>
      <c r="R3330" s="1" t="s">
        <v>71</v>
      </c>
      <c r="S3330" s="1" t="s">
        <v>72</v>
      </c>
      <c r="T3330" s="1" t="s">
        <v>73</v>
      </c>
      <c r="U3330" s="1">
        <v>1.00929557E8</v>
      </c>
      <c r="X3330" s="1" t="s">
        <v>74</v>
      </c>
      <c r="Y3330" s="1" t="s">
        <v>2032</v>
      </c>
      <c r="Z3330" s="1" t="s">
        <v>206</v>
      </c>
    </row>
    <row r="3331" hidden="1">
      <c r="A3331" s="1" t="s">
        <v>9831</v>
      </c>
      <c r="B3331" s="1" t="s">
        <v>1417</v>
      </c>
      <c r="C3331" s="1" t="s">
        <v>9832</v>
      </c>
      <c r="D3331" s="1" t="s">
        <v>27</v>
      </c>
      <c r="E3331" s="1" t="s">
        <v>28</v>
      </c>
      <c r="F3331" s="2">
        <v>250000.0</v>
      </c>
      <c r="G3331" s="1" t="s">
        <v>576</v>
      </c>
      <c r="H3331" s="4">
        <f>IFERROR(__xludf.DUMMYFUNCTION("DATE(INDEX(SPLIT(G3331,""/""),,3),INDEX(SPLIT(G3331,""/""),,2),INDEX(SPLIT(G3331,""/""),,1))"),44614.0)</f>
        <v>44614</v>
      </c>
      <c r="I3331" s="1" t="s">
        <v>130</v>
      </c>
      <c r="J3331" s="4">
        <f>IFERROR(__xludf.DUMMYFUNCTION("DATE(INDEX(SPLIT(I3331,""/""),,3),INDEX(SPLIT(I3331,""/""),,2),INDEX(SPLIT(I3331,""/""),,1))"),44804.0)</f>
        <v>44804</v>
      </c>
      <c r="L3331" s="1">
        <v>0.0</v>
      </c>
      <c r="M3331" s="1" t="s">
        <v>2032</v>
      </c>
      <c r="N3331" s="1"/>
      <c r="O3331" s="1" t="s">
        <v>30</v>
      </c>
      <c r="P3331" s="1" t="s">
        <v>31</v>
      </c>
      <c r="Q3331" s="1" t="s">
        <v>71</v>
      </c>
      <c r="R3331" s="1" t="s">
        <v>71</v>
      </c>
      <c r="S3331" s="1" t="s">
        <v>72</v>
      </c>
      <c r="T3331" s="1" t="s">
        <v>73</v>
      </c>
      <c r="U3331" s="1">
        <v>1.00929557E8</v>
      </c>
      <c r="X3331" s="1" t="s">
        <v>74</v>
      </c>
      <c r="Y3331" s="1" t="s">
        <v>2032</v>
      </c>
      <c r="Z3331" s="1" t="s">
        <v>206</v>
      </c>
    </row>
    <row r="3332" hidden="1">
      <c r="A3332" s="1" t="s">
        <v>9833</v>
      </c>
      <c r="B3332" s="1" t="s">
        <v>1144</v>
      </c>
      <c r="C3332" s="1" t="s">
        <v>9834</v>
      </c>
      <c r="D3332" s="1" t="s">
        <v>27</v>
      </c>
      <c r="E3332" s="1" t="s">
        <v>28</v>
      </c>
      <c r="F3332" s="2">
        <v>250000.0</v>
      </c>
      <c r="G3332" s="1" t="s">
        <v>3888</v>
      </c>
      <c r="H3332" s="4">
        <f>IFERROR(__xludf.DUMMYFUNCTION("DATE(INDEX(SPLIT(G3332,""/""),,3),INDEX(SPLIT(G3332,""/""),,2),INDEX(SPLIT(G3332,""/""),,1))"),44092.0)</f>
        <v>44092</v>
      </c>
      <c r="I3332" s="1" t="s">
        <v>1097</v>
      </c>
      <c r="J3332" s="4">
        <f>IFERROR(__xludf.DUMMYFUNCTION("DATE(INDEX(SPLIT(I3332,""/""),,3),INDEX(SPLIT(I3332,""/""),,2),INDEX(SPLIT(I3332,""/""),,1))"),45107.0)</f>
        <v>45107</v>
      </c>
      <c r="L3332" s="1">
        <v>0.0</v>
      </c>
      <c r="M3332" s="1" t="s">
        <v>2614</v>
      </c>
      <c r="N3332" s="1"/>
      <c r="O3332" s="1" t="s">
        <v>30</v>
      </c>
      <c r="P3332" s="1" t="s">
        <v>31</v>
      </c>
      <c r="Q3332" s="1" t="s">
        <v>53</v>
      </c>
      <c r="R3332" s="1" t="s">
        <v>53</v>
      </c>
      <c r="S3332" s="1" t="s">
        <v>54</v>
      </c>
      <c r="T3332" s="1" t="s">
        <v>197</v>
      </c>
      <c r="U3332" s="1">
        <v>1.00592932E8</v>
      </c>
      <c r="X3332" s="1" t="s">
        <v>63</v>
      </c>
      <c r="Y3332" s="1" t="s">
        <v>2614</v>
      </c>
      <c r="Z3332" s="1" t="s">
        <v>37</v>
      </c>
    </row>
    <row r="3333">
      <c r="A3333" s="1" t="s">
        <v>9835</v>
      </c>
      <c r="B3333" s="1" t="s">
        <v>3278</v>
      </c>
      <c r="C3333" s="1" t="s">
        <v>9836</v>
      </c>
      <c r="D3333" s="1" t="s">
        <v>122</v>
      </c>
      <c r="E3333" s="1" t="s">
        <v>28</v>
      </c>
      <c r="F3333" s="2">
        <v>250000.0</v>
      </c>
      <c r="G3333" s="1" t="s">
        <v>2329</v>
      </c>
      <c r="H3333" s="4">
        <f>IFERROR(__xludf.DUMMYFUNCTION("DATE(INDEX(SPLIT(G3333,""/""),,3),INDEX(SPLIT(G3333,""/""),,2),INDEX(SPLIT(G3333,""/""),,1))"),44732.0)</f>
        <v>44732</v>
      </c>
      <c r="I3333" s="1" t="s">
        <v>226</v>
      </c>
      <c r="J3333" s="4">
        <f>IFERROR(__xludf.DUMMYFUNCTION("DATE(INDEX(SPLIT(I3333,""/""),,3),INDEX(SPLIT(I3333,""/""),,2),INDEX(SPLIT(I3333,""/""),,1))"),44771.0)</f>
        <v>44771</v>
      </c>
      <c r="L3333" s="1">
        <v>0.0</v>
      </c>
      <c r="M3333" s="1" t="s">
        <v>1333</v>
      </c>
      <c r="N3333" s="1"/>
      <c r="O3333" s="1" t="s">
        <v>30</v>
      </c>
      <c r="P3333" s="1" t="s">
        <v>31</v>
      </c>
      <c r="Q3333" s="1" t="s">
        <v>71</v>
      </c>
      <c r="R3333" s="1" t="s">
        <v>71</v>
      </c>
      <c r="S3333" s="1" t="s">
        <v>72</v>
      </c>
      <c r="T3333" s="1" t="s">
        <v>136</v>
      </c>
      <c r="U3333" s="1">
        <v>1.006299E8</v>
      </c>
      <c r="X3333" s="1" t="s">
        <v>74</v>
      </c>
      <c r="Y3333" s="1" t="s">
        <v>1334</v>
      </c>
      <c r="Z3333" s="1" t="s">
        <v>37</v>
      </c>
    </row>
    <row r="3334">
      <c r="A3334" s="1" t="s">
        <v>9837</v>
      </c>
      <c r="B3334" s="1" t="s">
        <v>3639</v>
      </c>
      <c r="C3334" s="1" t="s">
        <v>9838</v>
      </c>
      <c r="D3334" s="1" t="s">
        <v>122</v>
      </c>
      <c r="E3334" s="1" t="s">
        <v>28</v>
      </c>
      <c r="F3334" s="2">
        <v>250000.0</v>
      </c>
      <c r="G3334" s="1" t="s">
        <v>321</v>
      </c>
      <c r="H3334" s="4">
        <f>IFERROR(__xludf.DUMMYFUNCTION("DATE(INDEX(SPLIT(G3334,""/""),,3),INDEX(SPLIT(G3334,""/""),,2),INDEX(SPLIT(G3334,""/""),,1))"),44586.0)</f>
        <v>44586</v>
      </c>
      <c r="I3334" s="1" t="s">
        <v>226</v>
      </c>
      <c r="J3334" s="4">
        <f>IFERROR(__xludf.DUMMYFUNCTION("DATE(INDEX(SPLIT(I3334,""/""),,3),INDEX(SPLIT(I3334,""/""),,2),INDEX(SPLIT(I3334,""/""),,1))"),44771.0)</f>
        <v>44771</v>
      </c>
      <c r="L3334" s="1">
        <v>0.0</v>
      </c>
      <c r="M3334" s="1" t="s">
        <v>4274</v>
      </c>
      <c r="N3334" s="1"/>
      <c r="O3334" s="1" t="s">
        <v>30</v>
      </c>
      <c r="P3334" s="1" t="s">
        <v>31</v>
      </c>
      <c r="Q3334" s="1" t="s">
        <v>235</v>
      </c>
      <c r="R3334" s="1" t="s">
        <v>235</v>
      </c>
      <c r="S3334" s="1" t="s">
        <v>236</v>
      </c>
      <c r="T3334" s="1" t="s">
        <v>1349</v>
      </c>
      <c r="U3334" s="1">
        <v>1.00628891E8</v>
      </c>
      <c r="X3334" s="1" t="s">
        <v>375</v>
      </c>
      <c r="Y3334" s="1" t="s">
        <v>5864</v>
      </c>
      <c r="Z3334" s="1" t="s">
        <v>37</v>
      </c>
    </row>
    <row r="3335" hidden="1">
      <c r="A3335" s="1" t="s">
        <v>9839</v>
      </c>
      <c r="B3335" s="1" t="s">
        <v>546</v>
      </c>
      <c r="C3335" s="1" t="s">
        <v>9840</v>
      </c>
      <c r="D3335" s="1" t="s">
        <v>78</v>
      </c>
      <c r="E3335" s="1" t="s">
        <v>28</v>
      </c>
      <c r="F3335" s="2">
        <v>250000.0</v>
      </c>
      <c r="G3335" s="1" t="s">
        <v>1740</v>
      </c>
      <c r="H3335" s="4">
        <f>IFERROR(__xludf.DUMMYFUNCTION("DATE(INDEX(SPLIT(G3335,""/""),,3),INDEX(SPLIT(G3335,""/""),,2),INDEX(SPLIT(G3335,""/""),,1))"),44456.0)</f>
        <v>44456</v>
      </c>
      <c r="I3335" s="1" t="s">
        <v>317</v>
      </c>
      <c r="J3335" s="4">
        <f>IFERROR(__xludf.DUMMYFUNCTION("DATE(INDEX(SPLIT(I3335,""/""),,3),INDEX(SPLIT(I3335,""/""),,2),INDEX(SPLIT(I3335,""/""),,1))"),44862.0)</f>
        <v>44862</v>
      </c>
      <c r="L3335" s="1">
        <v>0.0</v>
      </c>
      <c r="M3335" s="1" t="s">
        <v>674</v>
      </c>
      <c r="N3335" s="1"/>
      <c r="O3335" s="1" t="s">
        <v>30</v>
      </c>
      <c r="P3335" s="1" t="s">
        <v>31</v>
      </c>
      <c r="Q3335" s="1" t="s">
        <v>228</v>
      </c>
      <c r="R3335" s="1" t="s">
        <v>228</v>
      </c>
      <c r="S3335" s="1" t="s">
        <v>229</v>
      </c>
      <c r="T3335" s="1" t="s">
        <v>640</v>
      </c>
      <c r="U3335" s="1">
        <v>1.0089503E8</v>
      </c>
      <c r="X3335" s="1" t="s">
        <v>74</v>
      </c>
      <c r="Y3335" s="1" t="s">
        <v>9841</v>
      </c>
      <c r="Z3335" s="1" t="s">
        <v>37</v>
      </c>
    </row>
    <row r="3336" hidden="1">
      <c r="A3336" s="1" t="s">
        <v>9842</v>
      </c>
      <c r="B3336" s="1" t="s">
        <v>954</v>
      </c>
      <c r="C3336" s="1" t="s">
        <v>9843</v>
      </c>
      <c r="D3336" s="1" t="s">
        <v>27</v>
      </c>
      <c r="E3336" s="1" t="s">
        <v>28</v>
      </c>
      <c r="F3336" s="2">
        <v>250000.0</v>
      </c>
      <c r="G3336" s="4">
        <v>44450.0</v>
      </c>
      <c r="H3336" s="4">
        <f>IFERROR(__xludf.DUMMYFUNCTION("DATE(INDEX(SPLIT(G3336,""/""),,3),INDEX(SPLIT(G3336,""/""),,2),INDEX(SPLIT(G3336,""/""),,1))"),44509.0)</f>
        <v>44509</v>
      </c>
      <c r="I3336" s="1" t="s">
        <v>1460</v>
      </c>
      <c r="J3336" s="4">
        <f>IFERROR(__xludf.DUMMYFUNCTION("DATE(INDEX(SPLIT(I3336,""/""),,3),INDEX(SPLIT(I3336,""/""),,2),INDEX(SPLIT(I3336,""/""),,1))"),45138.0)</f>
        <v>45138</v>
      </c>
      <c r="L3336" s="1">
        <v>0.0</v>
      </c>
      <c r="M3336" s="1" t="s">
        <v>1009</v>
      </c>
      <c r="N3336" s="1"/>
      <c r="O3336" s="1" t="s">
        <v>30</v>
      </c>
      <c r="P3336" s="1" t="s">
        <v>31</v>
      </c>
      <c r="Q3336" s="1" t="s">
        <v>95</v>
      </c>
      <c r="R3336" s="1" t="s">
        <v>95</v>
      </c>
      <c r="S3336" s="1" t="s">
        <v>96</v>
      </c>
      <c r="T3336" s="1" t="s">
        <v>73</v>
      </c>
      <c r="U3336" s="1">
        <v>1.00592304E8</v>
      </c>
      <c r="X3336" s="1" t="s">
        <v>74</v>
      </c>
      <c r="Y3336" s="1" t="s">
        <v>957</v>
      </c>
      <c r="Z3336" s="1" t="s">
        <v>37</v>
      </c>
    </row>
    <row r="3337" hidden="1">
      <c r="A3337" s="1" t="s">
        <v>9844</v>
      </c>
      <c r="B3337" s="1" t="s">
        <v>3786</v>
      </c>
      <c r="C3337" s="1" t="s">
        <v>9845</v>
      </c>
      <c r="D3337" s="1" t="s">
        <v>27</v>
      </c>
      <c r="E3337" s="1" t="s">
        <v>28</v>
      </c>
      <c r="F3337" s="2">
        <v>250000.0</v>
      </c>
      <c r="G3337" s="1" t="s">
        <v>3186</v>
      </c>
      <c r="H3337" s="4">
        <f>IFERROR(__xludf.DUMMYFUNCTION("DATE(INDEX(SPLIT(G3337,""/""),,3),INDEX(SPLIT(G3337,""/""),,2),INDEX(SPLIT(G3337,""/""),,1))"),44529.0)</f>
        <v>44529</v>
      </c>
      <c r="I3337" s="1" t="s">
        <v>130</v>
      </c>
      <c r="J3337" s="4">
        <f>IFERROR(__xludf.DUMMYFUNCTION("DATE(INDEX(SPLIT(I3337,""/""),,3),INDEX(SPLIT(I3337,""/""),,2),INDEX(SPLIT(I3337,""/""),,1))"),44804.0)</f>
        <v>44804</v>
      </c>
      <c r="L3337" s="1">
        <v>0.0</v>
      </c>
      <c r="M3337" s="1" t="s">
        <v>1527</v>
      </c>
      <c r="N3337" s="1"/>
      <c r="O3337" s="1" t="s">
        <v>30</v>
      </c>
      <c r="P3337" s="1" t="s">
        <v>31</v>
      </c>
      <c r="Q3337" s="1" t="s">
        <v>95</v>
      </c>
      <c r="R3337" s="1" t="s">
        <v>95</v>
      </c>
      <c r="S3337" s="1" t="s">
        <v>96</v>
      </c>
      <c r="T3337" s="1" t="s">
        <v>489</v>
      </c>
      <c r="U3337" s="1">
        <v>1.00651554E8</v>
      </c>
      <c r="X3337" s="1" t="s">
        <v>490</v>
      </c>
      <c r="Y3337" s="1" t="s">
        <v>1527</v>
      </c>
      <c r="Z3337" s="1" t="s">
        <v>37</v>
      </c>
    </row>
    <row r="3338" hidden="1">
      <c r="A3338" s="1" t="s">
        <v>9846</v>
      </c>
      <c r="B3338" s="1" t="s">
        <v>9847</v>
      </c>
      <c r="C3338" s="1" t="s">
        <v>9848</v>
      </c>
      <c r="D3338" s="1" t="s">
        <v>27</v>
      </c>
      <c r="E3338" s="1" t="s">
        <v>28</v>
      </c>
      <c r="F3338" s="2">
        <v>250000.0</v>
      </c>
      <c r="G3338" s="1" t="s">
        <v>586</v>
      </c>
      <c r="H3338" s="4">
        <f>IFERROR(__xludf.DUMMYFUNCTION("DATE(INDEX(SPLIT(G3338,""/""),,3),INDEX(SPLIT(G3338,""/""),,2),INDEX(SPLIT(G3338,""/""),,1))"),44726.0)</f>
        <v>44726</v>
      </c>
      <c r="I3338" s="1" t="s">
        <v>281</v>
      </c>
      <c r="J3338" s="4">
        <f>IFERROR(__xludf.DUMMYFUNCTION("DATE(INDEX(SPLIT(I3338,""/""),,3),INDEX(SPLIT(I3338,""/""),,2),INDEX(SPLIT(I3338,""/""),,1))"),44865.0)</f>
        <v>44865</v>
      </c>
      <c r="L3338" s="1">
        <v>0.0</v>
      </c>
      <c r="M3338" s="1" t="s">
        <v>2945</v>
      </c>
      <c r="N3338" s="1"/>
      <c r="O3338" s="1" t="s">
        <v>30</v>
      </c>
      <c r="P3338" s="1" t="s">
        <v>31</v>
      </c>
      <c r="Q3338" s="1" t="s">
        <v>157</v>
      </c>
      <c r="R3338" s="1" t="s">
        <v>157</v>
      </c>
      <c r="S3338" s="1" t="s">
        <v>158</v>
      </c>
      <c r="U3338" s="1">
        <v>1.01138319E8</v>
      </c>
      <c r="X3338" s="1" t="s">
        <v>63</v>
      </c>
      <c r="Y3338" s="1" t="s">
        <v>2945</v>
      </c>
      <c r="Z3338" s="1" t="s">
        <v>206</v>
      </c>
    </row>
    <row r="3339" hidden="1">
      <c r="A3339" s="1" t="s">
        <v>9849</v>
      </c>
      <c r="B3339" s="1" t="s">
        <v>3786</v>
      </c>
      <c r="C3339" s="1" t="s">
        <v>9850</v>
      </c>
      <c r="D3339" s="1" t="s">
        <v>27</v>
      </c>
      <c r="E3339" s="1" t="s">
        <v>28</v>
      </c>
      <c r="F3339" s="2">
        <v>250000.0</v>
      </c>
      <c r="G3339" s="1" t="s">
        <v>3186</v>
      </c>
      <c r="H3339" s="4">
        <f>IFERROR(__xludf.DUMMYFUNCTION("DATE(INDEX(SPLIT(G3339,""/""),,3),INDEX(SPLIT(G3339,""/""),,2),INDEX(SPLIT(G3339,""/""),,1))"),44529.0)</f>
        <v>44529</v>
      </c>
      <c r="I3339" s="1" t="s">
        <v>130</v>
      </c>
      <c r="J3339" s="4">
        <f>IFERROR(__xludf.DUMMYFUNCTION("DATE(INDEX(SPLIT(I3339,""/""),,3),INDEX(SPLIT(I3339,""/""),,2),INDEX(SPLIT(I3339,""/""),,1))"),44804.0)</f>
        <v>44804</v>
      </c>
      <c r="L3339" s="1">
        <v>0.0</v>
      </c>
      <c r="M3339" s="1" t="s">
        <v>1527</v>
      </c>
      <c r="N3339" s="1"/>
      <c r="O3339" s="1" t="s">
        <v>30</v>
      </c>
      <c r="P3339" s="1" t="s">
        <v>31</v>
      </c>
      <c r="Q3339" s="1" t="s">
        <v>95</v>
      </c>
      <c r="R3339" s="1" t="s">
        <v>95</v>
      </c>
      <c r="S3339" s="1" t="s">
        <v>96</v>
      </c>
      <c r="T3339" s="1" t="s">
        <v>489</v>
      </c>
      <c r="U3339" s="1">
        <v>1.00651554E8</v>
      </c>
      <c r="X3339" s="1" t="s">
        <v>490</v>
      </c>
      <c r="Y3339" s="1" t="s">
        <v>1527</v>
      </c>
      <c r="Z3339" s="1" t="s">
        <v>37</v>
      </c>
    </row>
    <row r="3340" hidden="1">
      <c r="A3340" s="1" t="s">
        <v>9851</v>
      </c>
      <c r="B3340" s="1" t="s">
        <v>3384</v>
      </c>
      <c r="C3340" s="1" t="s">
        <v>9852</v>
      </c>
      <c r="D3340" s="1" t="s">
        <v>122</v>
      </c>
      <c r="E3340" s="1" t="s">
        <v>28</v>
      </c>
      <c r="F3340" s="2">
        <v>250000.0</v>
      </c>
      <c r="G3340" s="4">
        <v>44779.0</v>
      </c>
      <c r="H3340" s="4">
        <f>IFERROR(__xludf.DUMMYFUNCTION("DATE(INDEX(SPLIT(G3340,""/""),,3),INDEX(SPLIT(G3340,""/""),,2),INDEX(SPLIT(G3340,""/""),,1))"),44720.0)</f>
        <v>44720</v>
      </c>
      <c r="I3340" s="1" t="s">
        <v>9853</v>
      </c>
      <c r="J3340" s="4">
        <f>IFERROR(__xludf.DUMMYFUNCTION("DATE(INDEX(SPLIT(I3340,""/""),,3),INDEX(SPLIT(I3340,""/""),,2),INDEX(SPLIT(I3340,""/""),,1))"),44853.0)</f>
        <v>44853</v>
      </c>
      <c r="L3340" s="1">
        <v>0.0</v>
      </c>
      <c r="M3340" s="1" t="s">
        <v>9854</v>
      </c>
      <c r="N3340" s="1"/>
      <c r="O3340" s="1" t="s">
        <v>30</v>
      </c>
      <c r="P3340" s="1" t="s">
        <v>31</v>
      </c>
      <c r="Q3340" s="1" t="s">
        <v>53</v>
      </c>
      <c r="R3340" s="1" t="s">
        <v>53</v>
      </c>
      <c r="S3340" s="1" t="s">
        <v>54</v>
      </c>
      <c r="T3340" s="1" t="s">
        <v>1386</v>
      </c>
      <c r="U3340" s="1">
        <v>1.01148689E8</v>
      </c>
      <c r="X3340" s="1" t="s">
        <v>125</v>
      </c>
      <c r="Y3340" s="1" t="s">
        <v>9855</v>
      </c>
      <c r="Z3340" s="1" t="s">
        <v>206</v>
      </c>
    </row>
    <row r="3341">
      <c r="A3341" s="1" t="s">
        <v>9856</v>
      </c>
      <c r="B3341" s="1" t="s">
        <v>1562</v>
      </c>
      <c r="C3341" s="1" t="s">
        <v>9857</v>
      </c>
      <c r="D3341" s="1" t="s">
        <v>27</v>
      </c>
      <c r="E3341" s="1" t="s">
        <v>28</v>
      </c>
      <c r="F3341" s="2">
        <v>250000.0</v>
      </c>
      <c r="G3341" s="4">
        <v>44806.0</v>
      </c>
      <c r="H3341" s="4">
        <f>IFERROR(__xludf.DUMMYFUNCTION("DATE(INDEX(SPLIT(G3341,""/""),,3),INDEX(SPLIT(G3341,""/""),,2),INDEX(SPLIT(G3341,""/""),,1))"),44601.0)</f>
        <v>44601</v>
      </c>
      <c r="I3341" s="1" t="s">
        <v>226</v>
      </c>
      <c r="J3341" s="4">
        <f>IFERROR(__xludf.DUMMYFUNCTION("DATE(INDEX(SPLIT(I3341,""/""),,3),INDEX(SPLIT(I3341,""/""),,2),INDEX(SPLIT(I3341,""/""),,1))"),44771.0)</f>
        <v>44771</v>
      </c>
      <c r="L3341" s="1">
        <v>0.0</v>
      </c>
      <c r="M3341" s="1" t="s">
        <v>1565</v>
      </c>
      <c r="N3341" s="1"/>
      <c r="O3341" s="1" t="s">
        <v>30</v>
      </c>
      <c r="P3341" s="1" t="s">
        <v>31</v>
      </c>
      <c r="Q3341" s="1" t="s">
        <v>157</v>
      </c>
      <c r="R3341" s="1" t="s">
        <v>157</v>
      </c>
      <c r="S3341" s="1" t="s">
        <v>158</v>
      </c>
      <c r="T3341" s="1" t="s">
        <v>442</v>
      </c>
      <c r="U3341" s="1">
        <v>1.00646908E8</v>
      </c>
      <c r="X3341" s="1" t="s">
        <v>781</v>
      </c>
      <c r="Y3341" s="1" t="s">
        <v>1969</v>
      </c>
      <c r="Z3341" s="1" t="s">
        <v>37</v>
      </c>
    </row>
    <row r="3342" hidden="1">
      <c r="A3342" s="1" t="s">
        <v>9858</v>
      </c>
      <c r="B3342" s="1" t="s">
        <v>3673</v>
      </c>
      <c r="C3342" s="1" t="s">
        <v>9859</v>
      </c>
      <c r="D3342" s="1" t="s">
        <v>27</v>
      </c>
      <c r="E3342" s="1" t="s">
        <v>28</v>
      </c>
      <c r="F3342" s="2">
        <v>250000.0</v>
      </c>
      <c r="G3342" s="1" t="s">
        <v>9860</v>
      </c>
      <c r="H3342" s="4">
        <f>IFERROR(__xludf.DUMMYFUNCTION("DATE(INDEX(SPLIT(G3342,""/""),,3),INDEX(SPLIT(G3342,""/""),,2),INDEX(SPLIT(G3342,""/""),,1))"),44605.0)</f>
        <v>44605</v>
      </c>
      <c r="I3342" s="1" t="s">
        <v>42</v>
      </c>
      <c r="J3342" s="4">
        <f>IFERROR(__xludf.DUMMYFUNCTION("DATE(INDEX(SPLIT(I3342,""/""),,3),INDEX(SPLIT(I3342,""/""),,2),INDEX(SPLIT(I3342,""/""),,1))"),44926.0)</f>
        <v>44926</v>
      </c>
      <c r="L3342" s="1">
        <v>0.0</v>
      </c>
      <c r="M3342" s="1" t="s">
        <v>891</v>
      </c>
      <c r="N3342" s="1"/>
      <c r="O3342" s="1" t="s">
        <v>30</v>
      </c>
      <c r="P3342" s="1" t="s">
        <v>31</v>
      </c>
      <c r="Q3342" s="1" t="s">
        <v>32</v>
      </c>
      <c r="R3342" s="1" t="s">
        <v>32</v>
      </c>
      <c r="S3342" s="1" t="s">
        <v>33</v>
      </c>
      <c r="T3342" s="1" t="s">
        <v>402</v>
      </c>
      <c r="U3342" s="1">
        <v>1.00866856E8</v>
      </c>
      <c r="X3342" s="1" t="s">
        <v>125</v>
      </c>
      <c r="Y3342" s="1" t="s">
        <v>891</v>
      </c>
      <c r="Z3342" s="1" t="s">
        <v>37</v>
      </c>
    </row>
    <row r="3343" hidden="1">
      <c r="A3343" s="1" t="s">
        <v>9861</v>
      </c>
      <c r="B3343" s="1" t="s">
        <v>3673</v>
      </c>
      <c r="C3343" s="1" t="s">
        <v>9862</v>
      </c>
      <c r="D3343" s="1" t="s">
        <v>27</v>
      </c>
      <c r="E3343" s="1" t="s">
        <v>28</v>
      </c>
      <c r="F3343" s="2">
        <v>250000.0</v>
      </c>
      <c r="G3343" s="1" t="s">
        <v>9860</v>
      </c>
      <c r="H3343" s="4">
        <f>IFERROR(__xludf.DUMMYFUNCTION("DATE(INDEX(SPLIT(G3343,""/""),,3),INDEX(SPLIT(G3343,""/""),,2),INDEX(SPLIT(G3343,""/""),,1))"),44605.0)</f>
        <v>44605</v>
      </c>
      <c r="I3343" s="1" t="s">
        <v>42</v>
      </c>
      <c r="J3343" s="4">
        <f>IFERROR(__xludf.DUMMYFUNCTION("DATE(INDEX(SPLIT(I3343,""/""),,3),INDEX(SPLIT(I3343,""/""),,2),INDEX(SPLIT(I3343,""/""),,1))"),44926.0)</f>
        <v>44926</v>
      </c>
      <c r="L3343" s="1">
        <v>0.0</v>
      </c>
      <c r="M3343" s="1" t="s">
        <v>891</v>
      </c>
      <c r="N3343" s="1"/>
      <c r="O3343" s="1" t="s">
        <v>30</v>
      </c>
      <c r="P3343" s="1" t="s">
        <v>31</v>
      </c>
      <c r="Q3343" s="1" t="s">
        <v>32</v>
      </c>
      <c r="R3343" s="1" t="s">
        <v>32</v>
      </c>
      <c r="S3343" s="1" t="s">
        <v>33</v>
      </c>
      <c r="T3343" s="1" t="s">
        <v>442</v>
      </c>
      <c r="U3343" s="1">
        <v>1.00866856E8</v>
      </c>
      <c r="X3343" s="1" t="s">
        <v>125</v>
      </c>
      <c r="Y3343" s="1" t="s">
        <v>891</v>
      </c>
      <c r="Z3343" s="1" t="s">
        <v>37</v>
      </c>
    </row>
    <row r="3344">
      <c r="A3344" s="1" t="s">
        <v>9863</v>
      </c>
      <c r="B3344" s="1" t="s">
        <v>1762</v>
      </c>
      <c r="C3344" s="1" t="s">
        <v>9864</v>
      </c>
      <c r="D3344" s="1" t="s">
        <v>78</v>
      </c>
      <c r="E3344" s="1" t="s">
        <v>28</v>
      </c>
      <c r="F3344" s="2">
        <v>250000.0</v>
      </c>
      <c r="G3344" s="1" t="s">
        <v>2244</v>
      </c>
      <c r="H3344" s="4">
        <f>IFERROR(__xludf.DUMMYFUNCTION("DATE(INDEX(SPLIT(G3344,""/""),,3),INDEX(SPLIT(G3344,""/""),,2),INDEX(SPLIT(G3344,""/""),,1))"),44634.0)</f>
        <v>44634</v>
      </c>
      <c r="I3344" s="1" t="s">
        <v>518</v>
      </c>
      <c r="J3344" s="4">
        <f>IFERROR(__xludf.DUMMYFUNCTION("DATE(INDEX(SPLIT(I3344,""/""),,3),INDEX(SPLIT(I3344,""/""),,2),INDEX(SPLIT(I3344,""/""),,1))"),44757.0)</f>
        <v>44757</v>
      </c>
      <c r="L3344" s="1">
        <v>0.0</v>
      </c>
      <c r="M3344" s="1" t="s">
        <v>1376</v>
      </c>
      <c r="N3344" s="1"/>
      <c r="O3344" s="1" t="s">
        <v>30</v>
      </c>
      <c r="P3344" s="1" t="s">
        <v>31</v>
      </c>
      <c r="Q3344" s="1" t="s">
        <v>32</v>
      </c>
      <c r="R3344" s="1" t="s">
        <v>32</v>
      </c>
      <c r="S3344" s="1" t="s">
        <v>33</v>
      </c>
      <c r="T3344" s="1" t="s">
        <v>1195</v>
      </c>
      <c r="U3344" s="1">
        <v>1.006096E8</v>
      </c>
      <c r="X3344" s="1" t="s">
        <v>490</v>
      </c>
      <c r="Y3344" s="1" t="s">
        <v>9865</v>
      </c>
      <c r="Z3344" s="1" t="s">
        <v>37</v>
      </c>
    </row>
    <row r="3345" hidden="1">
      <c r="A3345" s="1" t="s">
        <v>9866</v>
      </c>
      <c r="B3345" s="1" t="s">
        <v>6936</v>
      </c>
      <c r="C3345" s="1" t="s">
        <v>9867</v>
      </c>
      <c r="D3345" s="1" t="s">
        <v>27</v>
      </c>
      <c r="E3345" s="1" t="s">
        <v>28</v>
      </c>
      <c r="F3345" s="2">
        <v>250000.0</v>
      </c>
      <c r="G3345" s="1" t="s">
        <v>271</v>
      </c>
      <c r="H3345" s="4">
        <f>IFERROR(__xludf.DUMMYFUNCTION("DATE(INDEX(SPLIT(G3345,""/""),,3),INDEX(SPLIT(G3345,""/""),,2),INDEX(SPLIT(G3345,""/""),,1))"),44680.0)</f>
        <v>44680</v>
      </c>
      <c r="I3345" s="1" t="s">
        <v>1799</v>
      </c>
      <c r="J3345" s="4">
        <f>IFERROR(__xludf.DUMMYFUNCTION("DATE(INDEX(SPLIT(I3345,""/""),,3),INDEX(SPLIT(I3345,""/""),,2),INDEX(SPLIT(I3345,""/""),,1))"),44788.0)</f>
        <v>44788</v>
      </c>
      <c r="L3345" s="1">
        <v>0.0</v>
      </c>
      <c r="M3345" s="1" t="s">
        <v>6938</v>
      </c>
      <c r="N3345" s="1"/>
      <c r="O3345" s="1" t="s">
        <v>30</v>
      </c>
      <c r="P3345" s="1" t="s">
        <v>31</v>
      </c>
      <c r="Q3345" s="1" t="s">
        <v>235</v>
      </c>
      <c r="R3345" s="1" t="s">
        <v>235</v>
      </c>
      <c r="S3345" s="1" t="s">
        <v>236</v>
      </c>
      <c r="U3345" s="1">
        <v>1.01161608E8</v>
      </c>
      <c r="X3345" s="1" t="s">
        <v>239</v>
      </c>
      <c r="Y3345" s="1" t="s">
        <v>6939</v>
      </c>
      <c r="Z3345" s="1" t="s">
        <v>37</v>
      </c>
    </row>
    <row r="3346">
      <c r="A3346" s="1" t="s">
        <v>9868</v>
      </c>
      <c r="B3346" s="1" t="s">
        <v>658</v>
      </c>
      <c r="C3346" s="1" t="s">
        <v>9869</v>
      </c>
      <c r="D3346" s="1" t="s">
        <v>78</v>
      </c>
      <c r="E3346" s="1" t="s">
        <v>28</v>
      </c>
      <c r="F3346" s="2">
        <v>250000.0</v>
      </c>
      <c r="G3346" s="4">
        <v>44810.0</v>
      </c>
      <c r="H3346" s="4">
        <f>IFERROR(__xludf.DUMMYFUNCTION("DATE(INDEX(SPLIT(G3346,""/""),,3),INDEX(SPLIT(G3346,""/""),,2),INDEX(SPLIT(G3346,""/""),,1))"),44721.0)</f>
        <v>44721</v>
      </c>
      <c r="I3346" s="1" t="s">
        <v>226</v>
      </c>
      <c r="J3346" s="4">
        <f>IFERROR(__xludf.DUMMYFUNCTION("DATE(INDEX(SPLIT(I3346,""/""),,3),INDEX(SPLIT(I3346,""/""),,2),INDEX(SPLIT(I3346,""/""),,1))"),44771.0)</f>
        <v>44771</v>
      </c>
      <c r="L3346" s="1">
        <v>0.0</v>
      </c>
      <c r="M3346" s="1" t="s">
        <v>211</v>
      </c>
      <c r="N3346" s="1"/>
      <c r="O3346" s="1" t="s">
        <v>30</v>
      </c>
      <c r="P3346" s="1" t="s">
        <v>31</v>
      </c>
      <c r="Q3346" s="1" t="s">
        <v>71</v>
      </c>
      <c r="R3346" s="1" t="s">
        <v>71</v>
      </c>
      <c r="S3346" s="1" t="s">
        <v>72</v>
      </c>
      <c r="T3346" s="1" t="s">
        <v>136</v>
      </c>
      <c r="U3346" s="1">
        <v>1.00590896E8</v>
      </c>
      <c r="X3346" s="1" t="s">
        <v>74</v>
      </c>
      <c r="Y3346" s="1" t="s">
        <v>2036</v>
      </c>
      <c r="Z3346" s="1" t="s">
        <v>37</v>
      </c>
    </row>
    <row r="3347" hidden="1">
      <c r="A3347" s="1" t="s">
        <v>9870</v>
      </c>
      <c r="B3347" s="1" t="s">
        <v>9871</v>
      </c>
      <c r="C3347" s="1" t="s">
        <v>9872</v>
      </c>
      <c r="D3347" s="1" t="s">
        <v>27</v>
      </c>
      <c r="E3347" s="1" t="s">
        <v>28</v>
      </c>
      <c r="F3347" s="2">
        <v>250000.0</v>
      </c>
      <c r="G3347" s="4">
        <v>44806.0</v>
      </c>
      <c r="H3347" s="4">
        <f>IFERROR(__xludf.DUMMYFUNCTION("DATE(INDEX(SPLIT(G3347,""/""),,3),INDEX(SPLIT(G3347,""/""),,2),INDEX(SPLIT(G3347,""/""),,1))"),44601.0)</f>
        <v>44601</v>
      </c>
      <c r="I3347" s="1" t="s">
        <v>130</v>
      </c>
      <c r="J3347" s="4">
        <f>IFERROR(__xludf.DUMMYFUNCTION("DATE(INDEX(SPLIT(I3347,""/""),,3),INDEX(SPLIT(I3347,""/""),,2),INDEX(SPLIT(I3347,""/""),,1))"),44804.0)</f>
        <v>44804</v>
      </c>
      <c r="L3347" s="1">
        <v>0.0</v>
      </c>
      <c r="M3347" s="1" t="s">
        <v>1573</v>
      </c>
      <c r="N3347" s="1"/>
      <c r="O3347" s="1" t="s">
        <v>30</v>
      </c>
      <c r="P3347" s="1" t="s">
        <v>31</v>
      </c>
      <c r="Q3347" s="1" t="s">
        <v>95</v>
      </c>
      <c r="R3347" s="1" t="s">
        <v>95</v>
      </c>
      <c r="S3347" s="1" t="s">
        <v>96</v>
      </c>
      <c r="T3347" s="1" t="s">
        <v>1386</v>
      </c>
      <c r="U3347" s="1">
        <v>1.00595231E8</v>
      </c>
      <c r="X3347" s="1" t="s">
        <v>63</v>
      </c>
      <c r="Y3347" s="1" t="s">
        <v>1573</v>
      </c>
      <c r="Z3347" s="1" t="s">
        <v>37</v>
      </c>
    </row>
    <row r="3348">
      <c r="A3348" s="1" t="s">
        <v>9873</v>
      </c>
      <c r="B3348" s="1" t="s">
        <v>5532</v>
      </c>
      <c r="C3348" s="1" t="s">
        <v>9874</v>
      </c>
      <c r="D3348" s="1" t="s">
        <v>27</v>
      </c>
      <c r="E3348" s="1" t="s">
        <v>28</v>
      </c>
      <c r="F3348" s="2">
        <v>250000.0</v>
      </c>
      <c r="G3348" s="1" t="s">
        <v>1958</v>
      </c>
      <c r="H3348" s="4">
        <f>IFERROR(__xludf.DUMMYFUNCTION("DATE(INDEX(SPLIT(G3348,""/""),,3),INDEX(SPLIT(G3348,""/""),,2),INDEX(SPLIT(G3348,""/""),,1))"),44583.0)</f>
        <v>44583</v>
      </c>
      <c r="I3348" s="1" t="s">
        <v>2297</v>
      </c>
      <c r="J3348" s="4">
        <f>IFERROR(__xludf.DUMMYFUNCTION("DATE(INDEX(SPLIT(I3348,""/""),,3),INDEX(SPLIT(I3348,""/""),,2),INDEX(SPLIT(I3348,""/""),,1))"),44730.0)</f>
        <v>44730</v>
      </c>
      <c r="L3348" s="1">
        <v>0.0</v>
      </c>
      <c r="M3348" s="1" t="s">
        <v>5534</v>
      </c>
      <c r="N3348" s="1"/>
      <c r="O3348" s="1" t="s">
        <v>30</v>
      </c>
      <c r="P3348" s="1" t="s">
        <v>31</v>
      </c>
      <c r="Q3348" s="1" t="s">
        <v>228</v>
      </c>
      <c r="R3348" s="1" t="s">
        <v>228</v>
      </c>
      <c r="S3348" s="1" t="s">
        <v>229</v>
      </c>
      <c r="T3348" s="1" t="s">
        <v>1386</v>
      </c>
      <c r="U3348" s="1">
        <v>1.00896447E8</v>
      </c>
      <c r="X3348" s="1" t="s">
        <v>375</v>
      </c>
      <c r="Y3348" s="1" t="s">
        <v>5534</v>
      </c>
      <c r="Z3348" s="1" t="s">
        <v>37</v>
      </c>
    </row>
    <row r="3349">
      <c r="A3349" s="1" t="s">
        <v>9875</v>
      </c>
      <c r="B3349" s="1" t="s">
        <v>1634</v>
      </c>
      <c r="C3349" s="1" t="s">
        <v>9876</v>
      </c>
      <c r="D3349" s="1" t="s">
        <v>122</v>
      </c>
      <c r="E3349" s="1" t="s">
        <v>28</v>
      </c>
      <c r="F3349" s="2">
        <v>250000.0</v>
      </c>
      <c r="G3349" s="1" t="s">
        <v>2329</v>
      </c>
      <c r="H3349" s="4">
        <f>IFERROR(__xludf.DUMMYFUNCTION("DATE(INDEX(SPLIT(G3349,""/""),,3),INDEX(SPLIT(G3349,""/""),,2),INDEX(SPLIT(G3349,""/""),,1))"),44732.0)</f>
        <v>44732</v>
      </c>
      <c r="I3349" s="1" t="s">
        <v>503</v>
      </c>
      <c r="J3349" s="4">
        <f>IFERROR(__xludf.DUMMYFUNCTION("DATE(INDEX(SPLIT(I3349,""/""),,3),INDEX(SPLIT(I3349,""/""),,2),INDEX(SPLIT(I3349,""/""),,1))"),44736.0)</f>
        <v>44736</v>
      </c>
      <c r="L3349" s="1">
        <v>0.0</v>
      </c>
      <c r="M3349" s="1" t="s">
        <v>4513</v>
      </c>
      <c r="N3349" s="1"/>
      <c r="O3349" s="1" t="s">
        <v>30</v>
      </c>
      <c r="P3349" s="1" t="s">
        <v>31</v>
      </c>
      <c r="Q3349" s="1" t="s">
        <v>157</v>
      </c>
      <c r="R3349" s="1" t="s">
        <v>157</v>
      </c>
      <c r="S3349" s="1" t="s">
        <v>158</v>
      </c>
      <c r="U3349" s="1">
        <v>1.00914325E8</v>
      </c>
      <c r="X3349" s="1" t="s">
        <v>490</v>
      </c>
      <c r="Y3349" s="1" t="s">
        <v>9877</v>
      </c>
      <c r="Z3349" s="1" t="s">
        <v>206</v>
      </c>
    </row>
    <row r="3350" hidden="1">
      <c r="A3350" s="1" t="s">
        <v>9878</v>
      </c>
      <c r="B3350" s="1" t="s">
        <v>4055</v>
      </c>
      <c r="C3350" s="1" t="s">
        <v>9879</v>
      </c>
      <c r="D3350" s="1" t="s">
        <v>27</v>
      </c>
      <c r="E3350" s="1" t="s">
        <v>28</v>
      </c>
      <c r="F3350" s="2">
        <v>250000.0</v>
      </c>
      <c r="G3350" s="4">
        <v>44806.0</v>
      </c>
      <c r="H3350" s="4">
        <f>IFERROR(__xludf.DUMMYFUNCTION("DATE(INDEX(SPLIT(G3350,""/""),,3),INDEX(SPLIT(G3350,""/""),,2),INDEX(SPLIT(G3350,""/""),,1))"),44601.0)</f>
        <v>44601</v>
      </c>
      <c r="I3350" s="1" t="s">
        <v>109</v>
      </c>
      <c r="J3350" s="4">
        <f>IFERROR(__xludf.DUMMYFUNCTION("DATE(INDEX(SPLIT(I3350,""/""),,3),INDEX(SPLIT(I3350,""/""),,2),INDEX(SPLIT(I3350,""/""),,1))"),44834.0)</f>
        <v>44834</v>
      </c>
      <c r="L3350" s="1">
        <v>0.0</v>
      </c>
      <c r="M3350" s="1" t="s">
        <v>1573</v>
      </c>
      <c r="N3350" s="1"/>
      <c r="O3350" s="1" t="s">
        <v>30</v>
      </c>
      <c r="P3350" s="1" t="s">
        <v>31</v>
      </c>
      <c r="Q3350" s="1" t="s">
        <v>95</v>
      </c>
      <c r="R3350" s="1" t="s">
        <v>95</v>
      </c>
      <c r="S3350" s="1" t="s">
        <v>96</v>
      </c>
      <c r="T3350" s="1" t="s">
        <v>1386</v>
      </c>
      <c r="U3350" s="1">
        <v>1.00595231E8</v>
      </c>
      <c r="X3350" s="1" t="s">
        <v>63</v>
      </c>
      <c r="Y3350" s="1" t="s">
        <v>1573</v>
      </c>
      <c r="Z3350" s="1" t="s">
        <v>37</v>
      </c>
    </row>
    <row r="3351">
      <c r="A3351" s="1" t="s">
        <v>9880</v>
      </c>
      <c r="B3351" s="1" t="s">
        <v>464</v>
      </c>
      <c r="C3351" s="1" t="s">
        <v>9881</v>
      </c>
      <c r="D3351" s="1" t="s">
        <v>27</v>
      </c>
      <c r="E3351" s="1" t="s">
        <v>28</v>
      </c>
      <c r="F3351" s="2">
        <v>250000.0</v>
      </c>
      <c r="G3351" s="1" t="s">
        <v>2300</v>
      </c>
      <c r="H3351" s="4">
        <f>IFERROR(__xludf.DUMMYFUNCTION("DATE(INDEX(SPLIT(G3351,""/""),,3),INDEX(SPLIT(G3351,""/""),,2),INDEX(SPLIT(G3351,""/""),,1))"),44712.0)</f>
        <v>44712</v>
      </c>
      <c r="I3351" s="4">
        <v>44840.0</v>
      </c>
      <c r="J3351" s="4">
        <f>IFERROR(__xludf.DUMMYFUNCTION("DATE(INDEX(SPLIT(I3351,""/""),,3),INDEX(SPLIT(I3351,""/""),,2),INDEX(SPLIT(I3351,""/""),,1))"),44722.0)</f>
        <v>44722</v>
      </c>
      <c r="L3351" s="1">
        <v>0.0</v>
      </c>
      <c r="M3351" s="1" t="s">
        <v>9882</v>
      </c>
      <c r="N3351" s="1"/>
      <c r="O3351" s="1" t="s">
        <v>30</v>
      </c>
      <c r="P3351" s="1" t="s">
        <v>31</v>
      </c>
      <c r="Q3351" s="1" t="s">
        <v>188</v>
      </c>
      <c r="R3351" s="1" t="s">
        <v>188</v>
      </c>
      <c r="S3351" s="1" t="s">
        <v>189</v>
      </c>
      <c r="U3351" s="1">
        <v>1.0061962E8</v>
      </c>
      <c r="V3351" s="1" t="s">
        <v>9883</v>
      </c>
      <c r="W3351" s="1" t="s">
        <v>9884</v>
      </c>
      <c r="X3351" s="1" t="s">
        <v>468</v>
      </c>
      <c r="Y3351" s="1" t="s">
        <v>9885</v>
      </c>
      <c r="Z3351" s="1" t="s">
        <v>37</v>
      </c>
    </row>
    <row r="3352" hidden="1">
      <c r="A3352" s="1" t="s">
        <v>9886</v>
      </c>
      <c r="B3352" s="1" t="s">
        <v>9887</v>
      </c>
      <c r="C3352" s="1" t="s">
        <v>9888</v>
      </c>
      <c r="D3352" s="1" t="s">
        <v>27</v>
      </c>
      <c r="E3352" s="1" t="s">
        <v>28</v>
      </c>
      <c r="F3352" s="2">
        <v>250000.0</v>
      </c>
      <c r="G3352" s="4">
        <v>44685.0</v>
      </c>
      <c r="H3352" s="4">
        <f>IFERROR(__xludf.DUMMYFUNCTION("DATE(INDEX(SPLIT(G3352,""/""),,3),INDEX(SPLIT(G3352,""/""),,2),INDEX(SPLIT(G3352,""/""),,1))"),44656.0)</f>
        <v>44656</v>
      </c>
      <c r="I3352" s="1" t="s">
        <v>109</v>
      </c>
      <c r="J3352" s="4">
        <f>IFERROR(__xludf.DUMMYFUNCTION("DATE(INDEX(SPLIT(I3352,""/""),,3),INDEX(SPLIT(I3352,""/""),,2),INDEX(SPLIT(I3352,""/""),,1))"),44834.0)</f>
        <v>44834</v>
      </c>
      <c r="L3352" s="1">
        <v>0.0</v>
      </c>
      <c r="M3352" s="1" t="s">
        <v>3768</v>
      </c>
      <c r="N3352" s="1"/>
      <c r="O3352" s="1" t="s">
        <v>30</v>
      </c>
      <c r="P3352" s="1" t="s">
        <v>31</v>
      </c>
      <c r="Q3352" s="1" t="s">
        <v>157</v>
      </c>
      <c r="R3352" s="1" t="s">
        <v>157</v>
      </c>
      <c r="S3352" s="1" t="s">
        <v>158</v>
      </c>
      <c r="U3352" s="1">
        <v>1.00633763E8</v>
      </c>
      <c r="X3352" s="1" t="s">
        <v>117</v>
      </c>
      <c r="Y3352" s="1" t="s">
        <v>3117</v>
      </c>
      <c r="Z3352" s="1" t="s">
        <v>37</v>
      </c>
    </row>
    <row r="3353" hidden="1">
      <c r="A3353" s="1" t="s">
        <v>9889</v>
      </c>
      <c r="B3353" s="1" t="s">
        <v>9890</v>
      </c>
      <c r="C3353" s="1" t="s">
        <v>9891</v>
      </c>
      <c r="D3353" s="1" t="s">
        <v>27</v>
      </c>
      <c r="E3353" s="1" t="s">
        <v>28</v>
      </c>
      <c r="F3353" s="2">
        <v>250000.0</v>
      </c>
      <c r="G3353" s="4">
        <v>44685.0</v>
      </c>
      <c r="H3353" s="4">
        <f>IFERROR(__xludf.DUMMYFUNCTION("DATE(INDEX(SPLIT(G3353,""/""),,3),INDEX(SPLIT(G3353,""/""),,2),INDEX(SPLIT(G3353,""/""),,1))"),44656.0)</f>
        <v>44656</v>
      </c>
      <c r="I3353" s="1" t="s">
        <v>85</v>
      </c>
      <c r="J3353" s="4">
        <f>IFERROR(__xludf.DUMMYFUNCTION("DATE(INDEX(SPLIT(I3353,""/""),,3),INDEX(SPLIT(I3353,""/""),,2),INDEX(SPLIT(I3353,""/""),,1))"),44799.0)</f>
        <v>44799</v>
      </c>
      <c r="L3353" s="1">
        <v>0.0</v>
      </c>
      <c r="M3353" s="1" t="s">
        <v>4323</v>
      </c>
      <c r="N3353" s="1"/>
      <c r="O3353" s="1" t="s">
        <v>30</v>
      </c>
      <c r="P3353" s="1" t="s">
        <v>31</v>
      </c>
      <c r="Q3353" s="1" t="s">
        <v>157</v>
      </c>
      <c r="R3353" s="1" t="s">
        <v>157</v>
      </c>
      <c r="S3353" s="1" t="s">
        <v>158</v>
      </c>
      <c r="U3353" s="1">
        <v>1.00607244E8</v>
      </c>
      <c r="X3353" s="1" t="s">
        <v>254</v>
      </c>
      <c r="Y3353" s="1" t="s">
        <v>6524</v>
      </c>
      <c r="Z3353" s="1" t="s">
        <v>37</v>
      </c>
    </row>
    <row r="3354" hidden="1">
      <c r="A3354" s="1" t="s">
        <v>9892</v>
      </c>
      <c r="B3354" s="1" t="s">
        <v>470</v>
      </c>
      <c r="C3354" s="1" t="s">
        <v>9893</v>
      </c>
      <c r="D3354" s="1" t="s">
        <v>27</v>
      </c>
      <c r="E3354" s="1" t="s">
        <v>28</v>
      </c>
      <c r="F3354" s="2">
        <v>250000.0</v>
      </c>
      <c r="G3354" s="1" t="s">
        <v>3149</v>
      </c>
      <c r="H3354" s="4">
        <f>IFERROR(__xludf.DUMMYFUNCTION("DATE(INDEX(SPLIT(G3354,""/""),,3),INDEX(SPLIT(G3354,""/""),,2),INDEX(SPLIT(G3354,""/""),,1))"),44301.0)</f>
        <v>44301</v>
      </c>
      <c r="I3354" s="1" t="s">
        <v>109</v>
      </c>
      <c r="J3354" s="4">
        <f>IFERROR(__xludf.DUMMYFUNCTION("DATE(INDEX(SPLIT(I3354,""/""),,3),INDEX(SPLIT(I3354,""/""),,2),INDEX(SPLIT(I3354,""/""),,1))"),44834.0)</f>
        <v>44834</v>
      </c>
      <c r="L3354" s="1">
        <v>0.0</v>
      </c>
      <c r="M3354" s="1" t="s">
        <v>172</v>
      </c>
      <c r="N3354" s="1"/>
      <c r="O3354" s="1" t="s">
        <v>30</v>
      </c>
      <c r="P3354" s="1" t="s">
        <v>31</v>
      </c>
      <c r="Q3354" s="1" t="s">
        <v>95</v>
      </c>
      <c r="R3354" s="1" t="s">
        <v>95</v>
      </c>
      <c r="S3354" s="1" t="s">
        <v>96</v>
      </c>
      <c r="T3354" s="1" t="s">
        <v>311</v>
      </c>
      <c r="U3354" s="1">
        <v>1.00658519E8</v>
      </c>
      <c r="X3354" s="1" t="s">
        <v>254</v>
      </c>
      <c r="Y3354" s="1" t="s">
        <v>702</v>
      </c>
      <c r="Z3354" s="1" t="s">
        <v>37</v>
      </c>
    </row>
    <row r="3355" hidden="1">
      <c r="A3355" s="1" t="s">
        <v>9894</v>
      </c>
      <c r="B3355" s="1" t="s">
        <v>1144</v>
      </c>
      <c r="C3355" s="1" t="s">
        <v>9895</v>
      </c>
      <c r="D3355" s="1" t="s">
        <v>78</v>
      </c>
      <c r="E3355" s="1" t="s">
        <v>28</v>
      </c>
      <c r="F3355" s="2">
        <v>250000.0</v>
      </c>
      <c r="G3355" s="1" t="s">
        <v>1004</v>
      </c>
      <c r="H3355" s="4">
        <f>IFERROR(__xludf.DUMMYFUNCTION("DATE(INDEX(SPLIT(G3355,""/""),,3),INDEX(SPLIT(G3355,""/""),,2),INDEX(SPLIT(G3355,""/""),,1))"),44582.0)</f>
        <v>44582</v>
      </c>
      <c r="I3355" s="1" t="s">
        <v>109</v>
      </c>
      <c r="J3355" s="4">
        <f>IFERROR(__xludf.DUMMYFUNCTION("DATE(INDEX(SPLIT(I3355,""/""),,3),INDEX(SPLIT(I3355,""/""),,2),INDEX(SPLIT(I3355,""/""),,1))"),44834.0)</f>
        <v>44834</v>
      </c>
      <c r="L3355" s="1">
        <v>0.0</v>
      </c>
      <c r="M3355" s="1" t="s">
        <v>1573</v>
      </c>
      <c r="N3355" s="1"/>
      <c r="O3355" s="1" t="s">
        <v>30</v>
      </c>
      <c r="P3355" s="1" t="s">
        <v>31</v>
      </c>
      <c r="Q3355" s="1" t="s">
        <v>95</v>
      </c>
      <c r="R3355" s="1" t="s">
        <v>95</v>
      </c>
      <c r="S3355" s="1" t="s">
        <v>96</v>
      </c>
      <c r="U3355" s="1">
        <v>1.00595231E8</v>
      </c>
      <c r="X3355" s="1" t="s">
        <v>63</v>
      </c>
      <c r="Y3355" s="1" t="s">
        <v>9896</v>
      </c>
      <c r="Z3355" s="1" t="s">
        <v>37</v>
      </c>
    </row>
    <row r="3356">
      <c r="A3356" s="1" t="s">
        <v>9897</v>
      </c>
      <c r="B3356" s="1" t="s">
        <v>9898</v>
      </c>
      <c r="C3356" s="1" t="s">
        <v>9899</v>
      </c>
      <c r="D3356" s="1" t="s">
        <v>78</v>
      </c>
      <c r="E3356" s="1" t="s">
        <v>28</v>
      </c>
      <c r="F3356" s="2">
        <v>250000.0</v>
      </c>
      <c r="G3356" s="1" t="s">
        <v>164</v>
      </c>
      <c r="H3356" s="4">
        <f>IFERROR(__xludf.DUMMYFUNCTION("DATE(INDEX(SPLIT(G3356,""/""),,3),INDEX(SPLIT(G3356,""/""),,2),INDEX(SPLIT(G3356,""/""),,1))"),44706.0)</f>
        <v>44706</v>
      </c>
      <c r="I3356" s="1" t="s">
        <v>1442</v>
      </c>
      <c r="J3356" s="4">
        <f>IFERROR(__xludf.DUMMYFUNCTION("DATE(INDEX(SPLIT(I3356,""/""),,3),INDEX(SPLIT(I3356,""/""),,2),INDEX(SPLIT(I3356,""/""),,1))"),44727.0)</f>
        <v>44727</v>
      </c>
      <c r="L3356" s="1">
        <v>0.0</v>
      </c>
      <c r="M3356" s="1" t="s">
        <v>344</v>
      </c>
      <c r="N3356" s="1"/>
      <c r="O3356" s="1" t="s">
        <v>30</v>
      </c>
      <c r="P3356" s="1" t="s">
        <v>31</v>
      </c>
      <c r="Q3356" s="1" t="s">
        <v>188</v>
      </c>
      <c r="R3356" s="1" t="s">
        <v>188</v>
      </c>
      <c r="S3356" s="1" t="s">
        <v>189</v>
      </c>
      <c r="U3356" s="1">
        <v>1.00646804E8</v>
      </c>
      <c r="X3356" s="1" t="s">
        <v>239</v>
      </c>
      <c r="Y3356" s="1" t="s">
        <v>9900</v>
      </c>
      <c r="Z3356" s="1" t="s">
        <v>37</v>
      </c>
    </row>
    <row r="3357" hidden="1">
      <c r="A3357" s="1" t="s">
        <v>9901</v>
      </c>
      <c r="B3357" s="1" t="s">
        <v>501</v>
      </c>
      <c r="C3357" s="1" t="s">
        <v>9902</v>
      </c>
      <c r="D3357" s="1" t="s">
        <v>122</v>
      </c>
      <c r="E3357" s="1" t="s">
        <v>28</v>
      </c>
      <c r="F3357" s="2">
        <v>250000.0</v>
      </c>
      <c r="G3357" s="1" t="s">
        <v>2324</v>
      </c>
      <c r="H3357" s="4">
        <f>IFERROR(__xludf.DUMMYFUNCTION("DATE(INDEX(SPLIT(G3357,""/""),,3),INDEX(SPLIT(G3357,""/""),,2),INDEX(SPLIT(G3357,""/""),,1))"),44705.0)</f>
        <v>44705</v>
      </c>
      <c r="I3357" s="4">
        <v>44689.0</v>
      </c>
      <c r="J3357" s="4">
        <f>IFERROR(__xludf.DUMMYFUNCTION("DATE(INDEX(SPLIT(I3357,""/""),,3),INDEX(SPLIT(I3357,""/""),,2),INDEX(SPLIT(I3357,""/""),,1))"),44778.0)</f>
        <v>44778</v>
      </c>
      <c r="L3357" s="1">
        <v>0.0</v>
      </c>
      <c r="M3357" s="1" t="s">
        <v>504</v>
      </c>
      <c r="N3357" s="1"/>
      <c r="O3357" s="1" t="s">
        <v>30</v>
      </c>
      <c r="P3357" s="1" t="s">
        <v>31</v>
      </c>
      <c r="Q3357" s="1" t="s">
        <v>228</v>
      </c>
      <c r="R3357" s="1" t="s">
        <v>228</v>
      </c>
      <c r="S3357" s="1" t="s">
        <v>229</v>
      </c>
      <c r="T3357" s="1" t="s">
        <v>640</v>
      </c>
      <c r="U3357" s="1">
        <v>1.00901211E8</v>
      </c>
      <c r="X3357" s="1" t="s">
        <v>410</v>
      </c>
      <c r="Y3357" s="1" t="s">
        <v>6770</v>
      </c>
      <c r="Z3357" s="1" t="s">
        <v>37</v>
      </c>
    </row>
    <row r="3358">
      <c r="A3358" s="1" t="s">
        <v>9903</v>
      </c>
      <c r="B3358" s="1" t="s">
        <v>9904</v>
      </c>
      <c r="C3358" s="1" t="s">
        <v>9905</v>
      </c>
      <c r="D3358" s="1" t="s">
        <v>68</v>
      </c>
      <c r="E3358" s="1" t="s">
        <v>28</v>
      </c>
      <c r="F3358" s="2">
        <v>250000.0</v>
      </c>
      <c r="G3358" s="1" t="s">
        <v>2309</v>
      </c>
      <c r="H3358" s="4">
        <f>IFERROR(__xludf.DUMMYFUNCTION("DATE(INDEX(SPLIT(G3358,""/""),,3),INDEX(SPLIT(G3358,""/""),,2),INDEX(SPLIT(G3358,""/""),,1))"),44672.0)</f>
        <v>44672</v>
      </c>
      <c r="I3358" s="4">
        <v>44567.0</v>
      </c>
      <c r="J3358" s="4">
        <f>IFERROR(__xludf.DUMMYFUNCTION("DATE(INDEX(SPLIT(I3358,""/""),,3),INDEX(SPLIT(I3358,""/""),,2),INDEX(SPLIT(I3358,""/""),,1))"),44713.0)</f>
        <v>44713</v>
      </c>
      <c r="L3358" s="1">
        <v>0.0</v>
      </c>
      <c r="M3358" s="1" t="s">
        <v>1904</v>
      </c>
      <c r="N3358" s="1"/>
      <c r="O3358" s="1" t="s">
        <v>30</v>
      </c>
      <c r="P3358" s="1" t="s">
        <v>31</v>
      </c>
      <c r="Q3358" s="1" t="s">
        <v>95</v>
      </c>
      <c r="R3358" s="1" t="s">
        <v>95</v>
      </c>
      <c r="S3358" s="1" t="s">
        <v>96</v>
      </c>
      <c r="T3358" s="1" t="s">
        <v>311</v>
      </c>
      <c r="U3358" s="1">
        <v>1.0059365E8</v>
      </c>
      <c r="X3358" s="1" t="s">
        <v>63</v>
      </c>
      <c r="Y3358" s="1" t="s">
        <v>2761</v>
      </c>
      <c r="Z3358" s="1" t="s">
        <v>37</v>
      </c>
    </row>
    <row r="3359" hidden="1">
      <c r="A3359" s="1" t="s">
        <v>9906</v>
      </c>
      <c r="B3359" s="1" t="s">
        <v>1429</v>
      </c>
      <c r="C3359" s="1" t="s">
        <v>9907</v>
      </c>
      <c r="D3359" s="1" t="s">
        <v>27</v>
      </c>
      <c r="E3359" s="1" t="s">
        <v>28</v>
      </c>
      <c r="F3359" s="2">
        <v>250000.0</v>
      </c>
      <c r="G3359" s="1" t="s">
        <v>446</v>
      </c>
      <c r="H3359" s="4">
        <f>IFERROR(__xludf.DUMMYFUNCTION("DATE(INDEX(SPLIT(G3359,""/""),,3),INDEX(SPLIT(G3359,""/""),,2),INDEX(SPLIT(G3359,""/""),,1))"),44210.0)</f>
        <v>44210</v>
      </c>
      <c r="I3359" s="4">
        <v>44604.0</v>
      </c>
      <c r="J3359" s="4">
        <f>IFERROR(__xludf.DUMMYFUNCTION("DATE(INDEX(SPLIT(I3359,""/""),,3),INDEX(SPLIT(I3359,""/""),,2),INDEX(SPLIT(I3359,""/""),,1))"),44897.0)</f>
        <v>44897</v>
      </c>
      <c r="L3359" s="1">
        <v>0.0</v>
      </c>
      <c r="M3359" s="1" t="s">
        <v>1433</v>
      </c>
      <c r="N3359" s="1"/>
      <c r="O3359" s="1" t="s">
        <v>30</v>
      </c>
      <c r="P3359" s="1" t="s">
        <v>31</v>
      </c>
      <c r="Q3359" s="1" t="s">
        <v>228</v>
      </c>
      <c r="R3359" s="1" t="s">
        <v>228</v>
      </c>
      <c r="S3359" s="1" t="s">
        <v>229</v>
      </c>
      <c r="T3359" s="1" t="s">
        <v>505</v>
      </c>
      <c r="U3359" s="1">
        <v>1.00609118E8</v>
      </c>
      <c r="X3359" s="1" t="s">
        <v>190</v>
      </c>
      <c r="Y3359" s="1" t="s">
        <v>2273</v>
      </c>
      <c r="Z3359" s="1" t="s">
        <v>37</v>
      </c>
    </row>
    <row r="3360" hidden="1">
      <c r="A3360" s="1" t="s">
        <v>9908</v>
      </c>
      <c r="B3360" s="1" t="s">
        <v>4013</v>
      </c>
      <c r="C3360" s="1" t="s">
        <v>9909</v>
      </c>
      <c r="D3360" s="1" t="s">
        <v>27</v>
      </c>
      <c r="E3360" s="1" t="s">
        <v>28</v>
      </c>
      <c r="F3360" s="2">
        <v>250000.0</v>
      </c>
      <c r="G3360" s="1" t="s">
        <v>3896</v>
      </c>
      <c r="H3360" s="4">
        <f>IFERROR(__xludf.DUMMYFUNCTION("DATE(INDEX(SPLIT(G3360,""/""),,3),INDEX(SPLIT(G3360,""/""),,2),INDEX(SPLIT(G3360,""/""),,1))"),44697.0)</f>
        <v>44697</v>
      </c>
      <c r="I3360" s="4">
        <v>44569.0</v>
      </c>
      <c r="J3360" s="4">
        <f>IFERROR(__xludf.DUMMYFUNCTION("DATE(INDEX(SPLIT(I3360,""/""),,3),INDEX(SPLIT(I3360,""/""),,2),INDEX(SPLIT(I3360,""/""),,1))"),44774.0)</f>
        <v>44774</v>
      </c>
      <c r="L3360" s="1">
        <v>0.0</v>
      </c>
      <c r="M3360" s="1" t="s">
        <v>4016</v>
      </c>
      <c r="N3360" s="1"/>
      <c r="O3360" s="1" t="s">
        <v>30</v>
      </c>
      <c r="P3360" s="1" t="s">
        <v>31</v>
      </c>
      <c r="Q3360" s="1" t="s">
        <v>95</v>
      </c>
      <c r="R3360" s="1" t="s">
        <v>95</v>
      </c>
      <c r="S3360" s="1" t="s">
        <v>96</v>
      </c>
      <c r="T3360" s="1" t="s">
        <v>97</v>
      </c>
      <c r="U3360" s="1">
        <v>1.00628223E8</v>
      </c>
      <c r="X3360" s="1" t="s">
        <v>190</v>
      </c>
      <c r="Y3360" s="1" t="s">
        <v>5726</v>
      </c>
      <c r="Z3360" s="1" t="s">
        <v>206</v>
      </c>
    </row>
    <row r="3361" hidden="1">
      <c r="A3361" s="1" t="s">
        <v>9910</v>
      </c>
      <c r="B3361" s="1" t="s">
        <v>2131</v>
      </c>
      <c r="C3361" s="1" t="s">
        <v>9911</v>
      </c>
      <c r="D3361" s="1" t="s">
        <v>27</v>
      </c>
      <c r="E3361" s="1" t="s">
        <v>28</v>
      </c>
      <c r="F3361" s="2">
        <v>250000.0</v>
      </c>
      <c r="G3361" s="1" t="s">
        <v>9912</v>
      </c>
      <c r="H3361" s="4">
        <f>IFERROR(__xludf.DUMMYFUNCTION("DATE(INDEX(SPLIT(G3361,""/""),,3),INDEX(SPLIT(G3361,""/""),,2),INDEX(SPLIT(G3361,""/""),,1))"),44282.0)</f>
        <v>44282</v>
      </c>
      <c r="I3361" s="1" t="s">
        <v>909</v>
      </c>
      <c r="J3361" s="4">
        <f>IFERROR(__xludf.DUMMYFUNCTION("DATE(INDEX(SPLIT(I3361,""/""),,3),INDEX(SPLIT(I3361,""/""),,2),INDEX(SPLIT(I3361,""/""),,1))"),45101.0)</f>
        <v>45101</v>
      </c>
      <c r="L3361" s="1">
        <v>0.0</v>
      </c>
      <c r="M3361" s="1" t="s">
        <v>762</v>
      </c>
      <c r="N3361" s="1"/>
      <c r="O3361" s="1" t="s">
        <v>30</v>
      </c>
      <c r="P3361" s="1" t="s">
        <v>31</v>
      </c>
      <c r="Q3361" s="1" t="s">
        <v>235</v>
      </c>
      <c r="R3361" s="1" t="s">
        <v>235</v>
      </c>
      <c r="S3361" s="1" t="s">
        <v>236</v>
      </c>
      <c r="T3361" s="1" t="s">
        <v>237</v>
      </c>
      <c r="U3361" s="1">
        <v>1.00647674E8</v>
      </c>
      <c r="X3361" s="1" t="s">
        <v>239</v>
      </c>
      <c r="Y3361" s="1" t="s">
        <v>9913</v>
      </c>
      <c r="Z3361" s="1" t="s">
        <v>37</v>
      </c>
    </row>
    <row r="3362" hidden="1">
      <c r="A3362" s="1" t="s">
        <v>9914</v>
      </c>
      <c r="B3362" s="1" t="s">
        <v>434</v>
      </c>
      <c r="C3362" s="1" t="s">
        <v>9915</v>
      </c>
      <c r="D3362" s="1" t="s">
        <v>27</v>
      </c>
      <c r="E3362" s="1" t="s">
        <v>28</v>
      </c>
      <c r="F3362" s="2">
        <v>250000.0</v>
      </c>
      <c r="G3362" s="4">
        <v>44902.0</v>
      </c>
      <c r="H3362" s="4">
        <f>IFERROR(__xludf.DUMMYFUNCTION("DATE(INDEX(SPLIT(G3362,""/""),,3),INDEX(SPLIT(G3362,""/""),,2),INDEX(SPLIT(G3362,""/""),,1))"),44754.0)</f>
        <v>44754</v>
      </c>
      <c r="I3362" s="1" t="s">
        <v>281</v>
      </c>
      <c r="J3362" s="4">
        <f>IFERROR(__xludf.DUMMYFUNCTION("DATE(INDEX(SPLIT(I3362,""/""),,3),INDEX(SPLIT(I3362,""/""),,2),INDEX(SPLIT(I3362,""/""),,1))"),44865.0)</f>
        <v>44865</v>
      </c>
      <c r="L3362" s="1">
        <v>0.0</v>
      </c>
      <c r="M3362" s="1" t="s">
        <v>4639</v>
      </c>
      <c r="N3362" s="1"/>
      <c r="O3362" s="1" t="s">
        <v>30</v>
      </c>
      <c r="P3362" s="1" t="s">
        <v>31</v>
      </c>
      <c r="Q3362" s="1" t="s">
        <v>53</v>
      </c>
      <c r="R3362" s="1" t="s">
        <v>53</v>
      </c>
      <c r="S3362" s="1" t="s">
        <v>54</v>
      </c>
      <c r="U3362" s="1">
        <v>1.00660049E8</v>
      </c>
      <c r="X3362" s="1" t="s">
        <v>88</v>
      </c>
      <c r="Y3362" s="1" t="s">
        <v>698</v>
      </c>
      <c r="Z3362" s="1" t="s">
        <v>37</v>
      </c>
    </row>
    <row r="3363" hidden="1">
      <c r="A3363" s="1" t="s">
        <v>9916</v>
      </c>
      <c r="B3363" s="1" t="s">
        <v>4160</v>
      </c>
      <c r="C3363" s="1" t="s">
        <v>9917</v>
      </c>
      <c r="D3363" s="1" t="s">
        <v>78</v>
      </c>
      <c r="E3363" s="1" t="s">
        <v>28</v>
      </c>
      <c r="F3363" s="2">
        <v>250000.0</v>
      </c>
      <c r="G3363" s="1" t="s">
        <v>1012</v>
      </c>
      <c r="H3363" s="4">
        <f>IFERROR(__xludf.DUMMYFUNCTION("DATE(INDEX(SPLIT(G3363,""/""),,3),INDEX(SPLIT(G3363,""/""),,2),INDEX(SPLIT(G3363,""/""),,1))"),44496.0)</f>
        <v>44496</v>
      </c>
      <c r="I3363" s="1" t="s">
        <v>9918</v>
      </c>
      <c r="J3363" s="4">
        <f>IFERROR(__xludf.DUMMYFUNCTION("DATE(INDEX(SPLIT(I3363,""/""),,3),INDEX(SPLIT(I3363,""/""),,2),INDEX(SPLIT(I3363,""/""),,1))"),44794.0)</f>
        <v>44794</v>
      </c>
      <c r="L3363" s="1">
        <v>0.0</v>
      </c>
      <c r="M3363" s="1" t="s">
        <v>2237</v>
      </c>
      <c r="N3363" s="1"/>
      <c r="O3363" s="1" t="s">
        <v>30</v>
      </c>
      <c r="P3363" s="1" t="s">
        <v>31</v>
      </c>
      <c r="Q3363" s="1" t="s">
        <v>32</v>
      </c>
      <c r="R3363" s="1" t="s">
        <v>32</v>
      </c>
      <c r="S3363" s="1" t="s">
        <v>33</v>
      </c>
      <c r="T3363" s="1" t="s">
        <v>103</v>
      </c>
      <c r="U3363" s="1">
        <v>1.00611284E8</v>
      </c>
      <c r="X3363" s="1" t="s">
        <v>63</v>
      </c>
      <c r="Y3363" s="1" t="s">
        <v>9919</v>
      </c>
      <c r="Z3363" s="1" t="s">
        <v>37</v>
      </c>
    </row>
    <row r="3364" hidden="1">
      <c r="A3364" s="1" t="s">
        <v>9920</v>
      </c>
      <c r="B3364" s="1" t="s">
        <v>2400</v>
      </c>
      <c r="C3364" s="1" t="s">
        <v>9921</v>
      </c>
      <c r="D3364" s="1" t="s">
        <v>78</v>
      </c>
      <c r="E3364" s="1" t="s">
        <v>28</v>
      </c>
      <c r="F3364" s="2">
        <v>250000.0</v>
      </c>
      <c r="G3364" s="1" t="s">
        <v>271</v>
      </c>
      <c r="H3364" s="4">
        <f>IFERROR(__xludf.DUMMYFUNCTION("DATE(INDEX(SPLIT(G3364,""/""),,3),INDEX(SPLIT(G3364,""/""),,2),INDEX(SPLIT(G3364,""/""),,1))"),44680.0)</f>
        <v>44680</v>
      </c>
      <c r="I3364" s="4">
        <v>44569.0</v>
      </c>
      <c r="J3364" s="4">
        <f>IFERROR(__xludf.DUMMYFUNCTION("DATE(INDEX(SPLIT(I3364,""/""),,3),INDEX(SPLIT(I3364,""/""),,2),INDEX(SPLIT(I3364,""/""),,1))"),44774.0)</f>
        <v>44774</v>
      </c>
      <c r="L3364" s="1">
        <v>0.0</v>
      </c>
      <c r="M3364" s="1" t="s">
        <v>9922</v>
      </c>
      <c r="N3364" s="1"/>
      <c r="O3364" s="1" t="s">
        <v>30</v>
      </c>
      <c r="P3364" s="1" t="s">
        <v>31</v>
      </c>
      <c r="Q3364" s="1" t="s">
        <v>228</v>
      </c>
      <c r="R3364" s="1" t="s">
        <v>228</v>
      </c>
      <c r="S3364" s="1" t="s">
        <v>229</v>
      </c>
      <c r="T3364" s="1" t="s">
        <v>513</v>
      </c>
      <c r="U3364" s="1">
        <v>1.00609628E8</v>
      </c>
      <c r="X3364" s="1" t="s">
        <v>781</v>
      </c>
      <c r="Y3364" s="1" t="s">
        <v>9923</v>
      </c>
      <c r="Z3364" s="1" t="s">
        <v>37</v>
      </c>
    </row>
    <row r="3365" hidden="1">
      <c r="A3365" s="1" t="s">
        <v>9924</v>
      </c>
      <c r="B3365" s="1" t="s">
        <v>954</v>
      </c>
      <c r="C3365" s="1" t="s">
        <v>9925</v>
      </c>
      <c r="D3365" s="1" t="s">
        <v>27</v>
      </c>
      <c r="E3365" s="1" t="s">
        <v>28</v>
      </c>
      <c r="F3365" s="2">
        <v>250000.0</v>
      </c>
      <c r="G3365" s="1" t="s">
        <v>354</v>
      </c>
      <c r="H3365" s="4">
        <f>IFERROR(__xludf.DUMMYFUNCTION("DATE(INDEX(SPLIT(G3365,""/""),,3),INDEX(SPLIT(G3365,""/""),,2),INDEX(SPLIT(G3365,""/""),,1))"),44673.0)</f>
        <v>44673</v>
      </c>
      <c r="I3365" s="4">
        <v>44569.0</v>
      </c>
      <c r="J3365" s="4">
        <f>IFERROR(__xludf.DUMMYFUNCTION("DATE(INDEX(SPLIT(I3365,""/""),,3),INDEX(SPLIT(I3365,""/""),,2),INDEX(SPLIT(I3365,""/""),,1))"),44774.0)</f>
        <v>44774</v>
      </c>
      <c r="L3365" s="1">
        <v>0.0</v>
      </c>
      <c r="M3365" s="1" t="s">
        <v>3219</v>
      </c>
      <c r="N3365" s="1"/>
      <c r="O3365" s="1" t="s">
        <v>30</v>
      </c>
      <c r="P3365" s="1" t="s">
        <v>31</v>
      </c>
      <c r="Q3365" s="1" t="s">
        <v>71</v>
      </c>
      <c r="R3365" s="1" t="s">
        <v>71</v>
      </c>
      <c r="S3365" s="1" t="s">
        <v>72</v>
      </c>
      <c r="T3365" s="1" t="s">
        <v>136</v>
      </c>
      <c r="U3365" s="1">
        <v>1.01169845E8</v>
      </c>
      <c r="X3365" s="1" t="s">
        <v>74</v>
      </c>
      <c r="Y3365" s="1" t="s">
        <v>1334</v>
      </c>
      <c r="Z3365" s="1" t="s">
        <v>206</v>
      </c>
    </row>
    <row r="3366" hidden="1">
      <c r="A3366" s="1" t="s">
        <v>9926</v>
      </c>
      <c r="B3366" s="1" t="s">
        <v>4045</v>
      </c>
      <c r="C3366" s="1" t="s">
        <v>9927</v>
      </c>
      <c r="D3366" s="1" t="s">
        <v>27</v>
      </c>
      <c r="E3366" s="1" t="s">
        <v>28</v>
      </c>
      <c r="F3366" s="2">
        <v>250000.0</v>
      </c>
      <c r="G3366" s="1" t="s">
        <v>9928</v>
      </c>
      <c r="H3366" s="4">
        <f>IFERROR(__xludf.DUMMYFUNCTION("DATE(INDEX(SPLIT(G3366,""/""),,3),INDEX(SPLIT(G3366,""/""),,2),INDEX(SPLIT(G3366,""/""),,1))"),44104.0)</f>
        <v>44104</v>
      </c>
      <c r="I3366" s="1" t="s">
        <v>130</v>
      </c>
      <c r="J3366" s="4">
        <f>IFERROR(__xludf.DUMMYFUNCTION("DATE(INDEX(SPLIT(I3366,""/""),,3),INDEX(SPLIT(I3366,""/""),,2),INDEX(SPLIT(I3366,""/""),,1))"),44804.0)</f>
        <v>44804</v>
      </c>
      <c r="L3366" s="1">
        <v>0.0</v>
      </c>
      <c r="M3366" s="1" t="s">
        <v>4048</v>
      </c>
      <c r="N3366" s="1"/>
      <c r="O3366" s="1" t="s">
        <v>30</v>
      </c>
      <c r="P3366" s="1" t="s">
        <v>31</v>
      </c>
      <c r="Q3366" s="1" t="s">
        <v>32</v>
      </c>
      <c r="R3366" s="1" t="s">
        <v>32</v>
      </c>
      <c r="S3366" s="1" t="s">
        <v>33</v>
      </c>
      <c r="T3366" s="1" t="s">
        <v>34</v>
      </c>
      <c r="U3366" s="1">
        <v>1.00610426E8</v>
      </c>
      <c r="X3366" s="1" t="s">
        <v>35</v>
      </c>
      <c r="Y3366" s="1" t="s">
        <v>9929</v>
      </c>
      <c r="Z3366" s="1" t="s">
        <v>37</v>
      </c>
    </row>
    <row r="3367" hidden="1">
      <c r="A3367" s="1" t="s">
        <v>9930</v>
      </c>
      <c r="B3367" s="1" t="s">
        <v>1144</v>
      </c>
      <c r="C3367" s="1" t="s">
        <v>9931</v>
      </c>
      <c r="D3367" s="1" t="s">
        <v>27</v>
      </c>
      <c r="E3367" s="1" t="s">
        <v>28</v>
      </c>
      <c r="F3367" s="2">
        <v>250000.0</v>
      </c>
      <c r="G3367" s="1" t="s">
        <v>5224</v>
      </c>
      <c r="H3367" s="4">
        <f>IFERROR(__xludf.DUMMYFUNCTION("DATE(INDEX(SPLIT(G3367,""/""),,3),INDEX(SPLIT(G3367,""/""),,2),INDEX(SPLIT(G3367,""/""),,1))"),44421.0)</f>
        <v>44421</v>
      </c>
      <c r="I3367" s="1" t="s">
        <v>1097</v>
      </c>
      <c r="J3367" s="4">
        <f>IFERROR(__xludf.DUMMYFUNCTION("DATE(INDEX(SPLIT(I3367,""/""),,3),INDEX(SPLIT(I3367,""/""),,2),INDEX(SPLIT(I3367,""/""),,1))"),45107.0)</f>
        <v>45107</v>
      </c>
      <c r="L3367" s="1">
        <v>0.0</v>
      </c>
      <c r="M3367" s="1" t="s">
        <v>2614</v>
      </c>
      <c r="N3367" s="1"/>
      <c r="O3367" s="1" t="s">
        <v>30</v>
      </c>
      <c r="P3367" s="1" t="s">
        <v>31</v>
      </c>
      <c r="Q3367" s="1" t="s">
        <v>53</v>
      </c>
      <c r="R3367" s="1" t="s">
        <v>53</v>
      </c>
      <c r="S3367" s="1" t="s">
        <v>54</v>
      </c>
      <c r="U3367" s="1">
        <v>1.00592932E8</v>
      </c>
      <c r="X3367" s="1" t="s">
        <v>63</v>
      </c>
      <c r="Y3367" s="1" t="s">
        <v>2614</v>
      </c>
      <c r="Z3367" s="1" t="s">
        <v>37</v>
      </c>
    </row>
    <row r="3368" hidden="1">
      <c r="A3368" s="1" t="s">
        <v>9932</v>
      </c>
      <c r="B3368" s="1" t="s">
        <v>5325</v>
      </c>
      <c r="C3368" s="1" t="s">
        <v>9933</v>
      </c>
      <c r="D3368" s="1" t="s">
        <v>122</v>
      </c>
      <c r="E3368" s="1" t="s">
        <v>28</v>
      </c>
      <c r="F3368" s="2">
        <v>250000.0</v>
      </c>
      <c r="G3368" s="1" t="s">
        <v>4122</v>
      </c>
      <c r="H3368" s="4">
        <f>IFERROR(__xludf.DUMMYFUNCTION("DATE(INDEX(SPLIT(G3368,""/""),,3),INDEX(SPLIT(G3368,""/""),,2),INDEX(SPLIT(G3368,""/""),,1))"),44429.0)</f>
        <v>44429</v>
      </c>
      <c r="I3368" s="1" t="s">
        <v>3941</v>
      </c>
      <c r="J3368" s="4">
        <f>IFERROR(__xludf.DUMMYFUNCTION("DATE(INDEX(SPLIT(I3368,""/""),,3),INDEX(SPLIT(I3368,""/""),,2),INDEX(SPLIT(I3368,""/""),,1))"),44823.0)</f>
        <v>44823</v>
      </c>
      <c r="L3368" s="1">
        <v>0.0</v>
      </c>
      <c r="M3368" s="1" t="s">
        <v>2856</v>
      </c>
      <c r="N3368" s="1"/>
      <c r="O3368" s="1" t="s">
        <v>30</v>
      </c>
      <c r="P3368" s="1" t="s">
        <v>31</v>
      </c>
      <c r="Q3368" s="1" t="s">
        <v>71</v>
      </c>
      <c r="R3368" s="1" t="s">
        <v>71</v>
      </c>
      <c r="S3368" s="1" t="s">
        <v>72</v>
      </c>
      <c r="T3368" s="1" t="s">
        <v>615</v>
      </c>
      <c r="U3368" s="1">
        <v>1.00637221E8</v>
      </c>
      <c r="X3368" s="1" t="s">
        <v>490</v>
      </c>
      <c r="Y3368" s="1" t="s">
        <v>898</v>
      </c>
      <c r="Z3368" s="1" t="s">
        <v>37</v>
      </c>
    </row>
    <row r="3369">
      <c r="A3369" s="1" t="s">
        <v>9934</v>
      </c>
      <c r="B3369" s="1" t="s">
        <v>9935</v>
      </c>
      <c r="C3369" s="1" t="s">
        <v>9936</v>
      </c>
      <c r="D3369" s="1" t="s">
        <v>122</v>
      </c>
      <c r="E3369" s="1" t="s">
        <v>28</v>
      </c>
      <c r="F3369" s="2">
        <v>250000.0</v>
      </c>
      <c r="G3369" s="1" t="s">
        <v>2324</v>
      </c>
      <c r="H3369" s="4">
        <f>IFERROR(__xludf.DUMMYFUNCTION("DATE(INDEX(SPLIT(G3369,""/""),,3),INDEX(SPLIT(G3369,""/""),,2),INDEX(SPLIT(G3369,""/""),,1))"),44705.0)</f>
        <v>44705</v>
      </c>
      <c r="I3369" s="4">
        <v>44840.0</v>
      </c>
      <c r="J3369" s="4">
        <f>IFERROR(__xludf.DUMMYFUNCTION("DATE(INDEX(SPLIT(I3369,""/""),,3),INDEX(SPLIT(I3369,""/""),,2),INDEX(SPLIT(I3369,""/""),,1))"),44722.0)</f>
        <v>44722</v>
      </c>
      <c r="L3369" s="1">
        <v>0.0</v>
      </c>
      <c r="M3369" s="1" t="s">
        <v>823</v>
      </c>
      <c r="N3369" s="1"/>
      <c r="O3369" s="1" t="s">
        <v>30</v>
      </c>
      <c r="P3369" s="1" t="s">
        <v>31</v>
      </c>
      <c r="Q3369" s="1" t="s">
        <v>95</v>
      </c>
      <c r="R3369" s="1" t="s">
        <v>95</v>
      </c>
      <c r="S3369" s="1" t="s">
        <v>96</v>
      </c>
      <c r="T3369" s="1" t="s">
        <v>489</v>
      </c>
      <c r="U3369" s="1">
        <v>1.00629729E8</v>
      </c>
      <c r="X3369" s="1" t="s">
        <v>490</v>
      </c>
      <c r="Y3369" s="1" t="s">
        <v>4005</v>
      </c>
      <c r="Z3369" s="1" t="s">
        <v>37</v>
      </c>
    </row>
    <row r="3370" hidden="1">
      <c r="A3370" s="1" t="s">
        <v>9937</v>
      </c>
      <c r="B3370" s="1" t="s">
        <v>1966</v>
      </c>
      <c r="C3370" s="1" t="s">
        <v>9938</v>
      </c>
      <c r="D3370" s="1" t="s">
        <v>27</v>
      </c>
      <c r="E3370" s="1" t="s">
        <v>28</v>
      </c>
      <c r="F3370" s="2">
        <v>250000.0</v>
      </c>
      <c r="G3370" s="4">
        <v>44810.0</v>
      </c>
      <c r="H3370" s="4">
        <f>IFERROR(__xludf.DUMMYFUNCTION("DATE(INDEX(SPLIT(G3370,""/""),,3),INDEX(SPLIT(G3370,""/""),,2),INDEX(SPLIT(G3370,""/""),,1))"),44721.0)</f>
        <v>44721</v>
      </c>
      <c r="I3370" s="1" t="s">
        <v>130</v>
      </c>
      <c r="J3370" s="4">
        <f>IFERROR(__xludf.DUMMYFUNCTION("DATE(INDEX(SPLIT(I3370,""/""),,3),INDEX(SPLIT(I3370,""/""),,2),INDEX(SPLIT(I3370,""/""),,1))"),44804.0)</f>
        <v>44804</v>
      </c>
      <c r="L3370" s="1">
        <v>0.0</v>
      </c>
      <c r="M3370" s="1" t="s">
        <v>6682</v>
      </c>
      <c r="N3370" s="1"/>
      <c r="O3370" s="1" t="s">
        <v>30</v>
      </c>
      <c r="P3370" s="1" t="s">
        <v>31</v>
      </c>
      <c r="Q3370" s="1" t="s">
        <v>157</v>
      </c>
      <c r="R3370" s="1" t="s">
        <v>157</v>
      </c>
      <c r="S3370" s="1" t="s">
        <v>158</v>
      </c>
      <c r="U3370" s="1">
        <v>1.0049491E8</v>
      </c>
      <c r="X3370" s="1" t="s">
        <v>125</v>
      </c>
      <c r="Y3370" s="1" t="s">
        <v>6682</v>
      </c>
      <c r="Z3370" s="1" t="s">
        <v>37</v>
      </c>
    </row>
    <row r="3371">
      <c r="A3371" s="1" t="s">
        <v>9939</v>
      </c>
      <c r="B3371" s="1" t="s">
        <v>9940</v>
      </c>
      <c r="C3371" s="1" t="s">
        <v>9941</v>
      </c>
      <c r="D3371" s="1" t="s">
        <v>27</v>
      </c>
      <c r="E3371" s="1" t="s">
        <v>28</v>
      </c>
      <c r="F3371" s="2">
        <v>250000.0</v>
      </c>
      <c r="G3371" s="1" t="s">
        <v>1058</v>
      </c>
      <c r="H3371" s="4">
        <f>IFERROR(__xludf.DUMMYFUNCTION("DATE(INDEX(SPLIT(G3371,""/""),,3),INDEX(SPLIT(G3371,""/""),,2),INDEX(SPLIT(G3371,""/""),,1))"),44733.0)</f>
        <v>44733</v>
      </c>
      <c r="I3371" s="1" t="s">
        <v>69</v>
      </c>
      <c r="J3371" s="4">
        <f>IFERROR(__xludf.DUMMYFUNCTION("DATE(INDEX(SPLIT(I3371,""/""),,3),INDEX(SPLIT(I3371,""/""),,2),INDEX(SPLIT(I3371,""/""),,1))"),44773.0)</f>
        <v>44773</v>
      </c>
      <c r="L3371" s="1">
        <v>0.0</v>
      </c>
      <c r="M3371" s="1" t="s">
        <v>9942</v>
      </c>
      <c r="N3371" s="1"/>
      <c r="O3371" s="1" t="s">
        <v>30</v>
      </c>
      <c r="P3371" s="1" t="s">
        <v>31</v>
      </c>
      <c r="Q3371" s="1" t="s">
        <v>228</v>
      </c>
      <c r="R3371" s="1" t="s">
        <v>228</v>
      </c>
      <c r="S3371" s="1" t="s">
        <v>229</v>
      </c>
      <c r="U3371" s="1">
        <v>1.00611212E8</v>
      </c>
      <c r="X3371" s="1" t="s">
        <v>375</v>
      </c>
      <c r="Y3371" s="1" t="s">
        <v>9943</v>
      </c>
      <c r="Z3371" s="1" t="s">
        <v>37</v>
      </c>
    </row>
    <row r="3372" hidden="1">
      <c r="A3372" s="1" t="s">
        <v>9944</v>
      </c>
      <c r="B3372" s="1" t="s">
        <v>1275</v>
      </c>
      <c r="C3372" s="1" t="s">
        <v>9945</v>
      </c>
      <c r="D3372" s="1" t="s">
        <v>27</v>
      </c>
      <c r="E3372" s="1" t="s">
        <v>28</v>
      </c>
      <c r="F3372" s="2">
        <v>250000.0</v>
      </c>
      <c r="G3372" s="1" t="s">
        <v>354</v>
      </c>
      <c r="H3372" s="4">
        <f>IFERROR(__xludf.DUMMYFUNCTION("DATE(INDEX(SPLIT(G3372,""/""),,3),INDEX(SPLIT(G3372,""/""),,2),INDEX(SPLIT(G3372,""/""),,1))"),44673.0)</f>
        <v>44673</v>
      </c>
      <c r="I3372" s="4">
        <v>44812.0</v>
      </c>
      <c r="J3372" s="4">
        <f>IFERROR(__xludf.DUMMYFUNCTION("DATE(INDEX(SPLIT(I3372,""/""),,3),INDEX(SPLIT(I3372,""/""),,2),INDEX(SPLIT(I3372,""/""),,1))"),44782.0)</f>
        <v>44782</v>
      </c>
      <c r="L3372" s="1">
        <v>0.0</v>
      </c>
      <c r="M3372" s="1" t="s">
        <v>5740</v>
      </c>
      <c r="N3372" s="1"/>
      <c r="O3372" s="1" t="s">
        <v>30</v>
      </c>
      <c r="P3372" s="1" t="s">
        <v>31</v>
      </c>
      <c r="Q3372" s="1" t="s">
        <v>71</v>
      </c>
      <c r="R3372" s="1" t="s">
        <v>71</v>
      </c>
      <c r="S3372" s="1" t="s">
        <v>72</v>
      </c>
      <c r="T3372" s="1" t="s">
        <v>136</v>
      </c>
      <c r="U3372" s="1">
        <v>1.01152256E8</v>
      </c>
      <c r="X3372" s="1" t="s">
        <v>74</v>
      </c>
      <c r="Y3372" s="1" t="s">
        <v>1746</v>
      </c>
      <c r="Z3372" s="1" t="s">
        <v>37</v>
      </c>
    </row>
    <row r="3373">
      <c r="A3373" s="1" t="s">
        <v>9946</v>
      </c>
      <c r="B3373" s="1" t="s">
        <v>889</v>
      </c>
      <c r="C3373" s="1" t="s">
        <v>9947</v>
      </c>
      <c r="D3373" s="1" t="s">
        <v>27</v>
      </c>
      <c r="E3373" s="1" t="s">
        <v>28</v>
      </c>
      <c r="F3373" s="2">
        <v>250000.0</v>
      </c>
      <c r="G3373" s="4">
        <v>44685.0</v>
      </c>
      <c r="H3373" s="4">
        <f>IFERROR(__xludf.DUMMYFUNCTION("DATE(INDEX(SPLIT(G3373,""/""),,3),INDEX(SPLIT(G3373,""/""),,2),INDEX(SPLIT(G3373,""/""),,1))"),44656.0)</f>
        <v>44656</v>
      </c>
      <c r="I3373" s="1" t="s">
        <v>1244</v>
      </c>
      <c r="J3373" s="4">
        <f>IFERROR(__xludf.DUMMYFUNCTION("DATE(INDEX(SPLIT(I3373,""/""),,3),INDEX(SPLIT(I3373,""/""),,2),INDEX(SPLIT(I3373,""/""),,1))"),44742.0)</f>
        <v>44742</v>
      </c>
      <c r="L3373" s="1">
        <v>0.0</v>
      </c>
      <c r="M3373" s="1" t="s">
        <v>9948</v>
      </c>
      <c r="N3373" s="1"/>
      <c r="O3373" s="1" t="s">
        <v>30</v>
      </c>
      <c r="P3373" s="1" t="s">
        <v>31</v>
      </c>
      <c r="Q3373" s="1" t="s">
        <v>32</v>
      </c>
      <c r="R3373" s="1" t="s">
        <v>32</v>
      </c>
      <c r="S3373" s="1" t="s">
        <v>33</v>
      </c>
      <c r="U3373" s="1">
        <v>1.00642202E8</v>
      </c>
      <c r="X3373" s="1" t="s">
        <v>125</v>
      </c>
      <c r="Y3373" s="1" t="s">
        <v>3459</v>
      </c>
      <c r="Z3373" s="1" t="s">
        <v>1783</v>
      </c>
    </row>
    <row r="3374" hidden="1">
      <c r="A3374" s="1" t="s">
        <v>9949</v>
      </c>
      <c r="B3374" s="1" t="s">
        <v>9950</v>
      </c>
      <c r="C3374" s="1" t="s">
        <v>9951</v>
      </c>
      <c r="D3374" s="1" t="s">
        <v>78</v>
      </c>
      <c r="E3374" s="1" t="s">
        <v>28</v>
      </c>
      <c r="F3374" s="2">
        <v>250000.0</v>
      </c>
      <c r="G3374" s="1" t="s">
        <v>9952</v>
      </c>
      <c r="H3374" s="4">
        <f>IFERROR(__xludf.DUMMYFUNCTION("DATE(INDEX(SPLIT(G3374,""/""),,3),INDEX(SPLIT(G3374,""/""),,2),INDEX(SPLIT(G3374,""/""),,1))"),44124.0)</f>
        <v>44124</v>
      </c>
      <c r="I3374" s="1" t="s">
        <v>4601</v>
      </c>
      <c r="J3374" s="4">
        <f>IFERROR(__xludf.DUMMYFUNCTION("DATE(INDEX(SPLIT(I3374,""/""),,3),INDEX(SPLIT(I3374,""/""),,2),INDEX(SPLIT(I3374,""/""),,1))"),44797.0)</f>
        <v>44797</v>
      </c>
      <c r="L3374" s="1">
        <v>0.0</v>
      </c>
      <c r="M3374" s="1" t="s">
        <v>2147</v>
      </c>
      <c r="N3374" s="1"/>
      <c r="O3374" s="1" t="s">
        <v>30</v>
      </c>
      <c r="P3374" s="1" t="s">
        <v>31</v>
      </c>
      <c r="Q3374" s="1" t="s">
        <v>235</v>
      </c>
      <c r="R3374" s="1" t="s">
        <v>235</v>
      </c>
      <c r="S3374" s="1" t="s">
        <v>236</v>
      </c>
      <c r="T3374" s="1" t="s">
        <v>237</v>
      </c>
      <c r="U3374" s="1">
        <v>1.00647935E8</v>
      </c>
      <c r="X3374" s="1" t="s">
        <v>239</v>
      </c>
      <c r="Y3374" s="1" t="s">
        <v>2147</v>
      </c>
      <c r="Z3374" s="1" t="s">
        <v>37</v>
      </c>
    </row>
    <row r="3375" hidden="1">
      <c r="A3375" s="1" t="s">
        <v>9953</v>
      </c>
      <c r="B3375" s="1" t="s">
        <v>337</v>
      </c>
      <c r="C3375" s="1" t="s">
        <v>9954</v>
      </c>
      <c r="D3375" s="1" t="s">
        <v>122</v>
      </c>
      <c r="E3375" s="1" t="s">
        <v>28</v>
      </c>
      <c r="F3375" s="2">
        <v>250000.0</v>
      </c>
      <c r="G3375" s="1" t="s">
        <v>3295</v>
      </c>
      <c r="H3375" s="4">
        <f>IFERROR(__xludf.DUMMYFUNCTION("DATE(INDEX(SPLIT(G3375,""/""),,3),INDEX(SPLIT(G3375,""/""),,2),INDEX(SPLIT(G3375,""/""),,1))"),44575.0)</f>
        <v>44575</v>
      </c>
      <c r="I3375" s="1" t="s">
        <v>85</v>
      </c>
      <c r="J3375" s="4">
        <f>IFERROR(__xludf.DUMMYFUNCTION("DATE(INDEX(SPLIT(I3375,""/""),,3),INDEX(SPLIT(I3375,""/""),,2),INDEX(SPLIT(I3375,""/""),,1))"),44799.0)</f>
        <v>44799</v>
      </c>
      <c r="L3375" s="1">
        <v>0.0</v>
      </c>
      <c r="M3375" s="1" t="s">
        <v>2472</v>
      </c>
      <c r="N3375" s="1"/>
      <c r="O3375" s="1" t="s">
        <v>30</v>
      </c>
      <c r="P3375" s="1" t="s">
        <v>31</v>
      </c>
      <c r="Q3375" s="1" t="s">
        <v>228</v>
      </c>
      <c r="R3375" s="1" t="s">
        <v>228</v>
      </c>
      <c r="S3375" s="1" t="s">
        <v>229</v>
      </c>
      <c r="T3375" s="1" t="s">
        <v>640</v>
      </c>
      <c r="U3375" s="1">
        <v>1.00645232E8</v>
      </c>
      <c r="X3375" s="1" t="s">
        <v>239</v>
      </c>
      <c r="Y3375" s="1" t="s">
        <v>2977</v>
      </c>
      <c r="Z3375" s="1" t="s">
        <v>37</v>
      </c>
    </row>
    <row r="3376" hidden="1">
      <c r="A3376" s="1" t="s">
        <v>9955</v>
      </c>
      <c r="B3376" s="1" t="s">
        <v>39</v>
      </c>
      <c r="C3376" s="1" t="s">
        <v>9956</v>
      </c>
      <c r="D3376" s="1" t="s">
        <v>27</v>
      </c>
      <c r="E3376" s="1" t="s">
        <v>28</v>
      </c>
      <c r="F3376" s="2">
        <v>250000.0</v>
      </c>
      <c r="G3376" s="1" t="s">
        <v>1500</v>
      </c>
      <c r="H3376" s="4">
        <f>IFERROR(__xludf.DUMMYFUNCTION("DATE(INDEX(SPLIT(G3376,""/""),,3),INDEX(SPLIT(G3376,""/""),,2),INDEX(SPLIT(G3376,""/""),,1))"),44695.0)</f>
        <v>44695</v>
      </c>
      <c r="I3376" s="4">
        <v>44927.0</v>
      </c>
      <c r="J3376" s="4">
        <f>IFERROR(__xludf.DUMMYFUNCTION("DATE(INDEX(SPLIT(I3376,""/""),,3),INDEX(SPLIT(I3376,""/""),,2),INDEX(SPLIT(I3376,""/""),,1))"),44927.0)</f>
        <v>44927</v>
      </c>
      <c r="L3376" s="1">
        <v>0.0</v>
      </c>
      <c r="M3376" s="1" t="s">
        <v>6833</v>
      </c>
      <c r="N3376" s="1"/>
      <c r="O3376" s="1" t="s">
        <v>30</v>
      </c>
      <c r="P3376" s="1" t="s">
        <v>31</v>
      </c>
      <c r="Q3376" s="1" t="s">
        <v>32</v>
      </c>
      <c r="R3376" s="1" t="s">
        <v>32</v>
      </c>
      <c r="S3376" s="1" t="s">
        <v>33</v>
      </c>
      <c r="T3376" s="1" t="s">
        <v>1195</v>
      </c>
      <c r="U3376" s="1">
        <v>1.01210545E8</v>
      </c>
      <c r="X3376" s="1" t="s">
        <v>46</v>
      </c>
      <c r="Y3376" s="1" t="s">
        <v>6833</v>
      </c>
      <c r="Z3376" s="1" t="s">
        <v>206</v>
      </c>
    </row>
    <row r="3377" hidden="1">
      <c r="A3377" s="1" t="s">
        <v>9957</v>
      </c>
      <c r="B3377" s="1" t="s">
        <v>9161</v>
      </c>
      <c r="C3377" s="1" t="s">
        <v>9958</v>
      </c>
      <c r="D3377" s="1" t="s">
        <v>122</v>
      </c>
      <c r="E3377" s="1" t="s">
        <v>28</v>
      </c>
      <c r="F3377" s="2">
        <v>250000.0</v>
      </c>
      <c r="G3377" s="1" t="s">
        <v>2110</v>
      </c>
      <c r="H3377" s="4">
        <f>IFERROR(__xludf.DUMMYFUNCTION("DATE(INDEX(SPLIT(G3377,""/""),,3),INDEX(SPLIT(G3377,""/""),,2),INDEX(SPLIT(G3377,""/""),,1))"),44650.0)</f>
        <v>44650</v>
      </c>
      <c r="I3377" s="4">
        <v>44601.0</v>
      </c>
      <c r="J3377" s="4">
        <f>IFERROR(__xludf.DUMMYFUNCTION("DATE(INDEX(SPLIT(I3377,""/""),,3),INDEX(SPLIT(I3377,""/""),,2),INDEX(SPLIT(I3377,""/""),,1))"),44806.0)</f>
        <v>44806</v>
      </c>
      <c r="L3377" s="1">
        <v>0.0</v>
      </c>
      <c r="M3377" s="1" t="s">
        <v>467</v>
      </c>
      <c r="N3377" s="1"/>
      <c r="O3377" s="1" t="s">
        <v>30</v>
      </c>
      <c r="P3377" s="1" t="s">
        <v>31</v>
      </c>
      <c r="Q3377" s="1" t="s">
        <v>32</v>
      </c>
      <c r="R3377" s="1" t="s">
        <v>32</v>
      </c>
      <c r="S3377" s="1" t="s">
        <v>33</v>
      </c>
      <c r="T3377" s="1" t="s">
        <v>103</v>
      </c>
      <c r="U3377" s="1">
        <v>1.00619817E8</v>
      </c>
      <c r="X3377" s="1" t="s">
        <v>46</v>
      </c>
      <c r="Y3377" s="1" t="s">
        <v>467</v>
      </c>
      <c r="Z3377" s="1" t="s">
        <v>37</v>
      </c>
    </row>
    <row r="3378">
      <c r="A3378" s="1" t="s">
        <v>9959</v>
      </c>
      <c r="B3378" s="1" t="s">
        <v>301</v>
      </c>
      <c r="C3378" s="1" t="s">
        <v>9960</v>
      </c>
      <c r="D3378" s="1" t="s">
        <v>27</v>
      </c>
      <c r="E3378" s="1" t="s">
        <v>28</v>
      </c>
      <c r="F3378" s="2">
        <v>250000.0</v>
      </c>
      <c r="G3378" s="1" t="s">
        <v>3853</v>
      </c>
      <c r="H3378" s="4">
        <f>IFERROR(__xludf.DUMMYFUNCTION("DATE(INDEX(SPLIT(G3378,""/""),,3),INDEX(SPLIT(G3378,""/""),,2),INDEX(SPLIT(G3378,""/""),,1))"),44679.0)</f>
        <v>44679</v>
      </c>
      <c r="I3378" s="4">
        <v>44626.0</v>
      </c>
      <c r="J3378" s="4">
        <f>IFERROR(__xludf.DUMMYFUNCTION("DATE(INDEX(SPLIT(I3378,""/""),,3),INDEX(SPLIT(I3378,""/""),,2),INDEX(SPLIT(I3378,""/""),,1))"),44715.0)</f>
        <v>44715</v>
      </c>
      <c r="L3378" s="1">
        <v>0.0</v>
      </c>
      <c r="M3378" s="1" t="s">
        <v>5030</v>
      </c>
      <c r="N3378" s="1"/>
      <c r="O3378" s="1" t="s">
        <v>30</v>
      </c>
      <c r="P3378" s="1" t="s">
        <v>31</v>
      </c>
      <c r="Q3378" s="1" t="s">
        <v>228</v>
      </c>
      <c r="R3378" s="1" t="s">
        <v>228</v>
      </c>
      <c r="S3378" s="1" t="s">
        <v>229</v>
      </c>
      <c r="T3378" s="1" t="s">
        <v>640</v>
      </c>
      <c r="U3378" s="1">
        <v>1.00986592E8</v>
      </c>
      <c r="X3378" s="1" t="s">
        <v>305</v>
      </c>
      <c r="Y3378" s="1" t="s">
        <v>1663</v>
      </c>
      <c r="Z3378" s="1" t="s">
        <v>37</v>
      </c>
    </row>
    <row r="3379" hidden="1">
      <c r="A3379" s="1" t="s">
        <v>9961</v>
      </c>
      <c r="B3379" s="1" t="s">
        <v>9962</v>
      </c>
      <c r="C3379" s="1" t="s">
        <v>9963</v>
      </c>
      <c r="D3379" s="1" t="s">
        <v>27</v>
      </c>
      <c r="E3379" s="1" t="s">
        <v>28</v>
      </c>
      <c r="F3379" s="2">
        <v>250000.0</v>
      </c>
      <c r="G3379" s="1" t="s">
        <v>7249</v>
      </c>
      <c r="H3379" s="4">
        <f>IFERROR(__xludf.DUMMYFUNCTION("DATE(INDEX(SPLIT(G3379,""/""),,3),INDEX(SPLIT(G3379,""/""),,2),INDEX(SPLIT(G3379,""/""),,1))"),44281.0)</f>
        <v>44281</v>
      </c>
      <c r="I3379" s="1" t="s">
        <v>425</v>
      </c>
      <c r="J3379" s="4">
        <f>IFERROR(__xludf.DUMMYFUNCTION("DATE(INDEX(SPLIT(I3379,""/""),,3),INDEX(SPLIT(I3379,""/""),,2),INDEX(SPLIT(I3379,""/""),,1))"),44911.0)</f>
        <v>44911</v>
      </c>
      <c r="L3379" s="1">
        <v>0.0</v>
      </c>
      <c r="M3379" s="1" t="s">
        <v>2147</v>
      </c>
      <c r="N3379" s="1"/>
      <c r="O3379" s="1" t="s">
        <v>30</v>
      </c>
      <c r="P3379" s="1" t="s">
        <v>31</v>
      </c>
      <c r="Q3379" s="1" t="s">
        <v>235</v>
      </c>
      <c r="R3379" s="1" t="s">
        <v>235</v>
      </c>
      <c r="S3379" s="1" t="s">
        <v>236</v>
      </c>
      <c r="T3379" s="1" t="s">
        <v>237</v>
      </c>
      <c r="U3379" s="1">
        <v>1.00647935E8</v>
      </c>
      <c r="X3379" s="1" t="s">
        <v>239</v>
      </c>
      <c r="Y3379" s="1" t="s">
        <v>9913</v>
      </c>
      <c r="Z3379" s="1" t="s">
        <v>37</v>
      </c>
    </row>
    <row r="3380" hidden="1">
      <c r="A3380" s="1" t="s">
        <v>9964</v>
      </c>
      <c r="B3380" s="1" t="s">
        <v>1780</v>
      </c>
      <c r="C3380" s="1" t="s">
        <v>9965</v>
      </c>
      <c r="D3380" s="1" t="s">
        <v>27</v>
      </c>
      <c r="E3380" s="1" t="s">
        <v>28</v>
      </c>
      <c r="F3380" s="2">
        <v>250000.0</v>
      </c>
      <c r="G3380" s="1" t="s">
        <v>3896</v>
      </c>
      <c r="H3380" s="4">
        <f>IFERROR(__xludf.DUMMYFUNCTION("DATE(INDEX(SPLIT(G3380,""/""),,3),INDEX(SPLIT(G3380,""/""),,2),INDEX(SPLIT(G3380,""/""),,1))"),44697.0)</f>
        <v>44697</v>
      </c>
      <c r="I3380" s="1" t="s">
        <v>109</v>
      </c>
      <c r="J3380" s="4">
        <f>IFERROR(__xludf.DUMMYFUNCTION("DATE(INDEX(SPLIT(I3380,""/""),,3),INDEX(SPLIT(I3380,""/""),,2),INDEX(SPLIT(I3380,""/""),,1))"),44834.0)</f>
        <v>44834</v>
      </c>
      <c r="L3380" s="1">
        <v>0.0</v>
      </c>
      <c r="M3380" s="1" t="s">
        <v>1088</v>
      </c>
      <c r="N3380" s="1"/>
      <c r="O3380" s="1" t="s">
        <v>30</v>
      </c>
      <c r="P3380" s="1" t="s">
        <v>31</v>
      </c>
      <c r="Q3380" s="1" t="s">
        <v>71</v>
      </c>
      <c r="R3380" s="1" t="s">
        <v>71</v>
      </c>
      <c r="S3380" s="1" t="s">
        <v>72</v>
      </c>
      <c r="T3380" s="1" t="s">
        <v>136</v>
      </c>
      <c r="U3380" s="1">
        <v>1.0090037E8</v>
      </c>
      <c r="X3380" s="1" t="s">
        <v>74</v>
      </c>
      <c r="Y3380" s="1" t="s">
        <v>1088</v>
      </c>
      <c r="Z3380" s="1" t="s">
        <v>37</v>
      </c>
    </row>
    <row r="3381" hidden="1">
      <c r="A3381" s="1" t="s">
        <v>9966</v>
      </c>
      <c r="B3381" s="1" t="s">
        <v>784</v>
      </c>
      <c r="C3381" s="1" t="s">
        <v>9967</v>
      </c>
      <c r="D3381" s="1" t="s">
        <v>27</v>
      </c>
      <c r="E3381" s="1" t="s">
        <v>28</v>
      </c>
      <c r="F3381" s="2">
        <v>250000.0</v>
      </c>
      <c r="G3381" s="1" t="s">
        <v>3853</v>
      </c>
      <c r="H3381" s="4">
        <f>IFERROR(__xludf.DUMMYFUNCTION("DATE(INDEX(SPLIT(G3381,""/""),,3),INDEX(SPLIT(G3381,""/""),,2),INDEX(SPLIT(G3381,""/""),,1))"),44679.0)</f>
        <v>44679</v>
      </c>
      <c r="I3381" s="4">
        <v>44570.0</v>
      </c>
      <c r="J3381" s="4">
        <f>IFERROR(__xludf.DUMMYFUNCTION("DATE(INDEX(SPLIT(I3381,""/""),,3),INDEX(SPLIT(I3381,""/""),,2),INDEX(SPLIT(I3381,""/""),,1))"),44805.0)</f>
        <v>44805</v>
      </c>
      <c r="L3381" s="1">
        <v>0.0</v>
      </c>
      <c r="M3381" s="1" t="s">
        <v>2582</v>
      </c>
      <c r="N3381" s="1"/>
      <c r="O3381" s="1" t="s">
        <v>30</v>
      </c>
      <c r="P3381" s="1" t="s">
        <v>31</v>
      </c>
      <c r="Q3381" s="1" t="s">
        <v>157</v>
      </c>
      <c r="R3381" s="1" t="s">
        <v>157</v>
      </c>
      <c r="S3381" s="1" t="s">
        <v>158</v>
      </c>
      <c r="U3381" s="1">
        <v>1.00590772E8</v>
      </c>
      <c r="X3381" s="1" t="s">
        <v>63</v>
      </c>
      <c r="Y3381" s="1" t="s">
        <v>7204</v>
      </c>
      <c r="Z3381" s="1" t="s">
        <v>37</v>
      </c>
    </row>
    <row r="3382" hidden="1">
      <c r="A3382" s="1" t="s">
        <v>9968</v>
      </c>
      <c r="B3382" s="1" t="s">
        <v>127</v>
      </c>
      <c r="C3382" s="1" t="s">
        <v>9969</v>
      </c>
      <c r="D3382" s="1" t="s">
        <v>27</v>
      </c>
      <c r="E3382" s="1" t="s">
        <v>28</v>
      </c>
      <c r="F3382" s="2">
        <v>250000.0</v>
      </c>
      <c r="G3382" s="1" t="s">
        <v>1438</v>
      </c>
      <c r="H3382" s="4">
        <f>IFERROR(__xludf.DUMMYFUNCTION("DATE(INDEX(SPLIT(G3382,""/""),,3),INDEX(SPLIT(G3382,""/""),,2),INDEX(SPLIT(G3382,""/""),,1))"),44708.0)</f>
        <v>44708</v>
      </c>
      <c r="I3382" s="1" t="s">
        <v>281</v>
      </c>
      <c r="J3382" s="4">
        <f>IFERROR(__xludf.DUMMYFUNCTION("DATE(INDEX(SPLIT(I3382,""/""),,3),INDEX(SPLIT(I3382,""/""),,2),INDEX(SPLIT(I3382,""/""),,1))"),44865.0)</f>
        <v>44865</v>
      </c>
      <c r="L3382" s="1">
        <v>0.0</v>
      </c>
      <c r="M3382" s="1" t="s">
        <v>2339</v>
      </c>
      <c r="N3382" s="1"/>
      <c r="O3382" s="1" t="s">
        <v>30</v>
      </c>
      <c r="P3382" s="1" t="s">
        <v>31</v>
      </c>
      <c r="Q3382" s="1" t="s">
        <v>95</v>
      </c>
      <c r="R3382" s="1" t="s">
        <v>95</v>
      </c>
      <c r="S3382" s="1" t="s">
        <v>96</v>
      </c>
      <c r="T3382" s="1" t="s">
        <v>217</v>
      </c>
      <c r="U3382" s="1">
        <v>1.00595635E8</v>
      </c>
      <c r="X3382" s="1" t="s">
        <v>81</v>
      </c>
      <c r="Y3382" s="1" t="s">
        <v>2339</v>
      </c>
      <c r="Z3382" s="1" t="s">
        <v>527</v>
      </c>
    </row>
    <row r="3383" hidden="1">
      <c r="A3383" s="1" t="s">
        <v>9970</v>
      </c>
      <c r="B3383" s="1" t="s">
        <v>127</v>
      </c>
      <c r="C3383" s="1" t="s">
        <v>9971</v>
      </c>
      <c r="D3383" s="1" t="s">
        <v>27</v>
      </c>
      <c r="E3383" s="1" t="s">
        <v>28</v>
      </c>
      <c r="F3383" s="2">
        <v>250000.0</v>
      </c>
      <c r="G3383" s="1" t="s">
        <v>1438</v>
      </c>
      <c r="H3383" s="4">
        <f>IFERROR(__xludf.DUMMYFUNCTION("DATE(INDEX(SPLIT(G3383,""/""),,3),INDEX(SPLIT(G3383,""/""),,2),INDEX(SPLIT(G3383,""/""),,1))"),44708.0)</f>
        <v>44708</v>
      </c>
      <c r="I3383" s="1" t="s">
        <v>42</v>
      </c>
      <c r="J3383" s="4">
        <f>IFERROR(__xludf.DUMMYFUNCTION("DATE(INDEX(SPLIT(I3383,""/""),,3),INDEX(SPLIT(I3383,""/""),,2),INDEX(SPLIT(I3383,""/""),,1))"),44926.0)</f>
        <v>44926</v>
      </c>
      <c r="L3383" s="1">
        <v>0.0</v>
      </c>
      <c r="M3383" s="1" t="s">
        <v>2339</v>
      </c>
      <c r="N3383" s="1"/>
      <c r="O3383" s="1" t="s">
        <v>30</v>
      </c>
      <c r="P3383" s="1" t="s">
        <v>31</v>
      </c>
      <c r="Q3383" s="1" t="s">
        <v>95</v>
      </c>
      <c r="R3383" s="1" t="s">
        <v>95</v>
      </c>
      <c r="S3383" s="1" t="s">
        <v>96</v>
      </c>
      <c r="T3383" s="1" t="s">
        <v>217</v>
      </c>
      <c r="U3383" s="1">
        <v>1.00595635E8</v>
      </c>
      <c r="X3383" s="1" t="s">
        <v>81</v>
      </c>
      <c r="Y3383" s="1" t="s">
        <v>2339</v>
      </c>
      <c r="Z3383" s="1" t="s">
        <v>527</v>
      </c>
    </row>
    <row r="3384" hidden="1">
      <c r="A3384" s="1" t="s">
        <v>9972</v>
      </c>
      <c r="B3384" s="1" t="s">
        <v>1192</v>
      </c>
      <c r="C3384" s="1" t="s">
        <v>9973</v>
      </c>
      <c r="D3384" s="1" t="s">
        <v>27</v>
      </c>
      <c r="E3384" s="1" t="s">
        <v>28</v>
      </c>
      <c r="F3384" s="2">
        <v>250000.0</v>
      </c>
      <c r="G3384" s="4">
        <v>44779.0</v>
      </c>
      <c r="H3384" s="4">
        <f>IFERROR(__xludf.DUMMYFUNCTION("DATE(INDEX(SPLIT(G3384,""/""),,3),INDEX(SPLIT(G3384,""/""),,2),INDEX(SPLIT(G3384,""/""),,1))"),44720.0)</f>
        <v>44720</v>
      </c>
      <c r="I3384" s="1" t="s">
        <v>625</v>
      </c>
      <c r="J3384" s="4">
        <f>IFERROR(__xludf.DUMMYFUNCTION("DATE(INDEX(SPLIT(I3384,""/""),,3),INDEX(SPLIT(I3384,""/""),,2),INDEX(SPLIT(I3384,""/""),,1))"),44848.0)</f>
        <v>44848</v>
      </c>
      <c r="L3384" s="1">
        <v>0.0</v>
      </c>
      <c r="M3384" s="1" t="s">
        <v>3099</v>
      </c>
      <c r="N3384" s="1"/>
      <c r="O3384" s="1" t="s">
        <v>30</v>
      </c>
      <c r="P3384" s="1" t="s">
        <v>31</v>
      </c>
      <c r="Q3384" s="1" t="s">
        <v>95</v>
      </c>
      <c r="R3384" s="1" t="s">
        <v>95</v>
      </c>
      <c r="S3384" s="1" t="s">
        <v>96</v>
      </c>
      <c r="T3384" s="1" t="s">
        <v>97</v>
      </c>
      <c r="U3384" s="1">
        <v>1.00589299E8</v>
      </c>
      <c r="X3384" s="1" t="s">
        <v>125</v>
      </c>
      <c r="Y3384" s="1" t="s">
        <v>2576</v>
      </c>
      <c r="Z3384" s="1" t="s">
        <v>37</v>
      </c>
    </row>
    <row r="3385" hidden="1">
      <c r="A3385" s="1" t="s">
        <v>9974</v>
      </c>
      <c r="B3385" s="1" t="s">
        <v>127</v>
      </c>
      <c r="C3385" s="1" t="s">
        <v>9975</v>
      </c>
      <c r="D3385" s="1" t="s">
        <v>27</v>
      </c>
      <c r="E3385" s="1" t="s">
        <v>28</v>
      </c>
      <c r="F3385" s="2">
        <v>250000.0</v>
      </c>
      <c r="G3385" s="1" t="s">
        <v>1438</v>
      </c>
      <c r="H3385" s="4">
        <f>IFERROR(__xludf.DUMMYFUNCTION("DATE(INDEX(SPLIT(G3385,""/""),,3),INDEX(SPLIT(G3385,""/""),,2),INDEX(SPLIT(G3385,""/""),,1))"),44708.0)</f>
        <v>44708</v>
      </c>
      <c r="I3385" s="1" t="s">
        <v>42</v>
      </c>
      <c r="J3385" s="4">
        <f>IFERROR(__xludf.DUMMYFUNCTION("DATE(INDEX(SPLIT(I3385,""/""),,3),INDEX(SPLIT(I3385,""/""),,2),INDEX(SPLIT(I3385,""/""),,1))"),44926.0)</f>
        <v>44926</v>
      </c>
      <c r="L3385" s="1">
        <v>0.0</v>
      </c>
      <c r="M3385" s="1" t="s">
        <v>2339</v>
      </c>
      <c r="N3385" s="1"/>
      <c r="O3385" s="1" t="s">
        <v>30</v>
      </c>
      <c r="P3385" s="1" t="s">
        <v>31</v>
      </c>
      <c r="Q3385" s="1" t="s">
        <v>95</v>
      </c>
      <c r="R3385" s="1" t="s">
        <v>95</v>
      </c>
      <c r="S3385" s="1" t="s">
        <v>96</v>
      </c>
      <c r="T3385" s="1" t="s">
        <v>217</v>
      </c>
      <c r="U3385" s="1">
        <v>1.00595635E8</v>
      </c>
      <c r="X3385" s="1" t="s">
        <v>81</v>
      </c>
      <c r="Y3385" s="1" t="s">
        <v>2339</v>
      </c>
      <c r="Z3385" s="1" t="s">
        <v>527</v>
      </c>
    </row>
    <row r="3386" hidden="1">
      <c r="A3386" s="1" t="s">
        <v>9976</v>
      </c>
      <c r="B3386" s="1" t="s">
        <v>127</v>
      </c>
      <c r="C3386" s="1" t="s">
        <v>9977</v>
      </c>
      <c r="D3386" s="1" t="s">
        <v>27</v>
      </c>
      <c r="E3386" s="1" t="s">
        <v>28</v>
      </c>
      <c r="F3386" s="2">
        <v>250000.0</v>
      </c>
      <c r="G3386" s="1" t="s">
        <v>1438</v>
      </c>
      <c r="H3386" s="4">
        <f>IFERROR(__xludf.DUMMYFUNCTION("DATE(INDEX(SPLIT(G3386,""/""),,3),INDEX(SPLIT(G3386,""/""),,2),INDEX(SPLIT(G3386,""/""),,1))"),44708.0)</f>
        <v>44708</v>
      </c>
      <c r="I3386" s="1" t="s">
        <v>42</v>
      </c>
      <c r="J3386" s="4">
        <f>IFERROR(__xludf.DUMMYFUNCTION("DATE(INDEX(SPLIT(I3386,""/""),,3),INDEX(SPLIT(I3386,""/""),,2),INDEX(SPLIT(I3386,""/""),,1))"),44926.0)</f>
        <v>44926</v>
      </c>
      <c r="L3386" s="1">
        <v>0.0</v>
      </c>
      <c r="M3386" s="1" t="s">
        <v>2339</v>
      </c>
      <c r="N3386" s="1"/>
      <c r="O3386" s="1" t="s">
        <v>30</v>
      </c>
      <c r="P3386" s="1" t="s">
        <v>31</v>
      </c>
      <c r="Q3386" s="1" t="s">
        <v>95</v>
      </c>
      <c r="R3386" s="1" t="s">
        <v>95</v>
      </c>
      <c r="S3386" s="1" t="s">
        <v>96</v>
      </c>
      <c r="T3386" s="1" t="s">
        <v>217</v>
      </c>
      <c r="U3386" s="1">
        <v>1.00595635E8</v>
      </c>
      <c r="X3386" s="1" t="s">
        <v>81</v>
      </c>
      <c r="Y3386" s="1" t="s">
        <v>2339</v>
      </c>
      <c r="Z3386" s="1" t="s">
        <v>527</v>
      </c>
    </row>
    <row r="3387" hidden="1">
      <c r="A3387" s="1" t="s">
        <v>9978</v>
      </c>
      <c r="B3387" s="1" t="s">
        <v>938</v>
      </c>
      <c r="C3387" s="1" t="s">
        <v>9979</v>
      </c>
      <c r="D3387" s="1" t="s">
        <v>78</v>
      </c>
      <c r="E3387" s="1" t="s">
        <v>28</v>
      </c>
      <c r="F3387" s="2">
        <v>250000.0</v>
      </c>
      <c r="G3387" s="1" t="s">
        <v>2963</v>
      </c>
      <c r="H3387" s="4">
        <f>IFERROR(__xludf.DUMMYFUNCTION("DATE(INDEX(SPLIT(G3387,""/""),,3),INDEX(SPLIT(G3387,""/""),,2),INDEX(SPLIT(G3387,""/""),,1))"),44524.0)</f>
        <v>44524</v>
      </c>
      <c r="I3387" s="4">
        <v>44601.0</v>
      </c>
      <c r="J3387" s="4">
        <f>IFERROR(__xludf.DUMMYFUNCTION("DATE(INDEX(SPLIT(I3387,""/""),,3),INDEX(SPLIT(I3387,""/""),,2),INDEX(SPLIT(I3387,""/""),,1))"),44806.0)</f>
        <v>44806</v>
      </c>
      <c r="L3387" s="1">
        <v>0.0</v>
      </c>
      <c r="M3387" s="1" t="s">
        <v>558</v>
      </c>
      <c r="N3387" s="1"/>
      <c r="O3387" s="1" t="s">
        <v>30</v>
      </c>
      <c r="P3387" s="1" t="s">
        <v>31</v>
      </c>
      <c r="Q3387" s="1" t="s">
        <v>53</v>
      </c>
      <c r="R3387" s="1" t="s">
        <v>53</v>
      </c>
      <c r="S3387" s="1" t="s">
        <v>54</v>
      </c>
      <c r="T3387" s="1" t="s">
        <v>87</v>
      </c>
      <c r="U3387" s="1">
        <v>1.00653597E8</v>
      </c>
      <c r="X3387" s="1" t="s">
        <v>88</v>
      </c>
      <c r="Y3387" s="1" t="s">
        <v>3861</v>
      </c>
      <c r="Z3387" s="1" t="s">
        <v>37</v>
      </c>
    </row>
    <row r="3388" hidden="1">
      <c r="A3388" s="1" t="s">
        <v>9980</v>
      </c>
      <c r="B3388" s="1" t="s">
        <v>9981</v>
      </c>
      <c r="C3388" s="1" t="s">
        <v>9982</v>
      </c>
      <c r="D3388" s="1" t="s">
        <v>78</v>
      </c>
      <c r="E3388" s="1" t="s">
        <v>28</v>
      </c>
      <c r="F3388" s="2">
        <v>250000.0</v>
      </c>
      <c r="G3388" s="4">
        <v>44236.0</v>
      </c>
      <c r="H3388" s="4">
        <f>IFERROR(__xludf.DUMMYFUNCTION("DATE(INDEX(SPLIT(G3388,""/""),,3),INDEX(SPLIT(G3388,""/""),,2),INDEX(SPLIT(G3388,""/""),,1))"),44441.0)</f>
        <v>44441</v>
      </c>
      <c r="I3388" s="1" t="s">
        <v>652</v>
      </c>
      <c r="J3388" s="4">
        <f>IFERROR(__xludf.DUMMYFUNCTION("DATE(INDEX(SPLIT(I3388,""/""),,3),INDEX(SPLIT(I3388,""/""),,2),INDEX(SPLIT(I3388,""/""),,1))"),44863.0)</f>
        <v>44863</v>
      </c>
      <c r="L3388" s="1">
        <v>0.0</v>
      </c>
      <c r="M3388" s="1" t="s">
        <v>3304</v>
      </c>
      <c r="N3388" s="1"/>
      <c r="O3388" s="1" t="s">
        <v>30</v>
      </c>
      <c r="P3388" s="1" t="s">
        <v>31</v>
      </c>
      <c r="Q3388" s="1" t="s">
        <v>188</v>
      </c>
      <c r="R3388" s="1" t="s">
        <v>188</v>
      </c>
      <c r="S3388" s="1" t="s">
        <v>189</v>
      </c>
      <c r="T3388" s="1" t="s">
        <v>9983</v>
      </c>
      <c r="U3388" s="1">
        <v>1.00584866E8</v>
      </c>
      <c r="X3388" s="1" t="s">
        <v>125</v>
      </c>
      <c r="Y3388" s="1" t="s">
        <v>3304</v>
      </c>
      <c r="Z3388" s="1" t="s">
        <v>37</v>
      </c>
    </row>
    <row r="3389" hidden="1">
      <c r="A3389" s="1" t="s">
        <v>9984</v>
      </c>
      <c r="B3389" s="1" t="s">
        <v>700</v>
      </c>
      <c r="C3389" s="1" t="s">
        <v>9985</v>
      </c>
      <c r="D3389" s="1" t="s">
        <v>27</v>
      </c>
      <c r="E3389" s="1" t="s">
        <v>28</v>
      </c>
      <c r="F3389" s="2">
        <v>250000.0</v>
      </c>
      <c r="G3389" s="4">
        <v>44778.0</v>
      </c>
      <c r="H3389" s="4">
        <f>IFERROR(__xludf.DUMMYFUNCTION("DATE(INDEX(SPLIT(G3389,""/""),,3),INDEX(SPLIT(G3389,""/""),,2),INDEX(SPLIT(G3389,""/""),,1))"),44689.0)</f>
        <v>44689</v>
      </c>
      <c r="I3389" s="4">
        <v>44571.0</v>
      </c>
      <c r="J3389" s="4">
        <f>IFERROR(__xludf.DUMMYFUNCTION("DATE(INDEX(SPLIT(I3389,""/""),,3),INDEX(SPLIT(I3389,""/""),,2),INDEX(SPLIT(I3389,""/""),,1))"),44835.0)</f>
        <v>44835</v>
      </c>
      <c r="L3389" s="1">
        <v>0.0</v>
      </c>
      <c r="M3389" s="1" t="s">
        <v>702</v>
      </c>
      <c r="N3389" s="1"/>
      <c r="O3389" s="1" t="s">
        <v>30</v>
      </c>
      <c r="P3389" s="1" t="s">
        <v>31</v>
      </c>
      <c r="Q3389" s="1" t="s">
        <v>95</v>
      </c>
      <c r="R3389" s="1" t="s">
        <v>95</v>
      </c>
      <c r="S3389" s="1" t="s">
        <v>96</v>
      </c>
      <c r="T3389" s="1" t="s">
        <v>311</v>
      </c>
      <c r="U3389" s="1">
        <v>1.00616804E8</v>
      </c>
      <c r="X3389" s="1" t="s">
        <v>98</v>
      </c>
      <c r="Y3389" s="1" t="s">
        <v>702</v>
      </c>
      <c r="Z3389" s="1" t="s">
        <v>37</v>
      </c>
    </row>
    <row r="3390" hidden="1">
      <c r="A3390" s="1" t="s">
        <v>9986</v>
      </c>
      <c r="B3390" s="1" t="s">
        <v>9987</v>
      </c>
      <c r="C3390" s="1" t="s">
        <v>9988</v>
      </c>
      <c r="D3390" s="1" t="s">
        <v>78</v>
      </c>
      <c r="E3390" s="1" t="s">
        <v>28</v>
      </c>
      <c r="F3390" s="2">
        <v>250000.0</v>
      </c>
      <c r="G3390" s="4">
        <v>44381.0</v>
      </c>
      <c r="H3390" s="4">
        <f>IFERROR(__xludf.DUMMYFUNCTION("DATE(INDEX(SPLIT(G3390,""/""),,3),INDEX(SPLIT(G3390,""/""),,2),INDEX(SPLIT(G3390,""/""),,1))"),44293.0)</f>
        <v>44293</v>
      </c>
      <c r="I3390" s="1" t="s">
        <v>1097</v>
      </c>
      <c r="J3390" s="4">
        <f>IFERROR(__xludf.DUMMYFUNCTION("DATE(INDEX(SPLIT(I3390,""/""),,3),INDEX(SPLIT(I3390,""/""),,2),INDEX(SPLIT(I3390,""/""),,1))"),45107.0)</f>
        <v>45107</v>
      </c>
      <c r="L3390" s="1">
        <v>0.0</v>
      </c>
      <c r="M3390" s="1" t="s">
        <v>4477</v>
      </c>
      <c r="N3390" s="1"/>
      <c r="O3390" s="1" t="s">
        <v>30</v>
      </c>
      <c r="P3390" s="1" t="s">
        <v>31</v>
      </c>
      <c r="Q3390" s="1" t="s">
        <v>228</v>
      </c>
      <c r="R3390" s="1" t="s">
        <v>228</v>
      </c>
      <c r="S3390" s="1" t="s">
        <v>229</v>
      </c>
      <c r="T3390" s="1" t="s">
        <v>513</v>
      </c>
      <c r="U3390" s="1">
        <v>1.00592715E8</v>
      </c>
      <c r="X3390" s="1" t="s">
        <v>98</v>
      </c>
      <c r="Y3390" s="1" t="s">
        <v>4477</v>
      </c>
      <c r="Z3390" s="1" t="s">
        <v>37</v>
      </c>
    </row>
    <row r="3391" hidden="1">
      <c r="A3391" s="1" t="s">
        <v>9989</v>
      </c>
      <c r="B3391" s="1" t="s">
        <v>645</v>
      </c>
      <c r="C3391" s="1" t="s">
        <v>9990</v>
      </c>
      <c r="D3391" s="1" t="s">
        <v>27</v>
      </c>
      <c r="E3391" s="1" t="s">
        <v>28</v>
      </c>
      <c r="F3391" s="2">
        <v>250000.0</v>
      </c>
      <c r="G3391" s="4">
        <v>44809.0</v>
      </c>
      <c r="H3391" s="4">
        <f>IFERROR(__xludf.DUMMYFUNCTION("DATE(INDEX(SPLIT(G3391,""/""),,3),INDEX(SPLIT(G3391,""/""),,2),INDEX(SPLIT(G3391,""/""),,1))"),44690.0)</f>
        <v>44690</v>
      </c>
      <c r="I3391" s="4">
        <v>44571.0</v>
      </c>
      <c r="J3391" s="4">
        <f>IFERROR(__xludf.DUMMYFUNCTION("DATE(INDEX(SPLIT(I3391,""/""),,3),INDEX(SPLIT(I3391,""/""),,2),INDEX(SPLIT(I3391,""/""),,1))"),44835.0)</f>
        <v>44835</v>
      </c>
      <c r="L3391" s="1">
        <v>0.0</v>
      </c>
      <c r="M3391" s="1" t="s">
        <v>702</v>
      </c>
      <c r="N3391" s="1"/>
      <c r="O3391" s="1" t="s">
        <v>30</v>
      </c>
      <c r="P3391" s="1" t="s">
        <v>31</v>
      </c>
      <c r="Q3391" s="1" t="s">
        <v>95</v>
      </c>
      <c r="R3391" s="1" t="s">
        <v>95</v>
      </c>
      <c r="S3391" s="1" t="s">
        <v>96</v>
      </c>
      <c r="T3391" s="1" t="s">
        <v>311</v>
      </c>
      <c r="U3391" s="1">
        <v>1.00616804E8</v>
      </c>
      <c r="X3391" s="1" t="s">
        <v>190</v>
      </c>
      <c r="Y3391" s="1" t="s">
        <v>702</v>
      </c>
      <c r="Z3391" s="1" t="s">
        <v>37</v>
      </c>
    </row>
    <row r="3392" hidden="1">
      <c r="A3392" s="1" t="s">
        <v>9991</v>
      </c>
      <c r="B3392" s="1" t="s">
        <v>39</v>
      </c>
      <c r="C3392" s="1" t="s">
        <v>9992</v>
      </c>
      <c r="D3392" s="1" t="s">
        <v>78</v>
      </c>
      <c r="E3392" s="1" t="s">
        <v>28</v>
      </c>
      <c r="F3392" s="2">
        <v>250000.0</v>
      </c>
      <c r="G3392" s="1" t="s">
        <v>503</v>
      </c>
      <c r="H3392" s="4">
        <f>IFERROR(__xludf.DUMMYFUNCTION("DATE(INDEX(SPLIT(G3392,""/""),,3),INDEX(SPLIT(G3392,""/""),,2),INDEX(SPLIT(G3392,""/""),,1))"),44736.0)</f>
        <v>44736</v>
      </c>
      <c r="I3392" s="1" t="s">
        <v>42</v>
      </c>
      <c r="J3392" s="4">
        <f>IFERROR(__xludf.DUMMYFUNCTION("DATE(INDEX(SPLIT(I3392,""/""),,3),INDEX(SPLIT(I3392,""/""),,2),INDEX(SPLIT(I3392,""/""),,1))"),44926.0)</f>
        <v>44926</v>
      </c>
      <c r="L3392" s="1">
        <v>0.0</v>
      </c>
      <c r="M3392" s="1" t="s">
        <v>2281</v>
      </c>
      <c r="N3392" s="1"/>
      <c r="O3392" s="1" t="s">
        <v>30</v>
      </c>
      <c r="P3392" s="1" t="s">
        <v>31</v>
      </c>
      <c r="Q3392" s="1" t="s">
        <v>95</v>
      </c>
      <c r="R3392" s="1" t="s">
        <v>95</v>
      </c>
      <c r="S3392" s="1" t="s">
        <v>96</v>
      </c>
      <c r="T3392" s="1" t="s">
        <v>311</v>
      </c>
      <c r="U3392" s="1">
        <v>1.00646427E8</v>
      </c>
      <c r="X3392" s="1" t="s">
        <v>46</v>
      </c>
      <c r="Y3392" s="1" t="s">
        <v>3049</v>
      </c>
      <c r="Z3392" s="1" t="s">
        <v>37</v>
      </c>
    </row>
    <row r="3393" hidden="1">
      <c r="A3393" s="1" t="s">
        <v>9993</v>
      </c>
      <c r="B3393" s="1" t="s">
        <v>8289</v>
      </c>
      <c r="C3393" s="1" t="s">
        <v>9994</v>
      </c>
      <c r="D3393" s="1" t="s">
        <v>27</v>
      </c>
      <c r="E3393" s="1" t="s">
        <v>28</v>
      </c>
      <c r="F3393" s="2">
        <v>250000.0</v>
      </c>
      <c r="G3393" s="4">
        <v>43476.0</v>
      </c>
      <c r="H3393" s="4">
        <f>IFERROR(__xludf.DUMMYFUNCTION("DATE(INDEX(SPLIT(G3393,""/""),,3),INDEX(SPLIT(G3393,""/""),,2),INDEX(SPLIT(G3393,""/""),,1))"),43770.0)</f>
        <v>43770</v>
      </c>
      <c r="I3393" s="1" t="s">
        <v>109</v>
      </c>
      <c r="J3393" s="4">
        <f>IFERROR(__xludf.DUMMYFUNCTION("DATE(INDEX(SPLIT(I3393,""/""),,3),INDEX(SPLIT(I3393,""/""),,2),INDEX(SPLIT(I3393,""/""),,1))"),44834.0)</f>
        <v>44834</v>
      </c>
      <c r="L3393" s="1">
        <v>0.0</v>
      </c>
      <c r="M3393" s="1" t="s">
        <v>259</v>
      </c>
      <c r="N3393" s="1"/>
      <c r="O3393" s="1" t="s">
        <v>30</v>
      </c>
      <c r="P3393" s="1" t="s">
        <v>31</v>
      </c>
      <c r="Q3393" s="1" t="s">
        <v>95</v>
      </c>
      <c r="R3393" s="1" t="s">
        <v>95</v>
      </c>
      <c r="S3393" s="1" t="s">
        <v>96</v>
      </c>
      <c r="T3393" s="1" t="s">
        <v>260</v>
      </c>
      <c r="U3393" s="1">
        <v>1.00659114E8</v>
      </c>
      <c r="X3393" s="1" t="s">
        <v>239</v>
      </c>
      <c r="Y3393" s="1" t="s">
        <v>9995</v>
      </c>
      <c r="Z3393" s="1" t="s">
        <v>37</v>
      </c>
    </row>
    <row r="3394">
      <c r="A3394" s="1" t="s">
        <v>9996</v>
      </c>
      <c r="B3394" s="1" t="s">
        <v>9997</v>
      </c>
      <c r="C3394" s="1" t="s">
        <v>9998</v>
      </c>
      <c r="D3394" s="1" t="s">
        <v>68</v>
      </c>
      <c r="E3394" s="1" t="s">
        <v>28</v>
      </c>
      <c r="F3394" s="2">
        <v>250000.0</v>
      </c>
      <c r="G3394" s="4">
        <v>44626.0</v>
      </c>
      <c r="H3394" s="4">
        <f>IFERROR(__xludf.DUMMYFUNCTION("DATE(INDEX(SPLIT(G3394,""/""),,3),INDEX(SPLIT(G3394,""/""),,2),INDEX(SPLIT(G3394,""/""),,1))"),44715.0)</f>
        <v>44715</v>
      </c>
      <c r="I3394" s="4">
        <v>44780.0</v>
      </c>
      <c r="J3394" s="4">
        <f>IFERROR(__xludf.DUMMYFUNCTION("DATE(INDEX(SPLIT(I3394,""/""),,3),INDEX(SPLIT(I3394,""/""),,2),INDEX(SPLIT(I3394,""/""),,1))"),44750.0)</f>
        <v>44750</v>
      </c>
      <c r="L3394" s="1">
        <v>0.0</v>
      </c>
      <c r="M3394" s="1" t="s">
        <v>1187</v>
      </c>
      <c r="N3394" s="1"/>
      <c r="O3394" s="1" t="s">
        <v>30</v>
      </c>
      <c r="P3394" s="1" t="s">
        <v>31</v>
      </c>
      <c r="Q3394" s="1" t="s">
        <v>95</v>
      </c>
      <c r="R3394" s="1" t="s">
        <v>95</v>
      </c>
      <c r="S3394" s="1" t="s">
        <v>96</v>
      </c>
      <c r="T3394" s="1" t="s">
        <v>97</v>
      </c>
      <c r="U3394" s="1">
        <v>1.00633643E8</v>
      </c>
      <c r="X3394" s="1" t="s">
        <v>117</v>
      </c>
      <c r="Y3394" s="1" t="s">
        <v>9999</v>
      </c>
      <c r="Z3394" s="1" t="s">
        <v>37</v>
      </c>
    </row>
    <row r="3395" hidden="1">
      <c r="A3395" s="1" t="s">
        <v>10000</v>
      </c>
      <c r="B3395" s="1" t="s">
        <v>3673</v>
      </c>
      <c r="C3395" s="1" t="s">
        <v>10001</v>
      </c>
      <c r="D3395" s="1" t="s">
        <v>27</v>
      </c>
      <c r="E3395" s="1" t="s">
        <v>28</v>
      </c>
      <c r="F3395" s="2">
        <v>250000.0</v>
      </c>
      <c r="G3395" s="4">
        <v>44563.0</v>
      </c>
      <c r="H3395" s="4">
        <f>IFERROR(__xludf.DUMMYFUNCTION("DATE(INDEX(SPLIT(G3395,""/""),,3),INDEX(SPLIT(G3395,""/""),,2),INDEX(SPLIT(G3395,""/""),,1))"),44593.0)</f>
        <v>44593</v>
      </c>
      <c r="I3395" s="1" t="s">
        <v>42</v>
      </c>
      <c r="J3395" s="4">
        <f>IFERROR(__xludf.DUMMYFUNCTION("DATE(INDEX(SPLIT(I3395,""/""),,3),INDEX(SPLIT(I3395,""/""),,2),INDEX(SPLIT(I3395,""/""),,1))"),44926.0)</f>
        <v>44926</v>
      </c>
      <c r="L3395" s="1">
        <v>0.0</v>
      </c>
      <c r="M3395" s="1" t="s">
        <v>891</v>
      </c>
      <c r="N3395" s="1"/>
      <c r="O3395" s="1" t="s">
        <v>30</v>
      </c>
      <c r="P3395" s="1" t="s">
        <v>31</v>
      </c>
      <c r="Q3395" s="1" t="s">
        <v>32</v>
      </c>
      <c r="R3395" s="1" t="s">
        <v>32</v>
      </c>
      <c r="S3395" s="1" t="s">
        <v>33</v>
      </c>
      <c r="T3395" s="1" t="s">
        <v>1386</v>
      </c>
      <c r="U3395" s="1">
        <v>1.00866856E8</v>
      </c>
      <c r="X3395" s="1" t="s">
        <v>125</v>
      </c>
      <c r="Y3395" s="1" t="s">
        <v>891</v>
      </c>
      <c r="Z3395" s="1" t="s">
        <v>37</v>
      </c>
    </row>
    <row r="3396" hidden="1">
      <c r="A3396" s="1" t="s">
        <v>10002</v>
      </c>
      <c r="B3396" s="1" t="s">
        <v>532</v>
      </c>
      <c r="C3396" s="1" t="s">
        <v>10003</v>
      </c>
      <c r="D3396" s="1" t="s">
        <v>27</v>
      </c>
      <c r="E3396" s="1" t="s">
        <v>28</v>
      </c>
      <c r="F3396" s="2">
        <v>250000.0</v>
      </c>
      <c r="G3396" s="4">
        <v>44836.0</v>
      </c>
      <c r="H3396" s="4">
        <f>IFERROR(__xludf.DUMMYFUNCTION("DATE(INDEX(SPLIT(G3396,""/""),,3),INDEX(SPLIT(G3396,""/""),,2),INDEX(SPLIT(G3396,""/""),,1))"),44602.0)</f>
        <v>44602</v>
      </c>
      <c r="I3396" s="1" t="s">
        <v>109</v>
      </c>
      <c r="J3396" s="4">
        <f>IFERROR(__xludf.DUMMYFUNCTION("DATE(INDEX(SPLIT(I3396,""/""),,3),INDEX(SPLIT(I3396,""/""),,2),INDEX(SPLIT(I3396,""/""),,1))"),44834.0)</f>
        <v>44834</v>
      </c>
      <c r="L3396" s="1">
        <v>0.0</v>
      </c>
      <c r="M3396" s="1" t="s">
        <v>1376</v>
      </c>
      <c r="N3396" s="1"/>
      <c r="O3396" s="1" t="s">
        <v>30</v>
      </c>
      <c r="P3396" s="1" t="s">
        <v>31</v>
      </c>
      <c r="Q3396" s="1" t="s">
        <v>32</v>
      </c>
      <c r="R3396" s="1" t="s">
        <v>32</v>
      </c>
      <c r="S3396" s="1" t="s">
        <v>33</v>
      </c>
      <c r="T3396" s="1" t="s">
        <v>1195</v>
      </c>
      <c r="U3396" s="1">
        <v>1.006096E8</v>
      </c>
      <c r="X3396" s="1" t="s">
        <v>490</v>
      </c>
      <c r="Y3396" s="1" t="s">
        <v>1377</v>
      </c>
      <c r="Z3396" s="1" t="s">
        <v>37</v>
      </c>
    </row>
    <row r="3397">
      <c r="A3397" s="1" t="s">
        <v>10004</v>
      </c>
      <c r="B3397" s="1" t="s">
        <v>10005</v>
      </c>
      <c r="C3397" s="1" t="s">
        <v>10006</v>
      </c>
      <c r="D3397" s="1" t="s">
        <v>27</v>
      </c>
      <c r="E3397" s="1" t="s">
        <v>28</v>
      </c>
      <c r="F3397" s="2">
        <v>250000.0</v>
      </c>
      <c r="G3397" s="1" t="s">
        <v>1281</v>
      </c>
      <c r="H3397" s="4">
        <f>IFERROR(__xludf.DUMMYFUNCTION("DATE(INDEX(SPLIT(G3397,""/""),,3),INDEX(SPLIT(G3397,""/""),,2),INDEX(SPLIT(G3397,""/""),,1))"),44469.0)</f>
        <v>44469</v>
      </c>
      <c r="I3397" s="1" t="s">
        <v>1244</v>
      </c>
      <c r="J3397" s="4">
        <f>IFERROR(__xludf.DUMMYFUNCTION("DATE(INDEX(SPLIT(I3397,""/""),,3),INDEX(SPLIT(I3397,""/""),,2),INDEX(SPLIT(I3397,""/""),,1))"),44742.0)</f>
        <v>44742</v>
      </c>
      <c r="L3397" s="1">
        <v>0.0</v>
      </c>
      <c r="M3397" s="1" t="s">
        <v>3304</v>
      </c>
      <c r="N3397" s="1"/>
      <c r="O3397" s="1" t="s">
        <v>30</v>
      </c>
      <c r="P3397" s="1" t="s">
        <v>31</v>
      </c>
      <c r="Q3397" s="1" t="s">
        <v>188</v>
      </c>
      <c r="R3397" s="1" t="s">
        <v>188</v>
      </c>
      <c r="S3397" s="1" t="s">
        <v>189</v>
      </c>
      <c r="T3397" s="1" t="s">
        <v>287</v>
      </c>
      <c r="U3397" s="1">
        <v>1.00584866E8</v>
      </c>
      <c r="X3397" s="1" t="s">
        <v>5049</v>
      </c>
      <c r="Y3397" s="1" t="s">
        <v>3304</v>
      </c>
      <c r="Z3397" s="1" t="s">
        <v>37</v>
      </c>
    </row>
    <row r="3398" hidden="1">
      <c r="A3398" s="1" t="s">
        <v>10007</v>
      </c>
      <c r="B3398" s="1" t="s">
        <v>4988</v>
      </c>
      <c r="C3398" s="1" t="s">
        <v>10008</v>
      </c>
      <c r="D3398" s="1" t="s">
        <v>122</v>
      </c>
      <c r="E3398" s="1" t="s">
        <v>28</v>
      </c>
      <c r="F3398" s="2">
        <v>250000.0</v>
      </c>
      <c r="G3398" s="1" t="s">
        <v>4901</v>
      </c>
      <c r="H3398" s="4">
        <f>IFERROR(__xludf.DUMMYFUNCTION("DATE(INDEX(SPLIT(G3398,""/""),,3),INDEX(SPLIT(G3398,""/""),,2),INDEX(SPLIT(G3398,""/""),,1))"),44488.0)</f>
        <v>44488</v>
      </c>
      <c r="I3398" s="1" t="s">
        <v>872</v>
      </c>
      <c r="J3398" s="4">
        <f>IFERROR(__xludf.DUMMYFUNCTION("DATE(INDEX(SPLIT(I3398,""/""),,3),INDEX(SPLIT(I3398,""/""),,2),INDEX(SPLIT(I3398,""/""),,1))"),44820.0)</f>
        <v>44820</v>
      </c>
      <c r="L3398" s="1">
        <v>0.0</v>
      </c>
      <c r="M3398" s="1" t="s">
        <v>1904</v>
      </c>
      <c r="N3398" s="1"/>
      <c r="O3398" s="1" t="s">
        <v>30</v>
      </c>
      <c r="P3398" s="1" t="s">
        <v>31</v>
      </c>
      <c r="Q3398" s="1" t="s">
        <v>95</v>
      </c>
      <c r="R3398" s="1" t="s">
        <v>95</v>
      </c>
      <c r="S3398" s="1" t="s">
        <v>96</v>
      </c>
      <c r="T3398" s="1" t="s">
        <v>311</v>
      </c>
      <c r="U3398" s="1">
        <v>1.0059365E8</v>
      </c>
      <c r="X3398" s="1" t="s">
        <v>410</v>
      </c>
      <c r="Y3398" s="1" t="s">
        <v>10009</v>
      </c>
      <c r="Z3398" s="1" t="s">
        <v>37</v>
      </c>
    </row>
    <row r="3399" hidden="1">
      <c r="A3399" s="1" t="s">
        <v>10010</v>
      </c>
      <c r="B3399" s="1" t="s">
        <v>1429</v>
      </c>
      <c r="C3399" s="1" t="s">
        <v>10011</v>
      </c>
      <c r="D3399" s="1" t="s">
        <v>27</v>
      </c>
      <c r="E3399" s="1" t="s">
        <v>28</v>
      </c>
      <c r="F3399" s="2">
        <v>250000.0</v>
      </c>
      <c r="G3399" s="1" t="s">
        <v>10012</v>
      </c>
      <c r="H3399" s="4">
        <f>IFERROR(__xludf.DUMMYFUNCTION("DATE(INDEX(SPLIT(G3399,""/""),,3),INDEX(SPLIT(G3399,""/""),,2),INDEX(SPLIT(G3399,""/""),,1))"),44131.0)</f>
        <v>44131</v>
      </c>
      <c r="I3399" s="1" t="s">
        <v>42</v>
      </c>
      <c r="J3399" s="4">
        <f>IFERROR(__xludf.DUMMYFUNCTION("DATE(INDEX(SPLIT(I3399,""/""),,3),INDEX(SPLIT(I3399,""/""),,2),INDEX(SPLIT(I3399,""/""),,1))"),44926.0)</f>
        <v>44926</v>
      </c>
      <c r="L3399" s="1">
        <v>0.0</v>
      </c>
      <c r="M3399" s="1" t="s">
        <v>1433</v>
      </c>
      <c r="N3399" s="1"/>
      <c r="O3399" s="1" t="s">
        <v>30</v>
      </c>
      <c r="P3399" s="1" t="s">
        <v>31</v>
      </c>
      <c r="Q3399" s="1" t="s">
        <v>228</v>
      </c>
      <c r="R3399" s="1" t="s">
        <v>228</v>
      </c>
      <c r="S3399" s="1" t="s">
        <v>229</v>
      </c>
      <c r="T3399" s="1" t="s">
        <v>505</v>
      </c>
      <c r="U3399" s="1">
        <v>1.00609118E8</v>
      </c>
      <c r="X3399" s="1" t="s">
        <v>190</v>
      </c>
      <c r="Y3399" s="1" t="s">
        <v>1679</v>
      </c>
      <c r="Z3399" s="1" t="s">
        <v>37</v>
      </c>
    </row>
    <row r="3400" hidden="1">
      <c r="A3400" s="1" t="s">
        <v>10013</v>
      </c>
      <c r="B3400" s="1" t="s">
        <v>1144</v>
      </c>
      <c r="C3400" s="1" t="s">
        <v>10014</v>
      </c>
      <c r="D3400" s="1" t="s">
        <v>27</v>
      </c>
      <c r="E3400" s="1" t="s">
        <v>28</v>
      </c>
      <c r="F3400" s="2">
        <v>250000.0</v>
      </c>
      <c r="G3400" s="4">
        <v>44319.0</v>
      </c>
      <c r="H3400" s="4">
        <f>IFERROR(__xludf.DUMMYFUNCTION("DATE(INDEX(SPLIT(G3400,""/""),,3),INDEX(SPLIT(G3400,""/""),,2),INDEX(SPLIT(G3400,""/""),,1))"),44260.0)</f>
        <v>44260</v>
      </c>
      <c r="I3400" s="1" t="s">
        <v>1097</v>
      </c>
      <c r="J3400" s="4">
        <f>IFERROR(__xludf.DUMMYFUNCTION("DATE(INDEX(SPLIT(I3400,""/""),,3),INDEX(SPLIT(I3400,""/""),,2),INDEX(SPLIT(I3400,""/""),,1))"),45107.0)</f>
        <v>45107</v>
      </c>
      <c r="L3400" s="1">
        <v>0.0</v>
      </c>
      <c r="M3400" s="1" t="s">
        <v>2614</v>
      </c>
      <c r="N3400" s="1"/>
      <c r="O3400" s="1" t="s">
        <v>30</v>
      </c>
      <c r="P3400" s="1" t="s">
        <v>31</v>
      </c>
      <c r="Q3400" s="1" t="s">
        <v>53</v>
      </c>
      <c r="R3400" s="1" t="s">
        <v>53</v>
      </c>
      <c r="S3400" s="1" t="s">
        <v>54</v>
      </c>
      <c r="T3400" s="1" t="s">
        <v>197</v>
      </c>
      <c r="U3400" s="1">
        <v>1.00592932E8</v>
      </c>
      <c r="X3400" s="1" t="s">
        <v>63</v>
      </c>
      <c r="Y3400" s="1" t="s">
        <v>2614</v>
      </c>
      <c r="Z3400" s="1" t="s">
        <v>37</v>
      </c>
    </row>
    <row r="3401">
      <c r="A3401" s="1" t="s">
        <v>10015</v>
      </c>
      <c r="B3401" s="1" t="s">
        <v>1479</v>
      </c>
      <c r="C3401" s="1" t="s">
        <v>10016</v>
      </c>
      <c r="D3401" s="1" t="s">
        <v>27</v>
      </c>
      <c r="E3401" s="1" t="s">
        <v>28</v>
      </c>
      <c r="F3401" s="2">
        <v>250000.0</v>
      </c>
      <c r="G3401" s="1" t="s">
        <v>2025</v>
      </c>
      <c r="H3401" s="4">
        <f>IFERROR(__xludf.DUMMYFUNCTION("DATE(INDEX(SPLIT(G3401,""/""),,3),INDEX(SPLIT(G3401,""/""),,2),INDEX(SPLIT(G3401,""/""),,1))"),44664.0)</f>
        <v>44664</v>
      </c>
      <c r="I3401" s="1" t="s">
        <v>1501</v>
      </c>
      <c r="J3401" s="4">
        <f>IFERROR(__xludf.DUMMYFUNCTION("DATE(INDEX(SPLIT(I3401,""/""),,3),INDEX(SPLIT(I3401,""/""),,2),INDEX(SPLIT(I3401,""/""),,1))"),44711.0)</f>
        <v>44711</v>
      </c>
      <c r="L3401" s="1">
        <v>0.0</v>
      </c>
      <c r="M3401" s="1" t="s">
        <v>10017</v>
      </c>
      <c r="N3401" s="1"/>
      <c r="O3401" s="1" t="s">
        <v>30</v>
      </c>
      <c r="P3401" s="1" t="s">
        <v>31</v>
      </c>
      <c r="Q3401" s="1" t="s">
        <v>157</v>
      </c>
      <c r="R3401" s="1" t="s">
        <v>157</v>
      </c>
      <c r="S3401" s="1" t="s">
        <v>158</v>
      </c>
      <c r="U3401" s="1">
        <v>1.0060437E8</v>
      </c>
      <c r="X3401" s="1" t="s">
        <v>254</v>
      </c>
      <c r="Y3401" s="1" t="s">
        <v>10018</v>
      </c>
      <c r="Z3401" s="1" t="s">
        <v>37</v>
      </c>
    </row>
    <row r="3402" hidden="1">
      <c r="A3402" s="1" t="s">
        <v>10019</v>
      </c>
      <c r="B3402" s="1" t="s">
        <v>373</v>
      </c>
      <c r="C3402" s="1" t="s">
        <v>10020</v>
      </c>
      <c r="D3402" s="1" t="s">
        <v>78</v>
      </c>
      <c r="E3402" s="1" t="s">
        <v>28</v>
      </c>
      <c r="F3402" s="2">
        <v>250000.0</v>
      </c>
      <c r="G3402" s="1" t="s">
        <v>3391</v>
      </c>
      <c r="H3402" s="4">
        <f>IFERROR(__xludf.DUMMYFUNCTION("DATE(INDEX(SPLIT(G3402,""/""),,3),INDEX(SPLIT(G3402,""/""),,2),INDEX(SPLIT(G3402,""/""),,1))"),44272.0)</f>
        <v>44272</v>
      </c>
      <c r="I3402" s="1" t="s">
        <v>109</v>
      </c>
      <c r="J3402" s="4">
        <f>IFERROR(__xludf.DUMMYFUNCTION("DATE(INDEX(SPLIT(I3402,""/""),,3),INDEX(SPLIT(I3402,""/""),,2),INDEX(SPLIT(I3402,""/""),,1))"),44834.0)</f>
        <v>44834</v>
      </c>
      <c r="L3402" s="1">
        <v>0.0</v>
      </c>
      <c r="M3402" s="1" t="s">
        <v>2787</v>
      </c>
      <c r="N3402" s="1"/>
      <c r="O3402" s="1" t="s">
        <v>30</v>
      </c>
      <c r="P3402" s="1" t="s">
        <v>31</v>
      </c>
      <c r="Q3402" s="1" t="s">
        <v>157</v>
      </c>
      <c r="R3402" s="1" t="s">
        <v>157</v>
      </c>
      <c r="S3402" s="1" t="s">
        <v>158</v>
      </c>
      <c r="T3402" s="1" t="s">
        <v>442</v>
      </c>
      <c r="U3402" s="1">
        <v>1.00708984E8</v>
      </c>
      <c r="X3402" s="1" t="s">
        <v>125</v>
      </c>
      <c r="Y3402" s="1" t="s">
        <v>8035</v>
      </c>
      <c r="Z3402" s="1" t="s">
        <v>37</v>
      </c>
    </row>
    <row r="3403" hidden="1">
      <c r="A3403" s="1" t="s">
        <v>10021</v>
      </c>
      <c r="B3403" s="1" t="s">
        <v>612</v>
      </c>
      <c r="C3403" s="1" t="s">
        <v>10022</v>
      </c>
      <c r="D3403" s="1" t="s">
        <v>27</v>
      </c>
      <c r="E3403" s="1" t="s">
        <v>28</v>
      </c>
      <c r="F3403" s="2">
        <v>250000.0</v>
      </c>
      <c r="G3403" s="1" t="s">
        <v>3853</v>
      </c>
      <c r="H3403" s="4">
        <f>IFERROR(__xludf.DUMMYFUNCTION("DATE(INDEX(SPLIT(G3403,""/""),,3),INDEX(SPLIT(G3403,""/""),,2),INDEX(SPLIT(G3403,""/""),,1))"),44679.0)</f>
        <v>44679</v>
      </c>
      <c r="I3403" s="1" t="s">
        <v>109</v>
      </c>
      <c r="J3403" s="4">
        <f>IFERROR(__xludf.DUMMYFUNCTION("DATE(INDEX(SPLIT(I3403,""/""),,3),INDEX(SPLIT(I3403,""/""),,2),INDEX(SPLIT(I3403,""/""),,1))"),44834.0)</f>
        <v>44834</v>
      </c>
      <c r="L3403" s="1">
        <v>0.0</v>
      </c>
      <c r="M3403" s="1" t="s">
        <v>1649</v>
      </c>
      <c r="N3403" s="1"/>
      <c r="O3403" s="1" t="s">
        <v>30</v>
      </c>
      <c r="P3403" s="1" t="s">
        <v>31</v>
      </c>
      <c r="Q3403" s="1" t="s">
        <v>157</v>
      </c>
      <c r="R3403" s="1" t="s">
        <v>157</v>
      </c>
      <c r="S3403" s="1" t="s">
        <v>158</v>
      </c>
      <c r="T3403" s="1" t="s">
        <v>442</v>
      </c>
      <c r="U3403" s="1">
        <v>1.00643454E8</v>
      </c>
      <c r="X3403" s="1" t="s">
        <v>490</v>
      </c>
      <c r="Y3403" s="1" t="s">
        <v>1649</v>
      </c>
      <c r="Z3403" s="1" t="s">
        <v>37</v>
      </c>
    </row>
    <row r="3404" hidden="1">
      <c r="A3404" s="1" t="s">
        <v>10023</v>
      </c>
      <c r="B3404" s="1" t="s">
        <v>10024</v>
      </c>
      <c r="C3404" s="1" t="s">
        <v>10025</v>
      </c>
      <c r="D3404" s="1" t="s">
        <v>78</v>
      </c>
      <c r="E3404" s="1" t="s">
        <v>28</v>
      </c>
      <c r="F3404" s="2">
        <v>250000.0</v>
      </c>
      <c r="G3404" s="1" t="s">
        <v>2300</v>
      </c>
      <c r="H3404" s="4">
        <f>IFERROR(__xludf.DUMMYFUNCTION("DATE(INDEX(SPLIT(G3404,""/""),,3),INDEX(SPLIT(G3404,""/""),,2),INDEX(SPLIT(G3404,""/""),,1))"),44712.0)</f>
        <v>44712</v>
      </c>
      <c r="I3404" s="1" t="s">
        <v>10026</v>
      </c>
      <c r="J3404" s="4">
        <f>IFERROR(__xludf.DUMMYFUNCTION("DATE(INDEX(SPLIT(I3404,""/""),,3),INDEX(SPLIT(I3404,""/""),,2),INDEX(SPLIT(I3404,""/""),,1))"),44790.0)</f>
        <v>44790</v>
      </c>
      <c r="L3404" s="1">
        <v>0.0</v>
      </c>
      <c r="M3404" s="1" t="s">
        <v>653</v>
      </c>
      <c r="N3404" s="1"/>
      <c r="O3404" s="1" t="s">
        <v>30</v>
      </c>
      <c r="P3404" s="1" t="s">
        <v>31</v>
      </c>
      <c r="Q3404" s="1" t="s">
        <v>157</v>
      </c>
      <c r="R3404" s="1" t="s">
        <v>157</v>
      </c>
      <c r="S3404" s="1" t="s">
        <v>158</v>
      </c>
      <c r="U3404" s="1">
        <v>1.00591141E8</v>
      </c>
      <c r="X3404" s="1" t="s">
        <v>63</v>
      </c>
      <c r="Y3404" s="1" t="s">
        <v>5629</v>
      </c>
      <c r="Z3404" s="1" t="s">
        <v>37</v>
      </c>
    </row>
    <row r="3405" hidden="1">
      <c r="A3405" s="1" t="s">
        <v>10027</v>
      </c>
      <c r="B3405" s="1" t="s">
        <v>954</v>
      </c>
      <c r="C3405" s="1" t="s">
        <v>10028</v>
      </c>
      <c r="D3405" s="1" t="s">
        <v>27</v>
      </c>
      <c r="E3405" s="1" t="s">
        <v>28</v>
      </c>
      <c r="F3405" s="2">
        <v>250000.0</v>
      </c>
      <c r="G3405" s="1" t="s">
        <v>862</v>
      </c>
      <c r="H3405" s="4">
        <f>IFERROR(__xludf.DUMMYFUNCTION("DATE(INDEX(SPLIT(G3405,""/""),,3),INDEX(SPLIT(G3405,""/""),,2),INDEX(SPLIT(G3405,""/""),,1))"),44699.0)</f>
        <v>44699</v>
      </c>
      <c r="I3405" s="1" t="s">
        <v>3202</v>
      </c>
      <c r="J3405" s="4">
        <f>IFERROR(__xludf.DUMMYFUNCTION("DATE(INDEX(SPLIT(I3405,""/""),,3),INDEX(SPLIT(I3405,""/""),,2),INDEX(SPLIT(I3405,""/""),,1))"),44830.0)</f>
        <v>44830</v>
      </c>
      <c r="L3405" s="1">
        <v>0.0</v>
      </c>
      <c r="M3405" s="1" t="s">
        <v>3170</v>
      </c>
      <c r="N3405" s="1"/>
      <c r="O3405" s="1" t="s">
        <v>30</v>
      </c>
      <c r="P3405" s="1" t="s">
        <v>31</v>
      </c>
      <c r="Q3405" s="1" t="s">
        <v>157</v>
      </c>
      <c r="R3405" s="1" t="s">
        <v>157</v>
      </c>
      <c r="S3405" s="1" t="s">
        <v>158</v>
      </c>
      <c r="U3405" s="1">
        <v>1.00626436E8</v>
      </c>
      <c r="X3405" s="1" t="s">
        <v>74</v>
      </c>
      <c r="Y3405" s="1" t="s">
        <v>957</v>
      </c>
      <c r="Z3405" s="1" t="s">
        <v>37</v>
      </c>
    </row>
    <row r="3406">
      <c r="A3406" s="1" t="s">
        <v>10029</v>
      </c>
      <c r="B3406" s="1" t="s">
        <v>4321</v>
      </c>
      <c r="C3406" s="1" t="s">
        <v>10030</v>
      </c>
      <c r="D3406" s="1" t="s">
        <v>27</v>
      </c>
      <c r="E3406" s="1" t="s">
        <v>28</v>
      </c>
      <c r="F3406" s="2">
        <v>250000.0</v>
      </c>
      <c r="G3406" s="4">
        <v>44779.0</v>
      </c>
      <c r="H3406" s="4">
        <f>IFERROR(__xludf.DUMMYFUNCTION("DATE(INDEX(SPLIT(G3406,""/""),,3),INDEX(SPLIT(G3406,""/""),,2),INDEX(SPLIT(G3406,""/""),,1))"),44720.0)</f>
        <v>44720</v>
      </c>
      <c r="I3406" s="1" t="s">
        <v>226</v>
      </c>
      <c r="J3406" s="4">
        <f>IFERROR(__xludf.DUMMYFUNCTION("DATE(INDEX(SPLIT(I3406,""/""),,3),INDEX(SPLIT(I3406,""/""),,2),INDEX(SPLIT(I3406,""/""),,1))"),44771.0)</f>
        <v>44771</v>
      </c>
      <c r="L3406" s="1">
        <v>0.0</v>
      </c>
      <c r="M3406" s="1" t="s">
        <v>4323</v>
      </c>
      <c r="N3406" s="1"/>
      <c r="O3406" s="1" t="s">
        <v>30</v>
      </c>
      <c r="P3406" s="1" t="s">
        <v>31</v>
      </c>
      <c r="Q3406" s="1" t="s">
        <v>157</v>
      </c>
      <c r="R3406" s="1" t="s">
        <v>157</v>
      </c>
      <c r="S3406" s="1" t="s">
        <v>158</v>
      </c>
      <c r="U3406" s="1">
        <v>1.00607244E8</v>
      </c>
      <c r="X3406" s="1" t="s">
        <v>305</v>
      </c>
      <c r="Y3406" s="1" t="s">
        <v>6524</v>
      </c>
      <c r="Z3406" s="1" t="s">
        <v>37</v>
      </c>
    </row>
    <row r="3407" hidden="1">
      <c r="A3407" s="1" t="s">
        <v>10031</v>
      </c>
      <c r="B3407" s="1" t="s">
        <v>4662</v>
      </c>
      <c r="C3407" s="1" t="s">
        <v>10032</v>
      </c>
      <c r="D3407" s="1" t="s">
        <v>27</v>
      </c>
      <c r="E3407" s="1" t="s">
        <v>28</v>
      </c>
      <c r="F3407" s="2">
        <v>250000.0</v>
      </c>
      <c r="G3407" s="1" t="s">
        <v>2297</v>
      </c>
      <c r="H3407" s="4">
        <f>IFERROR(__xludf.DUMMYFUNCTION("DATE(INDEX(SPLIT(G3407,""/""),,3),INDEX(SPLIT(G3407,""/""),,2),INDEX(SPLIT(G3407,""/""),,1))"),44730.0)</f>
        <v>44730</v>
      </c>
      <c r="I3407" s="1" t="s">
        <v>85</v>
      </c>
      <c r="J3407" s="4">
        <f>IFERROR(__xludf.DUMMYFUNCTION("DATE(INDEX(SPLIT(I3407,""/""),,3),INDEX(SPLIT(I3407,""/""),,2),INDEX(SPLIT(I3407,""/""),,1))"),44799.0)</f>
        <v>44799</v>
      </c>
      <c r="L3407" s="1">
        <v>0.0</v>
      </c>
      <c r="M3407" s="1" t="s">
        <v>10033</v>
      </c>
      <c r="N3407" s="1"/>
      <c r="O3407" s="1" t="s">
        <v>30</v>
      </c>
      <c r="P3407" s="1" t="s">
        <v>31</v>
      </c>
      <c r="Q3407" s="1" t="s">
        <v>228</v>
      </c>
      <c r="R3407" s="1" t="s">
        <v>228</v>
      </c>
      <c r="S3407" s="1" t="s">
        <v>229</v>
      </c>
      <c r="T3407" s="1" t="s">
        <v>640</v>
      </c>
      <c r="U3407" s="1">
        <v>1.00609078E8</v>
      </c>
      <c r="X3407" s="1" t="s">
        <v>98</v>
      </c>
      <c r="Y3407" s="1" t="s">
        <v>3046</v>
      </c>
      <c r="Z3407" s="1" t="s">
        <v>37</v>
      </c>
    </row>
    <row r="3408" hidden="1">
      <c r="A3408" s="1" t="s">
        <v>10034</v>
      </c>
      <c r="B3408" s="1" t="s">
        <v>1070</v>
      </c>
      <c r="C3408" s="1" t="s">
        <v>10035</v>
      </c>
      <c r="D3408" s="1" t="s">
        <v>78</v>
      </c>
      <c r="E3408" s="1" t="s">
        <v>28</v>
      </c>
      <c r="F3408" s="2">
        <v>250000.0</v>
      </c>
      <c r="G3408" s="4">
        <v>44146.0</v>
      </c>
      <c r="H3408" s="4">
        <f>IFERROR(__xludf.DUMMYFUNCTION("DATE(INDEX(SPLIT(G3408,""/""),,3),INDEX(SPLIT(G3408,""/""),,2),INDEX(SPLIT(G3408,""/""),,1))"),44146.0)</f>
        <v>44146</v>
      </c>
      <c r="I3408" s="1" t="s">
        <v>872</v>
      </c>
      <c r="J3408" s="4">
        <f>IFERROR(__xludf.DUMMYFUNCTION("DATE(INDEX(SPLIT(I3408,""/""),,3),INDEX(SPLIT(I3408,""/""),,2),INDEX(SPLIT(I3408,""/""),,1))"),44820.0)</f>
        <v>44820</v>
      </c>
      <c r="L3408" s="1">
        <v>0.0</v>
      </c>
      <c r="M3408" s="1" t="s">
        <v>1704</v>
      </c>
      <c r="N3408" s="1"/>
      <c r="O3408" s="1" t="s">
        <v>30</v>
      </c>
      <c r="P3408" s="1" t="s">
        <v>31</v>
      </c>
      <c r="Q3408" s="1" t="s">
        <v>157</v>
      </c>
      <c r="R3408" s="1" t="s">
        <v>157</v>
      </c>
      <c r="S3408" s="1" t="s">
        <v>158</v>
      </c>
      <c r="T3408" s="1" t="s">
        <v>442</v>
      </c>
      <c r="U3408" s="1">
        <v>1.00654991E8</v>
      </c>
      <c r="X3408" s="1" t="s">
        <v>305</v>
      </c>
      <c r="Y3408" s="1" t="s">
        <v>1704</v>
      </c>
      <c r="Z3408" s="1" t="s">
        <v>37</v>
      </c>
    </row>
    <row r="3409" hidden="1">
      <c r="A3409" s="1" t="s">
        <v>10036</v>
      </c>
      <c r="B3409" s="1" t="s">
        <v>2483</v>
      </c>
      <c r="C3409" s="1" t="s">
        <v>10037</v>
      </c>
      <c r="D3409" s="1" t="s">
        <v>27</v>
      </c>
      <c r="E3409" s="1" t="s">
        <v>28</v>
      </c>
      <c r="F3409" s="2">
        <v>250000.0</v>
      </c>
      <c r="G3409" s="4">
        <v>43410.0</v>
      </c>
      <c r="H3409" s="4">
        <f>IFERROR(__xludf.DUMMYFUNCTION("DATE(INDEX(SPLIT(G3409,""/""),,3),INDEX(SPLIT(G3409,""/""),,2),INDEX(SPLIT(G3409,""/""),,1))"),43262.0)</f>
        <v>43262</v>
      </c>
      <c r="I3409" s="1" t="s">
        <v>360</v>
      </c>
      <c r="J3409" s="4">
        <f>IFERROR(__xludf.DUMMYFUNCTION("DATE(INDEX(SPLIT(I3409,""/""),,3),INDEX(SPLIT(I3409,""/""),,2),INDEX(SPLIT(I3409,""/""),,1))"),44895.0)</f>
        <v>44895</v>
      </c>
      <c r="L3409" s="1">
        <v>0.0</v>
      </c>
      <c r="M3409" s="1" t="s">
        <v>3601</v>
      </c>
      <c r="N3409" s="1"/>
      <c r="O3409" s="1" t="s">
        <v>30</v>
      </c>
      <c r="P3409" s="1" t="s">
        <v>31</v>
      </c>
      <c r="Q3409" s="1" t="s">
        <v>71</v>
      </c>
      <c r="R3409" s="1" t="s">
        <v>71</v>
      </c>
      <c r="S3409" s="1" t="s">
        <v>72</v>
      </c>
      <c r="T3409" s="1" t="s">
        <v>136</v>
      </c>
      <c r="U3409" s="1">
        <v>1.00611547E8</v>
      </c>
      <c r="X3409" s="1" t="s">
        <v>2028</v>
      </c>
      <c r="Y3409" s="1" t="s">
        <v>10038</v>
      </c>
      <c r="Z3409" s="1" t="s">
        <v>37</v>
      </c>
    </row>
    <row r="3410" hidden="1">
      <c r="A3410" s="1" t="s">
        <v>10039</v>
      </c>
      <c r="B3410" s="1" t="s">
        <v>66</v>
      </c>
      <c r="C3410" s="1" t="s">
        <v>10040</v>
      </c>
      <c r="D3410" s="1" t="s">
        <v>78</v>
      </c>
      <c r="E3410" s="1" t="s">
        <v>28</v>
      </c>
      <c r="F3410" s="2">
        <v>250000.0</v>
      </c>
      <c r="G3410" s="1" t="s">
        <v>1004</v>
      </c>
      <c r="H3410" s="4">
        <f>IFERROR(__xludf.DUMMYFUNCTION("DATE(INDEX(SPLIT(G3410,""/""),,3),INDEX(SPLIT(G3410,""/""),,2),INDEX(SPLIT(G3410,""/""),,1))"),44582.0)</f>
        <v>44582</v>
      </c>
      <c r="I3410" s="4">
        <v>44601.0</v>
      </c>
      <c r="J3410" s="4">
        <f>IFERROR(__xludf.DUMMYFUNCTION("DATE(INDEX(SPLIT(I3410,""/""),,3),INDEX(SPLIT(I3410,""/""),,2),INDEX(SPLIT(I3410,""/""),,1))"),44806.0)</f>
        <v>44806</v>
      </c>
      <c r="L3410" s="1">
        <v>0.0</v>
      </c>
      <c r="M3410" s="1" t="s">
        <v>204</v>
      </c>
      <c r="N3410" s="1"/>
      <c r="O3410" s="1" t="s">
        <v>30</v>
      </c>
      <c r="P3410" s="1" t="s">
        <v>31</v>
      </c>
      <c r="Q3410" s="1" t="s">
        <v>71</v>
      </c>
      <c r="R3410" s="1" t="s">
        <v>71</v>
      </c>
      <c r="S3410" s="1" t="s">
        <v>72</v>
      </c>
      <c r="T3410" s="1" t="s">
        <v>73</v>
      </c>
      <c r="U3410" s="1">
        <v>1.00650575E8</v>
      </c>
      <c r="X3410" s="1" t="s">
        <v>74</v>
      </c>
      <c r="Y3410" s="1" t="s">
        <v>10041</v>
      </c>
      <c r="Z3410" s="1" t="s">
        <v>206</v>
      </c>
    </row>
    <row r="3411" hidden="1">
      <c r="A3411" s="1" t="s">
        <v>10042</v>
      </c>
      <c r="B3411" s="1" t="s">
        <v>373</v>
      </c>
      <c r="C3411" s="1" t="s">
        <v>10043</v>
      </c>
      <c r="D3411" s="1" t="s">
        <v>27</v>
      </c>
      <c r="E3411" s="1" t="s">
        <v>28</v>
      </c>
      <c r="F3411" s="2">
        <v>250000.0</v>
      </c>
      <c r="G3411" s="1" t="s">
        <v>8192</v>
      </c>
      <c r="H3411" s="4">
        <f>IFERROR(__xludf.DUMMYFUNCTION("DATE(INDEX(SPLIT(G3411,""/""),,3),INDEX(SPLIT(G3411,""/""),,2),INDEX(SPLIT(G3411,""/""),,1))"),44032.0)</f>
        <v>44032</v>
      </c>
      <c r="I3411" s="1" t="s">
        <v>109</v>
      </c>
      <c r="J3411" s="4">
        <f>IFERROR(__xludf.DUMMYFUNCTION("DATE(INDEX(SPLIT(I3411,""/""),,3),INDEX(SPLIT(I3411,""/""),,2),INDEX(SPLIT(I3411,""/""),,1))"),44834.0)</f>
        <v>44834</v>
      </c>
      <c r="L3411" s="1">
        <v>0.0</v>
      </c>
      <c r="M3411" s="1" t="s">
        <v>2787</v>
      </c>
      <c r="N3411" s="1"/>
      <c r="O3411" s="1" t="s">
        <v>30</v>
      </c>
      <c r="P3411" s="1" t="s">
        <v>31</v>
      </c>
      <c r="Q3411" s="1" t="s">
        <v>157</v>
      </c>
      <c r="R3411" s="1" t="s">
        <v>157</v>
      </c>
      <c r="S3411" s="1" t="s">
        <v>158</v>
      </c>
      <c r="T3411" s="1" t="s">
        <v>442</v>
      </c>
      <c r="U3411" s="1">
        <v>1.00708984E8</v>
      </c>
      <c r="X3411" s="1" t="s">
        <v>375</v>
      </c>
      <c r="Y3411" s="1" t="s">
        <v>852</v>
      </c>
      <c r="Z3411" s="1" t="s">
        <v>37</v>
      </c>
    </row>
    <row r="3412">
      <c r="A3412" s="1" t="s">
        <v>10044</v>
      </c>
      <c r="B3412" s="1" t="s">
        <v>427</v>
      </c>
      <c r="C3412" s="1" t="s">
        <v>10045</v>
      </c>
      <c r="D3412" s="1" t="s">
        <v>27</v>
      </c>
      <c r="E3412" s="1" t="s">
        <v>28</v>
      </c>
      <c r="F3412" s="2">
        <v>250000.0</v>
      </c>
      <c r="G3412" s="1" t="s">
        <v>10046</v>
      </c>
      <c r="H3412" s="4">
        <f>IFERROR(__xludf.DUMMYFUNCTION("DATE(INDEX(SPLIT(G3412,""/""),,3),INDEX(SPLIT(G3412,""/""),,2),INDEX(SPLIT(G3412,""/""),,1))"),44130.0)</f>
        <v>44130</v>
      </c>
      <c r="I3412" s="1" t="s">
        <v>185</v>
      </c>
      <c r="J3412" s="4">
        <f>IFERROR(__xludf.DUMMYFUNCTION("DATE(INDEX(SPLIT(I3412,""/""),,3),INDEX(SPLIT(I3412,""/""),,2),INDEX(SPLIT(I3412,""/""),,1))"),44741.0)</f>
        <v>44741</v>
      </c>
      <c r="L3412" s="1">
        <v>0.0</v>
      </c>
      <c r="M3412" s="1" t="s">
        <v>891</v>
      </c>
      <c r="N3412" s="1"/>
      <c r="O3412" s="1" t="s">
        <v>30</v>
      </c>
      <c r="P3412" s="1" t="s">
        <v>31</v>
      </c>
      <c r="Q3412" s="1" t="s">
        <v>32</v>
      </c>
      <c r="R3412" s="1" t="s">
        <v>32</v>
      </c>
      <c r="S3412" s="1" t="s">
        <v>33</v>
      </c>
      <c r="T3412" s="1" t="s">
        <v>402</v>
      </c>
      <c r="U3412" s="1">
        <v>1.00866856E8</v>
      </c>
      <c r="X3412" s="1" t="s">
        <v>125</v>
      </c>
      <c r="Y3412" s="1" t="s">
        <v>891</v>
      </c>
      <c r="Z3412" s="1" t="s">
        <v>37</v>
      </c>
    </row>
    <row r="3413" hidden="1">
      <c r="A3413" s="1" t="s">
        <v>10047</v>
      </c>
      <c r="B3413" s="1" t="s">
        <v>774</v>
      </c>
      <c r="C3413" s="1" t="s">
        <v>10048</v>
      </c>
      <c r="D3413" s="1" t="s">
        <v>27</v>
      </c>
      <c r="E3413" s="1" t="s">
        <v>28</v>
      </c>
      <c r="F3413" s="2">
        <v>250000.0</v>
      </c>
      <c r="G3413" s="1" t="s">
        <v>10049</v>
      </c>
      <c r="H3413" s="4">
        <f>IFERROR(__xludf.DUMMYFUNCTION("DATE(INDEX(SPLIT(G3413,""/""),,3),INDEX(SPLIT(G3413,""/""),,2),INDEX(SPLIT(G3413,""/""),,1))"),44245.0)</f>
        <v>44245</v>
      </c>
      <c r="I3413" s="1" t="s">
        <v>109</v>
      </c>
      <c r="J3413" s="4">
        <f>IFERROR(__xludf.DUMMYFUNCTION("DATE(INDEX(SPLIT(I3413,""/""),,3),INDEX(SPLIT(I3413,""/""),,2),INDEX(SPLIT(I3413,""/""),,1))"),44834.0)</f>
        <v>44834</v>
      </c>
      <c r="L3413" s="1">
        <v>0.0</v>
      </c>
      <c r="M3413" s="1" t="s">
        <v>259</v>
      </c>
      <c r="N3413" s="1"/>
      <c r="O3413" s="1" t="s">
        <v>30</v>
      </c>
      <c r="P3413" s="1" t="s">
        <v>31</v>
      </c>
      <c r="Q3413" s="1" t="s">
        <v>95</v>
      </c>
      <c r="R3413" s="1" t="s">
        <v>95</v>
      </c>
      <c r="S3413" s="1" t="s">
        <v>96</v>
      </c>
      <c r="T3413" s="1" t="s">
        <v>260</v>
      </c>
      <c r="U3413" s="1">
        <v>1.00659114E8</v>
      </c>
      <c r="X3413" s="1" t="s">
        <v>239</v>
      </c>
      <c r="Y3413" s="1" t="s">
        <v>262</v>
      </c>
      <c r="Z3413" s="1" t="s">
        <v>37</v>
      </c>
    </row>
    <row r="3414" hidden="1">
      <c r="A3414" s="1" t="s">
        <v>10050</v>
      </c>
      <c r="B3414" s="1" t="s">
        <v>132</v>
      </c>
      <c r="C3414" s="1" t="s">
        <v>10051</v>
      </c>
      <c r="D3414" s="1" t="s">
        <v>78</v>
      </c>
      <c r="E3414" s="1" t="s">
        <v>28</v>
      </c>
      <c r="F3414" s="2">
        <v>250000.0</v>
      </c>
      <c r="G3414" s="1" t="s">
        <v>6537</v>
      </c>
      <c r="H3414" s="4">
        <f>IFERROR(__xludf.DUMMYFUNCTION("DATE(INDEX(SPLIT(G3414,""/""),,3),INDEX(SPLIT(G3414,""/""),,2),INDEX(SPLIT(G3414,""/""),,1))"),44097.0)</f>
        <v>44097</v>
      </c>
      <c r="I3414" s="1" t="s">
        <v>130</v>
      </c>
      <c r="J3414" s="4">
        <f>IFERROR(__xludf.DUMMYFUNCTION("DATE(INDEX(SPLIT(I3414,""/""),,3),INDEX(SPLIT(I3414,""/""),,2),INDEX(SPLIT(I3414,""/""),,1))"),44804.0)</f>
        <v>44804</v>
      </c>
      <c r="L3414" s="1">
        <v>0.0</v>
      </c>
      <c r="M3414" s="1" t="s">
        <v>1088</v>
      </c>
      <c r="N3414" s="1"/>
      <c r="O3414" s="1" t="s">
        <v>30</v>
      </c>
      <c r="P3414" s="1" t="s">
        <v>31</v>
      </c>
      <c r="Q3414" s="1" t="s">
        <v>71</v>
      </c>
      <c r="R3414" s="1" t="s">
        <v>71</v>
      </c>
      <c r="S3414" s="1" t="s">
        <v>72</v>
      </c>
      <c r="T3414" s="1" t="s">
        <v>136</v>
      </c>
      <c r="U3414" s="1">
        <v>1.0090037E8</v>
      </c>
      <c r="X3414" s="1" t="s">
        <v>74</v>
      </c>
      <c r="Y3414" s="1" t="s">
        <v>1088</v>
      </c>
      <c r="Z3414" s="1" t="s">
        <v>37</v>
      </c>
    </row>
    <row r="3415">
      <c r="A3415" s="1" t="s">
        <v>10052</v>
      </c>
      <c r="B3415" s="1" t="s">
        <v>427</v>
      </c>
      <c r="C3415" s="1" t="s">
        <v>10053</v>
      </c>
      <c r="D3415" s="1" t="s">
        <v>78</v>
      </c>
      <c r="E3415" s="1" t="s">
        <v>28</v>
      </c>
      <c r="F3415" s="2">
        <v>250000.0</v>
      </c>
      <c r="G3415" s="4">
        <v>44779.0</v>
      </c>
      <c r="H3415" s="4">
        <f>IFERROR(__xludf.DUMMYFUNCTION("DATE(INDEX(SPLIT(G3415,""/""),,3),INDEX(SPLIT(G3415,""/""),,2),INDEX(SPLIT(G3415,""/""),,1))"),44720.0)</f>
        <v>44720</v>
      </c>
      <c r="I3415" s="1" t="s">
        <v>69</v>
      </c>
      <c r="J3415" s="4">
        <f>IFERROR(__xludf.DUMMYFUNCTION("DATE(INDEX(SPLIT(I3415,""/""),,3),INDEX(SPLIT(I3415,""/""),,2),INDEX(SPLIT(I3415,""/""),,1))"),44773.0)</f>
        <v>44773</v>
      </c>
      <c r="L3415" s="1">
        <v>0.0</v>
      </c>
      <c r="M3415" s="1" t="s">
        <v>1194</v>
      </c>
      <c r="N3415" s="1"/>
      <c r="O3415" s="1" t="s">
        <v>30</v>
      </c>
      <c r="P3415" s="1" t="s">
        <v>31</v>
      </c>
      <c r="Q3415" s="1" t="s">
        <v>32</v>
      </c>
      <c r="R3415" s="1" t="s">
        <v>32</v>
      </c>
      <c r="S3415" s="1" t="s">
        <v>33</v>
      </c>
      <c r="T3415" s="1" t="s">
        <v>1195</v>
      </c>
      <c r="U3415" s="1">
        <v>1.00586863E8</v>
      </c>
      <c r="X3415" s="1" t="s">
        <v>125</v>
      </c>
      <c r="Y3415" s="1" t="s">
        <v>891</v>
      </c>
      <c r="Z3415" s="1" t="s">
        <v>37</v>
      </c>
    </row>
    <row r="3416" hidden="1">
      <c r="A3416" s="1" t="s">
        <v>10054</v>
      </c>
      <c r="B3416" s="1" t="s">
        <v>10055</v>
      </c>
      <c r="C3416" s="1" t="s">
        <v>10043</v>
      </c>
      <c r="D3416" s="1" t="s">
        <v>27</v>
      </c>
      <c r="E3416" s="1" t="s">
        <v>28</v>
      </c>
      <c r="F3416" s="2">
        <v>250000.0</v>
      </c>
      <c r="G3416" s="1" t="s">
        <v>8192</v>
      </c>
      <c r="H3416" s="4">
        <f>IFERROR(__xludf.DUMMYFUNCTION("DATE(INDEX(SPLIT(G3416,""/""),,3),INDEX(SPLIT(G3416,""/""),,2),INDEX(SPLIT(G3416,""/""),,1))"),44032.0)</f>
        <v>44032</v>
      </c>
      <c r="I3416" s="1" t="s">
        <v>109</v>
      </c>
      <c r="J3416" s="4">
        <f>IFERROR(__xludf.DUMMYFUNCTION("DATE(INDEX(SPLIT(I3416,""/""),,3),INDEX(SPLIT(I3416,""/""),,2),INDEX(SPLIT(I3416,""/""),,1))"),44834.0)</f>
        <v>44834</v>
      </c>
      <c r="L3416" s="1">
        <v>0.0</v>
      </c>
      <c r="M3416" s="1" t="s">
        <v>2787</v>
      </c>
      <c r="N3416" s="1"/>
      <c r="O3416" s="1" t="s">
        <v>30</v>
      </c>
      <c r="P3416" s="1" t="s">
        <v>31</v>
      </c>
      <c r="Q3416" s="1" t="s">
        <v>157</v>
      </c>
      <c r="R3416" s="1" t="s">
        <v>157</v>
      </c>
      <c r="S3416" s="1" t="s">
        <v>158</v>
      </c>
      <c r="T3416" s="1" t="s">
        <v>442</v>
      </c>
      <c r="U3416" s="1">
        <v>1.00708984E8</v>
      </c>
      <c r="X3416" s="1" t="s">
        <v>117</v>
      </c>
      <c r="Y3416" s="1" t="s">
        <v>852</v>
      </c>
      <c r="Z3416" s="1" t="s">
        <v>37</v>
      </c>
    </row>
    <row r="3417" hidden="1">
      <c r="A3417" s="1" t="s">
        <v>10056</v>
      </c>
      <c r="B3417" s="1" t="s">
        <v>10057</v>
      </c>
      <c r="C3417" s="1" t="s">
        <v>10058</v>
      </c>
      <c r="D3417" s="1" t="s">
        <v>27</v>
      </c>
      <c r="E3417" s="1" t="s">
        <v>28</v>
      </c>
      <c r="F3417" s="2">
        <v>250000.0</v>
      </c>
      <c r="G3417" s="4">
        <v>44568.0</v>
      </c>
      <c r="H3417" s="4">
        <f>IFERROR(__xludf.DUMMYFUNCTION("DATE(INDEX(SPLIT(G3417,""/""),,3),INDEX(SPLIT(G3417,""/""),,2),INDEX(SPLIT(G3417,""/""),,1))"),44743.0)</f>
        <v>44743</v>
      </c>
      <c r="I3417" s="1" t="s">
        <v>360</v>
      </c>
      <c r="J3417" s="4">
        <f>IFERROR(__xludf.DUMMYFUNCTION("DATE(INDEX(SPLIT(I3417,""/""),,3),INDEX(SPLIT(I3417,""/""),,2),INDEX(SPLIT(I3417,""/""),,1))"),44895.0)</f>
        <v>44895</v>
      </c>
      <c r="L3417" s="1">
        <v>0.0</v>
      </c>
      <c r="M3417" s="1" t="s">
        <v>299</v>
      </c>
      <c r="N3417" s="1"/>
      <c r="O3417" s="1" t="s">
        <v>30</v>
      </c>
      <c r="P3417" s="1" t="s">
        <v>31</v>
      </c>
      <c r="Q3417" s="1" t="s">
        <v>71</v>
      </c>
      <c r="R3417" s="1" t="s">
        <v>71</v>
      </c>
      <c r="S3417" s="1" t="s">
        <v>72</v>
      </c>
      <c r="U3417" s="1">
        <v>1.00610483E8</v>
      </c>
      <c r="X3417" s="1" t="s">
        <v>2028</v>
      </c>
      <c r="Y3417" s="1" t="s">
        <v>1822</v>
      </c>
      <c r="Z3417" s="1" t="s">
        <v>37</v>
      </c>
    </row>
    <row r="3418" hidden="1">
      <c r="A3418" s="1" t="s">
        <v>10059</v>
      </c>
      <c r="B3418" s="1" t="s">
        <v>10060</v>
      </c>
      <c r="C3418" s="1" t="s">
        <v>10061</v>
      </c>
      <c r="D3418" s="1" t="s">
        <v>27</v>
      </c>
      <c r="E3418" s="1" t="s">
        <v>28</v>
      </c>
      <c r="F3418" s="2">
        <v>250000.0</v>
      </c>
      <c r="G3418" s="1" t="s">
        <v>3349</v>
      </c>
      <c r="H3418" s="4">
        <f>IFERROR(__xludf.DUMMYFUNCTION("DATE(INDEX(SPLIT(G3418,""/""),,3),INDEX(SPLIT(G3418,""/""),,2),INDEX(SPLIT(G3418,""/""),,1))"),44648.0)</f>
        <v>44648</v>
      </c>
      <c r="I3418" s="1" t="s">
        <v>109</v>
      </c>
      <c r="J3418" s="4">
        <f>IFERROR(__xludf.DUMMYFUNCTION("DATE(INDEX(SPLIT(I3418,""/""),,3),INDEX(SPLIT(I3418,""/""),,2),INDEX(SPLIT(I3418,""/""),,1))"),44834.0)</f>
        <v>44834</v>
      </c>
      <c r="L3418" s="1">
        <v>0.0</v>
      </c>
      <c r="M3418" s="1" t="s">
        <v>5120</v>
      </c>
      <c r="N3418" s="1"/>
      <c r="O3418" s="1" t="s">
        <v>30</v>
      </c>
      <c r="P3418" s="1" t="s">
        <v>31</v>
      </c>
      <c r="Q3418" s="1" t="s">
        <v>71</v>
      </c>
      <c r="R3418" s="1" t="s">
        <v>71</v>
      </c>
      <c r="S3418" s="1" t="s">
        <v>72</v>
      </c>
      <c r="T3418" s="1" t="s">
        <v>136</v>
      </c>
      <c r="U3418" s="1">
        <v>1.0059101E8</v>
      </c>
      <c r="X3418" s="1" t="s">
        <v>2028</v>
      </c>
      <c r="Y3418" s="1" t="s">
        <v>5120</v>
      </c>
      <c r="Z3418" s="1" t="s">
        <v>37</v>
      </c>
    </row>
    <row r="3419">
      <c r="A3419" s="1" t="s">
        <v>10062</v>
      </c>
      <c r="B3419" s="1" t="s">
        <v>39</v>
      </c>
      <c r="C3419" s="1" t="s">
        <v>10063</v>
      </c>
      <c r="D3419" s="1" t="s">
        <v>122</v>
      </c>
      <c r="E3419" s="1" t="s">
        <v>28</v>
      </c>
      <c r="F3419" s="2">
        <v>250000.0</v>
      </c>
      <c r="G3419" s="4">
        <v>44748.0</v>
      </c>
      <c r="H3419" s="4">
        <f>IFERROR(__xludf.DUMMYFUNCTION("DATE(INDEX(SPLIT(G3419,""/""),,3),INDEX(SPLIT(G3419,""/""),,2),INDEX(SPLIT(G3419,""/""),,1))"),44719.0)</f>
        <v>44719</v>
      </c>
      <c r="I3419" s="1" t="s">
        <v>69</v>
      </c>
      <c r="J3419" s="4">
        <f>IFERROR(__xludf.DUMMYFUNCTION("DATE(INDEX(SPLIT(I3419,""/""),,3),INDEX(SPLIT(I3419,""/""),,2),INDEX(SPLIT(I3419,""/""),,1))"),44773.0)</f>
        <v>44773</v>
      </c>
      <c r="L3419" s="1">
        <v>0.0</v>
      </c>
      <c r="M3419" s="1" t="s">
        <v>9767</v>
      </c>
      <c r="N3419" s="1"/>
      <c r="O3419" s="1" t="s">
        <v>30</v>
      </c>
      <c r="P3419" s="1" t="s">
        <v>31</v>
      </c>
      <c r="Q3419" s="1" t="s">
        <v>228</v>
      </c>
      <c r="R3419" s="1" t="s">
        <v>228</v>
      </c>
      <c r="S3419" s="1" t="s">
        <v>229</v>
      </c>
      <c r="U3419" s="1">
        <v>1.00632043E8</v>
      </c>
      <c r="V3419" s="1" t="s">
        <v>326</v>
      </c>
      <c r="W3419" s="1" t="s">
        <v>45</v>
      </c>
      <c r="X3419" s="1" t="s">
        <v>46</v>
      </c>
      <c r="Y3419" s="1" t="s">
        <v>9697</v>
      </c>
      <c r="Z3419" s="1" t="s">
        <v>37</v>
      </c>
    </row>
    <row r="3420" hidden="1">
      <c r="A3420" s="1" t="s">
        <v>10064</v>
      </c>
      <c r="B3420" s="1" t="s">
        <v>1820</v>
      </c>
      <c r="C3420" s="1" t="s">
        <v>10065</v>
      </c>
      <c r="D3420" s="1" t="s">
        <v>27</v>
      </c>
      <c r="E3420" s="1" t="s">
        <v>28</v>
      </c>
      <c r="F3420" s="2">
        <v>250000.0</v>
      </c>
      <c r="G3420" s="4">
        <v>44568.0</v>
      </c>
      <c r="H3420" s="4">
        <f>IFERROR(__xludf.DUMMYFUNCTION("DATE(INDEX(SPLIT(G3420,""/""),,3),INDEX(SPLIT(G3420,""/""),,2),INDEX(SPLIT(G3420,""/""),,1))"),44743.0)</f>
        <v>44743</v>
      </c>
      <c r="I3420" s="1" t="s">
        <v>281</v>
      </c>
      <c r="J3420" s="4">
        <f>IFERROR(__xludf.DUMMYFUNCTION("DATE(INDEX(SPLIT(I3420,""/""),,3),INDEX(SPLIT(I3420,""/""),,2),INDEX(SPLIT(I3420,""/""),,1))"),44865.0)</f>
        <v>44865</v>
      </c>
      <c r="L3420" s="1">
        <v>0.0</v>
      </c>
      <c r="M3420" s="1" t="s">
        <v>299</v>
      </c>
      <c r="N3420" s="1"/>
      <c r="O3420" s="1" t="s">
        <v>30</v>
      </c>
      <c r="P3420" s="1" t="s">
        <v>31</v>
      </c>
      <c r="Q3420" s="1" t="s">
        <v>71</v>
      </c>
      <c r="R3420" s="1" t="s">
        <v>71</v>
      </c>
      <c r="S3420" s="1" t="s">
        <v>72</v>
      </c>
      <c r="U3420" s="1">
        <v>1.00610483E8</v>
      </c>
      <c r="X3420" s="1" t="s">
        <v>74</v>
      </c>
      <c r="Y3420" s="1" t="s">
        <v>1822</v>
      </c>
      <c r="Z3420" s="1" t="s">
        <v>37</v>
      </c>
    </row>
    <row r="3421" hidden="1">
      <c r="A3421" s="1" t="s">
        <v>10066</v>
      </c>
      <c r="B3421" s="1" t="s">
        <v>1300</v>
      </c>
      <c r="C3421" s="1" t="s">
        <v>10067</v>
      </c>
      <c r="D3421" s="1" t="s">
        <v>27</v>
      </c>
      <c r="E3421" s="1" t="s">
        <v>28</v>
      </c>
      <c r="F3421" s="2">
        <v>250000.0</v>
      </c>
      <c r="G3421" s="1" t="s">
        <v>164</v>
      </c>
      <c r="H3421" s="4">
        <f>IFERROR(__xludf.DUMMYFUNCTION("DATE(INDEX(SPLIT(G3421,""/""),,3),INDEX(SPLIT(G3421,""/""),,2),INDEX(SPLIT(G3421,""/""),,1))"),44706.0)</f>
        <v>44706</v>
      </c>
      <c r="I3421" s="1" t="s">
        <v>1799</v>
      </c>
      <c r="J3421" s="4">
        <f>IFERROR(__xludf.DUMMYFUNCTION("DATE(INDEX(SPLIT(I3421,""/""),,3),INDEX(SPLIT(I3421,""/""),,2),INDEX(SPLIT(I3421,""/""),,1))"),44788.0)</f>
        <v>44788</v>
      </c>
      <c r="L3421" s="1">
        <v>0.0</v>
      </c>
      <c r="M3421" s="1" t="s">
        <v>1944</v>
      </c>
      <c r="N3421" s="1"/>
      <c r="O3421" s="1" t="s">
        <v>30</v>
      </c>
      <c r="P3421" s="1" t="s">
        <v>31</v>
      </c>
      <c r="Q3421" s="1" t="s">
        <v>235</v>
      </c>
      <c r="R3421" s="1" t="s">
        <v>235</v>
      </c>
      <c r="S3421" s="1" t="s">
        <v>236</v>
      </c>
      <c r="T3421" s="1" t="s">
        <v>753</v>
      </c>
      <c r="U3421" s="1">
        <v>1.00628186E8</v>
      </c>
      <c r="X3421" s="1" t="s">
        <v>88</v>
      </c>
      <c r="Y3421" s="1" t="s">
        <v>6114</v>
      </c>
      <c r="Z3421" s="1" t="s">
        <v>37</v>
      </c>
    </row>
    <row r="3422" hidden="1">
      <c r="A3422" s="1" t="s">
        <v>10068</v>
      </c>
      <c r="B3422" s="1" t="s">
        <v>1429</v>
      </c>
      <c r="C3422" s="1" t="s">
        <v>10069</v>
      </c>
      <c r="D3422" s="1" t="s">
        <v>27</v>
      </c>
      <c r="E3422" s="1" t="s">
        <v>28</v>
      </c>
      <c r="F3422" s="2">
        <v>250000.0</v>
      </c>
      <c r="G3422" s="4">
        <v>43811.0</v>
      </c>
      <c r="H3422" s="4">
        <f>IFERROR(__xludf.DUMMYFUNCTION("DATE(INDEX(SPLIT(G3422,""/""),,3),INDEX(SPLIT(G3422,""/""),,2),INDEX(SPLIT(G3422,""/""),,1))"),43811.0)</f>
        <v>43811</v>
      </c>
      <c r="I3422" s="1" t="s">
        <v>281</v>
      </c>
      <c r="J3422" s="4">
        <f>IFERROR(__xludf.DUMMYFUNCTION("DATE(INDEX(SPLIT(I3422,""/""),,3),INDEX(SPLIT(I3422,""/""),,2),INDEX(SPLIT(I3422,""/""),,1))"),44865.0)</f>
        <v>44865</v>
      </c>
      <c r="L3422" s="1">
        <v>0.0</v>
      </c>
      <c r="M3422" s="1" t="s">
        <v>1433</v>
      </c>
      <c r="N3422" s="1"/>
      <c r="O3422" s="1" t="s">
        <v>30</v>
      </c>
      <c r="P3422" s="1" t="s">
        <v>31</v>
      </c>
      <c r="Q3422" s="1" t="s">
        <v>228</v>
      </c>
      <c r="R3422" s="1" t="s">
        <v>228</v>
      </c>
      <c r="S3422" s="1" t="s">
        <v>229</v>
      </c>
      <c r="T3422" s="1" t="s">
        <v>9983</v>
      </c>
      <c r="U3422" s="1">
        <v>1.00609118E8</v>
      </c>
      <c r="X3422" s="1" t="s">
        <v>190</v>
      </c>
      <c r="Y3422" s="1" t="s">
        <v>2184</v>
      </c>
      <c r="Z3422" s="1" t="s">
        <v>37</v>
      </c>
    </row>
    <row r="3423" hidden="1">
      <c r="A3423" s="1" t="s">
        <v>10070</v>
      </c>
      <c r="B3423" s="1" t="s">
        <v>896</v>
      </c>
      <c r="C3423" s="1" t="s">
        <v>10071</v>
      </c>
      <c r="D3423" s="1" t="s">
        <v>78</v>
      </c>
      <c r="E3423" s="1" t="s">
        <v>28</v>
      </c>
      <c r="F3423" s="2">
        <v>250000.0</v>
      </c>
      <c r="G3423" s="1" t="s">
        <v>1694</v>
      </c>
      <c r="H3423" s="4">
        <f>IFERROR(__xludf.DUMMYFUNCTION("DATE(INDEX(SPLIT(G3423,""/""),,3),INDEX(SPLIT(G3423,""/""),,2),INDEX(SPLIT(G3423,""/""),,1))"),44516.0)</f>
        <v>44516</v>
      </c>
      <c r="I3423" s="1" t="s">
        <v>109</v>
      </c>
      <c r="J3423" s="4">
        <f>IFERROR(__xludf.DUMMYFUNCTION("DATE(INDEX(SPLIT(I3423,""/""),,3),INDEX(SPLIT(I3423,""/""),,2),INDEX(SPLIT(I3423,""/""),,1))"),44834.0)</f>
        <v>44834</v>
      </c>
      <c r="L3423" s="1">
        <v>0.0</v>
      </c>
      <c r="M3423" s="1" t="s">
        <v>1649</v>
      </c>
      <c r="N3423" s="1"/>
      <c r="O3423" s="1" t="s">
        <v>30</v>
      </c>
      <c r="P3423" s="1" t="s">
        <v>31</v>
      </c>
      <c r="Q3423" s="1" t="s">
        <v>157</v>
      </c>
      <c r="R3423" s="1" t="s">
        <v>157</v>
      </c>
      <c r="S3423" s="1" t="s">
        <v>158</v>
      </c>
      <c r="T3423" s="1" t="s">
        <v>159</v>
      </c>
      <c r="U3423" s="1">
        <v>1.00643454E8</v>
      </c>
      <c r="X3423" s="1" t="s">
        <v>490</v>
      </c>
      <c r="Y3423" s="1" t="s">
        <v>1649</v>
      </c>
      <c r="Z3423" s="1" t="s">
        <v>37</v>
      </c>
    </row>
    <row r="3424" hidden="1">
      <c r="A3424" s="1" t="s">
        <v>10072</v>
      </c>
      <c r="B3424" s="1" t="s">
        <v>5675</v>
      </c>
      <c r="C3424" s="1" t="s">
        <v>10073</v>
      </c>
      <c r="D3424" s="1" t="s">
        <v>78</v>
      </c>
      <c r="E3424" s="1" t="s">
        <v>28</v>
      </c>
      <c r="F3424" s="2">
        <v>250000.0</v>
      </c>
      <c r="G3424" s="4">
        <v>44420.0</v>
      </c>
      <c r="H3424" s="4">
        <f>IFERROR(__xludf.DUMMYFUNCTION("DATE(INDEX(SPLIT(G3424,""/""),,3),INDEX(SPLIT(G3424,""/""),,2),INDEX(SPLIT(G3424,""/""),,1))"),44538.0)</f>
        <v>44538</v>
      </c>
      <c r="I3424" s="1" t="s">
        <v>109</v>
      </c>
      <c r="J3424" s="4">
        <f>IFERROR(__xludf.DUMMYFUNCTION("DATE(INDEX(SPLIT(I3424,""/""),,3),INDEX(SPLIT(I3424,""/""),,2),INDEX(SPLIT(I3424,""/""),,1))"),44834.0)</f>
        <v>44834</v>
      </c>
      <c r="L3424" s="1">
        <v>0.0</v>
      </c>
      <c r="M3424" s="1" t="s">
        <v>5205</v>
      </c>
      <c r="N3424" s="1"/>
      <c r="O3424" s="1" t="s">
        <v>30</v>
      </c>
      <c r="P3424" s="1" t="s">
        <v>31</v>
      </c>
      <c r="Q3424" s="1" t="s">
        <v>32</v>
      </c>
      <c r="R3424" s="1" t="s">
        <v>32</v>
      </c>
      <c r="S3424" s="1" t="s">
        <v>33</v>
      </c>
      <c r="T3424" s="1" t="s">
        <v>1386</v>
      </c>
      <c r="U3424" s="1">
        <v>1.00587881E8</v>
      </c>
      <c r="X3424" s="1" t="s">
        <v>305</v>
      </c>
      <c r="Y3424" s="1" t="s">
        <v>5205</v>
      </c>
      <c r="Z3424" s="1" t="s">
        <v>37</v>
      </c>
    </row>
    <row r="3425">
      <c r="A3425" s="1" t="s">
        <v>10074</v>
      </c>
      <c r="B3425" s="1" t="s">
        <v>8992</v>
      </c>
      <c r="C3425" s="1" t="s">
        <v>10075</v>
      </c>
      <c r="D3425" s="1" t="s">
        <v>78</v>
      </c>
      <c r="E3425" s="1" t="s">
        <v>28</v>
      </c>
      <c r="F3425" s="2">
        <v>250000.0</v>
      </c>
      <c r="G3425" s="1" t="s">
        <v>10076</v>
      </c>
      <c r="H3425" s="4">
        <f>IFERROR(__xludf.DUMMYFUNCTION("DATE(INDEX(SPLIT(G3425,""/""),,3),INDEX(SPLIT(G3425,""/""),,2),INDEX(SPLIT(G3425,""/""),,1))"),44062.0)</f>
        <v>44062</v>
      </c>
      <c r="I3425" s="4">
        <v>44626.0</v>
      </c>
      <c r="J3425" s="4">
        <f>IFERROR(__xludf.DUMMYFUNCTION("DATE(INDEX(SPLIT(I3425,""/""),,3),INDEX(SPLIT(I3425,""/""),,2),INDEX(SPLIT(I3425,""/""),,1))"),44715.0)</f>
        <v>44715</v>
      </c>
      <c r="L3425" s="1">
        <v>0.0</v>
      </c>
      <c r="M3425" s="1" t="s">
        <v>6691</v>
      </c>
      <c r="N3425" s="1"/>
      <c r="O3425" s="1" t="s">
        <v>30</v>
      </c>
      <c r="P3425" s="1" t="s">
        <v>31</v>
      </c>
      <c r="Q3425" s="1" t="s">
        <v>95</v>
      </c>
      <c r="R3425" s="1" t="s">
        <v>95</v>
      </c>
      <c r="S3425" s="1" t="s">
        <v>96</v>
      </c>
      <c r="T3425" s="1" t="s">
        <v>97</v>
      </c>
      <c r="U3425" s="1">
        <v>1.00694651E8</v>
      </c>
      <c r="X3425" s="1" t="s">
        <v>190</v>
      </c>
      <c r="Y3425" s="1" t="s">
        <v>10077</v>
      </c>
      <c r="Z3425" s="1" t="s">
        <v>37</v>
      </c>
    </row>
    <row r="3426">
      <c r="A3426" s="1" t="s">
        <v>10078</v>
      </c>
      <c r="B3426" s="1" t="s">
        <v>1393</v>
      </c>
      <c r="C3426" s="1" t="s">
        <v>10079</v>
      </c>
      <c r="D3426" s="1" t="s">
        <v>122</v>
      </c>
      <c r="E3426" s="1" t="s">
        <v>28</v>
      </c>
      <c r="F3426" s="2">
        <v>250000.0</v>
      </c>
      <c r="G3426" s="4">
        <v>44841.0</v>
      </c>
      <c r="H3426" s="4">
        <f>IFERROR(__xludf.DUMMYFUNCTION("DATE(INDEX(SPLIT(G3426,""/""),,3),INDEX(SPLIT(G3426,""/""),,2),INDEX(SPLIT(G3426,""/""),,1))"),44752.0)</f>
        <v>44752</v>
      </c>
      <c r="I3426" s="1" t="s">
        <v>226</v>
      </c>
      <c r="J3426" s="4">
        <f>IFERROR(__xludf.DUMMYFUNCTION("DATE(INDEX(SPLIT(I3426,""/""),,3),INDEX(SPLIT(I3426,""/""),,2),INDEX(SPLIT(I3426,""/""),,1))"),44771.0)</f>
        <v>44771</v>
      </c>
      <c r="L3426" s="1">
        <v>0.0</v>
      </c>
      <c r="M3426" s="1" t="s">
        <v>2638</v>
      </c>
      <c r="N3426" s="1"/>
      <c r="O3426" s="1" t="s">
        <v>30</v>
      </c>
      <c r="P3426" s="1" t="s">
        <v>31</v>
      </c>
      <c r="Q3426" s="1" t="s">
        <v>95</v>
      </c>
      <c r="R3426" s="1" t="s">
        <v>95</v>
      </c>
      <c r="S3426" s="1" t="s">
        <v>96</v>
      </c>
      <c r="T3426" s="1" t="s">
        <v>602</v>
      </c>
      <c r="U3426" s="1">
        <v>1.00649654E8</v>
      </c>
      <c r="X3426" s="1" t="s">
        <v>88</v>
      </c>
      <c r="Y3426" s="1" t="s">
        <v>2638</v>
      </c>
      <c r="Z3426" s="1" t="s">
        <v>206</v>
      </c>
    </row>
    <row r="3427">
      <c r="A3427" s="1" t="s">
        <v>10080</v>
      </c>
      <c r="B3427" s="1" t="s">
        <v>10081</v>
      </c>
      <c r="C3427" s="1" t="s">
        <v>10082</v>
      </c>
      <c r="D3427" s="1" t="s">
        <v>27</v>
      </c>
      <c r="E3427" s="1" t="s">
        <v>28</v>
      </c>
      <c r="F3427" s="2">
        <v>250000.0</v>
      </c>
      <c r="G3427" s="4">
        <v>44326.0</v>
      </c>
      <c r="H3427" s="4">
        <f>IFERROR(__xludf.DUMMYFUNCTION("DATE(INDEX(SPLIT(G3427,""/""),,3),INDEX(SPLIT(G3427,""/""),,2),INDEX(SPLIT(G3427,""/""),,1))"),44474.0)</f>
        <v>44474</v>
      </c>
      <c r="I3427" s="1" t="s">
        <v>935</v>
      </c>
      <c r="J3427" s="4">
        <f>IFERROR(__xludf.DUMMYFUNCTION("DATE(INDEX(SPLIT(I3427,""/""),,3),INDEX(SPLIT(I3427,""/""),,2),INDEX(SPLIT(I3427,""/""),,1))"),44764.0)</f>
        <v>44764</v>
      </c>
      <c r="L3427" s="1">
        <v>0.0</v>
      </c>
      <c r="M3427" s="1" t="s">
        <v>4011</v>
      </c>
      <c r="N3427" s="1"/>
      <c r="O3427" s="1" t="s">
        <v>30</v>
      </c>
      <c r="P3427" s="1" t="s">
        <v>31</v>
      </c>
      <c r="Q3427" s="1" t="s">
        <v>95</v>
      </c>
      <c r="R3427" s="1" t="s">
        <v>95</v>
      </c>
      <c r="S3427" s="1" t="s">
        <v>96</v>
      </c>
      <c r="T3427" s="1" t="s">
        <v>97</v>
      </c>
      <c r="U3427" s="1">
        <v>1.00702554E8</v>
      </c>
      <c r="X3427" s="1" t="s">
        <v>781</v>
      </c>
      <c r="Y3427" s="1" t="s">
        <v>4011</v>
      </c>
      <c r="Z3427" s="1" t="s">
        <v>206</v>
      </c>
    </row>
    <row r="3428" hidden="1">
      <c r="A3428" s="1" t="s">
        <v>10083</v>
      </c>
      <c r="B3428" s="1" t="s">
        <v>612</v>
      </c>
      <c r="C3428" s="1" t="s">
        <v>10084</v>
      </c>
      <c r="D3428" s="1" t="s">
        <v>27</v>
      </c>
      <c r="E3428" s="1" t="s">
        <v>28</v>
      </c>
      <c r="F3428" s="2">
        <v>250000.0</v>
      </c>
      <c r="G3428" s="1" t="s">
        <v>2900</v>
      </c>
      <c r="H3428" s="4">
        <f>IFERROR(__xludf.DUMMYFUNCTION("DATE(INDEX(SPLIT(G3428,""/""),,3),INDEX(SPLIT(G3428,""/""),,2),INDEX(SPLIT(G3428,""/""),,1))"),44678.0)</f>
        <v>44678</v>
      </c>
      <c r="I3428" s="1" t="s">
        <v>109</v>
      </c>
      <c r="J3428" s="4">
        <f>IFERROR(__xludf.DUMMYFUNCTION("DATE(INDEX(SPLIT(I3428,""/""),,3),INDEX(SPLIT(I3428,""/""),,2),INDEX(SPLIT(I3428,""/""),,1))"),44834.0)</f>
        <v>44834</v>
      </c>
      <c r="L3428" s="1">
        <v>0.0</v>
      </c>
      <c r="M3428" s="1" t="s">
        <v>1649</v>
      </c>
      <c r="N3428" s="1"/>
      <c r="O3428" s="1" t="s">
        <v>30</v>
      </c>
      <c r="P3428" s="1" t="s">
        <v>31</v>
      </c>
      <c r="Q3428" s="1" t="s">
        <v>157</v>
      </c>
      <c r="R3428" s="1" t="s">
        <v>157</v>
      </c>
      <c r="S3428" s="1" t="s">
        <v>158</v>
      </c>
      <c r="T3428" s="1" t="s">
        <v>442</v>
      </c>
      <c r="U3428" s="1">
        <v>1.00643454E8</v>
      </c>
      <c r="X3428" s="1" t="s">
        <v>490</v>
      </c>
      <c r="Y3428" s="1" t="s">
        <v>1649</v>
      </c>
      <c r="Z3428" s="1" t="s">
        <v>37</v>
      </c>
    </row>
    <row r="3429" hidden="1">
      <c r="A3429" s="1" t="s">
        <v>10085</v>
      </c>
      <c r="B3429" s="1" t="s">
        <v>1355</v>
      </c>
      <c r="C3429" s="1" t="s">
        <v>10086</v>
      </c>
      <c r="D3429" s="1" t="s">
        <v>27</v>
      </c>
      <c r="E3429" s="1" t="s">
        <v>28</v>
      </c>
      <c r="F3429" s="2">
        <v>250000.0</v>
      </c>
      <c r="G3429" s="1" t="s">
        <v>1357</v>
      </c>
      <c r="H3429" s="4">
        <f>IFERROR(__xludf.DUMMYFUNCTION("DATE(INDEX(SPLIT(G3429,""/""),,3),INDEX(SPLIT(G3429,""/""),,2),INDEX(SPLIT(G3429,""/""),,1))"),44398.0)</f>
        <v>44398</v>
      </c>
      <c r="I3429" s="1" t="s">
        <v>109</v>
      </c>
      <c r="J3429" s="4">
        <f>IFERROR(__xludf.DUMMYFUNCTION("DATE(INDEX(SPLIT(I3429,""/""),,3),INDEX(SPLIT(I3429,""/""),,2),INDEX(SPLIT(I3429,""/""),,1))"),44834.0)</f>
        <v>44834</v>
      </c>
      <c r="L3429" s="1">
        <v>0.0</v>
      </c>
      <c r="M3429" s="1" t="s">
        <v>1358</v>
      </c>
      <c r="N3429" s="1"/>
      <c r="O3429" s="1" t="s">
        <v>30</v>
      </c>
      <c r="P3429" s="1" t="s">
        <v>31</v>
      </c>
      <c r="Q3429" s="1" t="s">
        <v>32</v>
      </c>
      <c r="R3429" s="1" t="s">
        <v>32</v>
      </c>
      <c r="S3429" s="1" t="s">
        <v>33</v>
      </c>
      <c r="U3429" s="1">
        <v>1.00613915E8</v>
      </c>
      <c r="X3429" s="1" t="s">
        <v>35</v>
      </c>
      <c r="Y3429" s="1" t="s">
        <v>985</v>
      </c>
      <c r="Z3429" s="1" t="s">
        <v>37</v>
      </c>
    </row>
    <row r="3430">
      <c r="A3430" s="1" t="s">
        <v>10087</v>
      </c>
      <c r="B3430" s="1" t="s">
        <v>5047</v>
      </c>
      <c r="C3430" s="1" t="s">
        <v>10088</v>
      </c>
      <c r="D3430" s="1" t="s">
        <v>122</v>
      </c>
      <c r="E3430" s="1" t="s">
        <v>28</v>
      </c>
      <c r="F3430" s="2">
        <v>250000.0</v>
      </c>
      <c r="G3430" s="1" t="s">
        <v>1958</v>
      </c>
      <c r="H3430" s="4">
        <f>IFERROR(__xludf.DUMMYFUNCTION("DATE(INDEX(SPLIT(G3430,""/""),,3),INDEX(SPLIT(G3430,""/""),,2),INDEX(SPLIT(G3430,""/""),,1))"),44583.0)</f>
        <v>44583</v>
      </c>
      <c r="I3430" s="1" t="s">
        <v>69</v>
      </c>
      <c r="J3430" s="4">
        <f>IFERROR(__xludf.DUMMYFUNCTION("DATE(INDEX(SPLIT(I3430,""/""),,3),INDEX(SPLIT(I3430,""/""),,2),INDEX(SPLIT(I3430,""/""),,1))"),44773.0)</f>
        <v>44773</v>
      </c>
      <c r="L3430" s="1">
        <v>0.0</v>
      </c>
      <c r="M3430" s="1" t="s">
        <v>1959</v>
      </c>
      <c r="N3430" s="1"/>
      <c r="O3430" s="1" t="s">
        <v>30</v>
      </c>
      <c r="P3430" s="1" t="s">
        <v>31</v>
      </c>
      <c r="Q3430" s="1" t="s">
        <v>228</v>
      </c>
      <c r="R3430" s="1" t="s">
        <v>228</v>
      </c>
      <c r="S3430" s="1" t="s">
        <v>229</v>
      </c>
      <c r="T3430" s="1" t="s">
        <v>640</v>
      </c>
      <c r="U3430" s="1">
        <v>1.00955805E8</v>
      </c>
      <c r="X3430" s="1" t="s">
        <v>5049</v>
      </c>
      <c r="Y3430" s="1" t="s">
        <v>1959</v>
      </c>
      <c r="Z3430" s="1" t="s">
        <v>37</v>
      </c>
    </row>
    <row r="3431">
      <c r="A3431" s="1" t="s">
        <v>10089</v>
      </c>
      <c r="B3431" s="1" t="s">
        <v>7930</v>
      </c>
      <c r="C3431" s="1" t="s">
        <v>10090</v>
      </c>
      <c r="D3431" s="1" t="s">
        <v>78</v>
      </c>
      <c r="E3431" s="1" t="s">
        <v>28</v>
      </c>
      <c r="F3431" s="2">
        <v>250000.0</v>
      </c>
      <c r="G3431" s="1" t="s">
        <v>3853</v>
      </c>
      <c r="H3431" s="4">
        <f>IFERROR(__xludf.DUMMYFUNCTION("DATE(INDEX(SPLIT(G3431,""/""),,3),INDEX(SPLIT(G3431,""/""),,2),INDEX(SPLIT(G3431,""/""),,1))"),44679.0)</f>
        <v>44679</v>
      </c>
      <c r="I3431" s="1" t="s">
        <v>226</v>
      </c>
      <c r="J3431" s="4">
        <f>IFERROR(__xludf.DUMMYFUNCTION("DATE(INDEX(SPLIT(I3431,""/""),,3),INDEX(SPLIT(I3431,""/""),,2),INDEX(SPLIT(I3431,""/""),,1))"),44771.0)</f>
        <v>44771</v>
      </c>
      <c r="L3431" s="1">
        <v>0.0</v>
      </c>
      <c r="M3431" s="1" t="s">
        <v>5120</v>
      </c>
      <c r="N3431" s="1"/>
      <c r="O3431" s="1" t="s">
        <v>30</v>
      </c>
      <c r="P3431" s="1" t="s">
        <v>31</v>
      </c>
      <c r="Q3431" s="1" t="s">
        <v>71</v>
      </c>
      <c r="R3431" s="1" t="s">
        <v>71</v>
      </c>
      <c r="S3431" s="1" t="s">
        <v>72</v>
      </c>
      <c r="T3431" s="1" t="s">
        <v>136</v>
      </c>
      <c r="U3431" s="1">
        <v>1.0059101E8</v>
      </c>
      <c r="X3431" s="1" t="s">
        <v>2028</v>
      </c>
      <c r="Y3431" s="1" t="s">
        <v>5120</v>
      </c>
      <c r="Z3431" s="1" t="s">
        <v>37</v>
      </c>
    </row>
    <row r="3432" hidden="1">
      <c r="A3432" s="1" t="s">
        <v>10091</v>
      </c>
      <c r="B3432" s="1" t="s">
        <v>5803</v>
      </c>
      <c r="C3432" s="1" t="s">
        <v>10092</v>
      </c>
      <c r="D3432" s="1" t="s">
        <v>122</v>
      </c>
      <c r="E3432" s="1" t="s">
        <v>28</v>
      </c>
      <c r="F3432" s="2">
        <v>250000.0</v>
      </c>
      <c r="G3432" s="1" t="s">
        <v>1694</v>
      </c>
      <c r="H3432" s="4">
        <f>IFERROR(__xludf.DUMMYFUNCTION("DATE(INDEX(SPLIT(G3432,""/""),,3),INDEX(SPLIT(G3432,""/""),,2),INDEX(SPLIT(G3432,""/""),,1))"),44516.0)</f>
        <v>44516</v>
      </c>
      <c r="I3432" s="1" t="s">
        <v>109</v>
      </c>
      <c r="J3432" s="4">
        <f>IFERROR(__xludf.DUMMYFUNCTION("DATE(INDEX(SPLIT(I3432,""/""),,3),INDEX(SPLIT(I3432,""/""),,2),INDEX(SPLIT(I3432,""/""),,1))"),44834.0)</f>
        <v>44834</v>
      </c>
      <c r="L3432" s="1">
        <v>0.0</v>
      </c>
      <c r="M3432" s="1" t="s">
        <v>2535</v>
      </c>
      <c r="N3432" s="1"/>
      <c r="O3432" s="1" t="s">
        <v>30</v>
      </c>
      <c r="P3432" s="1" t="s">
        <v>31</v>
      </c>
      <c r="Q3432" s="1" t="s">
        <v>188</v>
      </c>
      <c r="R3432" s="1" t="s">
        <v>188</v>
      </c>
      <c r="S3432" s="1" t="s">
        <v>189</v>
      </c>
      <c r="U3432" s="1">
        <v>1.00603236E8</v>
      </c>
      <c r="X3432" s="1" t="s">
        <v>361</v>
      </c>
      <c r="Y3432" s="1" t="s">
        <v>10093</v>
      </c>
      <c r="Z3432" s="1" t="s">
        <v>37</v>
      </c>
    </row>
    <row r="3433">
      <c r="A3433" s="1" t="s">
        <v>10094</v>
      </c>
      <c r="B3433" s="1" t="s">
        <v>1619</v>
      </c>
      <c r="C3433" s="1" t="s">
        <v>10095</v>
      </c>
      <c r="D3433" s="1" t="s">
        <v>27</v>
      </c>
      <c r="E3433" s="1" t="s">
        <v>28</v>
      </c>
      <c r="F3433" s="2">
        <v>250000.0</v>
      </c>
      <c r="G3433" s="4">
        <v>44868.0</v>
      </c>
      <c r="H3433" s="4">
        <f>IFERROR(__xludf.DUMMYFUNCTION("DATE(INDEX(SPLIT(G3433,""/""),,3),INDEX(SPLIT(G3433,""/""),,2),INDEX(SPLIT(G3433,""/""),,1))"),44631.0)</f>
        <v>44631</v>
      </c>
      <c r="I3433" s="1" t="s">
        <v>226</v>
      </c>
      <c r="J3433" s="4">
        <f>IFERROR(__xludf.DUMMYFUNCTION("DATE(INDEX(SPLIT(I3433,""/""),,3),INDEX(SPLIT(I3433,""/""),,2),INDEX(SPLIT(I3433,""/""),,1))"),44771.0)</f>
        <v>44771</v>
      </c>
      <c r="L3433" s="1">
        <v>0.0</v>
      </c>
      <c r="M3433" s="1" t="s">
        <v>1621</v>
      </c>
      <c r="N3433" s="1"/>
      <c r="O3433" s="1" t="s">
        <v>30</v>
      </c>
      <c r="P3433" s="1" t="s">
        <v>31</v>
      </c>
      <c r="Q3433" s="1" t="s">
        <v>157</v>
      </c>
      <c r="R3433" s="1" t="s">
        <v>157</v>
      </c>
      <c r="S3433" s="1" t="s">
        <v>158</v>
      </c>
      <c r="T3433" s="1" t="s">
        <v>634</v>
      </c>
      <c r="U3433" s="1">
        <v>1.00650783E8</v>
      </c>
      <c r="X3433" s="1" t="s">
        <v>117</v>
      </c>
      <c r="Y3433" s="1" t="s">
        <v>1621</v>
      </c>
      <c r="Z3433" s="1" t="s">
        <v>37</v>
      </c>
    </row>
    <row r="3434" hidden="1">
      <c r="A3434" s="1" t="s">
        <v>10096</v>
      </c>
      <c r="B3434" s="1" t="s">
        <v>10097</v>
      </c>
      <c r="C3434" s="1" t="s">
        <v>10098</v>
      </c>
      <c r="D3434" s="1" t="s">
        <v>78</v>
      </c>
      <c r="E3434" s="1" t="s">
        <v>28</v>
      </c>
      <c r="F3434" s="2">
        <v>250000.0</v>
      </c>
      <c r="G3434" s="4">
        <v>43870.0</v>
      </c>
      <c r="H3434" s="4">
        <f>IFERROR(__xludf.DUMMYFUNCTION("DATE(INDEX(SPLIT(G3434,""/""),,3),INDEX(SPLIT(G3434,""/""),,2),INDEX(SPLIT(G3434,""/""),,1))"),44076.0)</f>
        <v>44076</v>
      </c>
      <c r="I3434" s="1" t="s">
        <v>130</v>
      </c>
      <c r="J3434" s="4">
        <f>IFERROR(__xludf.DUMMYFUNCTION("DATE(INDEX(SPLIT(I3434,""/""),,3),INDEX(SPLIT(I3434,""/""),,2),INDEX(SPLIT(I3434,""/""),,1))"),44804.0)</f>
        <v>44804</v>
      </c>
      <c r="L3434" s="1">
        <v>0.0</v>
      </c>
      <c r="M3434" s="1" t="s">
        <v>1088</v>
      </c>
      <c r="N3434" s="1"/>
      <c r="O3434" s="1" t="s">
        <v>30</v>
      </c>
      <c r="P3434" s="1" t="s">
        <v>31</v>
      </c>
      <c r="Q3434" s="1" t="s">
        <v>71</v>
      </c>
      <c r="R3434" s="1" t="s">
        <v>71</v>
      </c>
      <c r="S3434" s="1" t="s">
        <v>72</v>
      </c>
      <c r="T3434" s="1" t="s">
        <v>136</v>
      </c>
      <c r="U3434" s="1">
        <v>1.0090037E8</v>
      </c>
      <c r="X3434" s="1" t="s">
        <v>74</v>
      </c>
      <c r="Y3434" s="1" t="s">
        <v>10099</v>
      </c>
      <c r="Z3434" s="1" t="s">
        <v>37</v>
      </c>
    </row>
    <row r="3435" hidden="1">
      <c r="A3435" s="1" t="s">
        <v>10100</v>
      </c>
      <c r="B3435" s="1" t="s">
        <v>66</v>
      </c>
      <c r="C3435" s="1" t="s">
        <v>10101</v>
      </c>
      <c r="D3435" s="1" t="s">
        <v>27</v>
      </c>
      <c r="E3435" s="1" t="s">
        <v>28</v>
      </c>
      <c r="F3435" s="2">
        <v>250000.0</v>
      </c>
      <c r="G3435" s="1" t="s">
        <v>3934</v>
      </c>
      <c r="H3435" s="4">
        <f>IFERROR(__xludf.DUMMYFUNCTION("DATE(INDEX(SPLIT(G3435,""/""),,3),INDEX(SPLIT(G3435,""/""),,2),INDEX(SPLIT(G3435,""/""),,1))"),44428.0)</f>
        <v>44428</v>
      </c>
      <c r="I3435" s="1" t="s">
        <v>85</v>
      </c>
      <c r="J3435" s="4">
        <f>IFERROR(__xludf.DUMMYFUNCTION("DATE(INDEX(SPLIT(I3435,""/""),,3),INDEX(SPLIT(I3435,""/""),,2),INDEX(SPLIT(I3435,""/""),,1))"),44799.0)</f>
        <v>44799</v>
      </c>
      <c r="L3435" s="1">
        <v>0.0</v>
      </c>
      <c r="M3435" s="1" t="s">
        <v>318</v>
      </c>
      <c r="N3435" s="1"/>
      <c r="O3435" s="1" t="s">
        <v>30</v>
      </c>
      <c r="P3435" s="1" t="s">
        <v>31</v>
      </c>
      <c r="Q3435" s="1" t="s">
        <v>71</v>
      </c>
      <c r="R3435" s="1" t="s">
        <v>71</v>
      </c>
      <c r="S3435" s="1" t="s">
        <v>72</v>
      </c>
      <c r="T3435" s="1" t="s">
        <v>73</v>
      </c>
      <c r="U3435" s="1">
        <v>1.00654705E8</v>
      </c>
      <c r="X3435" s="1" t="s">
        <v>74</v>
      </c>
      <c r="Y3435" s="1" t="s">
        <v>318</v>
      </c>
      <c r="Z3435" s="1" t="s">
        <v>37</v>
      </c>
    </row>
    <row r="3436">
      <c r="A3436" s="1" t="s">
        <v>10102</v>
      </c>
      <c r="B3436" s="1" t="s">
        <v>450</v>
      </c>
      <c r="C3436" s="1" t="s">
        <v>10103</v>
      </c>
      <c r="D3436" s="1" t="s">
        <v>27</v>
      </c>
      <c r="E3436" s="1" t="s">
        <v>28</v>
      </c>
      <c r="F3436" s="2">
        <v>250000.0</v>
      </c>
      <c r="G3436" s="1" t="s">
        <v>1381</v>
      </c>
      <c r="H3436" s="4">
        <f>IFERROR(__xludf.DUMMYFUNCTION("DATE(INDEX(SPLIT(G3436,""/""),,3),INDEX(SPLIT(G3436,""/""),,2),INDEX(SPLIT(G3436,""/""),,1))"),44643.0)</f>
        <v>44643</v>
      </c>
      <c r="I3436" s="1" t="s">
        <v>1244</v>
      </c>
      <c r="J3436" s="4">
        <f>IFERROR(__xludf.DUMMYFUNCTION("DATE(INDEX(SPLIT(I3436,""/""),,3),INDEX(SPLIT(I3436,""/""),,2),INDEX(SPLIT(I3436,""/""),,1))"),44742.0)</f>
        <v>44742</v>
      </c>
      <c r="L3436" s="1">
        <v>0.0</v>
      </c>
      <c r="M3436" s="1" t="s">
        <v>1723</v>
      </c>
      <c r="N3436" s="1"/>
      <c r="O3436" s="1" t="s">
        <v>30</v>
      </c>
      <c r="P3436" s="1" t="s">
        <v>31</v>
      </c>
      <c r="Q3436" s="1" t="s">
        <v>157</v>
      </c>
      <c r="R3436" s="1" t="s">
        <v>157</v>
      </c>
      <c r="S3436" s="1" t="s">
        <v>158</v>
      </c>
      <c r="U3436" s="1">
        <v>1.00654085E8</v>
      </c>
      <c r="X3436" s="1" t="s">
        <v>74</v>
      </c>
      <c r="Y3436" s="1" t="s">
        <v>1622</v>
      </c>
      <c r="Z3436" s="1" t="s">
        <v>37</v>
      </c>
    </row>
    <row r="3437" hidden="1">
      <c r="A3437" s="1" t="s">
        <v>10104</v>
      </c>
      <c r="B3437" s="1" t="s">
        <v>1070</v>
      </c>
      <c r="C3437" s="1" t="s">
        <v>10105</v>
      </c>
      <c r="D3437" s="1" t="s">
        <v>78</v>
      </c>
      <c r="E3437" s="1" t="s">
        <v>28</v>
      </c>
      <c r="F3437" s="2">
        <v>250000.0</v>
      </c>
      <c r="G3437" s="1" t="s">
        <v>1716</v>
      </c>
      <c r="H3437" s="4">
        <f>IFERROR(__xludf.DUMMYFUNCTION("DATE(INDEX(SPLIT(G3437,""/""),,3),INDEX(SPLIT(G3437,""/""),,2),INDEX(SPLIT(G3437,""/""),,1))"),44619.0)</f>
        <v>44619</v>
      </c>
      <c r="I3437" s="1" t="s">
        <v>109</v>
      </c>
      <c r="J3437" s="4">
        <f>IFERROR(__xludf.DUMMYFUNCTION("DATE(INDEX(SPLIT(I3437,""/""),,3),INDEX(SPLIT(I3437,""/""),,2),INDEX(SPLIT(I3437,""/""),,1))"),44834.0)</f>
        <v>44834</v>
      </c>
      <c r="L3437" s="1">
        <v>0.0</v>
      </c>
      <c r="M3437" s="1" t="s">
        <v>7498</v>
      </c>
      <c r="N3437" s="1"/>
      <c r="O3437" s="1" t="s">
        <v>30</v>
      </c>
      <c r="P3437" s="1" t="s">
        <v>31</v>
      </c>
      <c r="Q3437" s="1" t="s">
        <v>235</v>
      </c>
      <c r="R3437" s="1" t="s">
        <v>235</v>
      </c>
      <c r="S3437" s="1" t="s">
        <v>236</v>
      </c>
      <c r="T3437" s="1" t="s">
        <v>571</v>
      </c>
      <c r="U3437" s="1">
        <v>1.01093101E8</v>
      </c>
      <c r="X3437" s="1" t="s">
        <v>305</v>
      </c>
      <c r="Y3437" s="1" t="s">
        <v>7498</v>
      </c>
      <c r="Z3437" s="1" t="s">
        <v>206</v>
      </c>
    </row>
    <row r="3438" hidden="1">
      <c r="A3438" s="1" t="s">
        <v>10106</v>
      </c>
      <c r="B3438" s="1" t="s">
        <v>5976</v>
      </c>
      <c r="C3438" s="1" t="s">
        <v>10107</v>
      </c>
      <c r="D3438" s="1" t="s">
        <v>27</v>
      </c>
      <c r="E3438" s="1" t="s">
        <v>28</v>
      </c>
      <c r="F3438" s="2">
        <v>250000.0</v>
      </c>
      <c r="G3438" s="1" t="s">
        <v>108</v>
      </c>
      <c r="H3438" s="4">
        <f>IFERROR(__xludf.DUMMYFUNCTION("DATE(INDEX(SPLIT(G3438,""/""),,3),INDEX(SPLIT(G3438,""/""),,2),INDEX(SPLIT(G3438,""/""),,1))"),44725.0)</f>
        <v>44725</v>
      </c>
      <c r="I3438" s="1" t="s">
        <v>1097</v>
      </c>
      <c r="J3438" s="4">
        <f>IFERROR(__xludf.DUMMYFUNCTION("DATE(INDEX(SPLIT(I3438,""/""),,3),INDEX(SPLIT(I3438,""/""),,2),INDEX(SPLIT(I3438,""/""),,1))"),45107.0)</f>
        <v>45107</v>
      </c>
      <c r="L3438" s="1">
        <v>0.0</v>
      </c>
      <c r="M3438" s="1" t="s">
        <v>9508</v>
      </c>
      <c r="N3438" s="1"/>
      <c r="O3438" s="1" t="s">
        <v>30</v>
      </c>
      <c r="P3438" s="1" t="s">
        <v>31</v>
      </c>
      <c r="Q3438" s="1" t="s">
        <v>235</v>
      </c>
      <c r="R3438" s="1" t="s">
        <v>235</v>
      </c>
      <c r="S3438" s="1" t="s">
        <v>236</v>
      </c>
      <c r="U3438" s="1">
        <v>1.01218675E8</v>
      </c>
      <c r="X3438" s="1" t="s">
        <v>190</v>
      </c>
      <c r="Y3438" s="1" t="s">
        <v>5978</v>
      </c>
      <c r="Z3438" s="1" t="s">
        <v>206</v>
      </c>
    </row>
    <row r="3439" hidden="1">
      <c r="A3439" s="1" t="s">
        <v>10108</v>
      </c>
      <c r="B3439" s="1" t="s">
        <v>291</v>
      </c>
      <c r="C3439" s="1" t="s">
        <v>10109</v>
      </c>
      <c r="D3439" s="1" t="s">
        <v>27</v>
      </c>
      <c r="E3439" s="1" t="s">
        <v>28</v>
      </c>
      <c r="F3439" s="2">
        <v>250000.0</v>
      </c>
      <c r="G3439" s="1" t="s">
        <v>2900</v>
      </c>
      <c r="H3439" s="4">
        <f>IFERROR(__xludf.DUMMYFUNCTION("DATE(INDEX(SPLIT(G3439,""/""),,3),INDEX(SPLIT(G3439,""/""),,2),INDEX(SPLIT(G3439,""/""),,1))"),44678.0)</f>
        <v>44678</v>
      </c>
      <c r="I3439" s="1" t="s">
        <v>109</v>
      </c>
      <c r="J3439" s="4">
        <f>IFERROR(__xludf.DUMMYFUNCTION("DATE(INDEX(SPLIT(I3439,""/""),,3),INDEX(SPLIT(I3439,""/""),,2),INDEX(SPLIT(I3439,""/""),,1))"),44834.0)</f>
        <v>44834</v>
      </c>
      <c r="L3439" s="1">
        <v>0.0</v>
      </c>
      <c r="M3439" s="1" t="s">
        <v>294</v>
      </c>
      <c r="N3439" s="1"/>
      <c r="O3439" s="1" t="s">
        <v>30</v>
      </c>
      <c r="P3439" s="1" t="s">
        <v>31</v>
      </c>
      <c r="Q3439" s="1" t="s">
        <v>157</v>
      </c>
      <c r="R3439" s="1" t="s">
        <v>157</v>
      </c>
      <c r="S3439" s="1" t="s">
        <v>158</v>
      </c>
      <c r="T3439" s="1" t="s">
        <v>237</v>
      </c>
      <c r="U3439" s="1">
        <v>1.00642806E8</v>
      </c>
      <c r="X3439" s="1" t="s">
        <v>239</v>
      </c>
      <c r="Y3439" s="1" t="s">
        <v>2147</v>
      </c>
      <c r="Z3439" s="1" t="s">
        <v>37</v>
      </c>
    </row>
    <row r="3440" hidden="1">
      <c r="A3440" s="1" t="s">
        <v>10110</v>
      </c>
      <c r="B3440" s="1" t="s">
        <v>645</v>
      </c>
      <c r="C3440" s="1" t="s">
        <v>10111</v>
      </c>
      <c r="D3440" s="1" t="s">
        <v>78</v>
      </c>
      <c r="E3440" s="1" t="s">
        <v>28</v>
      </c>
      <c r="F3440" s="2">
        <v>250000.0</v>
      </c>
      <c r="G3440" s="1" t="s">
        <v>10112</v>
      </c>
      <c r="H3440" s="4">
        <f>IFERROR(__xludf.DUMMYFUNCTION("DATE(INDEX(SPLIT(G3440,""/""),,3),INDEX(SPLIT(G3440,""/""),,2),INDEX(SPLIT(G3440,""/""),,1))"),44526.0)</f>
        <v>44526</v>
      </c>
      <c r="I3440" s="1" t="s">
        <v>130</v>
      </c>
      <c r="J3440" s="4">
        <f>IFERROR(__xludf.DUMMYFUNCTION("DATE(INDEX(SPLIT(I3440,""/""),,3),INDEX(SPLIT(I3440,""/""),,2),INDEX(SPLIT(I3440,""/""),,1))"),44804.0)</f>
        <v>44804</v>
      </c>
      <c r="L3440" s="1">
        <v>0.0</v>
      </c>
      <c r="M3440" s="1" t="s">
        <v>259</v>
      </c>
      <c r="N3440" s="1"/>
      <c r="O3440" s="1" t="s">
        <v>30</v>
      </c>
      <c r="P3440" s="1" t="s">
        <v>31</v>
      </c>
      <c r="Q3440" s="1" t="s">
        <v>95</v>
      </c>
      <c r="R3440" s="1" t="s">
        <v>95</v>
      </c>
      <c r="S3440" s="1" t="s">
        <v>96</v>
      </c>
      <c r="T3440" s="1" t="s">
        <v>260</v>
      </c>
      <c r="U3440" s="1">
        <v>1.00659114E8</v>
      </c>
      <c r="X3440" s="1" t="s">
        <v>239</v>
      </c>
      <c r="Y3440" s="1" t="s">
        <v>1076</v>
      </c>
      <c r="Z3440" s="1" t="s">
        <v>37</v>
      </c>
    </row>
    <row r="3441" hidden="1">
      <c r="A3441" s="1" t="s">
        <v>10113</v>
      </c>
      <c r="B3441" s="1" t="s">
        <v>3288</v>
      </c>
      <c r="C3441" s="1" t="s">
        <v>10114</v>
      </c>
      <c r="D3441" s="1" t="s">
        <v>27</v>
      </c>
      <c r="E3441" s="1" t="s">
        <v>28</v>
      </c>
      <c r="F3441" s="2">
        <v>250000.0</v>
      </c>
      <c r="G3441" s="1" t="s">
        <v>298</v>
      </c>
      <c r="H3441" s="4">
        <f>IFERROR(__xludf.DUMMYFUNCTION("DATE(INDEX(SPLIT(G3441,""/""),,3),INDEX(SPLIT(G3441,""/""),,2),INDEX(SPLIT(G3441,""/""),,1))"),44762.0)</f>
        <v>44762</v>
      </c>
      <c r="I3441" s="1" t="s">
        <v>130</v>
      </c>
      <c r="J3441" s="4">
        <f>IFERROR(__xludf.DUMMYFUNCTION("DATE(INDEX(SPLIT(I3441,""/""),,3),INDEX(SPLIT(I3441,""/""),,2),INDEX(SPLIT(I3441,""/""),,1))"),44804.0)</f>
        <v>44804</v>
      </c>
      <c r="L3441" s="1">
        <v>0.0</v>
      </c>
      <c r="M3441" s="1" t="s">
        <v>1874</v>
      </c>
      <c r="N3441" s="1"/>
      <c r="O3441" s="1" t="s">
        <v>30</v>
      </c>
      <c r="P3441" s="1" t="s">
        <v>31</v>
      </c>
      <c r="Q3441" s="1" t="s">
        <v>188</v>
      </c>
      <c r="R3441" s="1" t="s">
        <v>188</v>
      </c>
      <c r="S3441" s="1" t="s">
        <v>189</v>
      </c>
      <c r="T3441" s="1" t="s">
        <v>287</v>
      </c>
      <c r="U3441" s="1">
        <v>1.00637664E8</v>
      </c>
      <c r="X3441" s="1" t="s">
        <v>312</v>
      </c>
      <c r="Y3441" s="1" t="s">
        <v>6999</v>
      </c>
      <c r="Z3441" s="1" t="s">
        <v>37</v>
      </c>
    </row>
    <row r="3442">
      <c r="A3442" s="1" t="s">
        <v>10115</v>
      </c>
      <c r="B3442" s="1" t="s">
        <v>2483</v>
      </c>
      <c r="C3442" s="1" t="s">
        <v>10116</v>
      </c>
      <c r="D3442" s="1" t="s">
        <v>78</v>
      </c>
      <c r="E3442" s="1" t="s">
        <v>28</v>
      </c>
      <c r="F3442" s="2">
        <v>250000.0</v>
      </c>
      <c r="G3442" s="4">
        <v>44872.0</v>
      </c>
      <c r="H3442" s="4">
        <f>IFERROR(__xludf.DUMMYFUNCTION("DATE(INDEX(SPLIT(G3442,""/""),,3),INDEX(SPLIT(G3442,""/""),,2),INDEX(SPLIT(G3442,""/""),,1))"),44753.0)</f>
        <v>44753</v>
      </c>
      <c r="I3442" s="1" t="s">
        <v>226</v>
      </c>
      <c r="J3442" s="4">
        <f>IFERROR(__xludf.DUMMYFUNCTION("DATE(INDEX(SPLIT(I3442,""/""),,3),INDEX(SPLIT(I3442,""/""),,2),INDEX(SPLIT(I3442,""/""),,1))"),44771.0)</f>
        <v>44771</v>
      </c>
      <c r="L3442" s="1">
        <v>0.0</v>
      </c>
      <c r="M3442" s="1" t="s">
        <v>3601</v>
      </c>
      <c r="N3442" s="1"/>
      <c r="O3442" s="1" t="s">
        <v>30</v>
      </c>
      <c r="P3442" s="1" t="s">
        <v>31</v>
      </c>
      <c r="Q3442" s="1" t="s">
        <v>71</v>
      </c>
      <c r="R3442" s="1" t="s">
        <v>71</v>
      </c>
      <c r="S3442" s="1" t="s">
        <v>72</v>
      </c>
      <c r="T3442" s="1" t="s">
        <v>136</v>
      </c>
      <c r="U3442" s="1">
        <v>1.00611547E8</v>
      </c>
      <c r="X3442" s="1" t="s">
        <v>2028</v>
      </c>
      <c r="Y3442" s="1" t="s">
        <v>3601</v>
      </c>
      <c r="Z3442" s="1" t="s">
        <v>37</v>
      </c>
    </row>
    <row r="3443" hidden="1">
      <c r="A3443" s="1" t="s">
        <v>10117</v>
      </c>
      <c r="B3443" s="1" t="s">
        <v>1131</v>
      </c>
      <c r="C3443" s="1" t="s">
        <v>10118</v>
      </c>
      <c r="D3443" s="1" t="s">
        <v>27</v>
      </c>
      <c r="E3443" s="1" t="s">
        <v>28</v>
      </c>
      <c r="F3443" s="2">
        <v>250000.0</v>
      </c>
      <c r="G3443" s="4">
        <v>44563.0</v>
      </c>
      <c r="H3443" s="4">
        <f>IFERROR(__xludf.DUMMYFUNCTION("DATE(INDEX(SPLIT(G3443,""/""),,3),INDEX(SPLIT(G3443,""/""),,2),INDEX(SPLIT(G3443,""/""),,1))"),44593.0)</f>
        <v>44593</v>
      </c>
      <c r="I3443" s="1" t="s">
        <v>203</v>
      </c>
      <c r="J3443" s="4">
        <f>IFERROR(__xludf.DUMMYFUNCTION("DATE(INDEX(SPLIT(I3443,""/""),,3),INDEX(SPLIT(I3443,""/""),,2),INDEX(SPLIT(I3443,""/""),,1))"),44925.0)</f>
        <v>44925</v>
      </c>
      <c r="L3443" s="1">
        <v>0.0</v>
      </c>
      <c r="M3443" s="1" t="s">
        <v>936</v>
      </c>
      <c r="N3443" s="1"/>
      <c r="O3443" s="1" t="s">
        <v>30</v>
      </c>
      <c r="P3443" s="1" t="s">
        <v>31</v>
      </c>
      <c r="Q3443" s="1" t="s">
        <v>71</v>
      </c>
      <c r="R3443" s="1" t="s">
        <v>71</v>
      </c>
      <c r="S3443" s="1" t="s">
        <v>72</v>
      </c>
      <c r="T3443" s="1" t="s">
        <v>1427</v>
      </c>
      <c r="U3443" s="1">
        <v>1.00941744E8</v>
      </c>
      <c r="X3443" s="1" t="s">
        <v>74</v>
      </c>
      <c r="Y3443" s="1" t="s">
        <v>9788</v>
      </c>
      <c r="Z3443" s="1" t="s">
        <v>37</v>
      </c>
    </row>
    <row r="3444" hidden="1">
      <c r="A3444" s="1" t="s">
        <v>10119</v>
      </c>
      <c r="B3444" s="1" t="s">
        <v>66</v>
      </c>
      <c r="C3444" s="1" t="s">
        <v>10120</v>
      </c>
      <c r="D3444" s="1" t="s">
        <v>27</v>
      </c>
      <c r="E3444" s="1" t="s">
        <v>28</v>
      </c>
      <c r="F3444" s="2">
        <v>250000.0</v>
      </c>
      <c r="G3444" s="4">
        <v>44563.0</v>
      </c>
      <c r="H3444" s="4">
        <f>IFERROR(__xludf.DUMMYFUNCTION("DATE(INDEX(SPLIT(G3444,""/""),,3),INDEX(SPLIT(G3444,""/""),,2),INDEX(SPLIT(G3444,""/""),,1))"),44593.0)</f>
        <v>44593</v>
      </c>
      <c r="I3444" s="1" t="s">
        <v>317</v>
      </c>
      <c r="J3444" s="4">
        <f>IFERROR(__xludf.DUMMYFUNCTION("DATE(INDEX(SPLIT(I3444,""/""),,3),INDEX(SPLIT(I3444,""/""),,2),INDEX(SPLIT(I3444,""/""),,1))"),44862.0)</f>
        <v>44862</v>
      </c>
      <c r="L3444" s="1">
        <v>0.0</v>
      </c>
      <c r="M3444" s="1" t="s">
        <v>2032</v>
      </c>
      <c r="N3444" s="1"/>
      <c r="O3444" s="1" t="s">
        <v>30</v>
      </c>
      <c r="P3444" s="1" t="s">
        <v>31</v>
      </c>
      <c r="Q3444" s="1" t="s">
        <v>71</v>
      </c>
      <c r="R3444" s="1" t="s">
        <v>71</v>
      </c>
      <c r="S3444" s="1" t="s">
        <v>72</v>
      </c>
      <c r="T3444" s="1" t="s">
        <v>73</v>
      </c>
      <c r="U3444" s="1">
        <v>1.00929557E8</v>
      </c>
      <c r="X3444" s="1" t="s">
        <v>74</v>
      </c>
      <c r="Y3444" s="1" t="s">
        <v>9788</v>
      </c>
      <c r="Z3444" s="1" t="s">
        <v>206</v>
      </c>
    </row>
    <row r="3445">
      <c r="A3445" s="1" t="s">
        <v>10121</v>
      </c>
      <c r="B3445" s="1" t="s">
        <v>66</v>
      </c>
      <c r="C3445" s="1" t="s">
        <v>10122</v>
      </c>
      <c r="D3445" s="1" t="s">
        <v>27</v>
      </c>
      <c r="E3445" s="1" t="s">
        <v>28</v>
      </c>
      <c r="F3445" s="2">
        <v>250000.0</v>
      </c>
      <c r="G3445" s="4">
        <v>44563.0</v>
      </c>
      <c r="H3445" s="4">
        <f>IFERROR(__xludf.DUMMYFUNCTION("DATE(INDEX(SPLIT(G3445,""/""),,3),INDEX(SPLIT(G3445,""/""),,2),INDEX(SPLIT(G3445,""/""),,1))"),44593.0)</f>
        <v>44593</v>
      </c>
      <c r="I3445" s="1" t="s">
        <v>1244</v>
      </c>
      <c r="J3445" s="4">
        <f>IFERROR(__xludf.DUMMYFUNCTION("DATE(INDEX(SPLIT(I3445,""/""),,3),INDEX(SPLIT(I3445,""/""),,2),INDEX(SPLIT(I3445,""/""),,1))"),44742.0)</f>
        <v>44742</v>
      </c>
      <c r="L3445" s="1">
        <v>0.0</v>
      </c>
      <c r="M3445" s="1" t="s">
        <v>936</v>
      </c>
      <c r="N3445" s="1"/>
      <c r="O3445" s="1" t="s">
        <v>30</v>
      </c>
      <c r="P3445" s="1" t="s">
        <v>31</v>
      </c>
      <c r="Q3445" s="1" t="s">
        <v>71</v>
      </c>
      <c r="R3445" s="1" t="s">
        <v>71</v>
      </c>
      <c r="S3445" s="1" t="s">
        <v>72</v>
      </c>
      <c r="T3445" s="1" t="s">
        <v>73</v>
      </c>
      <c r="U3445" s="1">
        <v>1.00941744E8</v>
      </c>
      <c r="X3445" s="1" t="s">
        <v>74</v>
      </c>
      <c r="Y3445" s="1" t="s">
        <v>9788</v>
      </c>
      <c r="Z3445" s="1" t="s">
        <v>37</v>
      </c>
    </row>
    <row r="3446" hidden="1">
      <c r="A3446" s="1" t="s">
        <v>10123</v>
      </c>
      <c r="B3446" s="1" t="s">
        <v>120</v>
      </c>
      <c r="C3446" s="1" t="s">
        <v>10124</v>
      </c>
      <c r="D3446" s="1" t="s">
        <v>78</v>
      </c>
      <c r="E3446" s="1" t="s">
        <v>28</v>
      </c>
      <c r="F3446" s="2">
        <v>250000.0</v>
      </c>
      <c r="G3446" s="4">
        <v>44288.0</v>
      </c>
      <c r="H3446" s="4">
        <f>IFERROR(__xludf.DUMMYFUNCTION("DATE(INDEX(SPLIT(G3446,""/""),,3),INDEX(SPLIT(G3446,""/""),,2),INDEX(SPLIT(G3446,""/""),,1))"),44231.0)</f>
        <v>44231</v>
      </c>
      <c r="I3446" s="1" t="s">
        <v>317</v>
      </c>
      <c r="J3446" s="4">
        <f>IFERROR(__xludf.DUMMYFUNCTION("DATE(INDEX(SPLIT(I3446,""/""),,3),INDEX(SPLIT(I3446,""/""),,2),INDEX(SPLIT(I3446,""/""),,1))"),44862.0)</f>
        <v>44862</v>
      </c>
      <c r="L3446" s="1">
        <v>0.0</v>
      </c>
      <c r="M3446" s="1" t="s">
        <v>3133</v>
      </c>
      <c r="N3446" s="1"/>
      <c r="O3446" s="1" t="s">
        <v>30</v>
      </c>
      <c r="P3446" s="1" t="s">
        <v>31</v>
      </c>
      <c r="Q3446" s="1" t="s">
        <v>228</v>
      </c>
      <c r="R3446" s="1" t="s">
        <v>228</v>
      </c>
      <c r="S3446" s="1" t="s">
        <v>229</v>
      </c>
      <c r="T3446" s="1" t="s">
        <v>640</v>
      </c>
      <c r="U3446" s="1">
        <v>1.00611158E8</v>
      </c>
      <c r="X3446" s="1" t="s">
        <v>125</v>
      </c>
      <c r="Y3446" s="1" t="s">
        <v>3133</v>
      </c>
      <c r="Z3446" s="1" t="s">
        <v>37</v>
      </c>
    </row>
    <row r="3447" hidden="1">
      <c r="A3447" s="1" t="s">
        <v>10125</v>
      </c>
      <c r="B3447" s="1" t="s">
        <v>177</v>
      </c>
      <c r="C3447" s="1" t="s">
        <v>10126</v>
      </c>
      <c r="D3447" s="1" t="s">
        <v>27</v>
      </c>
      <c r="E3447" s="1" t="s">
        <v>28</v>
      </c>
      <c r="F3447" s="2">
        <v>250000.0</v>
      </c>
      <c r="G3447" s="4">
        <v>44563.0</v>
      </c>
      <c r="H3447" s="4">
        <f>IFERROR(__xludf.DUMMYFUNCTION("DATE(INDEX(SPLIT(G3447,""/""),,3),INDEX(SPLIT(G3447,""/""),,2),INDEX(SPLIT(G3447,""/""),,1))"),44593.0)</f>
        <v>44593</v>
      </c>
      <c r="I3447" s="4">
        <v>44816.0</v>
      </c>
      <c r="J3447" s="4">
        <f>IFERROR(__xludf.DUMMYFUNCTION("DATE(INDEX(SPLIT(I3447,""/""),,3),INDEX(SPLIT(I3447,""/""),,2),INDEX(SPLIT(I3447,""/""),,1))"),44904.0)</f>
        <v>44904</v>
      </c>
      <c r="L3447" s="1">
        <v>0.0</v>
      </c>
      <c r="M3447" s="1" t="s">
        <v>2032</v>
      </c>
      <c r="N3447" s="1"/>
      <c r="O3447" s="1" t="s">
        <v>30</v>
      </c>
      <c r="P3447" s="1" t="s">
        <v>31</v>
      </c>
      <c r="Q3447" s="1" t="s">
        <v>71</v>
      </c>
      <c r="R3447" s="1" t="s">
        <v>71</v>
      </c>
      <c r="S3447" s="1" t="s">
        <v>72</v>
      </c>
      <c r="T3447" s="1" t="s">
        <v>73</v>
      </c>
      <c r="U3447" s="1">
        <v>1.00929557E8</v>
      </c>
      <c r="X3447" s="1" t="s">
        <v>74</v>
      </c>
      <c r="Y3447" s="1" t="s">
        <v>9788</v>
      </c>
      <c r="Z3447" s="1" t="s">
        <v>206</v>
      </c>
    </row>
    <row r="3448" hidden="1">
      <c r="A3448" s="1" t="s">
        <v>10127</v>
      </c>
      <c r="B3448" s="1" t="s">
        <v>2009</v>
      </c>
      <c r="C3448" s="1" t="s">
        <v>10128</v>
      </c>
      <c r="D3448" s="1" t="s">
        <v>78</v>
      </c>
      <c r="E3448" s="1" t="s">
        <v>28</v>
      </c>
      <c r="F3448" s="2">
        <v>250000.0</v>
      </c>
      <c r="G3448" s="4">
        <v>44717.0</v>
      </c>
      <c r="H3448" s="4">
        <f>IFERROR(__xludf.DUMMYFUNCTION("DATE(INDEX(SPLIT(G3448,""/""),,3),INDEX(SPLIT(G3448,""/""),,2),INDEX(SPLIT(G3448,""/""),,1))"),44687.0)</f>
        <v>44687</v>
      </c>
      <c r="I3448" s="1" t="s">
        <v>1678</v>
      </c>
      <c r="J3448" s="4">
        <f>IFERROR(__xludf.DUMMYFUNCTION("DATE(INDEX(SPLIT(I3448,""/""),,3),INDEX(SPLIT(I3448,""/""),,2),INDEX(SPLIT(I3448,""/""),,1))"),44819.0)</f>
        <v>44819</v>
      </c>
      <c r="L3448" s="1">
        <v>0.0</v>
      </c>
      <c r="M3448" s="1" t="s">
        <v>3580</v>
      </c>
      <c r="N3448" s="1"/>
      <c r="O3448" s="1" t="s">
        <v>30</v>
      </c>
      <c r="P3448" s="1" t="s">
        <v>31</v>
      </c>
      <c r="Q3448" s="1" t="s">
        <v>157</v>
      </c>
      <c r="R3448" s="1" t="s">
        <v>157</v>
      </c>
      <c r="S3448" s="1" t="s">
        <v>158</v>
      </c>
      <c r="T3448" s="1" t="s">
        <v>1386</v>
      </c>
      <c r="U3448" s="1">
        <v>1.00956516E8</v>
      </c>
      <c r="X3448" s="1" t="s">
        <v>239</v>
      </c>
      <c r="Y3448" s="1" t="s">
        <v>10129</v>
      </c>
      <c r="Z3448" s="1" t="s">
        <v>37</v>
      </c>
    </row>
    <row r="3449" hidden="1">
      <c r="A3449" s="1" t="s">
        <v>10130</v>
      </c>
      <c r="B3449" s="1" t="s">
        <v>392</v>
      </c>
      <c r="C3449" s="1" t="s">
        <v>10131</v>
      </c>
      <c r="D3449" s="1" t="s">
        <v>27</v>
      </c>
      <c r="E3449" s="1" t="s">
        <v>28</v>
      </c>
      <c r="F3449" s="2">
        <v>250000.0</v>
      </c>
      <c r="G3449" s="1" t="s">
        <v>298</v>
      </c>
      <c r="H3449" s="4">
        <f>IFERROR(__xludf.DUMMYFUNCTION("DATE(INDEX(SPLIT(G3449,""/""),,3),INDEX(SPLIT(G3449,""/""),,2),INDEX(SPLIT(G3449,""/""),,1))"),44762.0)</f>
        <v>44762</v>
      </c>
      <c r="I3449" s="1" t="s">
        <v>85</v>
      </c>
      <c r="J3449" s="4">
        <f>IFERROR(__xludf.DUMMYFUNCTION("DATE(INDEX(SPLIT(I3449,""/""),,3),INDEX(SPLIT(I3449,""/""),,2),INDEX(SPLIT(I3449,""/""),,1))"),44799.0)</f>
        <v>44799</v>
      </c>
      <c r="L3449" s="1">
        <v>0.0</v>
      </c>
      <c r="M3449" s="1" t="s">
        <v>234</v>
      </c>
      <c r="N3449" s="1"/>
      <c r="O3449" s="1" t="s">
        <v>30</v>
      </c>
      <c r="P3449" s="1" t="s">
        <v>31</v>
      </c>
      <c r="Q3449" s="1" t="s">
        <v>235</v>
      </c>
      <c r="R3449" s="1" t="s">
        <v>235</v>
      </c>
      <c r="S3449" s="1" t="s">
        <v>236</v>
      </c>
      <c r="U3449" s="1">
        <v>1.00658132E8</v>
      </c>
      <c r="X3449" s="1" t="s">
        <v>239</v>
      </c>
      <c r="Y3449" s="1" t="s">
        <v>2445</v>
      </c>
      <c r="Z3449" s="1" t="s">
        <v>37</v>
      </c>
    </row>
    <row r="3450" hidden="1">
      <c r="A3450" s="1" t="s">
        <v>10132</v>
      </c>
      <c r="B3450" s="1" t="s">
        <v>10133</v>
      </c>
      <c r="C3450" s="1" t="s">
        <v>10134</v>
      </c>
      <c r="D3450" s="1" t="s">
        <v>27</v>
      </c>
      <c r="E3450" s="1" t="s">
        <v>28</v>
      </c>
      <c r="F3450" s="2">
        <v>250000.0</v>
      </c>
      <c r="G3450" s="1" t="s">
        <v>298</v>
      </c>
      <c r="H3450" s="4">
        <f>IFERROR(__xludf.DUMMYFUNCTION("DATE(INDEX(SPLIT(G3450,""/""),,3),INDEX(SPLIT(G3450,""/""),,2),INDEX(SPLIT(G3450,""/""),,1))"),44762.0)</f>
        <v>44762</v>
      </c>
      <c r="I3450" s="1" t="s">
        <v>203</v>
      </c>
      <c r="J3450" s="4">
        <f>IFERROR(__xludf.DUMMYFUNCTION("DATE(INDEX(SPLIT(I3450,""/""),,3),INDEX(SPLIT(I3450,""/""),,2),INDEX(SPLIT(I3450,""/""),,1))"),44925.0)</f>
        <v>44925</v>
      </c>
      <c r="L3450" s="1">
        <v>0.0</v>
      </c>
      <c r="M3450" s="1" t="s">
        <v>851</v>
      </c>
      <c r="N3450" s="1"/>
      <c r="O3450" s="1" t="s">
        <v>30</v>
      </c>
      <c r="P3450" s="1" t="s">
        <v>31</v>
      </c>
      <c r="Q3450" s="1" t="s">
        <v>157</v>
      </c>
      <c r="R3450" s="1" t="s">
        <v>157</v>
      </c>
      <c r="S3450" s="1" t="s">
        <v>158</v>
      </c>
      <c r="U3450" s="1">
        <v>1.0115972E8</v>
      </c>
      <c r="X3450" s="1" t="s">
        <v>125</v>
      </c>
      <c r="Y3450" s="1" t="s">
        <v>7019</v>
      </c>
      <c r="Z3450" s="1" t="s">
        <v>37</v>
      </c>
    </row>
    <row r="3451" hidden="1">
      <c r="A3451" s="1" t="s">
        <v>10135</v>
      </c>
      <c r="B3451" s="1" t="s">
        <v>177</v>
      </c>
      <c r="C3451" s="1" t="s">
        <v>10136</v>
      </c>
      <c r="D3451" s="1" t="s">
        <v>27</v>
      </c>
      <c r="E3451" s="1" t="s">
        <v>28</v>
      </c>
      <c r="F3451" s="2">
        <v>250000.0</v>
      </c>
      <c r="G3451" s="4">
        <v>44563.0</v>
      </c>
      <c r="H3451" s="4">
        <f>IFERROR(__xludf.DUMMYFUNCTION("DATE(INDEX(SPLIT(G3451,""/""),,3),INDEX(SPLIT(G3451,""/""),,2),INDEX(SPLIT(G3451,""/""),,1))"),44593.0)</f>
        <v>44593</v>
      </c>
      <c r="I3451" s="1" t="s">
        <v>281</v>
      </c>
      <c r="J3451" s="4">
        <f>IFERROR(__xludf.DUMMYFUNCTION("DATE(INDEX(SPLIT(I3451,""/""),,3),INDEX(SPLIT(I3451,""/""),,2),INDEX(SPLIT(I3451,""/""),,1))"),44865.0)</f>
        <v>44865</v>
      </c>
      <c r="L3451" s="1">
        <v>0.0</v>
      </c>
      <c r="M3451" s="1" t="s">
        <v>936</v>
      </c>
      <c r="N3451" s="1"/>
      <c r="O3451" s="1" t="s">
        <v>30</v>
      </c>
      <c r="P3451" s="1" t="s">
        <v>31</v>
      </c>
      <c r="Q3451" s="1" t="s">
        <v>71</v>
      </c>
      <c r="R3451" s="1" t="s">
        <v>71</v>
      </c>
      <c r="S3451" s="1" t="s">
        <v>72</v>
      </c>
      <c r="T3451" s="1" t="s">
        <v>73</v>
      </c>
      <c r="U3451" s="1">
        <v>1.00941744E8</v>
      </c>
      <c r="X3451" s="1" t="s">
        <v>74</v>
      </c>
      <c r="Y3451" s="1" t="s">
        <v>9788</v>
      </c>
      <c r="Z3451" s="1" t="s">
        <v>37</v>
      </c>
    </row>
    <row r="3452" hidden="1">
      <c r="A3452" s="1" t="s">
        <v>10137</v>
      </c>
      <c r="B3452" s="1" t="s">
        <v>10138</v>
      </c>
      <c r="C3452" s="1" t="s">
        <v>10139</v>
      </c>
      <c r="D3452" s="1" t="s">
        <v>122</v>
      </c>
      <c r="E3452" s="1" t="s">
        <v>28</v>
      </c>
      <c r="F3452" s="2">
        <v>250000.0</v>
      </c>
      <c r="G3452" s="1" t="s">
        <v>298</v>
      </c>
      <c r="H3452" s="4">
        <f>IFERROR(__xludf.DUMMYFUNCTION("DATE(INDEX(SPLIT(G3452,""/""),,3),INDEX(SPLIT(G3452,""/""),,2),INDEX(SPLIT(G3452,""/""),,1))"),44762.0)</f>
        <v>44762</v>
      </c>
      <c r="I3452" s="1" t="s">
        <v>109</v>
      </c>
      <c r="J3452" s="4">
        <f>IFERROR(__xludf.DUMMYFUNCTION("DATE(INDEX(SPLIT(I3452,""/""),,3),INDEX(SPLIT(I3452,""/""),,2),INDEX(SPLIT(I3452,""/""),,1))"),44834.0)</f>
        <v>44834</v>
      </c>
      <c r="L3452" s="1">
        <v>0.0</v>
      </c>
      <c r="M3452" s="1" t="s">
        <v>4339</v>
      </c>
      <c r="N3452" s="1"/>
      <c r="O3452" s="1" t="s">
        <v>30</v>
      </c>
      <c r="P3452" s="1" t="s">
        <v>31</v>
      </c>
      <c r="Q3452" s="1" t="s">
        <v>53</v>
      </c>
      <c r="R3452" s="1" t="s">
        <v>53</v>
      </c>
      <c r="S3452" s="1" t="s">
        <v>54</v>
      </c>
      <c r="U3452" s="1">
        <v>1.00655236E8</v>
      </c>
      <c r="X3452" s="1" t="s">
        <v>239</v>
      </c>
      <c r="Y3452" s="1" t="s">
        <v>2456</v>
      </c>
      <c r="Z3452" s="1" t="s">
        <v>37</v>
      </c>
    </row>
    <row r="3453">
      <c r="A3453" s="1" t="s">
        <v>10140</v>
      </c>
      <c r="B3453" s="1" t="s">
        <v>10141</v>
      </c>
      <c r="C3453" s="1" t="s">
        <v>10142</v>
      </c>
      <c r="D3453" s="1" t="s">
        <v>27</v>
      </c>
      <c r="E3453" s="1" t="s">
        <v>28</v>
      </c>
      <c r="F3453" s="2">
        <v>250000.0</v>
      </c>
      <c r="G3453" s="1" t="s">
        <v>4036</v>
      </c>
      <c r="H3453" s="4">
        <f>IFERROR(__xludf.DUMMYFUNCTION("DATE(INDEX(SPLIT(G3453,""/""),,3),INDEX(SPLIT(G3453,""/""),,2),INDEX(SPLIT(G3453,""/""),,1))"),44592.0)</f>
        <v>44592</v>
      </c>
      <c r="I3453" s="1" t="s">
        <v>1244</v>
      </c>
      <c r="J3453" s="4">
        <f>IFERROR(__xludf.DUMMYFUNCTION("DATE(INDEX(SPLIT(I3453,""/""),,3),INDEX(SPLIT(I3453,""/""),,2),INDEX(SPLIT(I3453,""/""),,1))"),44742.0)</f>
        <v>44742</v>
      </c>
      <c r="L3453" s="1">
        <v>0.0</v>
      </c>
      <c r="M3453" s="1" t="s">
        <v>936</v>
      </c>
      <c r="N3453" s="1"/>
      <c r="O3453" s="1" t="s">
        <v>30</v>
      </c>
      <c r="P3453" s="1" t="s">
        <v>31</v>
      </c>
      <c r="Q3453" s="1" t="s">
        <v>71</v>
      </c>
      <c r="R3453" s="1" t="s">
        <v>71</v>
      </c>
      <c r="S3453" s="1" t="s">
        <v>72</v>
      </c>
      <c r="T3453" s="1" t="s">
        <v>73</v>
      </c>
      <c r="U3453" s="1">
        <v>1.00941744E8</v>
      </c>
      <c r="X3453" s="1" t="s">
        <v>98</v>
      </c>
      <c r="Y3453" s="1" t="s">
        <v>9788</v>
      </c>
      <c r="Z3453" s="1" t="s">
        <v>37</v>
      </c>
    </row>
    <row r="3454" hidden="1">
      <c r="A3454" s="1" t="s">
        <v>10143</v>
      </c>
      <c r="B3454" s="1" t="s">
        <v>2030</v>
      </c>
      <c r="C3454" s="1" t="s">
        <v>10144</v>
      </c>
      <c r="D3454" s="1" t="s">
        <v>78</v>
      </c>
      <c r="E3454" s="1" t="s">
        <v>28</v>
      </c>
      <c r="F3454" s="2">
        <v>250000.0</v>
      </c>
      <c r="G3454" s="1" t="s">
        <v>7274</v>
      </c>
      <c r="H3454" s="4">
        <f>IFERROR(__xludf.DUMMYFUNCTION("DATE(INDEX(SPLIT(G3454,""/""),,3),INDEX(SPLIT(G3454,""/""),,2),INDEX(SPLIT(G3454,""/""),,1))"),44403.0)</f>
        <v>44403</v>
      </c>
      <c r="I3454" s="1" t="s">
        <v>109</v>
      </c>
      <c r="J3454" s="4">
        <f>IFERROR(__xludf.DUMMYFUNCTION("DATE(INDEX(SPLIT(I3454,""/""),,3),INDEX(SPLIT(I3454,""/""),,2),INDEX(SPLIT(I3454,""/""),,1))"),44834.0)</f>
        <v>44834</v>
      </c>
      <c r="L3454" s="1">
        <v>0.0</v>
      </c>
      <c r="M3454" s="1" t="s">
        <v>5196</v>
      </c>
      <c r="N3454" s="1"/>
      <c r="O3454" s="1" t="s">
        <v>30</v>
      </c>
      <c r="P3454" s="1" t="s">
        <v>31</v>
      </c>
      <c r="Q3454" s="1" t="s">
        <v>71</v>
      </c>
      <c r="R3454" s="1" t="s">
        <v>71</v>
      </c>
      <c r="S3454" s="1" t="s">
        <v>72</v>
      </c>
      <c r="T3454" s="1" t="s">
        <v>73</v>
      </c>
      <c r="U3454" s="1">
        <v>1.00635527E8</v>
      </c>
      <c r="X3454" s="1" t="s">
        <v>74</v>
      </c>
      <c r="Y3454" s="1" t="s">
        <v>5196</v>
      </c>
      <c r="Z3454" s="1" t="s">
        <v>37</v>
      </c>
    </row>
    <row r="3455">
      <c r="A3455" s="1" t="s">
        <v>10145</v>
      </c>
      <c r="B3455" s="1" t="s">
        <v>10146</v>
      </c>
      <c r="C3455" s="1" t="s">
        <v>10147</v>
      </c>
      <c r="D3455" s="1" t="s">
        <v>27</v>
      </c>
      <c r="E3455" s="1" t="s">
        <v>28</v>
      </c>
      <c r="F3455" s="2">
        <v>250000.0</v>
      </c>
      <c r="G3455" s="1" t="s">
        <v>436</v>
      </c>
      <c r="H3455" s="4">
        <f>IFERROR(__xludf.DUMMYFUNCTION("DATE(INDEX(SPLIT(G3455,""/""),,3),INDEX(SPLIT(G3455,""/""),,2),INDEX(SPLIT(G3455,""/""),,1))"),44434.0)</f>
        <v>44434</v>
      </c>
      <c r="I3455" s="4">
        <v>44626.0</v>
      </c>
      <c r="J3455" s="4">
        <f>IFERROR(__xludf.DUMMYFUNCTION("DATE(INDEX(SPLIT(I3455,""/""),,3),INDEX(SPLIT(I3455,""/""),,2),INDEX(SPLIT(I3455,""/""),,1))"),44715.0)</f>
        <v>44715</v>
      </c>
      <c r="L3455" s="1">
        <v>0.0</v>
      </c>
      <c r="M3455" s="1" t="s">
        <v>9673</v>
      </c>
      <c r="N3455" s="1"/>
      <c r="O3455" s="1" t="s">
        <v>30</v>
      </c>
      <c r="P3455" s="1" t="s">
        <v>31</v>
      </c>
      <c r="Q3455" s="1" t="s">
        <v>95</v>
      </c>
      <c r="R3455" s="1" t="s">
        <v>95</v>
      </c>
      <c r="S3455" s="1" t="s">
        <v>96</v>
      </c>
      <c r="U3455" s="1">
        <v>1.00637451E8</v>
      </c>
      <c r="X3455" s="1" t="s">
        <v>781</v>
      </c>
      <c r="Y3455" s="1" t="s">
        <v>9673</v>
      </c>
      <c r="Z3455" s="1" t="s">
        <v>527</v>
      </c>
    </row>
    <row r="3456" hidden="1">
      <c r="A3456" s="1" t="s">
        <v>10148</v>
      </c>
      <c r="B3456" s="1" t="s">
        <v>954</v>
      </c>
      <c r="C3456" s="1" t="s">
        <v>10149</v>
      </c>
      <c r="D3456" s="1" t="s">
        <v>27</v>
      </c>
      <c r="E3456" s="1" t="s">
        <v>28</v>
      </c>
      <c r="F3456" s="2">
        <v>250000.0</v>
      </c>
      <c r="G3456" s="1" t="s">
        <v>518</v>
      </c>
      <c r="H3456" s="4">
        <f>IFERROR(__xludf.DUMMYFUNCTION("DATE(INDEX(SPLIT(G3456,""/""),,3),INDEX(SPLIT(G3456,""/""),,2),INDEX(SPLIT(G3456,""/""),,1))"),44757.0)</f>
        <v>44757</v>
      </c>
      <c r="I3456" s="4">
        <v>45023.0</v>
      </c>
      <c r="J3456" s="4">
        <f>IFERROR(__xludf.DUMMYFUNCTION("DATE(INDEX(SPLIT(I3456,""/""),,3),INDEX(SPLIT(I3456,""/""),,2),INDEX(SPLIT(I3456,""/""),,1))"),45111.0)</f>
        <v>45111</v>
      </c>
      <c r="L3456" s="1">
        <v>0.0</v>
      </c>
      <c r="M3456" s="1" t="s">
        <v>1333</v>
      </c>
      <c r="N3456" s="1"/>
      <c r="O3456" s="1" t="s">
        <v>30</v>
      </c>
      <c r="P3456" s="1" t="s">
        <v>31</v>
      </c>
      <c r="Q3456" s="1" t="s">
        <v>71</v>
      </c>
      <c r="R3456" s="1" t="s">
        <v>71</v>
      </c>
      <c r="S3456" s="1" t="s">
        <v>72</v>
      </c>
      <c r="U3456" s="1">
        <v>1.006299E8</v>
      </c>
      <c r="X3456" s="1" t="s">
        <v>74</v>
      </c>
      <c r="Y3456" s="1" t="s">
        <v>957</v>
      </c>
      <c r="Z3456" s="1" t="s">
        <v>37</v>
      </c>
    </row>
    <row r="3457" hidden="1">
      <c r="A3457" s="1" t="s">
        <v>10150</v>
      </c>
      <c r="B3457" s="1" t="s">
        <v>4572</v>
      </c>
      <c r="C3457" s="1" t="s">
        <v>10151</v>
      </c>
      <c r="D3457" s="1" t="s">
        <v>78</v>
      </c>
      <c r="E3457" s="1" t="s">
        <v>28</v>
      </c>
      <c r="F3457" s="2">
        <v>250000.0</v>
      </c>
      <c r="G3457" s="1" t="s">
        <v>518</v>
      </c>
      <c r="H3457" s="4">
        <f>IFERROR(__xludf.DUMMYFUNCTION("DATE(INDEX(SPLIT(G3457,""/""),,3),INDEX(SPLIT(G3457,""/""),,2),INDEX(SPLIT(G3457,""/""),,1))"),44757.0)</f>
        <v>44757</v>
      </c>
      <c r="I3457" s="1" t="s">
        <v>109</v>
      </c>
      <c r="J3457" s="4">
        <f>IFERROR(__xludf.DUMMYFUNCTION("DATE(INDEX(SPLIT(I3457,""/""),,3),INDEX(SPLIT(I3457,""/""),,2),INDEX(SPLIT(I3457,""/""),,1))"),44834.0)</f>
        <v>44834</v>
      </c>
      <c r="L3457" s="1">
        <v>0.0</v>
      </c>
      <c r="M3457" s="1" t="s">
        <v>2600</v>
      </c>
      <c r="N3457" s="1"/>
      <c r="O3457" s="1" t="s">
        <v>30</v>
      </c>
      <c r="P3457" s="1" t="s">
        <v>31</v>
      </c>
      <c r="Q3457" s="1" t="s">
        <v>32</v>
      </c>
      <c r="R3457" s="1" t="s">
        <v>32</v>
      </c>
      <c r="S3457" s="1" t="s">
        <v>33</v>
      </c>
      <c r="T3457" s="1" t="s">
        <v>402</v>
      </c>
      <c r="U3457" s="1">
        <v>1.00642238E8</v>
      </c>
      <c r="X3457" s="1" t="s">
        <v>375</v>
      </c>
      <c r="Y3457" s="1" t="s">
        <v>3861</v>
      </c>
      <c r="Z3457" s="1" t="s">
        <v>37</v>
      </c>
    </row>
    <row r="3458">
      <c r="A3458" s="1" t="s">
        <v>10152</v>
      </c>
      <c r="B3458" s="1" t="s">
        <v>10153</v>
      </c>
      <c r="C3458" s="1" t="s">
        <v>10154</v>
      </c>
      <c r="D3458" s="1" t="s">
        <v>122</v>
      </c>
      <c r="E3458" s="1" t="s">
        <v>28</v>
      </c>
      <c r="F3458" s="2">
        <v>250000.0</v>
      </c>
      <c r="G3458" s="4">
        <v>44748.0</v>
      </c>
      <c r="H3458" s="4">
        <f>IFERROR(__xludf.DUMMYFUNCTION("DATE(INDEX(SPLIT(G3458,""/""),,3),INDEX(SPLIT(G3458,""/""),,2),INDEX(SPLIT(G3458,""/""),,1))"),44719.0)</f>
        <v>44719</v>
      </c>
      <c r="I3458" s="1" t="s">
        <v>518</v>
      </c>
      <c r="J3458" s="4">
        <f>IFERROR(__xludf.DUMMYFUNCTION("DATE(INDEX(SPLIT(I3458,""/""),,3),INDEX(SPLIT(I3458,""/""),,2),INDEX(SPLIT(I3458,""/""),,1))"),44757.0)</f>
        <v>44757</v>
      </c>
      <c r="L3458" s="1">
        <v>0.0</v>
      </c>
      <c r="M3458" s="1" t="s">
        <v>10155</v>
      </c>
      <c r="N3458" s="1"/>
      <c r="O3458" s="1" t="s">
        <v>30</v>
      </c>
      <c r="P3458" s="1" t="s">
        <v>31</v>
      </c>
      <c r="Q3458" s="1" t="s">
        <v>228</v>
      </c>
      <c r="R3458" s="1" t="s">
        <v>228</v>
      </c>
      <c r="S3458" s="1" t="s">
        <v>229</v>
      </c>
      <c r="U3458" s="1">
        <v>1.00963608E8</v>
      </c>
      <c r="X3458" s="1" t="s">
        <v>490</v>
      </c>
      <c r="Y3458" s="1" t="s">
        <v>10155</v>
      </c>
      <c r="Z3458" s="1" t="s">
        <v>37</v>
      </c>
    </row>
    <row r="3459">
      <c r="A3459" s="1" t="s">
        <v>10156</v>
      </c>
      <c r="B3459" s="1" t="s">
        <v>5433</v>
      </c>
      <c r="C3459" s="1" t="s">
        <v>10157</v>
      </c>
      <c r="D3459" s="1" t="s">
        <v>27</v>
      </c>
      <c r="E3459" s="1" t="s">
        <v>28</v>
      </c>
      <c r="F3459" s="2">
        <v>250000.0</v>
      </c>
      <c r="G3459" s="1" t="s">
        <v>4036</v>
      </c>
      <c r="H3459" s="4">
        <f>IFERROR(__xludf.DUMMYFUNCTION("DATE(INDEX(SPLIT(G3459,""/""),,3),INDEX(SPLIT(G3459,""/""),,2),INDEX(SPLIT(G3459,""/""),,1))"),44592.0)</f>
        <v>44592</v>
      </c>
      <c r="I3459" s="1" t="s">
        <v>226</v>
      </c>
      <c r="J3459" s="4">
        <f>IFERROR(__xludf.DUMMYFUNCTION("DATE(INDEX(SPLIT(I3459,""/""),,3),INDEX(SPLIT(I3459,""/""),,2),INDEX(SPLIT(I3459,""/""),,1))"),44771.0)</f>
        <v>44771</v>
      </c>
      <c r="L3459" s="1">
        <v>0.0</v>
      </c>
      <c r="M3459" s="1" t="s">
        <v>2032</v>
      </c>
      <c r="N3459" s="1"/>
      <c r="O3459" s="1" t="s">
        <v>30</v>
      </c>
      <c r="P3459" s="1" t="s">
        <v>31</v>
      </c>
      <c r="Q3459" s="1" t="s">
        <v>71</v>
      </c>
      <c r="R3459" s="1" t="s">
        <v>71</v>
      </c>
      <c r="S3459" s="1" t="s">
        <v>72</v>
      </c>
      <c r="T3459" s="1" t="s">
        <v>73</v>
      </c>
      <c r="U3459" s="1">
        <v>1.00929557E8</v>
      </c>
      <c r="X3459" s="1" t="s">
        <v>98</v>
      </c>
      <c r="Y3459" s="1" t="s">
        <v>9788</v>
      </c>
      <c r="Z3459" s="1" t="s">
        <v>206</v>
      </c>
    </row>
    <row r="3460" hidden="1">
      <c r="A3460" s="1" t="s">
        <v>10158</v>
      </c>
      <c r="B3460" s="1" t="s">
        <v>4066</v>
      </c>
      <c r="C3460" s="1" t="s">
        <v>10159</v>
      </c>
      <c r="D3460" s="1" t="s">
        <v>27</v>
      </c>
      <c r="E3460" s="1" t="s">
        <v>28</v>
      </c>
      <c r="F3460" s="2">
        <v>250000.0</v>
      </c>
      <c r="G3460" s="1" t="s">
        <v>4036</v>
      </c>
      <c r="H3460" s="4">
        <f>IFERROR(__xludf.DUMMYFUNCTION("DATE(INDEX(SPLIT(G3460,""/""),,3),INDEX(SPLIT(G3460,""/""),,2),INDEX(SPLIT(G3460,""/""),,1))"),44592.0)</f>
        <v>44592</v>
      </c>
      <c r="I3460" s="4">
        <v>45170.0</v>
      </c>
      <c r="J3460" s="4">
        <f>IFERROR(__xludf.DUMMYFUNCTION("DATE(INDEX(SPLIT(I3460,""/""),,3),INDEX(SPLIT(I3460,""/""),,2),INDEX(SPLIT(I3460,""/""),,1))"),44935.0)</f>
        <v>44935</v>
      </c>
      <c r="L3460" s="1">
        <v>0.0</v>
      </c>
      <c r="M3460" s="1" t="s">
        <v>936</v>
      </c>
      <c r="N3460" s="1"/>
      <c r="O3460" s="1" t="s">
        <v>30</v>
      </c>
      <c r="P3460" s="1" t="s">
        <v>31</v>
      </c>
      <c r="Q3460" s="1" t="s">
        <v>71</v>
      </c>
      <c r="R3460" s="1" t="s">
        <v>71</v>
      </c>
      <c r="S3460" s="1" t="s">
        <v>72</v>
      </c>
      <c r="T3460" s="1" t="s">
        <v>73</v>
      </c>
      <c r="U3460" s="1">
        <v>1.00941744E8</v>
      </c>
      <c r="X3460" s="1" t="s">
        <v>74</v>
      </c>
      <c r="Y3460" s="1" t="s">
        <v>9788</v>
      </c>
      <c r="Z3460" s="1" t="s">
        <v>37</v>
      </c>
    </row>
    <row r="3461" hidden="1">
      <c r="A3461" s="1" t="s">
        <v>10160</v>
      </c>
      <c r="B3461" s="1" t="s">
        <v>296</v>
      </c>
      <c r="C3461" s="1" t="s">
        <v>10161</v>
      </c>
      <c r="D3461" s="1" t="s">
        <v>122</v>
      </c>
      <c r="E3461" s="1" t="s">
        <v>28</v>
      </c>
      <c r="F3461" s="2">
        <v>250000.0</v>
      </c>
      <c r="G3461" s="1" t="s">
        <v>298</v>
      </c>
      <c r="H3461" s="4">
        <f>IFERROR(__xludf.DUMMYFUNCTION("DATE(INDEX(SPLIT(G3461,""/""),,3),INDEX(SPLIT(G3461,""/""),,2),INDEX(SPLIT(G3461,""/""),,1))"),44762.0)</f>
        <v>44762</v>
      </c>
      <c r="I3461" s="4">
        <v>44689.0</v>
      </c>
      <c r="J3461" s="4">
        <f>IFERROR(__xludf.DUMMYFUNCTION("DATE(INDEX(SPLIT(I3461,""/""),,3),INDEX(SPLIT(I3461,""/""),,2),INDEX(SPLIT(I3461,""/""),,1))"),44778.0)</f>
        <v>44778</v>
      </c>
      <c r="L3461" s="1">
        <v>0.0</v>
      </c>
      <c r="M3461" s="1" t="s">
        <v>6587</v>
      </c>
      <c r="N3461" s="1"/>
      <c r="O3461" s="1" t="s">
        <v>30</v>
      </c>
      <c r="P3461" s="1" t="s">
        <v>31</v>
      </c>
      <c r="Q3461" s="1" t="s">
        <v>71</v>
      </c>
      <c r="R3461" s="1" t="s">
        <v>71</v>
      </c>
      <c r="S3461" s="1" t="s">
        <v>72</v>
      </c>
      <c r="T3461" s="1" t="s">
        <v>136</v>
      </c>
      <c r="U3461" s="1">
        <v>1.00618376E8</v>
      </c>
      <c r="X3461" s="1" t="s">
        <v>74</v>
      </c>
      <c r="Y3461" s="1" t="s">
        <v>6587</v>
      </c>
      <c r="Z3461" s="1" t="s">
        <v>37</v>
      </c>
    </row>
    <row r="3462" hidden="1">
      <c r="A3462" s="1" t="s">
        <v>10162</v>
      </c>
      <c r="B3462" s="1" t="s">
        <v>6392</v>
      </c>
      <c r="C3462" s="1" t="s">
        <v>10163</v>
      </c>
      <c r="D3462" s="1" t="s">
        <v>27</v>
      </c>
      <c r="E3462" s="1" t="s">
        <v>28</v>
      </c>
      <c r="F3462" s="2">
        <v>250000.0</v>
      </c>
      <c r="G3462" s="4">
        <v>44775.0</v>
      </c>
      <c r="H3462" s="4">
        <f>IFERROR(__xludf.DUMMYFUNCTION("DATE(INDEX(SPLIT(G3462,""/""),,3),INDEX(SPLIT(G3462,""/""),,2),INDEX(SPLIT(G3462,""/""),,1))"),44600.0)</f>
        <v>44600</v>
      </c>
      <c r="I3462" s="1" t="s">
        <v>130</v>
      </c>
      <c r="J3462" s="4">
        <f>IFERROR(__xludf.DUMMYFUNCTION("DATE(INDEX(SPLIT(I3462,""/""),,3),INDEX(SPLIT(I3462,""/""),,2),INDEX(SPLIT(I3462,""/""),,1))"),44804.0)</f>
        <v>44804</v>
      </c>
      <c r="L3462" s="1">
        <v>0.0</v>
      </c>
      <c r="M3462" s="1" t="s">
        <v>1904</v>
      </c>
      <c r="N3462" s="1"/>
      <c r="O3462" s="1" t="s">
        <v>30</v>
      </c>
      <c r="P3462" s="1" t="s">
        <v>31</v>
      </c>
      <c r="Q3462" s="1" t="s">
        <v>95</v>
      </c>
      <c r="R3462" s="1" t="s">
        <v>95</v>
      </c>
      <c r="S3462" s="1" t="s">
        <v>96</v>
      </c>
      <c r="T3462" s="1" t="s">
        <v>311</v>
      </c>
      <c r="U3462" s="1">
        <v>1.0059365E8</v>
      </c>
      <c r="X3462" s="1" t="s">
        <v>46</v>
      </c>
      <c r="Y3462" s="1" t="s">
        <v>1904</v>
      </c>
      <c r="Z3462" s="1" t="s">
        <v>37</v>
      </c>
    </row>
    <row r="3463">
      <c r="A3463" s="1" t="s">
        <v>10164</v>
      </c>
      <c r="B3463" s="1" t="s">
        <v>10165</v>
      </c>
      <c r="C3463" s="1" t="s">
        <v>10166</v>
      </c>
      <c r="D3463" s="1" t="s">
        <v>27</v>
      </c>
      <c r="E3463" s="1" t="s">
        <v>28</v>
      </c>
      <c r="F3463" s="2">
        <v>250000.0</v>
      </c>
      <c r="G3463" s="4">
        <v>44626.0</v>
      </c>
      <c r="H3463" s="4">
        <f>IFERROR(__xludf.DUMMYFUNCTION("DATE(INDEX(SPLIT(G3463,""/""),,3),INDEX(SPLIT(G3463,""/""),,2),INDEX(SPLIT(G3463,""/""),,1))"),44715.0)</f>
        <v>44715</v>
      </c>
      <c r="I3463" s="1" t="s">
        <v>226</v>
      </c>
      <c r="J3463" s="4">
        <f>IFERROR(__xludf.DUMMYFUNCTION("DATE(INDEX(SPLIT(I3463,""/""),,3),INDEX(SPLIT(I3463,""/""),,2),INDEX(SPLIT(I3463,""/""),,1))"),44771.0)</f>
        <v>44771</v>
      </c>
      <c r="L3463" s="1">
        <v>0.0</v>
      </c>
      <c r="M3463" s="1" t="s">
        <v>1833</v>
      </c>
      <c r="N3463" s="1"/>
      <c r="O3463" s="1" t="s">
        <v>30</v>
      </c>
      <c r="P3463" s="1" t="s">
        <v>31</v>
      </c>
      <c r="Q3463" s="1" t="s">
        <v>53</v>
      </c>
      <c r="R3463" s="1" t="s">
        <v>53</v>
      </c>
      <c r="S3463" s="1" t="s">
        <v>54</v>
      </c>
      <c r="T3463" s="1" t="s">
        <v>634</v>
      </c>
      <c r="U3463" s="1">
        <v>1.0105484E8</v>
      </c>
      <c r="Y3463" s="1" t="s">
        <v>1833</v>
      </c>
      <c r="Z3463" s="1" t="s">
        <v>37</v>
      </c>
    </row>
    <row r="3464" hidden="1">
      <c r="A3464" s="1" t="s">
        <v>10167</v>
      </c>
      <c r="B3464" s="1" t="s">
        <v>9326</v>
      </c>
      <c r="C3464" s="1" t="s">
        <v>10168</v>
      </c>
      <c r="D3464" s="1" t="s">
        <v>78</v>
      </c>
      <c r="E3464" s="1" t="s">
        <v>28</v>
      </c>
      <c r="F3464" s="2">
        <v>250000.0</v>
      </c>
      <c r="G3464" s="4">
        <v>44626.0</v>
      </c>
      <c r="H3464" s="4">
        <f>IFERROR(__xludf.DUMMYFUNCTION("DATE(INDEX(SPLIT(G3464,""/""),,3),INDEX(SPLIT(G3464,""/""),,2),INDEX(SPLIT(G3464,""/""),,1))"),44715.0)</f>
        <v>44715</v>
      </c>
      <c r="I3464" s="4">
        <v>44569.0</v>
      </c>
      <c r="J3464" s="4">
        <f>IFERROR(__xludf.DUMMYFUNCTION("DATE(INDEX(SPLIT(I3464,""/""),,3),INDEX(SPLIT(I3464,""/""),,2),INDEX(SPLIT(I3464,""/""),,1))"),44774.0)</f>
        <v>44774</v>
      </c>
      <c r="L3464" s="1">
        <v>0.0</v>
      </c>
      <c r="M3464" s="1" t="s">
        <v>2989</v>
      </c>
      <c r="N3464" s="1"/>
      <c r="O3464" s="1" t="s">
        <v>30</v>
      </c>
      <c r="P3464" s="1" t="s">
        <v>31</v>
      </c>
      <c r="Q3464" s="1" t="s">
        <v>235</v>
      </c>
      <c r="R3464" s="1" t="s">
        <v>235</v>
      </c>
      <c r="S3464" s="1" t="s">
        <v>236</v>
      </c>
      <c r="T3464" s="1" t="s">
        <v>438</v>
      </c>
      <c r="U3464" s="1">
        <v>1.00647463E8</v>
      </c>
      <c r="X3464" s="1" t="s">
        <v>88</v>
      </c>
      <c r="Y3464" s="1" t="s">
        <v>2989</v>
      </c>
      <c r="Z3464" s="1" t="s">
        <v>37</v>
      </c>
    </row>
    <row r="3465" hidden="1">
      <c r="A3465" s="1" t="s">
        <v>10169</v>
      </c>
      <c r="B3465" s="1" t="s">
        <v>9326</v>
      </c>
      <c r="C3465" s="1" t="s">
        <v>10170</v>
      </c>
      <c r="D3465" s="1" t="s">
        <v>27</v>
      </c>
      <c r="E3465" s="1" t="s">
        <v>28</v>
      </c>
      <c r="F3465" s="2">
        <v>250000.0</v>
      </c>
      <c r="G3465" s="4">
        <v>44626.0</v>
      </c>
      <c r="H3465" s="4">
        <f>IFERROR(__xludf.DUMMYFUNCTION("DATE(INDEX(SPLIT(G3465,""/""),,3),INDEX(SPLIT(G3465,""/""),,2),INDEX(SPLIT(G3465,""/""),,1))"),44715.0)</f>
        <v>44715</v>
      </c>
      <c r="I3465" s="1" t="s">
        <v>130</v>
      </c>
      <c r="J3465" s="4">
        <f>IFERROR(__xludf.DUMMYFUNCTION("DATE(INDEX(SPLIT(I3465,""/""),,3),INDEX(SPLIT(I3465,""/""),,2),INDEX(SPLIT(I3465,""/""),,1))"),44804.0)</f>
        <v>44804</v>
      </c>
      <c r="L3465" s="1">
        <v>0.0</v>
      </c>
      <c r="M3465" s="1" t="s">
        <v>2989</v>
      </c>
      <c r="N3465" s="1"/>
      <c r="O3465" s="1" t="s">
        <v>30</v>
      </c>
      <c r="P3465" s="1" t="s">
        <v>31</v>
      </c>
      <c r="Q3465" s="1" t="s">
        <v>235</v>
      </c>
      <c r="R3465" s="1" t="s">
        <v>235</v>
      </c>
      <c r="S3465" s="1" t="s">
        <v>236</v>
      </c>
      <c r="T3465" s="1" t="s">
        <v>438</v>
      </c>
      <c r="U3465" s="1">
        <v>1.00647463E8</v>
      </c>
      <c r="X3465" s="1" t="s">
        <v>88</v>
      </c>
      <c r="Y3465" s="1" t="s">
        <v>2989</v>
      </c>
      <c r="Z3465" s="1" t="s">
        <v>37</v>
      </c>
    </row>
    <row r="3466">
      <c r="A3466" s="1" t="s">
        <v>10171</v>
      </c>
      <c r="B3466" s="1" t="s">
        <v>1665</v>
      </c>
      <c r="C3466" s="1" t="s">
        <v>10172</v>
      </c>
      <c r="D3466" s="1" t="s">
        <v>27</v>
      </c>
      <c r="E3466" s="1" t="s">
        <v>28</v>
      </c>
      <c r="F3466" s="2">
        <v>250000.0</v>
      </c>
      <c r="G3466" s="4">
        <v>44626.0</v>
      </c>
      <c r="H3466" s="4">
        <f>IFERROR(__xludf.DUMMYFUNCTION("DATE(INDEX(SPLIT(G3466,""/""),,3),INDEX(SPLIT(G3466,""/""),,2),INDEX(SPLIT(G3466,""/""),,1))"),44715.0)</f>
        <v>44715</v>
      </c>
      <c r="I3466" s="1" t="s">
        <v>226</v>
      </c>
      <c r="J3466" s="4">
        <f>IFERROR(__xludf.DUMMYFUNCTION("DATE(INDEX(SPLIT(I3466,""/""),,3),INDEX(SPLIT(I3466,""/""),,2),INDEX(SPLIT(I3466,""/""),,1))"),44771.0)</f>
        <v>44771</v>
      </c>
      <c r="L3466" s="1">
        <v>0.0</v>
      </c>
      <c r="M3466" s="1" t="s">
        <v>1833</v>
      </c>
      <c r="N3466" s="1"/>
      <c r="O3466" s="1" t="s">
        <v>30</v>
      </c>
      <c r="P3466" s="1" t="s">
        <v>31</v>
      </c>
      <c r="Q3466" s="1" t="s">
        <v>53</v>
      </c>
      <c r="R3466" s="1" t="s">
        <v>53</v>
      </c>
      <c r="S3466" s="1" t="s">
        <v>54</v>
      </c>
      <c r="T3466" s="1" t="s">
        <v>634</v>
      </c>
      <c r="U3466" s="1">
        <v>1.0105484E8</v>
      </c>
      <c r="X3466" s="1" t="s">
        <v>490</v>
      </c>
      <c r="Y3466" s="1" t="s">
        <v>1833</v>
      </c>
      <c r="Z3466" s="1" t="s">
        <v>37</v>
      </c>
    </row>
    <row r="3467" hidden="1">
      <c r="A3467" s="1" t="s">
        <v>10173</v>
      </c>
      <c r="B3467" s="1" t="s">
        <v>971</v>
      </c>
      <c r="C3467" s="1" t="s">
        <v>10174</v>
      </c>
      <c r="D3467" s="1" t="s">
        <v>27</v>
      </c>
      <c r="E3467" s="1" t="s">
        <v>28</v>
      </c>
      <c r="F3467" s="2">
        <v>250000.0</v>
      </c>
      <c r="G3467" s="1" t="s">
        <v>10175</v>
      </c>
      <c r="H3467" s="4">
        <f>IFERROR(__xludf.DUMMYFUNCTION("DATE(INDEX(SPLIT(G3467,""/""),,3),INDEX(SPLIT(G3467,""/""),,2),INDEX(SPLIT(G3467,""/""),,1))"),43642.0)</f>
        <v>43642</v>
      </c>
      <c r="I3467" s="1" t="s">
        <v>10176</v>
      </c>
      <c r="J3467" s="4">
        <f>IFERROR(__xludf.DUMMYFUNCTION("DATE(INDEX(SPLIT(I3467,""/""),,3),INDEX(SPLIT(I3467,""/""),,2),INDEX(SPLIT(I3467,""/""),,1))"),45471.0)</f>
        <v>45471</v>
      </c>
      <c r="L3467" s="1">
        <v>0.0</v>
      </c>
      <c r="M3467" s="1" t="s">
        <v>299</v>
      </c>
      <c r="N3467" s="1"/>
      <c r="O3467" s="1" t="s">
        <v>30</v>
      </c>
      <c r="P3467" s="1" t="s">
        <v>31</v>
      </c>
      <c r="Q3467" s="1" t="s">
        <v>71</v>
      </c>
      <c r="R3467" s="1" t="s">
        <v>71</v>
      </c>
      <c r="S3467" s="1" t="s">
        <v>72</v>
      </c>
      <c r="T3467" s="1" t="s">
        <v>136</v>
      </c>
      <c r="U3467" s="1">
        <v>1.00610483E8</v>
      </c>
      <c r="X3467" s="1" t="s">
        <v>74</v>
      </c>
      <c r="Y3467" s="1" t="s">
        <v>3650</v>
      </c>
      <c r="Z3467" s="1" t="s">
        <v>37</v>
      </c>
    </row>
    <row r="3468" hidden="1">
      <c r="A3468" s="1" t="s">
        <v>10177</v>
      </c>
      <c r="B3468" s="1" t="s">
        <v>10178</v>
      </c>
      <c r="C3468" s="1" t="s">
        <v>10179</v>
      </c>
      <c r="D3468" s="1" t="s">
        <v>78</v>
      </c>
      <c r="E3468" s="1" t="s">
        <v>28</v>
      </c>
      <c r="F3468" s="2">
        <v>250000.0</v>
      </c>
      <c r="G3468" s="4">
        <v>44713.0</v>
      </c>
      <c r="H3468" s="4">
        <f>IFERROR(__xludf.DUMMYFUNCTION("DATE(INDEX(SPLIT(G3468,""/""),,3),INDEX(SPLIT(G3468,""/""),,2),INDEX(SPLIT(G3468,""/""),,1))"),44567.0)</f>
        <v>44567</v>
      </c>
      <c r="I3468" s="1" t="s">
        <v>5970</v>
      </c>
      <c r="J3468" s="4">
        <f>IFERROR(__xludf.DUMMYFUNCTION("DATE(INDEX(SPLIT(I3468,""/""),,3),INDEX(SPLIT(I3468,""/""),,2),INDEX(SPLIT(I3468,""/""),,1))"),44800.0)</f>
        <v>44800</v>
      </c>
      <c r="L3468" s="1">
        <v>0.0</v>
      </c>
      <c r="M3468" s="1" t="s">
        <v>4807</v>
      </c>
      <c r="N3468" s="1"/>
      <c r="O3468" s="1" t="s">
        <v>30</v>
      </c>
      <c r="P3468" s="1" t="s">
        <v>31</v>
      </c>
      <c r="Q3468" s="1" t="s">
        <v>95</v>
      </c>
      <c r="R3468" s="1" t="s">
        <v>95</v>
      </c>
      <c r="S3468" s="1" t="s">
        <v>96</v>
      </c>
      <c r="T3468" s="1" t="s">
        <v>97</v>
      </c>
      <c r="U3468" s="1">
        <v>1.00569225E8</v>
      </c>
      <c r="X3468" s="1" t="s">
        <v>125</v>
      </c>
      <c r="Y3468" s="1" t="s">
        <v>1036</v>
      </c>
      <c r="Z3468" s="1" t="s">
        <v>37</v>
      </c>
    </row>
    <row r="3469" hidden="1">
      <c r="A3469" s="1" t="s">
        <v>10180</v>
      </c>
      <c r="B3469" s="1" t="s">
        <v>4063</v>
      </c>
      <c r="C3469" s="1" t="s">
        <v>10181</v>
      </c>
      <c r="D3469" s="1" t="s">
        <v>27</v>
      </c>
      <c r="E3469" s="1" t="s">
        <v>28</v>
      </c>
      <c r="F3469" s="2">
        <v>250000.0</v>
      </c>
      <c r="G3469" s="4">
        <v>44900.0</v>
      </c>
      <c r="H3469" s="4">
        <f>IFERROR(__xludf.DUMMYFUNCTION("DATE(INDEX(SPLIT(G3469,""/""),,3),INDEX(SPLIT(G3469,""/""),,2),INDEX(SPLIT(G3469,""/""),,1))"),44693.0)</f>
        <v>44693</v>
      </c>
      <c r="I3469" s="1" t="s">
        <v>872</v>
      </c>
      <c r="J3469" s="4">
        <f>IFERROR(__xludf.DUMMYFUNCTION("DATE(INDEX(SPLIT(I3469,""/""),,3),INDEX(SPLIT(I3469,""/""),,2),INDEX(SPLIT(I3469,""/""),,1))"),44820.0)</f>
        <v>44820</v>
      </c>
      <c r="L3469" s="1">
        <v>0.0</v>
      </c>
      <c r="M3469" s="1" t="s">
        <v>7598</v>
      </c>
      <c r="N3469" s="1"/>
      <c r="O3469" s="1" t="s">
        <v>30</v>
      </c>
      <c r="P3469" s="1" t="s">
        <v>31</v>
      </c>
      <c r="Q3469" s="1" t="s">
        <v>32</v>
      </c>
      <c r="R3469" s="1" t="s">
        <v>32</v>
      </c>
      <c r="S3469" s="1" t="s">
        <v>33</v>
      </c>
      <c r="U3469" s="1">
        <v>1.00644939E8</v>
      </c>
      <c r="X3469" s="1" t="s">
        <v>117</v>
      </c>
      <c r="Y3469" s="1" t="s">
        <v>2576</v>
      </c>
      <c r="Z3469" s="1" t="s">
        <v>37</v>
      </c>
    </row>
    <row r="3470" hidden="1">
      <c r="A3470" s="1" t="s">
        <v>10182</v>
      </c>
      <c r="B3470" s="1" t="s">
        <v>6188</v>
      </c>
      <c r="C3470" s="1" t="s">
        <v>10183</v>
      </c>
      <c r="D3470" s="1" t="s">
        <v>122</v>
      </c>
      <c r="E3470" s="1" t="s">
        <v>28</v>
      </c>
      <c r="F3470" s="2">
        <v>250000.0</v>
      </c>
      <c r="G3470" s="1" t="s">
        <v>4346</v>
      </c>
      <c r="H3470" s="4">
        <f>IFERROR(__xludf.DUMMYFUNCTION("DATE(INDEX(SPLIT(G3470,""/""),,3),INDEX(SPLIT(G3470,""/""),,2),INDEX(SPLIT(G3470,""/""),,1))"),44765.0)</f>
        <v>44765</v>
      </c>
      <c r="I3470" s="4">
        <v>44781.0</v>
      </c>
      <c r="J3470" s="4">
        <f>IFERROR(__xludf.DUMMYFUNCTION("DATE(INDEX(SPLIT(I3470,""/""),,3),INDEX(SPLIT(I3470,""/""),,2),INDEX(SPLIT(I3470,""/""),,1))"),44781.0)</f>
        <v>44781</v>
      </c>
      <c r="L3470" s="1">
        <v>0.0</v>
      </c>
      <c r="M3470" s="1" t="s">
        <v>3617</v>
      </c>
      <c r="N3470" s="1"/>
      <c r="O3470" s="1" t="s">
        <v>30</v>
      </c>
      <c r="P3470" s="1" t="s">
        <v>31</v>
      </c>
      <c r="Q3470" s="1" t="s">
        <v>53</v>
      </c>
      <c r="R3470" s="1" t="s">
        <v>53</v>
      </c>
      <c r="S3470" s="1" t="s">
        <v>54</v>
      </c>
      <c r="T3470" s="1" t="s">
        <v>634</v>
      </c>
      <c r="U3470" s="1">
        <v>1.00568413E8</v>
      </c>
      <c r="X3470" s="1" t="s">
        <v>490</v>
      </c>
      <c r="Y3470" s="1" t="s">
        <v>3617</v>
      </c>
      <c r="Z3470" s="1" t="s">
        <v>37</v>
      </c>
    </row>
    <row r="3471" hidden="1">
      <c r="A3471" s="1" t="s">
        <v>10184</v>
      </c>
      <c r="B3471" s="1" t="s">
        <v>532</v>
      </c>
      <c r="C3471" s="1" t="s">
        <v>10185</v>
      </c>
      <c r="D3471" s="1" t="s">
        <v>27</v>
      </c>
      <c r="E3471" s="1" t="s">
        <v>28</v>
      </c>
      <c r="F3471" s="2">
        <v>250000.0</v>
      </c>
      <c r="G3471" s="4">
        <v>44839.0</v>
      </c>
      <c r="H3471" s="4">
        <f>IFERROR(__xludf.DUMMYFUNCTION("DATE(INDEX(SPLIT(G3471,""/""),,3),INDEX(SPLIT(G3471,""/""),,2),INDEX(SPLIT(G3471,""/""),,1))"),44691.0)</f>
        <v>44691</v>
      </c>
      <c r="I3471" s="4">
        <v>44752.0</v>
      </c>
      <c r="J3471" s="4">
        <f>IFERROR(__xludf.DUMMYFUNCTION("DATE(INDEX(SPLIT(I3471,""/""),,3),INDEX(SPLIT(I3471,""/""),,2),INDEX(SPLIT(I3471,""/""),,1))"),44841.0)</f>
        <v>44841</v>
      </c>
      <c r="L3471" s="1">
        <v>0.0</v>
      </c>
      <c r="M3471" s="1" t="s">
        <v>2856</v>
      </c>
      <c r="N3471" s="1"/>
      <c r="O3471" s="1" t="s">
        <v>30</v>
      </c>
      <c r="P3471" s="1" t="s">
        <v>31</v>
      </c>
      <c r="Q3471" s="1" t="s">
        <v>71</v>
      </c>
      <c r="R3471" s="1" t="s">
        <v>71</v>
      </c>
      <c r="S3471" s="1" t="s">
        <v>72</v>
      </c>
      <c r="T3471" s="1" t="s">
        <v>615</v>
      </c>
      <c r="U3471" s="1">
        <v>1.00637221E8</v>
      </c>
      <c r="X3471" s="1" t="s">
        <v>490</v>
      </c>
      <c r="Y3471" s="1" t="s">
        <v>2857</v>
      </c>
      <c r="Z3471" s="1" t="s">
        <v>37</v>
      </c>
    </row>
    <row r="3472" hidden="1">
      <c r="A3472" s="1" t="s">
        <v>10186</v>
      </c>
      <c r="B3472" s="1" t="s">
        <v>1590</v>
      </c>
      <c r="C3472" s="1" t="s">
        <v>10187</v>
      </c>
      <c r="D3472" s="1" t="s">
        <v>27</v>
      </c>
      <c r="E3472" s="1" t="s">
        <v>28</v>
      </c>
      <c r="F3472" s="2">
        <v>250000.0</v>
      </c>
      <c r="G3472" s="4">
        <v>44267.0</v>
      </c>
      <c r="H3472" s="4">
        <f>IFERROR(__xludf.DUMMYFUNCTION("DATE(INDEX(SPLIT(G3472,""/""),,3),INDEX(SPLIT(G3472,""/""),,2),INDEX(SPLIT(G3472,""/""),,1))"),44533.0)</f>
        <v>44533</v>
      </c>
      <c r="I3472" s="1" t="s">
        <v>85</v>
      </c>
      <c r="J3472" s="4">
        <f>IFERROR(__xludf.DUMMYFUNCTION("DATE(INDEX(SPLIT(I3472,""/""),,3),INDEX(SPLIT(I3472,""/""),,2),INDEX(SPLIT(I3472,""/""),,1))"),44799.0)</f>
        <v>44799</v>
      </c>
      <c r="L3472" s="1">
        <v>0.0</v>
      </c>
      <c r="M3472" s="1" t="s">
        <v>61</v>
      </c>
      <c r="N3472" s="1"/>
      <c r="O3472" s="1" t="s">
        <v>30</v>
      </c>
      <c r="P3472" s="1" t="s">
        <v>31</v>
      </c>
      <c r="Q3472" s="1" t="s">
        <v>32</v>
      </c>
      <c r="R3472" s="1" t="s">
        <v>32</v>
      </c>
      <c r="S3472" s="1" t="s">
        <v>33</v>
      </c>
      <c r="T3472" s="1" t="s">
        <v>103</v>
      </c>
      <c r="U3472" s="1">
        <v>1.0060843E8</v>
      </c>
      <c r="X3472" s="1" t="s">
        <v>46</v>
      </c>
      <c r="Y3472" s="1" t="s">
        <v>61</v>
      </c>
      <c r="Z3472" s="1" t="s">
        <v>37</v>
      </c>
    </row>
    <row r="3473" hidden="1">
      <c r="A3473" s="1" t="s">
        <v>10188</v>
      </c>
      <c r="B3473" s="1" t="s">
        <v>2000</v>
      </c>
      <c r="C3473" s="1" t="s">
        <v>10189</v>
      </c>
      <c r="D3473" s="1" t="s">
        <v>27</v>
      </c>
      <c r="E3473" s="1" t="s">
        <v>28</v>
      </c>
      <c r="F3473" s="2">
        <v>250000.0</v>
      </c>
      <c r="G3473" s="1" t="s">
        <v>1806</v>
      </c>
      <c r="H3473" s="4">
        <f>IFERROR(__xludf.DUMMYFUNCTION("DATE(INDEX(SPLIT(G3473,""/""),,3),INDEX(SPLIT(G3473,""/""),,2),INDEX(SPLIT(G3473,""/""),,1))"),44694.0)</f>
        <v>44694</v>
      </c>
      <c r="I3473" s="1" t="s">
        <v>1750</v>
      </c>
      <c r="J3473" s="4">
        <f>IFERROR(__xludf.DUMMYFUNCTION("DATE(INDEX(SPLIT(I3473,""/""),,3),INDEX(SPLIT(I3473,""/""),,2),INDEX(SPLIT(I3473,""/""),,1))"),44802.0)</f>
        <v>44802</v>
      </c>
      <c r="L3473" s="1">
        <v>0.0</v>
      </c>
      <c r="M3473" s="1" t="s">
        <v>1084</v>
      </c>
      <c r="N3473" s="1"/>
      <c r="O3473" s="1" t="s">
        <v>30</v>
      </c>
      <c r="P3473" s="1" t="s">
        <v>31</v>
      </c>
      <c r="Q3473" s="1" t="s">
        <v>32</v>
      </c>
      <c r="R3473" s="1" t="s">
        <v>32</v>
      </c>
      <c r="S3473" s="1" t="s">
        <v>33</v>
      </c>
      <c r="U3473" s="1">
        <v>1.00601386E8</v>
      </c>
      <c r="X3473" s="1" t="s">
        <v>81</v>
      </c>
      <c r="Y3473" s="1" t="s">
        <v>10190</v>
      </c>
      <c r="Z3473" s="1" t="s">
        <v>37</v>
      </c>
    </row>
    <row r="3474">
      <c r="A3474" s="1" t="s">
        <v>10191</v>
      </c>
      <c r="B3474" s="1" t="s">
        <v>1185</v>
      </c>
      <c r="C3474" s="1" t="s">
        <v>10192</v>
      </c>
      <c r="D3474" s="1" t="s">
        <v>27</v>
      </c>
      <c r="E3474" s="1" t="s">
        <v>28</v>
      </c>
      <c r="F3474" s="2">
        <v>250000.0</v>
      </c>
      <c r="G3474" s="1" t="s">
        <v>600</v>
      </c>
      <c r="H3474" s="4">
        <f>IFERROR(__xludf.DUMMYFUNCTION("DATE(INDEX(SPLIT(G3474,""/""),,3),INDEX(SPLIT(G3474,""/""),,2),INDEX(SPLIT(G3474,""/""),,1))"),44665.0)</f>
        <v>44665</v>
      </c>
      <c r="I3474" s="1" t="s">
        <v>69</v>
      </c>
      <c r="J3474" s="4">
        <f>IFERROR(__xludf.DUMMYFUNCTION("DATE(INDEX(SPLIT(I3474,""/""),,3),INDEX(SPLIT(I3474,""/""),,2),INDEX(SPLIT(I3474,""/""),,1))"),44773.0)</f>
        <v>44773</v>
      </c>
      <c r="L3474" s="1">
        <v>0.0</v>
      </c>
      <c r="M3474" s="1" t="s">
        <v>2696</v>
      </c>
      <c r="N3474" s="1"/>
      <c r="O3474" s="1" t="s">
        <v>30</v>
      </c>
      <c r="P3474" s="1" t="s">
        <v>31</v>
      </c>
      <c r="Q3474" s="1" t="s">
        <v>157</v>
      </c>
      <c r="R3474" s="1" t="s">
        <v>157</v>
      </c>
      <c r="S3474" s="1" t="s">
        <v>158</v>
      </c>
      <c r="U3474" s="1">
        <v>1.00611351E8</v>
      </c>
      <c r="X3474" s="1" t="s">
        <v>190</v>
      </c>
      <c r="Y3474" s="1" t="s">
        <v>2959</v>
      </c>
      <c r="Z3474" s="1" t="s">
        <v>37</v>
      </c>
    </row>
    <row r="3475" hidden="1">
      <c r="A3475" s="1" t="s">
        <v>10193</v>
      </c>
      <c r="B3475" s="1" t="s">
        <v>497</v>
      </c>
      <c r="C3475" s="1" t="s">
        <v>10194</v>
      </c>
      <c r="D3475" s="1" t="s">
        <v>27</v>
      </c>
      <c r="E3475" s="1" t="s">
        <v>28</v>
      </c>
      <c r="F3475" s="2">
        <v>250000.0</v>
      </c>
      <c r="G3475" s="1" t="s">
        <v>10195</v>
      </c>
      <c r="H3475" s="4">
        <f>IFERROR(__xludf.DUMMYFUNCTION("DATE(INDEX(SPLIT(G3475,""/""),,3),INDEX(SPLIT(G3475,""/""),,2),INDEX(SPLIT(G3475,""/""),,1))"),44513.0)</f>
        <v>44513</v>
      </c>
      <c r="I3475" s="1" t="s">
        <v>130</v>
      </c>
      <c r="J3475" s="4">
        <f>IFERROR(__xludf.DUMMYFUNCTION("DATE(INDEX(SPLIT(I3475,""/""),,3),INDEX(SPLIT(I3475,""/""),,2),INDEX(SPLIT(I3475,""/""),,1))"),44804.0)</f>
        <v>44804</v>
      </c>
      <c r="L3475" s="1">
        <v>0.0</v>
      </c>
      <c r="M3475" s="1" t="s">
        <v>2312</v>
      </c>
      <c r="N3475" s="1"/>
      <c r="O3475" s="1" t="s">
        <v>30</v>
      </c>
      <c r="P3475" s="1" t="s">
        <v>31</v>
      </c>
      <c r="Q3475" s="1" t="s">
        <v>32</v>
      </c>
      <c r="R3475" s="1" t="s">
        <v>32</v>
      </c>
      <c r="S3475" s="1" t="s">
        <v>33</v>
      </c>
      <c r="U3475" s="1">
        <v>1.00610903E8</v>
      </c>
      <c r="X3475" s="1" t="s">
        <v>35</v>
      </c>
      <c r="Y3475" s="1" t="s">
        <v>4099</v>
      </c>
      <c r="Z3475" s="1" t="s">
        <v>37</v>
      </c>
    </row>
    <row r="3476" hidden="1">
      <c r="A3476" s="1" t="s">
        <v>10196</v>
      </c>
      <c r="B3476" s="1" t="s">
        <v>1185</v>
      </c>
      <c r="C3476" s="1" t="s">
        <v>10197</v>
      </c>
      <c r="D3476" s="1" t="s">
        <v>27</v>
      </c>
      <c r="E3476" s="1" t="s">
        <v>28</v>
      </c>
      <c r="F3476" s="2">
        <v>250000.0</v>
      </c>
      <c r="G3476" s="4">
        <v>44868.0</v>
      </c>
      <c r="H3476" s="4">
        <f>IFERROR(__xludf.DUMMYFUNCTION("DATE(INDEX(SPLIT(G3476,""/""),,3),INDEX(SPLIT(G3476,""/""),,2),INDEX(SPLIT(G3476,""/""),,1))"),44631.0)</f>
        <v>44631</v>
      </c>
      <c r="I3476" s="1" t="s">
        <v>109</v>
      </c>
      <c r="J3476" s="4">
        <f>IFERROR(__xludf.DUMMYFUNCTION("DATE(INDEX(SPLIT(I3476,""/""),,3),INDEX(SPLIT(I3476,""/""),,2),INDEX(SPLIT(I3476,""/""),,1))"),44834.0)</f>
        <v>44834</v>
      </c>
      <c r="L3476" s="1">
        <v>0.0</v>
      </c>
      <c r="M3476" s="1" t="s">
        <v>4117</v>
      </c>
      <c r="N3476" s="1"/>
      <c r="O3476" s="1" t="s">
        <v>30</v>
      </c>
      <c r="P3476" s="1" t="s">
        <v>31</v>
      </c>
      <c r="Q3476" s="1" t="s">
        <v>95</v>
      </c>
      <c r="R3476" s="1" t="s">
        <v>95</v>
      </c>
      <c r="S3476" s="1" t="s">
        <v>96</v>
      </c>
      <c r="T3476" s="1" t="s">
        <v>97</v>
      </c>
      <c r="U3476" s="1">
        <v>1.00658777E8</v>
      </c>
      <c r="X3476" s="1" t="s">
        <v>190</v>
      </c>
      <c r="Y3476" s="1" t="s">
        <v>4117</v>
      </c>
      <c r="Z3476" s="1" t="s">
        <v>206</v>
      </c>
    </row>
    <row r="3477" hidden="1">
      <c r="A3477" s="1" t="s">
        <v>10198</v>
      </c>
      <c r="B3477" s="1" t="s">
        <v>1216</v>
      </c>
      <c r="C3477" s="1" t="s">
        <v>10199</v>
      </c>
      <c r="D3477" s="1" t="s">
        <v>27</v>
      </c>
      <c r="E3477" s="1" t="s">
        <v>28</v>
      </c>
      <c r="F3477" s="2">
        <v>250000.0</v>
      </c>
      <c r="G3477" s="1" t="s">
        <v>436</v>
      </c>
      <c r="H3477" s="4">
        <f>IFERROR(__xludf.DUMMYFUNCTION("DATE(INDEX(SPLIT(G3477,""/""),,3),INDEX(SPLIT(G3477,""/""),,2),INDEX(SPLIT(G3477,""/""),,1))"),44434.0)</f>
        <v>44434</v>
      </c>
      <c r="I3477" s="1" t="s">
        <v>109</v>
      </c>
      <c r="J3477" s="4">
        <f>IFERROR(__xludf.DUMMYFUNCTION("DATE(INDEX(SPLIT(I3477,""/""),,3),INDEX(SPLIT(I3477,""/""),,2),INDEX(SPLIT(I3477,""/""),,1))"),44834.0)</f>
        <v>44834</v>
      </c>
      <c r="L3477" s="1">
        <v>0.0</v>
      </c>
      <c r="M3477" s="1" t="s">
        <v>5351</v>
      </c>
      <c r="N3477" s="1"/>
      <c r="O3477" s="1" t="s">
        <v>30</v>
      </c>
      <c r="P3477" s="1" t="s">
        <v>31</v>
      </c>
      <c r="Q3477" s="1" t="s">
        <v>235</v>
      </c>
      <c r="R3477" s="1" t="s">
        <v>235</v>
      </c>
      <c r="S3477" s="1" t="s">
        <v>236</v>
      </c>
      <c r="T3477" s="1" t="s">
        <v>438</v>
      </c>
      <c r="U3477" s="1">
        <v>1.0060792E8</v>
      </c>
      <c r="X3477" s="1" t="s">
        <v>88</v>
      </c>
      <c r="Y3477" s="1" t="s">
        <v>10200</v>
      </c>
      <c r="Z3477" s="1" t="s">
        <v>37</v>
      </c>
    </row>
    <row r="3478">
      <c r="A3478" s="1" t="s">
        <v>10201</v>
      </c>
      <c r="B3478" s="1" t="s">
        <v>497</v>
      </c>
      <c r="C3478" s="1" t="s">
        <v>10202</v>
      </c>
      <c r="D3478" s="1" t="s">
        <v>27</v>
      </c>
      <c r="E3478" s="1" t="s">
        <v>28</v>
      </c>
      <c r="F3478" s="2">
        <v>250000.0</v>
      </c>
      <c r="G3478" s="1" t="s">
        <v>10203</v>
      </c>
      <c r="H3478" s="4">
        <f>IFERROR(__xludf.DUMMYFUNCTION("DATE(INDEX(SPLIT(G3478,""/""),,3),INDEX(SPLIT(G3478,""/""),,2),INDEX(SPLIT(G3478,""/""),,1))"),44335.0)</f>
        <v>44335</v>
      </c>
      <c r="I3478" s="1" t="s">
        <v>69</v>
      </c>
      <c r="J3478" s="4">
        <f>IFERROR(__xludf.DUMMYFUNCTION("DATE(INDEX(SPLIT(I3478,""/""),,3),INDEX(SPLIT(I3478,""/""),,2),INDEX(SPLIT(I3478,""/""),,1))"),44773.0)</f>
        <v>44773</v>
      </c>
      <c r="L3478" s="1">
        <v>0.0</v>
      </c>
      <c r="M3478" s="1" t="s">
        <v>597</v>
      </c>
      <c r="N3478" s="1"/>
      <c r="O3478" s="1" t="s">
        <v>30</v>
      </c>
      <c r="P3478" s="1" t="s">
        <v>31</v>
      </c>
      <c r="Q3478" s="1" t="s">
        <v>32</v>
      </c>
      <c r="R3478" s="1" t="s">
        <v>32</v>
      </c>
      <c r="S3478" s="1" t="s">
        <v>33</v>
      </c>
      <c r="T3478" s="1" t="s">
        <v>34</v>
      </c>
      <c r="U3478" s="1">
        <v>1.0064407E8</v>
      </c>
      <c r="V3478" s="1" t="s">
        <v>10204</v>
      </c>
      <c r="X3478" s="1" t="s">
        <v>35</v>
      </c>
      <c r="Y3478" s="1" t="s">
        <v>3994</v>
      </c>
      <c r="Z3478" s="1" t="s">
        <v>37</v>
      </c>
    </row>
    <row r="3479" hidden="1">
      <c r="A3479" s="1" t="s">
        <v>10205</v>
      </c>
      <c r="B3479" s="1" t="s">
        <v>8992</v>
      </c>
      <c r="C3479" s="1" t="s">
        <v>10206</v>
      </c>
      <c r="D3479" s="1" t="s">
        <v>27</v>
      </c>
      <c r="E3479" s="1" t="s">
        <v>28</v>
      </c>
      <c r="F3479" s="2">
        <v>250000.0</v>
      </c>
      <c r="G3479" s="1" t="s">
        <v>4036</v>
      </c>
      <c r="H3479" s="4">
        <f>IFERROR(__xludf.DUMMYFUNCTION("DATE(INDEX(SPLIT(G3479,""/""),,3),INDEX(SPLIT(G3479,""/""),,2),INDEX(SPLIT(G3479,""/""),,1))"),44592.0)</f>
        <v>44592</v>
      </c>
      <c r="I3479" s="1" t="s">
        <v>130</v>
      </c>
      <c r="J3479" s="4">
        <f>IFERROR(__xludf.DUMMYFUNCTION("DATE(INDEX(SPLIT(I3479,""/""),,3),INDEX(SPLIT(I3479,""/""),,2),INDEX(SPLIT(I3479,""/""),,1))"),44804.0)</f>
        <v>44804</v>
      </c>
      <c r="L3479" s="1">
        <v>0.0</v>
      </c>
      <c r="M3479" s="1" t="s">
        <v>891</v>
      </c>
      <c r="N3479" s="1"/>
      <c r="O3479" s="1" t="s">
        <v>30</v>
      </c>
      <c r="P3479" s="1" t="s">
        <v>31</v>
      </c>
      <c r="Q3479" s="1" t="s">
        <v>32</v>
      </c>
      <c r="R3479" s="1" t="s">
        <v>32</v>
      </c>
      <c r="S3479" s="1" t="s">
        <v>33</v>
      </c>
      <c r="T3479" s="1" t="s">
        <v>1386</v>
      </c>
      <c r="U3479" s="1">
        <v>1.00866856E8</v>
      </c>
      <c r="X3479" s="1" t="s">
        <v>190</v>
      </c>
      <c r="Y3479" s="1" t="s">
        <v>891</v>
      </c>
      <c r="Z3479" s="1" t="s">
        <v>37</v>
      </c>
    </row>
    <row r="3480" hidden="1">
      <c r="A3480" s="1" t="s">
        <v>10207</v>
      </c>
      <c r="B3480" s="1" t="s">
        <v>373</v>
      </c>
      <c r="C3480" s="1" t="s">
        <v>10208</v>
      </c>
      <c r="D3480" s="1" t="s">
        <v>27</v>
      </c>
      <c r="E3480" s="1" t="s">
        <v>28</v>
      </c>
      <c r="F3480" s="2">
        <v>250000.0</v>
      </c>
      <c r="G3480" s="1" t="s">
        <v>3972</v>
      </c>
      <c r="H3480" s="4">
        <f>IFERROR(__xludf.DUMMYFUNCTION("DATE(INDEX(SPLIT(G3480,""/""),,3),INDEX(SPLIT(G3480,""/""),,2),INDEX(SPLIT(G3480,""/""),,1))"),44637.0)</f>
        <v>44637</v>
      </c>
      <c r="I3480" s="1" t="s">
        <v>130</v>
      </c>
      <c r="J3480" s="4">
        <f>IFERROR(__xludf.DUMMYFUNCTION("DATE(INDEX(SPLIT(I3480,""/""),,3),INDEX(SPLIT(I3480,""/""),,2),INDEX(SPLIT(I3480,""/""),,1))"),44804.0)</f>
        <v>44804</v>
      </c>
      <c r="L3480" s="1">
        <v>0.0</v>
      </c>
      <c r="M3480" s="1" t="s">
        <v>10209</v>
      </c>
      <c r="N3480" s="1"/>
      <c r="O3480" s="1" t="s">
        <v>30</v>
      </c>
      <c r="P3480" s="1" t="s">
        <v>31</v>
      </c>
      <c r="Q3480" s="1" t="s">
        <v>157</v>
      </c>
      <c r="R3480" s="1" t="s">
        <v>157</v>
      </c>
      <c r="S3480" s="1" t="s">
        <v>158</v>
      </c>
      <c r="T3480" s="1" t="s">
        <v>442</v>
      </c>
      <c r="U3480" s="1">
        <v>1.00630909E8</v>
      </c>
      <c r="X3480" s="1" t="s">
        <v>125</v>
      </c>
      <c r="Y3480" s="1" t="s">
        <v>589</v>
      </c>
      <c r="Z3480" s="1" t="s">
        <v>527</v>
      </c>
    </row>
    <row r="3481" hidden="1">
      <c r="A3481" s="1" t="s">
        <v>10210</v>
      </c>
      <c r="B3481" s="1" t="s">
        <v>2620</v>
      </c>
      <c r="C3481" s="1" t="s">
        <v>10211</v>
      </c>
      <c r="D3481" s="1" t="s">
        <v>122</v>
      </c>
      <c r="E3481" s="1" t="s">
        <v>28</v>
      </c>
      <c r="F3481" s="2">
        <v>250000.0</v>
      </c>
      <c r="G3481" s="1" t="s">
        <v>271</v>
      </c>
      <c r="H3481" s="4">
        <f>IFERROR(__xludf.DUMMYFUNCTION("DATE(INDEX(SPLIT(G3481,""/""),,3),INDEX(SPLIT(G3481,""/""),,2),INDEX(SPLIT(G3481,""/""),,1))"),44680.0)</f>
        <v>44680</v>
      </c>
      <c r="I3481" s="1" t="s">
        <v>130</v>
      </c>
      <c r="J3481" s="4">
        <f>IFERROR(__xludf.DUMMYFUNCTION("DATE(INDEX(SPLIT(I3481,""/""),,3),INDEX(SPLIT(I3481,""/""),,2),INDEX(SPLIT(I3481,""/""),,1))"),44804.0)</f>
        <v>44804</v>
      </c>
      <c r="L3481" s="1">
        <v>0.0</v>
      </c>
      <c r="M3481" s="1" t="s">
        <v>2623</v>
      </c>
      <c r="N3481" s="1"/>
      <c r="O3481" s="1" t="s">
        <v>30</v>
      </c>
      <c r="P3481" s="1" t="s">
        <v>31</v>
      </c>
      <c r="Q3481" s="1" t="s">
        <v>71</v>
      </c>
      <c r="R3481" s="1" t="s">
        <v>71</v>
      </c>
      <c r="S3481" s="1" t="s">
        <v>72</v>
      </c>
      <c r="T3481" s="1" t="s">
        <v>73</v>
      </c>
      <c r="U3481" s="1">
        <v>1.00618842E8</v>
      </c>
      <c r="X3481" s="1" t="s">
        <v>74</v>
      </c>
      <c r="Y3481" s="1" t="s">
        <v>8445</v>
      </c>
      <c r="Z3481" s="1" t="s">
        <v>37</v>
      </c>
    </row>
    <row r="3482" hidden="1">
      <c r="A3482" s="1" t="s">
        <v>10212</v>
      </c>
      <c r="B3482" s="1" t="s">
        <v>1286</v>
      </c>
      <c r="C3482" s="1" t="s">
        <v>10213</v>
      </c>
      <c r="D3482" s="1" t="s">
        <v>78</v>
      </c>
      <c r="E3482" s="1" t="s">
        <v>28</v>
      </c>
      <c r="F3482" s="2">
        <v>250000.0</v>
      </c>
      <c r="G3482" s="4">
        <v>44022.0</v>
      </c>
      <c r="H3482" s="4">
        <f>IFERROR(__xludf.DUMMYFUNCTION("DATE(INDEX(SPLIT(G3482,""/""),,3),INDEX(SPLIT(G3482,""/""),,2),INDEX(SPLIT(G3482,""/""),,1))"),44111.0)</f>
        <v>44111</v>
      </c>
      <c r="I3482" s="1" t="s">
        <v>130</v>
      </c>
      <c r="J3482" s="4">
        <f>IFERROR(__xludf.DUMMYFUNCTION("DATE(INDEX(SPLIT(I3482,""/""),,3),INDEX(SPLIT(I3482,""/""),,2),INDEX(SPLIT(I3482,""/""),,1))"),44804.0)</f>
        <v>44804</v>
      </c>
      <c r="L3482" s="1">
        <v>0.0</v>
      </c>
      <c r="M3482" s="1" t="s">
        <v>1689</v>
      </c>
      <c r="N3482" s="1"/>
      <c r="O3482" s="1" t="s">
        <v>30</v>
      </c>
      <c r="P3482" s="1" t="s">
        <v>31</v>
      </c>
      <c r="Q3482" s="1" t="s">
        <v>53</v>
      </c>
      <c r="R3482" s="1" t="s">
        <v>53</v>
      </c>
      <c r="S3482" s="1" t="s">
        <v>54</v>
      </c>
      <c r="T3482" s="1" t="s">
        <v>103</v>
      </c>
      <c r="U3482" s="1">
        <v>1.00650657E8</v>
      </c>
      <c r="X3482" s="1" t="s">
        <v>312</v>
      </c>
      <c r="Y3482" s="1" t="s">
        <v>2367</v>
      </c>
      <c r="Z3482" s="1" t="s">
        <v>37</v>
      </c>
    </row>
    <row r="3483" hidden="1">
      <c r="A3483" s="1" t="s">
        <v>10214</v>
      </c>
      <c r="B3483" s="1" t="s">
        <v>1144</v>
      </c>
      <c r="C3483" s="1" t="s">
        <v>10215</v>
      </c>
      <c r="D3483" s="1" t="s">
        <v>27</v>
      </c>
      <c r="E3483" s="1" t="s">
        <v>28</v>
      </c>
      <c r="F3483" s="2">
        <v>250000.0</v>
      </c>
      <c r="G3483" s="1" t="s">
        <v>10216</v>
      </c>
      <c r="H3483" s="4">
        <f>IFERROR(__xludf.DUMMYFUNCTION("DATE(INDEX(SPLIT(G3483,""/""),,3),INDEX(SPLIT(G3483,""/""),,2),INDEX(SPLIT(G3483,""/""),,1))"),43861.0)</f>
        <v>43861</v>
      </c>
      <c r="I3483" s="1" t="s">
        <v>1097</v>
      </c>
      <c r="J3483" s="4">
        <f>IFERROR(__xludf.DUMMYFUNCTION("DATE(INDEX(SPLIT(I3483,""/""),,3),INDEX(SPLIT(I3483,""/""),,2),INDEX(SPLIT(I3483,""/""),,1))"),45107.0)</f>
        <v>45107</v>
      </c>
      <c r="L3483" s="1">
        <v>0.0</v>
      </c>
      <c r="M3483" s="1" t="s">
        <v>2614</v>
      </c>
      <c r="N3483" s="1"/>
      <c r="O3483" s="1" t="s">
        <v>30</v>
      </c>
      <c r="P3483" s="1" t="s">
        <v>31</v>
      </c>
      <c r="Q3483" s="1" t="s">
        <v>53</v>
      </c>
      <c r="R3483" s="1" t="s">
        <v>53</v>
      </c>
      <c r="S3483" s="1" t="s">
        <v>54</v>
      </c>
      <c r="T3483" s="1" t="s">
        <v>571</v>
      </c>
      <c r="U3483" s="1">
        <v>1.00592932E8</v>
      </c>
      <c r="X3483" s="1" t="s">
        <v>63</v>
      </c>
      <c r="Y3483" s="1" t="s">
        <v>2614</v>
      </c>
      <c r="Z3483" s="1" t="s">
        <v>37</v>
      </c>
    </row>
    <row r="3484" hidden="1">
      <c r="A3484" s="1" t="s">
        <v>10217</v>
      </c>
      <c r="B3484" s="1" t="s">
        <v>2186</v>
      </c>
      <c r="C3484" s="1" t="s">
        <v>10218</v>
      </c>
      <c r="D3484" s="1" t="s">
        <v>78</v>
      </c>
      <c r="E3484" s="1" t="s">
        <v>28</v>
      </c>
      <c r="F3484" s="2">
        <v>250000.0</v>
      </c>
      <c r="G3484" s="1" t="s">
        <v>600</v>
      </c>
      <c r="H3484" s="4">
        <f>IFERROR(__xludf.DUMMYFUNCTION("DATE(INDEX(SPLIT(G3484,""/""),,3),INDEX(SPLIT(G3484,""/""),,2),INDEX(SPLIT(G3484,""/""),,1))"),44665.0)</f>
        <v>44665</v>
      </c>
      <c r="I3484" s="1" t="s">
        <v>1799</v>
      </c>
      <c r="J3484" s="4">
        <f>IFERROR(__xludf.DUMMYFUNCTION("DATE(INDEX(SPLIT(I3484,""/""),,3),INDEX(SPLIT(I3484,""/""),,2),INDEX(SPLIT(I3484,""/""),,1))"),44788.0)</f>
        <v>44788</v>
      </c>
      <c r="L3484" s="1">
        <v>0.0</v>
      </c>
      <c r="M3484" s="1" t="s">
        <v>10219</v>
      </c>
      <c r="N3484" s="1"/>
      <c r="O3484" s="1" t="s">
        <v>30</v>
      </c>
      <c r="P3484" s="1" t="s">
        <v>31</v>
      </c>
      <c r="Q3484" s="1" t="s">
        <v>228</v>
      </c>
      <c r="R3484" s="1" t="s">
        <v>228</v>
      </c>
      <c r="S3484" s="1" t="s">
        <v>229</v>
      </c>
      <c r="U3484" s="1">
        <v>1.0058867E8</v>
      </c>
      <c r="X3484" s="1" t="s">
        <v>190</v>
      </c>
      <c r="Y3484" s="1" t="s">
        <v>2188</v>
      </c>
      <c r="Z3484" s="1" t="s">
        <v>527</v>
      </c>
    </row>
    <row r="3485">
      <c r="A3485" s="1" t="s">
        <v>10220</v>
      </c>
      <c r="B3485" s="1" t="s">
        <v>4486</v>
      </c>
      <c r="C3485" s="1" t="s">
        <v>10221</v>
      </c>
      <c r="D3485" s="1" t="s">
        <v>122</v>
      </c>
      <c r="E3485" s="1" t="s">
        <v>28</v>
      </c>
      <c r="F3485" s="2">
        <v>250000.0</v>
      </c>
      <c r="G3485" s="4">
        <v>44839.0</v>
      </c>
      <c r="H3485" s="4">
        <f>IFERROR(__xludf.DUMMYFUNCTION("DATE(INDEX(SPLIT(G3485,""/""),,3),INDEX(SPLIT(G3485,""/""),,2),INDEX(SPLIT(G3485,""/""),,1))"),44691.0)</f>
        <v>44691</v>
      </c>
      <c r="I3485" s="4">
        <v>44626.0</v>
      </c>
      <c r="J3485" s="4">
        <f>IFERROR(__xludf.DUMMYFUNCTION("DATE(INDEX(SPLIT(I3485,""/""),,3),INDEX(SPLIT(I3485,""/""),,2),INDEX(SPLIT(I3485,""/""),,1))"),44715.0)</f>
        <v>44715</v>
      </c>
      <c r="L3485" s="1">
        <v>0.0</v>
      </c>
      <c r="M3485" s="1" t="s">
        <v>7088</v>
      </c>
      <c r="N3485" s="1"/>
      <c r="O3485" s="1" t="s">
        <v>30</v>
      </c>
      <c r="P3485" s="1" t="s">
        <v>31</v>
      </c>
      <c r="Q3485" s="1" t="s">
        <v>228</v>
      </c>
      <c r="R3485" s="1" t="s">
        <v>228</v>
      </c>
      <c r="S3485" s="1" t="s">
        <v>229</v>
      </c>
      <c r="T3485" s="1" t="s">
        <v>513</v>
      </c>
      <c r="U3485" s="1">
        <v>1.00597339E8</v>
      </c>
      <c r="X3485" s="1" t="s">
        <v>312</v>
      </c>
      <c r="Y3485" s="1" t="s">
        <v>7089</v>
      </c>
      <c r="Z3485" s="1" t="s">
        <v>37</v>
      </c>
    </row>
    <row r="3486">
      <c r="A3486" s="1" t="s">
        <v>10222</v>
      </c>
      <c r="B3486" s="1" t="s">
        <v>7123</v>
      </c>
      <c r="C3486" s="1" t="s">
        <v>10223</v>
      </c>
      <c r="D3486" s="1" t="s">
        <v>27</v>
      </c>
      <c r="E3486" s="1" t="s">
        <v>28</v>
      </c>
      <c r="F3486" s="2">
        <v>250000.0</v>
      </c>
      <c r="G3486" s="1" t="s">
        <v>1004</v>
      </c>
      <c r="H3486" s="4">
        <f>IFERROR(__xludf.DUMMYFUNCTION("DATE(INDEX(SPLIT(G3486,""/""),,3),INDEX(SPLIT(G3486,""/""),,2),INDEX(SPLIT(G3486,""/""),,1))"),44582.0)</f>
        <v>44582</v>
      </c>
      <c r="I3486" s="4">
        <v>44626.0</v>
      </c>
      <c r="J3486" s="4">
        <f>IFERROR(__xludf.DUMMYFUNCTION("DATE(INDEX(SPLIT(I3486,""/""),,3),INDEX(SPLIT(I3486,""/""),,2),INDEX(SPLIT(I3486,""/""),,1))"),44715.0)</f>
        <v>44715</v>
      </c>
      <c r="L3486" s="1">
        <v>0.0</v>
      </c>
      <c r="M3486" s="1" t="s">
        <v>2551</v>
      </c>
      <c r="N3486" s="1"/>
      <c r="O3486" s="1" t="s">
        <v>30</v>
      </c>
      <c r="P3486" s="1" t="s">
        <v>31</v>
      </c>
      <c r="Q3486" s="1" t="s">
        <v>95</v>
      </c>
      <c r="R3486" s="1" t="s">
        <v>95</v>
      </c>
      <c r="S3486" s="1" t="s">
        <v>96</v>
      </c>
      <c r="T3486" s="1" t="s">
        <v>111</v>
      </c>
      <c r="U3486" s="1">
        <v>1.00660092E8</v>
      </c>
      <c r="V3486" s="1" t="s">
        <v>10224</v>
      </c>
      <c r="W3486" s="1" t="s">
        <v>199</v>
      </c>
      <c r="X3486" s="1" t="s">
        <v>254</v>
      </c>
      <c r="Y3486" s="1" t="s">
        <v>2551</v>
      </c>
      <c r="Z3486" s="1" t="s">
        <v>37</v>
      </c>
    </row>
    <row r="3487" hidden="1">
      <c r="A3487" s="1" t="s">
        <v>10225</v>
      </c>
      <c r="B3487" s="1" t="s">
        <v>5839</v>
      </c>
      <c r="C3487" s="1" t="s">
        <v>10226</v>
      </c>
      <c r="D3487" s="1" t="s">
        <v>27</v>
      </c>
      <c r="E3487" s="1" t="s">
        <v>28</v>
      </c>
      <c r="F3487" s="2">
        <v>250000.0</v>
      </c>
      <c r="G3487" s="1" t="s">
        <v>5571</v>
      </c>
      <c r="H3487" s="4">
        <f>IFERROR(__xludf.DUMMYFUNCTION("DATE(INDEX(SPLIT(G3487,""/""),,3),INDEX(SPLIT(G3487,""/""),,2),INDEX(SPLIT(G3487,""/""),,1))"),44766.0)</f>
        <v>44766</v>
      </c>
      <c r="I3487" s="4">
        <v>44601.0</v>
      </c>
      <c r="J3487" s="4">
        <f>IFERROR(__xludf.DUMMYFUNCTION("DATE(INDEX(SPLIT(I3487,""/""),,3),INDEX(SPLIT(I3487,""/""),,2),INDEX(SPLIT(I3487,""/""),,1))"),44806.0)</f>
        <v>44806</v>
      </c>
      <c r="L3487" s="1">
        <v>0.0</v>
      </c>
      <c r="M3487" s="1" t="s">
        <v>4936</v>
      </c>
      <c r="N3487" s="1"/>
      <c r="O3487" s="1" t="s">
        <v>30</v>
      </c>
      <c r="P3487" s="1" t="s">
        <v>31</v>
      </c>
      <c r="Q3487" s="1" t="s">
        <v>53</v>
      </c>
      <c r="R3487" s="1" t="s">
        <v>53</v>
      </c>
      <c r="S3487" s="1" t="s">
        <v>54</v>
      </c>
      <c r="T3487" s="1" t="s">
        <v>2372</v>
      </c>
      <c r="U3487" s="1">
        <v>1.00558795E8</v>
      </c>
      <c r="X3487" s="1" t="s">
        <v>239</v>
      </c>
      <c r="Y3487" s="1" t="s">
        <v>4936</v>
      </c>
      <c r="Z3487" s="1" t="s">
        <v>527</v>
      </c>
    </row>
    <row r="3488" hidden="1">
      <c r="A3488" s="1" t="s">
        <v>10227</v>
      </c>
      <c r="B3488" s="1" t="s">
        <v>981</v>
      </c>
      <c r="C3488" s="1" t="s">
        <v>10228</v>
      </c>
      <c r="D3488" s="1" t="s">
        <v>27</v>
      </c>
      <c r="E3488" s="1" t="s">
        <v>28</v>
      </c>
      <c r="F3488" s="2">
        <v>250000.0</v>
      </c>
      <c r="G3488" s="4">
        <v>44717.0</v>
      </c>
      <c r="H3488" s="4">
        <f>IFERROR(__xludf.DUMMYFUNCTION("DATE(INDEX(SPLIT(G3488,""/""),,3),INDEX(SPLIT(G3488,""/""),,2),INDEX(SPLIT(G3488,""/""),,1))"),44687.0)</f>
        <v>44687</v>
      </c>
      <c r="I3488" s="1" t="s">
        <v>171</v>
      </c>
      <c r="J3488" s="4">
        <f>IFERROR(__xludf.DUMMYFUNCTION("DATE(INDEX(SPLIT(I3488,""/""),,3),INDEX(SPLIT(I3488,""/""),,2),INDEX(SPLIT(I3488,""/""),,1))"),45077.0)</f>
        <v>45077</v>
      </c>
      <c r="L3488" s="1">
        <v>0.0</v>
      </c>
      <c r="M3488" s="1" t="s">
        <v>984</v>
      </c>
      <c r="N3488" s="1"/>
      <c r="O3488" s="1" t="s">
        <v>30</v>
      </c>
      <c r="P3488" s="1" t="s">
        <v>31</v>
      </c>
      <c r="Q3488" s="1" t="s">
        <v>157</v>
      </c>
      <c r="R3488" s="1" t="s">
        <v>157</v>
      </c>
      <c r="S3488" s="1" t="s">
        <v>158</v>
      </c>
      <c r="U3488" s="1">
        <v>1.00611358E8</v>
      </c>
      <c r="X3488" s="1" t="s">
        <v>490</v>
      </c>
      <c r="Y3488" s="1" t="s">
        <v>985</v>
      </c>
      <c r="Z3488" s="1" t="s">
        <v>37</v>
      </c>
    </row>
    <row r="3489" hidden="1">
      <c r="A3489" s="1" t="s">
        <v>10229</v>
      </c>
      <c r="B3489" s="1" t="s">
        <v>169</v>
      </c>
      <c r="C3489" s="1" t="s">
        <v>10230</v>
      </c>
      <c r="D3489" s="1" t="s">
        <v>27</v>
      </c>
      <c r="E3489" s="1" t="s">
        <v>28</v>
      </c>
      <c r="F3489" s="2">
        <v>250000.0</v>
      </c>
      <c r="G3489" s="1" t="s">
        <v>1581</v>
      </c>
      <c r="H3489" s="4">
        <f>IFERROR(__xludf.DUMMYFUNCTION("DATE(INDEX(SPLIT(G3489,""/""),,3),INDEX(SPLIT(G3489,""/""),,2),INDEX(SPLIT(G3489,""/""),,1))"),44453.0)</f>
        <v>44453</v>
      </c>
      <c r="I3489" s="1" t="s">
        <v>109</v>
      </c>
      <c r="J3489" s="4">
        <f>IFERROR(__xludf.DUMMYFUNCTION("DATE(INDEX(SPLIT(I3489,""/""),,3),INDEX(SPLIT(I3489,""/""),,2),INDEX(SPLIT(I3489,""/""),,1))"),44834.0)</f>
        <v>44834</v>
      </c>
      <c r="L3489" s="1">
        <v>0.0</v>
      </c>
      <c r="M3489" s="1" t="s">
        <v>9714</v>
      </c>
      <c r="N3489" s="1"/>
      <c r="O3489" s="1" t="s">
        <v>30</v>
      </c>
      <c r="P3489" s="1" t="s">
        <v>31</v>
      </c>
      <c r="Q3489" s="1" t="s">
        <v>157</v>
      </c>
      <c r="R3489" s="1" t="s">
        <v>157</v>
      </c>
      <c r="S3489" s="1" t="s">
        <v>158</v>
      </c>
      <c r="T3489" s="1" t="s">
        <v>159</v>
      </c>
      <c r="U3489" s="1">
        <v>1.00866857E8</v>
      </c>
      <c r="X3489" s="1" t="s">
        <v>117</v>
      </c>
      <c r="Y3489" s="1" t="s">
        <v>3904</v>
      </c>
      <c r="Z3489" s="1" t="s">
        <v>37</v>
      </c>
    </row>
    <row r="3490" hidden="1">
      <c r="A3490" s="1" t="s">
        <v>10231</v>
      </c>
      <c r="B3490" s="1" t="s">
        <v>3591</v>
      </c>
      <c r="C3490" s="1" t="s">
        <v>10232</v>
      </c>
      <c r="D3490" s="1" t="s">
        <v>78</v>
      </c>
      <c r="E3490" s="1" t="s">
        <v>28</v>
      </c>
      <c r="F3490" s="2">
        <v>250000.0</v>
      </c>
      <c r="G3490" s="1" t="s">
        <v>1381</v>
      </c>
      <c r="H3490" s="4">
        <f>IFERROR(__xludf.DUMMYFUNCTION("DATE(INDEX(SPLIT(G3490,""/""),,3),INDEX(SPLIT(G3490,""/""),,2),INDEX(SPLIT(G3490,""/""),,1))"),44643.0)</f>
        <v>44643</v>
      </c>
      <c r="I3490" s="1" t="s">
        <v>569</v>
      </c>
      <c r="J3490" s="4">
        <f>IFERROR(__xludf.DUMMYFUNCTION("DATE(INDEX(SPLIT(I3490,""/""),,3),INDEX(SPLIT(I3490,""/""),,2),INDEX(SPLIT(I3490,""/""),,1))"),45016.0)</f>
        <v>45016</v>
      </c>
      <c r="L3490" s="1">
        <v>0.0</v>
      </c>
      <c r="M3490" s="1" t="s">
        <v>2444</v>
      </c>
      <c r="N3490" s="1"/>
      <c r="O3490" s="1" t="s">
        <v>30</v>
      </c>
      <c r="P3490" s="1" t="s">
        <v>31</v>
      </c>
      <c r="Q3490" s="1" t="s">
        <v>71</v>
      </c>
      <c r="R3490" s="1" t="s">
        <v>71</v>
      </c>
      <c r="S3490" s="1" t="s">
        <v>72</v>
      </c>
      <c r="T3490" s="1" t="s">
        <v>159</v>
      </c>
      <c r="U3490" s="1">
        <v>1.00612395E8</v>
      </c>
      <c r="X3490" s="1" t="s">
        <v>74</v>
      </c>
      <c r="Y3490" s="1" t="s">
        <v>6982</v>
      </c>
      <c r="Z3490" s="1" t="s">
        <v>37</v>
      </c>
    </row>
    <row r="3491" hidden="1">
      <c r="A3491" s="1" t="s">
        <v>10233</v>
      </c>
      <c r="B3491" s="1" t="s">
        <v>566</v>
      </c>
      <c r="C3491" s="1" t="s">
        <v>10234</v>
      </c>
      <c r="D3491" s="1" t="s">
        <v>27</v>
      </c>
      <c r="E3491" s="1" t="s">
        <v>28</v>
      </c>
      <c r="F3491" s="2">
        <v>250000.0</v>
      </c>
      <c r="G3491" s="1" t="s">
        <v>523</v>
      </c>
      <c r="H3491" s="4">
        <f>IFERROR(__xludf.DUMMYFUNCTION("DATE(INDEX(SPLIT(G3491,""/""),,3),INDEX(SPLIT(G3491,""/""),,2),INDEX(SPLIT(G3491,""/""),,1))"),44517.0)</f>
        <v>44517</v>
      </c>
      <c r="I3491" s="1" t="s">
        <v>85</v>
      </c>
      <c r="J3491" s="4">
        <f>IFERROR(__xludf.DUMMYFUNCTION("DATE(INDEX(SPLIT(I3491,""/""),,3),INDEX(SPLIT(I3491,""/""),,2),INDEX(SPLIT(I3491,""/""),,1))"),44799.0)</f>
        <v>44799</v>
      </c>
      <c r="L3491" s="1">
        <v>0.0</v>
      </c>
      <c r="M3491" s="1" t="s">
        <v>558</v>
      </c>
      <c r="N3491" s="1"/>
      <c r="O3491" s="1" t="s">
        <v>30</v>
      </c>
      <c r="P3491" s="1" t="s">
        <v>31</v>
      </c>
      <c r="Q3491" s="1" t="s">
        <v>53</v>
      </c>
      <c r="R3491" s="1" t="s">
        <v>53</v>
      </c>
      <c r="S3491" s="1" t="s">
        <v>54</v>
      </c>
      <c r="T3491" s="1" t="s">
        <v>87</v>
      </c>
      <c r="U3491" s="1">
        <v>1.00653597E8</v>
      </c>
      <c r="X3491" s="1" t="s">
        <v>63</v>
      </c>
      <c r="Y3491" s="1" t="s">
        <v>767</v>
      </c>
      <c r="Z3491" s="1" t="s">
        <v>37</v>
      </c>
    </row>
    <row r="3492" hidden="1">
      <c r="A3492" s="1" t="s">
        <v>10235</v>
      </c>
      <c r="B3492" s="1" t="s">
        <v>392</v>
      </c>
      <c r="C3492" s="1" t="s">
        <v>10236</v>
      </c>
      <c r="D3492" s="1" t="s">
        <v>27</v>
      </c>
      <c r="E3492" s="1" t="s">
        <v>28</v>
      </c>
      <c r="F3492" s="2">
        <v>250000.0</v>
      </c>
      <c r="G3492" s="1" t="s">
        <v>343</v>
      </c>
      <c r="H3492" s="4">
        <f>IFERROR(__xludf.DUMMYFUNCTION("DATE(INDEX(SPLIT(G3492,""/""),,3),INDEX(SPLIT(G3492,""/""),,2),INDEX(SPLIT(G3492,""/""),,1))"),44761.0)</f>
        <v>44761</v>
      </c>
      <c r="I3492" s="1" t="s">
        <v>85</v>
      </c>
      <c r="J3492" s="4">
        <f>IFERROR(__xludf.DUMMYFUNCTION("DATE(INDEX(SPLIT(I3492,""/""),,3),INDEX(SPLIT(I3492,""/""),,2),INDEX(SPLIT(I3492,""/""),,1))"),44799.0)</f>
        <v>44799</v>
      </c>
      <c r="L3492" s="1">
        <v>0.0</v>
      </c>
      <c r="M3492" s="1" t="s">
        <v>234</v>
      </c>
      <c r="N3492" s="1"/>
      <c r="O3492" s="1" t="s">
        <v>30</v>
      </c>
      <c r="P3492" s="1" t="s">
        <v>31</v>
      </c>
      <c r="Q3492" s="1" t="s">
        <v>235</v>
      </c>
      <c r="R3492" s="1" t="s">
        <v>235</v>
      </c>
      <c r="S3492" s="1" t="s">
        <v>236</v>
      </c>
      <c r="T3492" s="1" t="s">
        <v>237</v>
      </c>
      <c r="U3492" s="1">
        <v>1.00658132E8</v>
      </c>
      <c r="X3492" s="1" t="s">
        <v>239</v>
      </c>
      <c r="Y3492" s="1" t="s">
        <v>234</v>
      </c>
      <c r="Z3492" s="1" t="s">
        <v>37</v>
      </c>
    </row>
    <row r="3493" hidden="1">
      <c r="A3493" s="1" t="s">
        <v>10237</v>
      </c>
      <c r="B3493" s="1" t="s">
        <v>291</v>
      </c>
      <c r="C3493" s="1" t="s">
        <v>10238</v>
      </c>
      <c r="D3493" s="1" t="s">
        <v>27</v>
      </c>
      <c r="E3493" s="1" t="s">
        <v>28</v>
      </c>
      <c r="F3493" s="2">
        <v>250000.0</v>
      </c>
      <c r="G3493" s="4">
        <v>44717.0</v>
      </c>
      <c r="H3493" s="4">
        <f>IFERROR(__xludf.DUMMYFUNCTION("DATE(INDEX(SPLIT(G3493,""/""),,3),INDEX(SPLIT(G3493,""/""),,2),INDEX(SPLIT(G3493,""/""),,1))"),44687.0)</f>
        <v>44687</v>
      </c>
      <c r="I3493" s="1" t="s">
        <v>4177</v>
      </c>
      <c r="J3493" s="4">
        <f>IFERROR(__xludf.DUMMYFUNCTION("DATE(INDEX(SPLIT(I3493,""/""),,3),INDEX(SPLIT(I3493,""/""),,2),INDEX(SPLIT(I3493,""/""),,1))"),44880.0)</f>
        <v>44880</v>
      </c>
      <c r="L3493" s="1">
        <v>0.0</v>
      </c>
      <c r="M3493" s="1" t="s">
        <v>2086</v>
      </c>
      <c r="N3493" s="1"/>
      <c r="O3493" s="1" t="s">
        <v>30</v>
      </c>
      <c r="P3493" s="1" t="s">
        <v>31</v>
      </c>
      <c r="Q3493" s="1" t="s">
        <v>235</v>
      </c>
      <c r="R3493" s="1" t="s">
        <v>235</v>
      </c>
      <c r="S3493" s="1" t="s">
        <v>236</v>
      </c>
      <c r="U3493" s="1">
        <v>1.00647488E8</v>
      </c>
      <c r="X3493" s="1" t="s">
        <v>239</v>
      </c>
      <c r="Y3493" s="1" t="s">
        <v>10239</v>
      </c>
      <c r="Z3493" s="1" t="s">
        <v>37</v>
      </c>
    </row>
    <row r="3494" hidden="1">
      <c r="A3494" s="1" t="s">
        <v>10240</v>
      </c>
      <c r="B3494" s="1" t="s">
        <v>4080</v>
      </c>
      <c r="C3494" s="1" t="s">
        <v>10241</v>
      </c>
      <c r="D3494" s="1" t="s">
        <v>27</v>
      </c>
      <c r="E3494" s="1" t="s">
        <v>28</v>
      </c>
      <c r="F3494" s="2">
        <v>250000.0</v>
      </c>
      <c r="G3494" s="4">
        <v>44654.0</v>
      </c>
      <c r="H3494" s="4">
        <f>IFERROR(__xludf.DUMMYFUNCTION("DATE(INDEX(SPLIT(G3494,""/""),,3),INDEX(SPLIT(G3494,""/""),,2),INDEX(SPLIT(G3494,""/""),,1))"),44624.0)</f>
        <v>44624</v>
      </c>
      <c r="I3494" s="1" t="s">
        <v>134</v>
      </c>
      <c r="J3494" s="4">
        <f>IFERROR(__xludf.DUMMYFUNCTION("DATE(INDEX(SPLIT(I3494,""/""),,3),INDEX(SPLIT(I3494,""/""),,2),INDEX(SPLIT(I3494,""/""),,1))"),44792.0)</f>
        <v>44792</v>
      </c>
      <c r="L3494" s="1">
        <v>0.0</v>
      </c>
      <c r="M3494" s="1" t="s">
        <v>2147</v>
      </c>
      <c r="N3494" s="1"/>
      <c r="O3494" s="1" t="s">
        <v>30</v>
      </c>
      <c r="P3494" s="1" t="s">
        <v>31</v>
      </c>
      <c r="Q3494" s="1" t="s">
        <v>235</v>
      </c>
      <c r="R3494" s="1" t="s">
        <v>235</v>
      </c>
      <c r="S3494" s="1" t="s">
        <v>236</v>
      </c>
      <c r="T3494" s="1" t="s">
        <v>237</v>
      </c>
      <c r="U3494" s="1">
        <v>1.00647935E8</v>
      </c>
      <c r="V3494" s="1" t="s">
        <v>10242</v>
      </c>
      <c r="W3494" s="1" t="s">
        <v>199</v>
      </c>
      <c r="X3494" s="1" t="s">
        <v>239</v>
      </c>
      <c r="Y3494" s="1" t="s">
        <v>2147</v>
      </c>
      <c r="Z3494" s="1" t="s">
        <v>37</v>
      </c>
    </row>
    <row r="3495" hidden="1">
      <c r="A3495" s="1" t="s">
        <v>10243</v>
      </c>
      <c r="B3495" s="1" t="s">
        <v>4213</v>
      </c>
      <c r="C3495" s="1" t="s">
        <v>10244</v>
      </c>
      <c r="D3495" s="1" t="s">
        <v>27</v>
      </c>
      <c r="E3495" s="1" t="s">
        <v>28</v>
      </c>
      <c r="F3495" s="2">
        <v>250000.0</v>
      </c>
      <c r="G3495" s="4">
        <v>44599.0</v>
      </c>
      <c r="H3495" s="4">
        <f>IFERROR(__xludf.DUMMYFUNCTION("DATE(INDEX(SPLIT(G3495,""/""),,3),INDEX(SPLIT(G3495,""/""),,2),INDEX(SPLIT(G3495,""/""),,1))"),44744.0)</f>
        <v>44744</v>
      </c>
      <c r="I3495" s="1" t="s">
        <v>317</v>
      </c>
      <c r="J3495" s="4">
        <f>IFERROR(__xludf.DUMMYFUNCTION("DATE(INDEX(SPLIT(I3495,""/""),,3),INDEX(SPLIT(I3495,""/""),,2),INDEX(SPLIT(I3495,""/""),,1))"),44862.0)</f>
        <v>44862</v>
      </c>
      <c r="L3495" s="1">
        <v>0.0</v>
      </c>
      <c r="M3495" s="1" t="s">
        <v>1792</v>
      </c>
      <c r="N3495" s="1"/>
      <c r="O3495" s="1" t="s">
        <v>30</v>
      </c>
      <c r="P3495" s="1" t="s">
        <v>31</v>
      </c>
      <c r="Q3495" s="1" t="s">
        <v>235</v>
      </c>
      <c r="R3495" s="1" t="s">
        <v>235</v>
      </c>
      <c r="S3495" s="1" t="s">
        <v>236</v>
      </c>
      <c r="U3495" s="1">
        <v>1.00964362E8</v>
      </c>
      <c r="X3495" s="1" t="s">
        <v>88</v>
      </c>
      <c r="Y3495" s="1" t="s">
        <v>2865</v>
      </c>
      <c r="Z3495" s="1" t="s">
        <v>37</v>
      </c>
    </row>
    <row r="3496" hidden="1">
      <c r="A3496" s="1" t="s">
        <v>10245</v>
      </c>
      <c r="B3496" s="1" t="s">
        <v>66</v>
      </c>
      <c r="C3496" s="1" t="s">
        <v>10246</v>
      </c>
      <c r="D3496" s="1" t="s">
        <v>27</v>
      </c>
      <c r="E3496" s="1" t="s">
        <v>28</v>
      </c>
      <c r="F3496" s="2">
        <v>250000.0</v>
      </c>
      <c r="G3496" s="4">
        <v>44654.0</v>
      </c>
      <c r="H3496" s="4">
        <f>IFERROR(__xludf.DUMMYFUNCTION("DATE(INDEX(SPLIT(G3496,""/""),,3),INDEX(SPLIT(G3496,""/""),,2),INDEX(SPLIT(G3496,""/""),,1))"),44624.0)</f>
        <v>44624</v>
      </c>
      <c r="I3496" s="1" t="s">
        <v>109</v>
      </c>
      <c r="J3496" s="4">
        <f>IFERROR(__xludf.DUMMYFUNCTION("DATE(INDEX(SPLIT(I3496,""/""),,3),INDEX(SPLIT(I3496,""/""),,2),INDEX(SPLIT(I3496,""/""),,1))"),44834.0)</f>
        <v>44834</v>
      </c>
      <c r="L3496" s="1">
        <v>0.0</v>
      </c>
      <c r="M3496" s="1" t="s">
        <v>7296</v>
      </c>
      <c r="N3496" s="1"/>
      <c r="O3496" s="1" t="s">
        <v>30</v>
      </c>
      <c r="P3496" s="1" t="s">
        <v>31</v>
      </c>
      <c r="Q3496" s="1" t="s">
        <v>71</v>
      </c>
      <c r="R3496" s="1" t="s">
        <v>71</v>
      </c>
      <c r="S3496" s="1" t="s">
        <v>72</v>
      </c>
      <c r="T3496" s="1" t="s">
        <v>73</v>
      </c>
      <c r="U3496" s="1">
        <v>1.00594243E8</v>
      </c>
      <c r="X3496" s="1" t="s">
        <v>74</v>
      </c>
      <c r="Y3496" s="1" t="s">
        <v>7629</v>
      </c>
      <c r="Z3496" s="1" t="s">
        <v>206</v>
      </c>
    </row>
    <row r="3497">
      <c r="A3497" s="1" t="s">
        <v>10247</v>
      </c>
      <c r="B3497" s="1" t="s">
        <v>9720</v>
      </c>
      <c r="C3497" s="1" t="s">
        <v>10248</v>
      </c>
      <c r="D3497" s="1" t="s">
        <v>27</v>
      </c>
      <c r="E3497" s="1" t="s">
        <v>28</v>
      </c>
      <c r="F3497" s="2">
        <v>250000.0</v>
      </c>
      <c r="G3497" s="1" t="s">
        <v>836</v>
      </c>
      <c r="H3497" s="4">
        <f>IFERROR(__xludf.DUMMYFUNCTION("DATE(INDEX(SPLIT(G3497,""/""),,3),INDEX(SPLIT(G3497,""/""),,2),INDEX(SPLIT(G3497,""/""),,1))"),44610.0)</f>
        <v>44610</v>
      </c>
      <c r="I3497" s="1" t="s">
        <v>226</v>
      </c>
      <c r="J3497" s="4">
        <f>IFERROR(__xludf.DUMMYFUNCTION("DATE(INDEX(SPLIT(I3497,""/""),,3),INDEX(SPLIT(I3497,""/""),,2),INDEX(SPLIT(I3497,""/""),,1))"),44771.0)</f>
        <v>44771</v>
      </c>
      <c r="L3497" s="1">
        <v>0.0</v>
      </c>
      <c r="M3497" s="1" t="s">
        <v>5564</v>
      </c>
      <c r="N3497" s="1"/>
      <c r="O3497" s="1" t="s">
        <v>30</v>
      </c>
      <c r="P3497" s="1" t="s">
        <v>31</v>
      </c>
      <c r="Q3497" s="1" t="s">
        <v>235</v>
      </c>
      <c r="R3497" s="1" t="s">
        <v>235</v>
      </c>
      <c r="S3497" s="1" t="s">
        <v>236</v>
      </c>
      <c r="T3497" s="1" t="s">
        <v>753</v>
      </c>
      <c r="U3497" s="1">
        <v>1.00623111E8</v>
      </c>
      <c r="X3497" s="1" t="s">
        <v>88</v>
      </c>
      <c r="Y3497" s="1" t="s">
        <v>5564</v>
      </c>
      <c r="Z3497" s="1" t="s">
        <v>37</v>
      </c>
    </row>
    <row r="3498" hidden="1">
      <c r="A3498" s="1" t="s">
        <v>10249</v>
      </c>
      <c r="B3498" s="1" t="s">
        <v>76</v>
      </c>
      <c r="C3498" s="1" t="s">
        <v>10250</v>
      </c>
      <c r="D3498" s="1" t="s">
        <v>78</v>
      </c>
      <c r="E3498" s="1" t="s">
        <v>28</v>
      </c>
      <c r="F3498" s="2">
        <v>250000.0</v>
      </c>
      <c r="G3498" s="4">
        <v>44868.0</v>
      </c>
      <c r="H3498" s="4">
        <f>IFERROR(__xludf.DUMMYFUNCTION("DATE(INDEX(SPLIT(G3498,""/""),,3),INDEX(SPLIT(G3498,""/""),,2),INDEX(SPLIT(G3498,""/""),,1))"),44631.0)</f>
        <v>44631</v>
      </c>
      <c r="I3498" s="4">
        <v>44752.0</v>
      </c>
      <c r="J3498" s="4">
        <f>IFERROR(__xludf.DUMMYFUNCTION("DATE(INDEX(SPLIT(I3498,""/""),,3),INDEX(SPLIT(I3498,""/""),,2),INDEX(SPLIT(I3498,""/""),,1))"),44841.0)</f>
        <v>44841</v>
      </c>
      <c r="L3498" s="1">
        <v>0.0</v>
      </c>
      <c r="M3498" s="1" t="s">
        <v>3187</v>
      </c>
      <c r="N3498" s="1"/>
      <c r="O3498" s="1" t="s">
        <v>30</v>
      </c>
      <c r="P3498" s="1" t="s">
        <v>31</v>
      </c>
      <c r="Q3498" s="1" t="s">
        <v>228</v>
      </c>
      <c r="R3498" s="1" t="s">
        <v>228</v>
      </c>
      <c r="S3498" s="1" t="s">
        <v>229</v>
      </c>
      <c r="T3498" s="1" t="s">
        <v>640</v>
      </c>
      <c r="U3498" s="1">
        <v>1.00638978E8</v>
      </c>
      <c r="X3498" s="1" t="s">
        <v>81</v>
      </c>
      <c r="Y3498" s="1" t="s">
        <v>390</v>
      </c>
      <c r="Z3498" s="1" t="s">
        <v>37</v>
      </c>
    </row>
    <row r="3499" hidden="1">
      <c r="A3499" s="1" t="s">
        <v>10251</v>
      </c>
      <c r="B3499" s="1" t="s">
        <v>6405</v>
      </c>
      <c r="C3499" s="1" t="s">
        <v>10252</v>
      </c>
      <c r="D3499" s="1" t="s">
        <v>122</v>
      </c>
      <c r="E3499" s="1" t="s">
        <v>28</v>
      </c>
      <c r="F3499" s="2">
        <v>250000.0</v>
      </c>
      <c r="G3499" s="1" t="s">
        <v>5204</v>
      </c>
      <c r="H3499" s="4">
        <f>IFERROR(__xludf.DUMMYFUNCTION("DATE(INDEX(SPLIT(G3499,""/""),,3),INDEX(SPLIT(G3499,""/""),,2),INDEX(SPLIT(G3499,""/""),,1))"),44485.0)</f>
        <v>44485</v>
      </c>
      <c r="I3499" s="1" t="s">
        <v>109</v>
      </c>
      <c r="J3499" s="4">
        <f>IFERROR(__xludf.DUMMYFUNCTION("DATE(INDEX(SPLIT(I3499,""/""),,3),INDEX(SPLIT(I3499,""/""),,2),INDEX(SPLIT(I3499,""/""),,1))"),44834.0)</f>
        <v>44834</v>
      </c>
      <c r="L3499" s="1">
        <v>0.0</v>
      </c>
      <c r="M3499" s="1" t="s">
        <v>211</v>
      </c>
      <c r="N3499" s="1"/>
      <c r="O3499" s="1" t="s">
        <v>30</v>
      </c>
      <c r="P3499" s="1" t="s">
        <v>31</v>
      </c>
      <c r="Q3499" s="1" t="s">
        <v>71</v>
      </c>
      <c r="R3499" s="1" t="s">
        <v>71</v>
      </c>
      <c r="S3499" s="1" t="s">
        <v>72</v>
      </c>
      <c r="T3499" s="1" t="s">
        <v>136</v>
      </c>
      <c r="U3499" s="1">
        <v>1.00590896E8</v>
      </c>
      <c r="Y3499" s="1" t="s">
        <v>8744</v>
      </c>
      <c r="Z3499" s="1" t="s">
        <v>37</v>
      </c>
    </row>
    <row r="3500" hidden="1">
      <c r="A3500" s="1" t="s">
        <v>10253</v>
      </c>
      <c r="B3500" s="1" t="s">
        <v>106</v>
      </c>
      <c r="C3500" s="1" t="s">
        <v>10254</v>
      </c>
      <c r="D3500" s="1" t="s">
        <v>78</v>
      </c>
      <c r="E3500" s="1" t="s">
        <v>28</v>
      </c>
      <c r="F3500" s="2">
        <v>250000.0</v>
      </c>
      <c r="G3500" s="1" t="s">
        <v>1244</v>
      </c>
      <c r="H3500" s="4">
        <f>IFERROR(__xludf.DUMMYFUNCTION("DATE(INDEX(SPLIT(G3500,""/""),,3),INDEX(SPLIT(G3500,""/""),,2),INDEX(SPLIT(G3500,""/""),,1))"),44742.0)</f>
        <v>44742</v>
      </c>
      <c r="I3500" s="1" t="s">
        <v>109</v>
      </c>
      <c r="J3500" s="4">
        <f>IFERROR(__xludf.DUMMYFUNCTION("DATE(INDEX(SPLIT(I3500,""/""),,3),INDEX(SPLIT(I3500,""/""),,2),INDEX(SPLIT(I3500,""/""),,1))"),44834.0)</f>
        <v>44834</v>
      </c>
      <c r="L3500" s="1">
        <v>0.0</v>
      </c>
      <c r="M3500" s="1" t="s">
        <v>3182</v>
      </c>
      <c r="N3500" s="1"/>
      <c r="O3500" s="1" t="s">
        <v>30</v>
      </c>
      <c r="P3500" s="1" t="s">
        <v>31</v>
      </c>
      <c r="Q3500" s="1" t="s">
        <v>32</v>
      </c>
      <c r="R3500" s="1" t="s">
        <v>32</v>
      </c>
      <c r="S3500" s="1" t="s">
        <v>33</v>
      </c>
      <c r="T3500" s="1" t="s">
        <v>103</v>
      </c>
      <c r="U3500" s="1">
        <v>1.00592587E8</v>
      </c>
      <c r="X3500" s="1" t="s">
        <v>63</v>
      </c>
      <c r="Y3500" s="1" t="s">
        <v>3182</v>
      </c>
      <c r="Z3500" s="1" t="s">
        <v>37</v>
      </c>
    </row>
    <row r="3501">
      <c r="A3501" s="1" t="s">
        <v>10255</v>
      </c>
      <c r="B3501" s="1" t="s">
        <v>9720</v>
      </c>
      <c r="C3501" s="1" t="s">
        <v>10256</v>
      </c>
      <c r="D3501" s="1" t="s">
        <v>78</v>
      </c>
      <c r="E3501" s="1" t="s">
        <v>28</v>
      </c>
      <c r="F3501" s="2">
        <v>250000.0</v>
      </c>
      <c r="G3501" s="1" t="s">
        <v>836</v>
      </c>
      <c r="H3501" s="4">
        <f>IFERROR(__xludf.DUMMYFUNCTION("DATE(INDEX(SPLIT(G3501,""/""),,3),INDEX(SPLIT(G3501,""/""),,2),INDEX(SPLIT(G3501,""/""),,1))"),44610.0)</f>
        <v>44610</v>
      </c>
      <c r="I3501" s="1" t="s">
        <v>330</v>
      </c>
      <c r="J3501" s="4">
        <f>IFERROR(__xludf.DUMMYFUNCTION("DATE(INDEX(SPLIT(I3501,""/""),,3),INDEX(SPLIT(I3501,""/""),,2),INDEX(SPLIT(I3501,""/""),,1))"),44728.0)</f>
        <v>44728</v>
      </c>
      <c r="L3501" s="1">
        <v>0.0</v>
      </c>
      <c r="M3501" s="1" t="s">
        <v>10257</v>
      </c>
      <c r="N3501" s="1"/>
      <c r="O3501" s="1" t="s">
        <v>30</v>
      </c>
      <c r="P3501" s="1" t="s">
        <v>31</v>
      </c>
      <c r="Q3501" s="1" t="s">
        <v>157</v>
      </c>
      <c r="R3501" s="1" t="s">
        <v>157</v>
      </c>
      <c r="S3501" s="1" t="s">
        <v>158</v>
      </c>
      <c r="T3501" s="1" t="s">
        <v>438</v>
      </c>
      <c r="U3501" s="1">
        <v>1.0061717E8</v>
      </c>
      <c r="X3501" s="1" t="s">
        <v>88</v>
      </c>
      <c r="Y3501" s="1" t="s">
        <v>5564</v>
      </c>
      <c r="Z3501" s="1" t="s">
        <v>37</v>
      </c>
    </row>
    <row r="3502">
      <c r="A3502" s="1" t="s">
        <v>10258</v>
      </c>
      <c r="B3502" s="1" t="s">
        <v>301</v>
      </c>
      <c r="C3502" s="1" t="s">
        <v>10259</v>
      </c>
      <c r="D3502" s="1" t="s">
        <v>27</v>
      </c>
      <c r="E3502" s="1" t="s">
        <v>28</v>
      </c>
      <c r="F3502" s="2">
        <v>250000.0</v>
      </c>
      <c r="G3502" s="4">
        <v>44837.0</v>
      </c>
      <c r="H3502" s="4">
        <f>IFERROR(__xludf.DUMMYFUNCTION("DATE(INDEX(SPLIT(G3502,""/""),,3),INDEX(SPLIT(G3502,""/""),,2),INDEX(SPLIT(G3502,""/""),,1))"),44630.0)</f>
        <v>44630</v>
      </c>
      <c r="I3502" s="1" t="s">
        <v>226</v>
      </c>
      <c r="J3502" s="4">
        <f>IFERROR(__xludf.DUMMYFUNCTION("DATE(INDEX(SPLIT(I3502,""/""),,3),INDEX(SPLIT(I3502,""/""),,2),INDEX(SPLIT(I3502,""/""),,1))"),44771.0)</f>
        <v>44771</v>
      </c>
      <c r="L3502" s="1">
        <v>0.0</v>
      </c>
      <c r="M3502" s="1" t="s">
        <v>9690</v>
      </c>
      <c r="N3502" s="1"/>
      <c r="O3502" s="1" t="s">
        <v>30</v>
      </c>
      <c r="P3502" s="1" t="s">
        <v>31</v>
      </c>
      <c r="Q3502" s="1" t="s">
        <v>157</v>
      </c>
      <c r="R3502" s="1" t="s">
        <v>157</v>
      </c>
      <c r="S3502" s="1" t="s">
        <v>158</v>
      </c>
      <c r="U3502" s="1">
        <v>1.00641346E8</v>
      </c>
      <c r="X3502" s="1" t="s">
        <v>305</v>
      </c>
      <c r="Y3502" s="1" t="s">
        <v>1663</v>
      </c>
      <c r="Z3502" s="1" t="s">
        <v>206</v>
      </c>
    </row>
    <row r="3503">
      <c r="A3503" s="1" t="s">
        <v>10260</v>
      </c>
      <c r="B3503" s="1" t="s">
        <v>39</v>
      </c>
      <c r="C3503" s="1" t="s">
        <v>10261</v>
      </c>
      <c r="D3503" s="1" t="s">
        <v>27</v>
      </c>
      <c r="E3503" s="1" t="s">
        <v>28</v>
      </c>
      <c r="F3503" s="2">
        <v>250000.0</v>
      </c>
      <c r="G3503" s="1" t="s">
        <v>1023</v>
      </c>
      <c r="H3503" s="4">
        <f>IFERROR(__xludf.DUMMYFUNCTION("DATE(INDEX(SPLIT(G3503,""/""),,3),INDEX(SPLIT(G3503,""/""),,2),INDEX(SPLIT(G3503,""/""),,1))"),44090.0)</f>
        <v>44090</v>
      </c>
      <c r="I3503" s="1" t="s">
        <v>607</v>
      </c>
      <c r="J3503" s="4">
        <f>IFERROR(__xludf.DUMMYFUNCTION("DATE(INDEX(SPLIT(I3503,""/""),,3),INDEX(SPLIT(I3503,""/""),,2),INDEX(SPLIT(I3503,""/""),,1))"),44770.0)</f>
        <v>44770</v>
      </c>
      <c r="L3503" s="1">
        <v>0.0</v>
      </c>
      <c r="M3503" s="1" t="s">
        <v>43</v>
      </c>
      <c r="N3503" s="1"/>
      <c r="O3503" s="1" t="s">
        <v>30</v>
      </c>
      <c r="P3503" s="1" t="s">
        <v>31</v>
      </c>
      <c r="Q3503" s="1" t="s">
        <v>32</v>
      </c>
      <c r="R3503" s="1" t="s">
        <v>32</v>
      </c>
      <c r="S3503" s="1" t="s">
        <v>33</v>
      </c>
      <c r="T3503" s="1" t="s">
        <v>103</v>
      </c>
      <c r="U3503" s="1">
        <v>1.00587944E8</v>
      </c>
      <c r="X3503" s="1" t="s">
        <v>46</v>
      </c>
      <c r="Y3503" s="1" t="s">
        <v>104</v>
      </c>
      <c r="Z3503" s="1" t="s">
        <v>37</v>
      </c>
    </row>
    <row r="3504" hidden="1">
      <c r="A3504" s="1" t="s">
        <v>10262</v>
      </c>
      <c r="B3504" s="1" t="s">
        <v>106</v>
      </c>
      <c r="C3504" s="1" t="s">
        <v>10263</v>
      </c>
      <c r="D3504" s="1" t="s">
        <v>27</v>
      </c>
      <c r="E3504" s="1" t="s">
        <v>28</v>
      </c>
      <c r="F3504" s="2">
        <v>250000.0</v>
      </c>
      <c r="G3504" s="1" t="s">
        <v>1244</v>
      </c>
      <c r="H3504" s="4">
        <f>IFERROR(__xludf.DUMMYFUNCTION("DATE(INDEX(SPLIT(G3504,""/""),,3),INDEX(SPLIT(G3504,""/""),,2),INDEX(SPLIT(G3504,""/""),,1))"),44742.0)</f>
        <v>44742</v>
      </c>
      <c r="I3504" s="1" t="s">
        <v>109</v>
      </c>
      <c r="J3504" s="4">
        <f>IFERROR(__xludf.DUMMYFUNCTION("DATE(INDEX(SPLIT(I3504,""/""),,3),INDEX(SPLIT(I3504,""/""),,2),INDEX(SPLIT(I3504,""/""),,1))"),44834.0)</f>
        <v>44834</v>
      </c>
      <c r="L3504" s="1">
        <v>0.0</v>
      </c>
      <c r="M3504" s="1" t="s">
        <v>3182</v>
      </c>
      <c r="N3504" s="1"/>
      <c r="O3504" s="1" t="s">
        <v>30</v>
      </c>
      <c r="P3504" s="1" t="s">
        <v>31</v>
      </c>
      <c r="Q3504" s="1" t="s">
        <v>32</v>
      </c>
      <c r="R3504" s="1" t="s">
        <v>32</v>
      </c>
      <c r="S3504" s="1" t="s">
        <v>33</v>
      </c>
      <c r="U3504" s="1">
        <v>1.00592587E8</v>
      </c>
      <c r="X3504" s="1" t="s">
        <v>63</v>
      </c>
      <c r="Y3504" s="1" t="s">
        <v>3182</v>
      </c>
      <c r="Z3504" s="1" t="s">
        <v>37</v>
      </c>
    </row>
    <row r="3505">
      <c r="A3505" s="1" t="s">
        <v>10264</v>
      </c>
      <c r="B3505" s="1" t="s">
        <v>39</v>
      </c>
      <c r="C3505" s="1" t="s">
        <v>10265</v>
      </c>
      <c r="D3505" s="1" t="s">
        <v>27</v>
      </c>
      <c r="E3505" s="1" t="s">
        <v>28</v>
      </c>
      <c r="F3505" s="2">
        <v>250000.0</v>
      </c>
      <c r="G3505" s="1" t="s">
        <v>1023</v>
      </c>
      <c r="H3505" s="4">
        <f>IFERROR(__xludf.DUMMYFUNCTION("DATE(INDEX(SPLIT(G3505,""/""),,3),INDEX(SPLIT(G3505,""/""),,2),INDEX(SPLIT(G3505,""/""),,1))"),44090.0)</f>
        <v>44090</v>
      </c>
      <c r="I3505" s="1" t="s">
        <v>8160</v>
      </c>
      <c r="J3505" s="4">
        <f>IFERROR(__xludf.DUMMYFUNCTION("DATE(INDEX(SPLIT(I3505,""/""),,3),INDEX(SPLIT(I3505,""/""),,2),INDEX(SPLIT(I3505,""/""),,1))"),44768.0)</f>
        <v>44768</v>
      </c>
      <c r="L3505" s="1">
        <v>0.0</v>
      </c>
      <c r="M3505" s="1" t="s">
        <v>43</v>
      </c>
      <c r="N3505" s="1"/>
      <c r="O3505" s="1" t="s">
        <v>30</v>
      </c>
      <c r="P3505" s="1" t="s">
        <v>31</v>
      </c>
      <c r="Q3505" s="1" t="s">
        <v>32</v>
      </c>
      <c r="R3505" s="1" t="s">
        <v>32</v>
      </c>
      <c r="S3505" s="1" t="s">
        <v>33</v>
      </c>
      <c r="T3505" s="1" t="s">
        <v>103</v>
      </c>
      <c r="U3505" s="1">
        <v>1.00587944E8</v>
      </c>
      <c r="X3505" s="1" t="s">
        <v>46</v>
      </c>
      <c r="Y3505" s="1" t="s">
        <v>104</v>
      </c>
      <c r="Z3505" s="1" t="s">
        <v>37</v>
      </c>
    </row>
    <row r="3506" hidden="1">
      <c r="A3506" s="1" t="s">
        <v>10266</v>
      </c>
      <c r="B3506" s="1" t="s">
        <v>784</v>
      </c>
      <c r="C3506" s="1" t="s">
        <v>10267</v>
      </c>
      <c r="D3506" s="1" t="s">
        <v>27</v>
      </c>
      <c r="E3506" s="1" t="s">
        <v>28</v>
      </c>
      <c r="F3506" s="2">
        <v>250000.0</v>
      </c>
      <c r="G3506" s="1" t="s">
        <v>1521</v>
      </c>
      <c r="H3506" s="4">
        <f>IFERROR(__xludf.DUMMYFUNCTION("DATE(INDEX(SPLIT(G3506,""/""),,3),INDEX(SPLIT(G3506,""/""),,2),INDEX(SPLIT(G3506,""/""),,1))"),44756.0)</f>
        <v>44756</v>
      </c>
      <c r="I3506" s="1" t="s">
        <v>155</v>
      </c>
      <c r="J3506" s="4">
        <f>IFERROR(__xludf.DUMMYFUNCTION("DATE(INDEX(SPLIT(I3506,""/""),,3),INDEX(SPLIT(I3506,""/""),,2),INDEX(SPLIT(I3506,""/""),,1))"),45473.0)</f>
        <v>45473</v>
      </c>
      <c r="L3506" s="1">
        <v>0.0</v>
      </c>
      <c r="M3506" s="1" t="s">
        <v>1398</v>
      </c>
      <c r="N3506" s="1"/>
      <c r="O3506" s="1" t="s">
        <v>30</v>
      </c>
      <c r="P3506" s="1" t="s">
        <v>31</v>
      </c>
      <c r="Q3506" s="1" t="s">
        <v>95</v>
      </c>
      <c r="R3506" s="1" t="s">
        <v>95</v>
      </c>
      <c r="S3506" s="1" t="s">
        <v>96</v>
      </c>
      <c r="T3506" s="1" t="s">
        <v>111</v>
      </c>
      <c r="U3506" s="1">
        <v>1.0061941E8</v>
      </c>
      <c r="X3506" s="1" t="s">
        <v>63</v>
      </c>
      <c r="Y3506" s="1" t="s">
        <v>4130</v>
      </c>
      <c r="Z3506" s="1" t="s">
        <v>37</v>
      </c>
    </row>
    <row r="3507" hidden="1">
      <c r="A3507" s="1" t="s">
        <v>10268</v>
      </c>
      <c r="B3507" s="1" t="s">
        <v>1748</v>
      </c>
      <c r="C3507" s="1" t="s">
        <v>10269</v>
      </c>
      <c r="D3507" s="1" t="s">
        <v>27</v>
      </c>
      <c r="E3507" s="1" t="s">
        <v>28</v>
      </c>
      <c r="F3507" s="2">
        <v>250000.0</v>
      </c>
      <c r="G3507" s="1" t="s">
        <v>1694</v>
      </c>
      <c r="H3507" s="4">
        <f>IFERROR(__xludf.DUMMYFUNCTION("DATE(INDEX(SPLIT(G3507,""/""),,3),INDEX(SPLIT(G3507,""/""),,2),INDEX(SPLIT(G3507,""/""),,1))"),44516.0)</f>
        <v>44516</v>
      </c>
      <c r="I3507" s="1" t="s">
        <v>317</v>
      </c>
      <c r="J3507" s="4">
        <f>IFERROR(__xludf.DUMMYFUNCTION("DATE(INDEX(SPLIT(I3507,""/""),,3),INDEX(SPLIT(I3507,""/""),,2),INDEX(SPLIT(I3507,""/""),,1))"),44862.0)</f>
        <v>44862</v>
      </c>
      <c r="L3507" s="1">
        <v>0.0</v>
      </c>
      <c r="M3507" s="1" t="s">
        <v>5525</v>
      </c>
      <c r="N3507" s="1"/>
      <c r="O3507" s="1" t="s">
        <v>30</v>
      </c>
      <c r="P3507" s="1" t="s">
        <v>31</v>
      </c>
      <c r="Q3507" s="1" t="s">
        <v>157</v>
      </c>
      <c r="R3507" s="1" t="s">
        <v>157</v>
      </c>
      <c r="S3507" s="1" t="s">
        <v>158</v>
      </c>
      <c r="T3507" s="1" t="s">
        <v>571</v>
      </c>
      <c r="U3507" s="1">
        <v>1.00609393E8</v>
      </c>
      <c r="X3507" s="1" t="s">
        <v>88</v>
      </c>
      <c r="Y3507" s="1" t="s">
        <v>10270</v>
      </c>
      <c r="Z3507" s="1" t="s">
        <v>37</v>
      </c>
    </row>
    <row r="3508">
      <c r="A3508" s="1" t="s">
        <v>10271</v>
      </c>
      <c r="B3508" s="1" t="s">
        <v>4080</v>
      </c>
      <c r="C3508" s="1" t="s">
        <v>10272</v>
      </c>
      <c r="D3508" s="1" t="s">
        <v>27</v>
      </c>
      <c r="E3508" s="1" t="s">
        <v>28</v>
      </c>
      <c r="F3508" s="2">
        <v>250000.0</v>
      </c>
      <c r="G3508" s="1" t="s">
        <v>6460</v>
      </c>
      <c r="H3508" s="4">
        <f>IFERROR(__xludf.DUMMYFUNCTION("DATE(INDEX(SPLIT(G3508,""/""),,3),INDEX(SPLIT(G3508,""/""),,2),INDEX(SPLIT(G3508,""/""),,1))"),44433.0)</f>
        <v>44433</v>
      </c>
      <c r="I3508" s="1" t="s">
        <v>935</v>
      </c>
      <c r="J3508" s="4">
        <f>IFERROR(__xludf.DUMMYFUNCTION("DATE(INDEX(SPLIT(I3508,""/""),,3),INDEX(SPLIT(I3508,""/""),,2),INDEX(SPLIT(I3508,""/""),,1))"),44764.0)</f>
        <v>44764</v>
      </c>
      <c r="L3508" s="1">
        <v>0.0</v>
      </c>
      <c r="M3508" s="1" t="s">
        <v>1385</v>
      </c>
      <c r="N3508" s="1"/>
      <c r="O3508" s="1" t="s">
        <v>30</v>
      </c>
      <c r="P3508" s="1" t="s">
        <v>31</v>
      </c>
      <c r="Q3508" s="1" t="s">
        <v>235</v>
      </c>
      <c r="R3508" s="1" t="s">
        <v>235</v>
      </c>
      <c r="S3508" s="1" t="s">
        <v>236</v>
      </c>
      <c r="T3508" s="1" t="s">
        <v>237</v>
      </c>
      <c r="U3508" s="1">
        <v>1.00594397E8</v>
      </c>
      <c r="X3508" s="1" t="s">
        <v>239</v>
      </c>
      <c r="Y3508" s="1" t="s">
        <v>2959</v>
      </c>
      <c r="Z3508" s="1" t="s">
        <v>37</v>
      </c>
    </row>
    <row r="3509">
      <c r="A3509" s="1" t="s">
        <v>10273</v>
      </c>
      <c r="B3509" s="1" t="s">
        <v>10274</v>
      </c>
      <c r="C3509" s="1" t="s">
        <v>10275</v>
      </c>
      <c r="D3509" s="1" t="s">
        <v>122</v>
      </c>
      <c r="E3509" s="1" t="s">
        <v>28</v>
      </c>
      <c r="F3509" s="2">
        <v>250000.0</v>
      </c>
      <c r="G3509" s="4">
        <v>44871.0</v>
      </c>
      <c r="H3509" s="4">
        <f>IFERROR(__xludf.DUMMYFUNCTION("DATE(INDEX(SPLIT(G3509,""/""),,3),INDEX(SPLIT(G3509,""/""),,2),INDEX(SPLIT(G3509,""/""),,1))"),44723.0)</f>
        <v>44723</v>
      </c>
      <c r="I3509" s="1" t="s">
        <v>1141</v>
      </c>
      <c r="J3509" s="4">
        <f>IFERROR(__xludf.DUMMYFUNCTION("DATE(INDEX(SPLIT(I3509,""/""),,3),INDEX(SPLIT(I3509,""/""),,2),INDEX(SPLIT(I3509,""/""),,1))"),44767.0)</f>
        <v>44767</v>
      </c>
      <c r="L3509" s="1">
        <v>0.0</v>
      </c>
      <c r="M3509" s="1" t="s">
        <v>5120</v>
      </c>
      <c r="N3509" s="1"/>
      <c r="O3509" s="1" t="s">
        <v>30</v>
      </c>
      <c r="P3509" s="1" t="s">
        <v>31</v>
      </c>
      <c r="Q3509" s="1" t="s">
        <v>71</v>
      </c>
      <c r="R3509" s="1" t="s">
        <v>71</v>
      </c>
      <c r="S3509" s="1" t="s">
        <v>72</v>
      </c>
      <c r="T3509" s="1" t="s">
        <v>136</v>
      </c>
      <c r="U3509" s="1">
        <v>1.0059101E8</v>
      </c>
      <c r="X3509" s="1" t="s">
        <v>74</v>
      </c>
      <c r="Y3509" s="1" t="s">
        <v>5120</v>
      </c>
      <c r="Z3509" s="1" t="s">
        <v>37</v>
      </c>
    </row>
    <row r="3510" hidden="1">
      <c r="A3510" s="1" t="s">
        <v>10276</v>
      </c>
      <c r="B3510" s="1" t="s">
        <v>10277</v>
      </c>
      <c r="C3510" s="1" t="s">
        <v>10278</v>
      </c>
      <c r="D3510" s="1" t="s">
        <v>78</v>
      </c>
      <c r="E3510" s="1" t="s">
        <v>28</v>
      </c>
      <c r="F3510" s="2">
        <v>250000.0</v>
      </c>
      <c r="G3510" s="1" t="s">
        <v>2297</v>
      </c>
      <c r="H3510" s="4">
        <f>IFERROR(__xludf.DUMMYFUNCTION("DATE(INDEX(SPLIT(G3510,""/""),,3),INDEX(SPLIT(G3510,""/""),,2),INDEX(SPLIT(G3510,""/""),,1))"),44730.0)</f>
        <v>44730</v>
      </c>
      <c r="I3510" s="1" t="s">
        <v>130</v>
      </c>
      <c r="J3510" s="4">
        <f>IFERROR(__xludf.DUMMYFUNCTION("DATE(INDEX(SPLIT(I3510,""/""),,3),INDEX(SPLIT(I3510,""/""),,2),INDEX(SPLIT(I3510,""/""),,1))"),44804.0)</f>
        <v>44804</v>
      </c>
      <c r="L3510" s="1">
        <v>0.0</v>
      </c>
      <c r="M3510" s="1" t="s">
        <v>5351</v>
      </c>
      <c r="N3510" s="1"/>
      <c r="O3510" s="1" t="s">
        <v>30</v>
      </c>
      <c r="P3510" s="1" t="s">
        <v>31</v>
      </c>
      <c r="Q3510" s="1" t="s">
        <v>235</v>
      </c>
      <c r="R3510" s="1" t="s">
        <v>235</v>
      </c>
      <c r="S3510" s="1" t="s">
        <v>236</v>
      </c>
      <c r="U3510" s="1">
        <v>1.0060792E8</v>
      </c>
      <c r="X3510" s="1" t="s">
        <v>88</v>
      </c>
      <c r="Y3510" s="1" t="s">
        <v>10279</v>
      </c>
      <c r="Z3510" s="1" t="s">
        <v>37</v>
      </c>
    </row>
    <row r="3511" hidden="1">
      <c r="A3511" s="1" t="s">
        <v>10280</v>
      </c>
      <c r="B3511" s="1" t="s">
        <v>2462</v>
      </c>
      <c r="C3511" s="1" t="s">
        <v>10281</v>
      </c>
      <c r="D3511" s="1" t="s">
        <v>78</v>
      </c>
      <c r="E3511" s="1" t="s">
        <v>28</v>
      </c>
      <c r="F3511" s="2">
        <v>250000.0</v>
      </c>
      <c r="G3511" s="1" t="s">
        <v>275</v>
      </c>
      <c r="H3511" s="4">
        <f>IFERROR(__xludf.DUMMYFUNCTION("DATE(INDEX(SPLIT(G3511,""/""),,3),INDEX(SPLIT(G3511,""/""),,2),INDEX(SPLIT(G3511,""/""),,1))"),44462.0)</f>
        <v>44462</v>
      </c>
      <c r="I3511" s="1" t="s">
        <v>109</v>
      </c>
      <c r="J3511" s="4">
        <f>IFERROR(__xludf.DUMMYFUNCTION("DATE(INDEX(SPLIT(I3511,""/""),,3),INDEX(SPLIT(I3511,""/""),,2),INDEX(SPLIT(I3511,""/""),,1))"),44834.0)</f>
        <v>44834</v>
      </c>
      <c r="L3511" s="1">
        <v>0.0</v>
      </c>
      <c r="M3511" s="1" t="s">
        <v>7252</v>
      </c>
      <c r="N3511" s="1"/>
      <c r="O3511" s="1" t="s">
        <v>30</v>
      </c>
      <c r="P3511" s="1" t="s">
        <v>31</v>
      </c>
      <c r="Q3511" s="1" t="s">
        <v>157</v>
      </c>
      <c r="R3511" s="1" t="s">
        <v>157</v>
      </c>
      <c r="S3511" s="1" t="s">
        <v>158</v>
      </c>
      <c r="T3511" s="1" t="s">
        <v>571</v>
      </c>
      <c r="U3511" s="1">
        <v>1.00599152E8</v>
      </c>
      <c r="Y3511" s="1" t="s">
        <v>7725</v>
      </c>
      <c r="Z3511" s="1" t="s">
        <v>37</v>
      </c>
    </row>
    <row r="3512">
      <c r="A3512" s="1" t="s">
        <v>10282</v>
      </c>
      <c r="B3512" s="1" t="s">
        <v>10283</v>
      </c>
      <c r="C3512" s="1" t="s">
        <v>10284</v>
      </c>
      <c r="D3512" s="1" t="s">
        <v>27</v>
      </c>
      <c r="E3512" s="1" t="s">
        <v>28</v>
      </c>
      <c r="F3512" s="2">
        <v>250000.0</v>
      </c>
      <c r="G3512" s="1" t="s">
        <v>1551</v>
      </c>
      <c r="H3512" s="4">
        <f>IFERROR(__xludf.DUMMYFUNCTION("DATE(INDEX(SPLIT(G3512,""/""),,3),INDEX(SPLIT(G3512,""/""),,2),INDEX(SPLIT(G3512,""/""),,1))"),44618.0)</f>
        <v>44618</v>
      </c>
      <c r="I3512" s="1" t="s">
        <v>226</v>
      </c>
      <c r="J3512" s="4">
        <f>IFERROR(__xludf.DUMMYFUNCTION("DATE(INDEX(SPLIT(I3512,""/""),,3),INDEX(SPLIT(I3512,""/""),,2),INDEX(SPLIT(I3512,""/""),,1))"),44771.0)</f>
        <v>44771</v>
      </c>
      <c r="L3512" s="1">
        <v>0.0</v>
      </c>
      <c r="M3512" s="1" t="s">
        <v>2638</v>
      </c>
      <c r="N3512" s="1"/>
      <c r="O3512" s="1" t="s">
        <v>30</v>
      </c>
      <c r="P3512" s="1" t="s">
        <v>31</v>
      </c>
      <c r="Q3512" s="1" t="s">
        <v>95</v>
      </c>
      <c r="R3512" s="1" t="s">
        <v>95</v>
      </c>
      <c r="S3512" s="1" t="s">
        <v>96</v>
      </c>
      <c r="T3512" s="1" t="s">
        <v>602</v>
      </c>
      <c r="U3512" s="1">
        <v>1.00649654E8</v>
      </c>
      <c r="X3512" s="1" t="s">
        <v>98</v>
      </c>
      <c r="Y3512" s="1" t="s">
        <v>2638</v>
      </c>
      <c r="Z3512" s="1" t="s">
        <v>206</v>
      </c>
    </row>
    <row r="3513">
      <c r="A3513" s="1" t="s">
        <v>10285</v>
      </c>
      <c r="B3513" s="1" t="s">
        <v>4383</v>
      </c>
      <c r="C3513" s="1" t="s">
        <v>10286</v>
      </c>
      <c r="D3513" s="1" t="s">
        <v>122</v>
      </c>
      <c r="E3513" s="1" t="s">
        <v>28</v>
      </c>
      <c r="F3513" s="2">
        <v>250000.0</v>
      </c>
      <c r="G3513" s="4">
        <v>44743.0</v>
      </c>
      <c r="H3513" s="4">
        <f>IFERROR(__xludf.DUMMYFUNCTION("DATE(INDEX(SPLIT(G3513,""/""),,3),INDEX(SPLIT(G3513,""/""),,2),INDEX(SPLIT(G3513,""/""),,1))"),44568.0)</f>
        <v>44568</v>
      </c>
      <c r="I3513" s="1" t="s">
        <v>518</v>
      </c>
      <c r="J3513" s="4">
        <f>IFERROR(__xludf.DUMMYFUNCTION("DATE(INDEX(SPLIT(I3513,""/""),,3),INDEX(SPLIT(I3513,""/""),,2),INDEX(SPLIT(I3513,""/""),,1))"),44757.0)</f>
        <v>44757</v>
      </c>
      <c r="L3513" s="1">
        <v>0.0</v>
      </c>
      <c r="M3513" s="1" t="s">
        <v>9854</v>
      </c>
      <c r="N3513" s="1"/>
      <c r="O3513" s="1" t="s">
        <v>30</v>
      </c>
      <c r="P3513" s="1" t="s">
        <v>31</v>
      </c>
      <c r="Q3513" s="1" t="s">
        <v>53</v>
      </c>
      <c r="R3513" s="1" t="s">
        <v>53</v>
      </c>
      <c r="S3513" s="1" t="s">
        <v>54</v>
      </c>
      <c r="T3513" s="1" t="s">
        <v>1386</v>
      </c>
      <c r="U3513" s="1">
        <v>1.01148689E8</v>
      </c>
      <c r="X3513" s="1" t="s">
        <v>46</v>
      </c>
      <c r="Y3513" s="1" t="s">
        <v>10287</v>
      </c>
      <c r="Z3513" s="1" t="s">
        <v>206</v>
      </c>
    </row>
    <row r="3514" hidden="1">
      <c r="A3514" s="1" t="s">
        <v>10288</v>
      </c>
      <c r="B3514" s="1" t="s">
        <v>7895</v>
      </c>
      <c r="C3514" s="1" t="s">
        <v>10289</v>
      </c>
      <c r="D3514" s="1" t="s">
        <v>78</v>
      </c>
      <c r="E3514" s="1" t="s">
        <v>28</v>
      </c>
      <c r="F3514" s="2">
        <v>250000.0</v>
      </c>
      <c r="G3514" s="4">
        <v>44565.0</v>
      </c>
      <c r="H3514" s="4">
        <f>IFERROR(__xludf.DUMMYFUNCTION("DATE(INDEX(SPLIT(G3514,""/""),,3),INDEX(SPLIT(G3514,""/""),,2),INDEX(SPLIT(G3514,""/""),,1))"),44652.0)</f>
        <v>44652</v>
      </c>
      <c r="I3514" s="4">
        <v>44813.0</v>
      </c>
      <c r="J3514" s="4">
        <f>IFERROR(__xludf.DUMMYFUNCTION("DATE(INDEX(SPLIT(I3514,""/""),,3),INDEX(SPLIT(I3514,""/""),,2),INDEX(SPLIT(I3514,""/""),,1))"),44813.0)</f>
        <v>44813</v>
      </c>
      <c r="L3514" s="1">
        <v>0.0</v>
      </c>
      <c r="M3514" s="1" t="s">
        <v>2020</v>
      </c>
      <c r="N3514" s="1"/>
      <c r="O3514" s="1" t="s">
        <v>30</v>
      </c>
      <c r="P3514" s="1" t="s">
        <v>31</v>
      </c>
      <c r="Q3514" s="1" t="s">
        <v>157</v>
      </c>
      <c r="R3514" s="1" t="s">
        <v>157</v>
      </c>
      <c r="S3514" s="1" t="s">
        <v>158</v>
      </c>
      <c r="U3514" s="1">
        <v>1.00650678E8</v>
      </c>
      <c r="X3514" s="1" t="s">
        <v>125</v>
      </c>
      <c r="Y3514" s="1" t="s">
        <v>10290</v>
      </c>
      <c r="Z3514" s="1" t="s">
        <v>37</v>
      </c>
    </row>
    <row r="3515">
      <c r="A3515" s="1" t="s">
        <v>10291</v>
      </c>
      <c r="B3515" s="1" t="s">
        <v>4794</v>
      </c>
      <c r="C3515" s="1" t="s">
        <v>10292</v>
      </c>
      <c r="D3515" s="1" t="s">
        <v>27</v>
      </c>
      <c r="E3515" s="1" t="s">
        <v>28</v>
      </c>
      <c r="F3515" s="2">
        <v>250000.0</v>
      </c>
      <c r="G3515" s="1" t="s">
        <v>154</v>
      </c>
      <c r="H3515" s="4">
        <f>IFERROR(__xludf.DUMMYFUNCTION("DATE(INDEX(SPLIT(G3515,""/""),,3),INDEX(SPLIT(G3515,""/""),,2),INDEX(SPLIT(G3515,""/""),,1))"),44670.0)</f>
        <v>44670</v>
      </c>
      <c r="I3515" s="1" t="s">
        <v>226</v>
      </c>
      <c r="J3515" s="4">
        <f>IFERROR(__xludf.DUMMYFUNCTION("DATE(INDEX(SPLIT(I3515,""/""),,3),INDEX(SPLIT(I3515,""/""),,2),INDEX(SPLIT(I3515,""/""),,1))"),44771.0)</f>
        <v>44771</v>
      </c>
      <c r="L3515" s="1">
        <v>0.0</v>
      </c>
      <c r="M3515" s="1" t="s">
        <v>10293</v>
      </c>
      <c r="N3515" s="1"/>
      <c r="O3515" s="1" t="s">
        <v>30</v>
      </c>
      <c r="P3515" s="1" t="s">
        <v>31</v>
      </c>
      <c r="Q3515" s="1" t="s">
        <v>188</v>
      </c>
      <c r="R3515" s="1" t="s">
        <v>188</v>
      </c>
      <c r="S3515" s="1" t="s">
        <v>189</v>
      </c>
      <c r="T3515" s="1" t="s">
        <v>537</v>
      </c>
      <c r="U3515" s="1">
        <v>1.0061958E8</v>
      </c>
      <c r="X3515" s="1" t="s">
        <v>490</v>
      </c>
      <c r="Y3515" s="1" t="s">
        <v>244</v>
      </c>
      <c r="Z3515" s="1" t="s">
        <v>37</v>
      </c>
    </row>
    <row r="3516" hidden="1">
      <c r="A3516" s="1" t="s">
        <v>10294</v>
      </c>
      <c r="B3516" s="1" t="s">
        <v>10295</v>
      </c>
      <c r="C3516" s="1" t="s">
        <v>10296</v>
      </c>
      <c r="D3516" s="1" t="s">
        <v>78</v>
      </c>
      <c r="E3516" s="1" t="s">
        <v>28</v>
      </c>
      <c r="F3516" s="2">
        <v>250000.0</v>
      </c>
      <c r="G3516" s="1" t="s">
        <v>3245</v>
      </c>
      <c r="H3516" s="4">
        <f>IFERROR(__xludf.DUMMYFUNCTION("DATE(INDEX(SPLIT(G3516,""/""),,3),INDEX(SPLIT(G3516,""/""),,2),INDEX(SPLIT(G3516,""/""),,1))"),44452.0)</f>
        <v>44452</v>
      </c>
      <c r="I3516" s="4">
        <v>44689.0</v>
      </c>
      <c r="J3516" s="4">
        <f>IFERROR(__xludf.DUMMYFUNCTION("DATE(INDEX(SPLIT(I3516,""/""),,3),INDEX(SPLIT(I3516,""/""),,2),INDEX(SPLIT(I3516,""/""),,1))"),44778.0)</f>
        <v>44778</v>
      </c>
      <c r="L3516" s="1">
        <v>0.0</v>
      </c>
      <c r="M3516" s="1" t="s">
        <v>2980</v>
      </c>
      <c r="N3516" s="1"/>
      <c r="O3516" s="1" t="s">
        <v>30</v>
      </c>
      <c r="P3516" s="1" t="s">
        <v>31</v>
      </c>
      <c r="Q3516" s="1" t="s">
        <v>157</v>
      </c>
      <c r="R3516" s="1" t="s">
        <v>157</v>
      </c>
      <c r="S3516" s="1" t="s">
        <v>158</v>
      </c>
      <c r="T3516" s="1" t="s">
        <v>159</v>
      </c>
      <c r="U3516" s="1">
        <v>1.00608521E8</v>
      </c>
      <c r="X3516" s="1" t="s">
        <v>117</v>
      </c>
      <c r="Y3516" s="1" t="s">
        <v>2981</v>
      </c>
      <c r="Z3516" s="1" t="s">
        <v>37</v>
      </c>
    </row>
    <row r="3517" hidden="1">
      <c r="A3517" s="1" t="s">
        <v>10297</v>
      </c>
      <c r="B3517" s="1" t="s">
        <v>10298</v>
      </c>
      <c r="C3517" s="1" t="s">
        <v>10299</v>
      </c>
      <c r="D3517" s="1" t="s">
        <v>78</v>
      </c>
      <c r="E3517" s="1" t="s">
        <v>28</v>
      </c>
      <c r="F3517" s="2">
        <v>250000.0</v>
      </c>
      <c r="G3517" s="1" t="s">
        <v>3245</v>
      </c>
      <c r="H3517" s="4">
        <f>IFERROR(__xludf.DUMMYFUNCTION("DATE(INDEX(SPLIT(G3517,""/""),,3),INDEX(SPLIT(G3517,""/""),,2),INDEX(SPLIT(G3517,""/""),,1))"),44452.0)</f>
        <v>44452</v>
      </c>
      <c r="I3517" s="4">
        <v>44689.0</v>
      </c>
      <c r="J3517" s="4">
        <f>IFERROR(__xludf.DUMMYFUNCTION("DATE(INDEX(SPLIT(I3517,""/""),,3),INDEX(SPLIT(I3517,""/""),,2),INDEX(SPLIT(I3517,""/""),,1))"),44778.0)</f>
        <v>44778</v>
      </c>
      <c r="L3517" s="1">
        <v>0.0</v>
      </c>
      <c r="M3517" s="1" t="s">
        <v>2980</v>
      </c>
      <c r="N3517" s="1"/>
      <c r="O3517" s="1" t="s">
        <v>30</v>
      </c>
      <c r="P3517" s="1" t="s">
        <v>31</v>
      </c>
      <c r="Q3517" s="1" t="s">
        <v>157</v>
      </c>
      <c r="R3517" s="1" t="s">
        <v>157</v>
      </c>
      <c r="S3517" s="1" t="s">
        <v>158</v>
      </c>
      <c r="T3517" s="1" t="s">
        <v>159</v>
      </c>
      <c r="U3517" s="1">
        <v>1.00608521E8</v>
      </c>
      <c r="X3517" s="1" t="s">
        <v>125</v>
      </c>
      <c r="Y3517" s="1" t="s">
        <v>2981</v>
      </c>
      <c r="Z3517" s="1" t="s">
        <v>37</v>
      </c>
    </row>
    <row r="3518">
      <c r="A3518" s="1" t="s">
        <v>10300</v>
      </c>
      <c r="B3518" s="1" t="s">
        <v>9720</v>
      </c>
      <c r="C3518" s="1" t="s">
        <v>10301</v>
      </c>
      <c r="D3518" s="1" t="s">
        <v>27</v>
      </c>
      <c r="E3518" s="1" t="s">
        <v>28</v>
      </c>
      <c r="F3518" s="2">
        <v>250000.0</v>
      </c>
      <c r="G3518" s="1" t="s">
        <v>836</v>
      </c>
      <c r="H3518" s="4">
        <f>IFERROR(__xludf.DUMMYFUNCTION("DATE(INDEX(SPLIT(G3518,""/""),,3),INDEX(SPLIT(G3518,""/""),,2),INDEX(SPLIT(G3518,""/""),,1))"),44610.0)</f>
        <v>44610</v>
      </c>
      <c r="I3518" s="1" t="s">
        <v>226</v>
      </c>
      <c r="J3518" s="4">
        <f>IFERROR(__xludf.DUMMYFUNCTION("DATE(INDEX(SPLIT(I3518,""/""),,3),INDEX(SPLIT(I3518,""/""),,2),INDEX(SPLIT(I3518,""/""),,1))"),44771.0)</f>
        <v>44771</v>
      </c>
      <c r="L3518" s="1">
        <v>0.0</v>
      </c>
      <c r="M3518" s="1" t="s">
        <v>5564</v>
      </c>
      <c r="N3518" s="1"/>
      <c r="O3518" s="1" t="s">
        <v>30</v>
      </c>
      <c r="P3518" s="1" t="s">
        <v>31</v>
      </c>
      <c r="Q3518" s="1" t="s">
        <v>235</v>
      </c>
      <c r="R3518" s="1" t="s">
        <v>235</v>
      </c>
      <c r="S3518" s="1" t="s">
        <v>236</v>
      </c>
      <c r="T3518" s="1" t="s">
        <v>753</v>
      </c>
      <c r="U3518" s="1">
        <v>1.00623111E8</v>
      </c>
      <c r="X3518" s="1" t="s">
        <v>88</v>
      </c>
      <c r="Y3518" s="1" t="s">
        <v>5564</v>
      </c>
      <c r="Z3518" s="1" t="s">
        <v>37</v>
      </c>
    </row>
    <row r="3519" hidden="1">
      <c r="A3519" s="1" t="s">
        <v>10302</v>
      </c>
      <c r="B3519" s="1" t="s">
        <v>906</v>
      </c>
      <c r="C3519" s="1" t="s">
        <v>10303</v>
      </c>
      <c r="D3519" s="1" t="s">
        <v>78</v>
      </c>
      <c r="E3519" s="1" t="s">
        <v>28</v>
      </c>
      <c r="F3519" s="2">
        <v>250000.0</v>
      </c>
      <c r="G3519" s="1" t="s">
        <v>5109</v>
      </c>
      <c r="H3519" s="4">
        <f>IFERROR(__xludf.DUMMYFUNCTION("DATE(INDEX(SPLIT(G3519,""/""),,3),INDEX(SPLIT(G3519,""/""),,2),INDEX(SPLIT(G3519,""/""),,1))"),44222.0)</f>
        <v>44222</v>
      </c>
      <c r="I3519" s="1" t="s">
        <v>109</v>
      </c>
      <c r="J3519" s="4">
        <f>IFERROR(__xludf.DUMMYFUNCTION("DATE(INDEX(SPLIT(I3519,""/""),,3),INDEX(SPLIT(I3519,""/""),,2),INDEX(SPLIT(I3519,""/""),,1))"),44834.0)</f>
        <v>44834</v>
      </c>
      <c r="L3519" s="1">
        <v>0.0</v>
      </c>
      <c r="M3519" s="1" t="s">
        <v>1239</v>
      </c>
      <c r="N3519" s="1"/>
      <c r="O3519" s="1" t="s">
        <v>30</v>
      </c>
      <c r="P3519" s="1" t="s">
        <v>31</v>
      </c>
      <c r="Q3519" s="1" t="s">
        <v>71</v>
      </c>
      <c r="R3519" s="1" t="s">
        <v>71</v>
      </c>
      <c r="S3519" s="1" t="s">
        <v>72</v>
      </c>
      <c r="T3519" s="1" t="s">
        <v>136</v>
      </c>
      <c r="U3519" s="1">
        <v>1.00943277E8</v>
      </c>
      <c r="X3519" s="1" t="s">
        <v>74</v>
      </c>
      <c r="Y3519" s="1" t="s">
        <v>2504</v>
      </c>
      <c r="Z3519" s="1" t="s">
        <v>37</v>
      </c>
    </row>
    <row r="3520" hidden="1">
      <c r="A3520" s="1" t="s">
        <v>10304</v>
      </c>
      <c r="B3520" s="1" t="s">
        <v>39</v>
      </c>
      <c r="C3520" s="1" t="s">
        <v>10305</v>
      </c>
      <c r="D3520" s="1" t="s">
        <v>78</v>
      </c>
      <c r="E3520" s="1" t="s">
        <v>28</v>
      </c>
      <c r="F3520" s="2">
        <v>250000.0</v>
      </c>
      <c r="G3520" s="1" t="s">
        <v>836</v>
      </c>
      <c r="H3520" s="4">
        <f>IFERROR(__xludf.DUMMYFUNCTION("DATE(INDEX(SPLIT(G3520,""/""),,3),INDEX(SPLIT(G3520,""/""),,2),INDEX(SPLIT(G3520,""/""),,1))"),44610.0)</f>
        <v>44610</v>
      </c>
      <c r="I3520" s="1" t="s">
        <v>85</v>
      </c>
      <c r="J3520" s="4">
        <f>IFERROR(__xludf.DUMMYFUNCTION("DATE(INDEX(SPLIT(I3520,""/""),,3),INDEX(SPLIT(I3520,""/""),,2),INDEX(SPLIT(I3520,""/""),,1))"),44799.0)</f>
        <v>44799</v>
      </c>
      <c r="L3520" s="1">
        <v>0.0</v>
      </c>
      <c r="M3520" s="1" t="s">
        <v>1741</v>
      </c>
      <c r="N3520" s="1"/>
      <c r="O3520" s="1" t="s">
        <v>30</v>
      </c>
      <c r="P3520" s="1" t="s">
        <v>31</v>
      </c>
      <c r="Q3520" s="1" t="s">
        <v>32</v>
      </c>
      <c r="R3520" s="1" t="s">
        <v>32</v>
      </c>
      <c r="S3520" s="1" t="s">
        <v>33</v>
      </c>
      <c r="T3520" s="1" t="s">
        <v>103</v>
      </c>
      <c r="U3520" s="1">
        <v>1.00645852E8</v>
      </c>
      <c r="X3520" s="1" t="s">
        <v>46</v>
      </c>
      <c r="Y3520" s="1" t="s">
        <v>104</v>
      </c>
      <c r="Z3520" s="1" t="s">
        <v>37</v>
      </c>
    </row>
    <row r="3521" hidden="1">
      <c r="A3521" s="1" t="s">
        <v>10306</v>
      </c>
      <c r="B3521" s="1" t="s">
        <v>6351</v>
      </c>
      <c r="C3521" s="1" t="s">
        <v>10307</v>
      </c>
      <c r="D3521" s="1" t="s">
        <v>27</v>
      </c>
      <c r="E3521" s="1" t="s">
        <v>28</v>
      </c>
      <c r="F3521" s="2">
        <v>250000.0</v>
      </c>
      <c r="G3521" s="4">
        <v>44420.0</v>
      </c>
      <c r="H3521" s="4">
        <f>IFERROR(__xludf.DUMMYFUNCTION("DATE(INDEX(SPLIT(G3521,""/""),,3),INDEX(SPLIT(G3521,""/""),,2),INDEX(SPLIT(G3521,""/""),,1))"),44538.0)</f>
        <v>44538</v>
      </c>
      <c r="I3521" s="1" t="s">
        <v>130</v>
      </c>
      <c r="J3521" s="4">
        <f>IFERROR(__xludf.DUMMYFUNCTION("DATE(INDEX(SPLIT(I3521,""/""),,3),INDEX(SPLIT(I3521,""/""),,2),INDEX(SPLIT(I3521,""/""),,1))"),44804.0)</f>
        <v>44804</v>
      </c>
      <c r="L3521" s="1">
        <v>0.0</v>
      </c>
      <c r="M3521" s="1" t="s">
        <v>6353</v>
      </c>
      <c r="N3521" s="1"/>
      <c r="O3521" s="1" t="s">
        <v>30</v>
      </c>
      <c r="P3521" s="1" t="s">
        <v>31</v>
      </c>
      <c r="Q3521" s="1" t="s">
        <v>53</v>
      </c>
      <c r="R3521" s="1" t="s">
        <v>53</v>
      </c>
      <c r="S3521" s="1" t="s">
        <v>54</v>
      </c>
      <c r="T3521" s="1" t="s">
        <v>2372</v>
      </c>
      <c r="U3521" s="1">
        <v>1.00609257E8</v>
      </c>
      <c r="X3521" s="1" t="s">
        <v>239</v>
      </c>
      <c r="Y3521" s="1" t="s">
        <v>6354</v>
      </c>
      <c r="Z3521" s="1" t="s">
        <v>37</v>
      </c>
    </row>
    <row r="3522" hidden="1">
      <c r="A3522" s="1" t="s">
        <v>10308</v>
      </c>
      <c r="B3522" s="1" t="s">
        <v>4196</v>
      </c>
      <c r="C3522" s="1" t="s">
        <v>10309</v>
      </c>
      <c r="D3522" s="1" t="s">
        <v>27</v>
      </c>
      <c r="E3522" s="1" t="s">
        <v>28</v>
      </c>
      <c r="F3522" s="2">
        <v>250000.0</v>
      </c>
      <c r="G3522" s="4">
        <v>44899.0</v>
      </c>
      <c r="H3522" s="4">
        <f>IFERROR(__xludf.DUMMYFUNCTION("DATE(INDEX(SPLIT(G3522,""/""),,3),INDEX(SPLIT(G3522,""/""),,2),INDEX(SPLIT(G3522,""/""),,1))"),44663.0)</f>
        <v>44663</v>
      </c>
      <c r="I3522" s="1" t="s">
        <v>134</v>
      </c>
      <c r="J3522" s="4">
        <f>IFERROR(__xludf.DUMMYFUNCTION("DATE(INDEX(SPLIT(I3522,""/""),,3),INDEX(SPLIT(I3522,""/""),,2),INDEX(SPLIT(I3522,""/""),,1))"),44792.0)</f>
        <v>44792</v>
      </c>
      <c r="L3522" s="1">
        <v>0.0</v>
      </c>
      <c r="M3522" s="1" t="s">
        <v>7296</v>
      </c>
      <c r="N3522" s="1"/>
      <c r="O3522" s="1" t="s">
        <v>30</v>
      </c>
      <c r="P3522" s="1" t="s">
        <v>31</v>
      </c>
      <c r="Q3522" s="1" t="s">
        <v>71</v>
      </c>
      <c r="R3522" s="1" t="s">
        <v>71</v>
      </c>
      <c r="S3522" s="1" t="s">
        <v>72</v>
      </c>
      <c r="T3522" s="1" t="s">
        <v>73</v>
      </c>
      <c r="U3522" s="1">
        <v>1.00594243E8</v>
      </c>
      <c r="X3522" s="1" t="s">
        <v>74</v>
      </c>
      <c r="Y3522" s="1" t="s">
        <v>7296</v>
      </c>
      <c r="Z3522" s="1" t="s">
        <v>206</v>
      </c>
    </row>
    <row r="3523">
      <c r="A3523" s="1" t="s">
        <v>10310</v>
      </c>
      <c r="B3523" s="1" t="s">
        <v>3135</v>
      </c>
      <c r="C3523" s="1" t="s">
        <v>10311</v>
      </c>
      <c r="D3523" s="1" t="s">
        <v>122</v>
      </c>
      <c r="E3523" s="1" t="s">
        <v>28</v>
      </c>
      <c r="F3523" s="2">
        <v>250000.0</v>
      </c>
      <c r="G3523" s="1" t="s">
        <v>3137</v>
      </c>
      <c r="H3523" s="4">
        <f>IFERROR(__xludf.DUMMYFUNCTION("DATE(INDEX(SPLIT(G3523,""/""),,3),INDEX(SPLIT(G3523,""/""),,2),INDEX(SPLIT(G3523,""/""),,1))"),44731.0)</f>
        <v>44731</v>
      </c>
      <c r="I3523" s="1" t="s">
        <v>518</v>
      </c>
      <c r="J3523" s="4">
        <f>IFERROR(__xludf.DUMMYFUNCTION("DATE(INDEX(SPLIT(I3523,""/""),,3),INDEX(SPLIT(I3523,""/""),,2),INDEX(SPLIT(I3523,""/""),,1))"),44757.0)</f>
        <v>44757</v>
      </c>
      <c r="L3523" s="1">
        <v>0.0</v>
      </c>
      <c r="M3523" s="1" t="s">
        <v>3138</v>
      </c>
      <c r="N3523" s="1"/>
      <c r="O3523" s="1" t="s">
        <v>30</v>
      </c>
      <c r="P3523" s="1" t="s">
        <v>31</v>
      </c>
      <c r="Q3523" s="1" t="s">
        <v>157</v>
      </c>
      <c r="R3523" s="1" t="s">
        <v>157</v>
      </c>
      <c r="S3523" s="1" t="s">
        <v>158</v>
      </c>
      <c r="T3523" s="1" t="s">
        <v>442</v>
      </c>
      <c r="U3523" s="1">
        <v>1.00616377E8</v>
      </c>
      <c r="X3523" s="1" t="s">
        <v>490</v>
      </c>
      <c r="Y3523" s="1" t="s">
        <v>3139</v>
      </c>
      <c r="Z3523" s="1" t="s">
        <v>37</v>
      </c>
    </row>
    <row r="3524">
      <c r="A3524" s="1" t="s">
        <v>10312</v>
      </c>
      <c r="B3524" s="1" t="s">
        <v>8715</v>
      </c>
      <c r="C3524" s="1" t="s">
        <v>10313</v>
      </c>
      <c r="D3524" s="1" t="s">
        <v>78</v>
      </c>
      <c r="E3524" s="1" t="s">
        <v>28</v>
      </c>
      <c r="F3524" s="2">
        <v>250000.0</v>
      </c>
      <c r="G3524" s="4">
        <v>44749.0</v>
      </c>
      <c r="H3524" s="4">
        <f>IFERROR(__xludf.DUMMYFUNCTION("DATE(INDEX(SPLIT(G3524,""/""),,3),INDEX(SPLIT(G3524,""/""),,2),INDEX(SPLIT(G3524,""/""),,1))"),44749.0)</f>
        <v>44749</v>
      </c>
      <c r="I3524" s="4">
        <v>44780.0</v>
      </c>
      <c r="J3524" s="4">
        <f>IFERROR(__xludf.DUMMYFUNCTION("DATE(INDEX(SPLIT(I3524,""/""),,3),INDEX(SPLIT(I3524,""/""),,2),INDEX(SPLIT(I3524,""/""),,1))"),44750.0)</f>
        <v>44750</v>
      </c>
      <c r="L3524" s="1">
        <v>0.0</v>
      </c>
      <c r="M3524" s="1" t="s">
        <v>1443</v>
      </c>
      <c r="N3524" s="1"/>
      <c r="O3524" s="1" t="s">
        <v>30</v>
      </c>
      <c r="P3524" s="1" t="s">
        <v>31</v>
      </c>
      <c r="Q3524" s="1" t="s">
        <v>53</v>
      </c>
      <c r="R3524" s="1" t="s">
        <v>53</v>
      </c>
      <c r="S3524" s="1" t="s">
        <v>54</v>
      </c>
      <c r="U3524" s="1">
        <v>1.0059033E8</v>
      </c>
      <c r="X3524" s="1" t="s">
        <v>190</v>
      </c>
      <c r="Y3524" s="1" t="s">
        <v>1443</v>
      </c>
      <c r="Z3524" s="1" t="s">
        <v>37</v>
      </c>
    </row>
    <row r="3525" hidden="1">
      <c r="A3525" s="1" t="s">
        <v>10314</v>
      </c>
      <c r="B3525" s="1" t="s">
        <v>6351</v>
      </c>
      <c r="C3525" s="1" t="s">
        <v>10315</v>
      </c>
      <c r="D3525" s="1" t="s">
        <v>27</v>
      </c>
      <c r="E3525" s="1" t="s">
        <v>28</v>
      </c>
      <c r="F3525" s="2">
        <v>250000.0</v>
      </c>
      <c r="G3525" s="4">
        <v>44420.0</v>
      </c>
      <c r="H3525" s="4">
        <f>IFERROR(__xludf.DUMMYFUNCTION("DATE(INDEX(SPLIT(G3525,""/""),,3),INDEX(SPLIT(G3525,""/""),,2),INDEX(SPLIT(G3525,""/""),,1))"),44538.0)</f>
        <v>44538</v>
      </c>
      <c r="I3525" s="1" t="s">
        <v>130</v>
      </c>
      <c r="J3525" s="4">
        <f>IFERROR(__xludf.DUMMYFUNCTION("DATE(INDEX(SPLIT(I3525,""/""),,3),INDEX(SPLIT(I3525,""/""),,2),INDEX(SPLIT(I3525,""/""),,1))"),44804.0)</f>
        <v>44804</v>
      </c>
      <c r="L3525" s="1">
        <v>0.0</v>
      </c>
      <c r="M3525" s="1" t="s">
        <v>6353</v>
      </c>
      <c r="N3525" s="1"/>
      <c r="O3525" s="1" t="s">
        <v>30</v>
      </c>
      <c r="P3525" s="1" t="s">
        <v>31</v>
      </c>
      <c r="Q3525" s="1" t="s">
        <v>53</v>
      </c>
      <c r="R3525" s="1" t="s">
        <v>53</v>
      </c>
      <c r="S3525" s="1" t="s">
        <v>54</v>
      </c>
      <c r="T3525" s="1" t="s">
        <v>2372</v>
      </c>
      <c r="U3525" s="1">
        <v>1.00609257E8</v>
      </c>
      <c r="X3525" s="1" t="s">
        <v>239</v>
      </c>
      <c r="Y3525" s="1" t="s">
        <v>6354</v>
      </c>
      <c r="Z3525" s="1" t="s">
        <v>37</v>
      </c>
    </row>
    <row r="3526" hidden="1">
      <c r="A3526" s="1" t="s">
        <v>10316</v>
      </c>
      <c r="B3526" s="1" t="s">
        <v>8630</v>
      </c>
      <c r="C3526" s="1" t="s">
        <v>10317</v>
      </c>
      <c r="D3526" s="1" t="s">
        <v>122</v>
      </c>
      <c r="E3526" s="1" t="s">
        <v>28</v>
      </c>
      <c r="F3526" s="2">
        <v>250000.0</v>
      </c>
      <c r="G3526" s="4">
        <v>44538.0</v>
      </c>
      <c r="H3526" s="4">
        <f>IFERROR(__xludf.DUMMYFUNCTION("DATE(INDEX(SPLIT(G3526,""/""),,3),INDEX(SPLIT(G3526,""/""),,2),INDEX(SPLIT(G3526,""/""),,1))"),44420.0)</f>
        <v>44420</v>
      </c>
      <c r="I3526" s="1" t="s">
        <v>109</v>
      </c>
      <c r="J3526" s="4">
        <f>IFERROR(__xludf.DUMMYFUNCTION("DATE(INDEX(SPLIT(I3526,""/""),,3),INDEX(SPLIT(I3526,""/""),,2),INDEX(SPLIT(I3526,""/""),,1))"),44834.0)</f>
        <v>44834</v>
      </c>
      <c r="L3526" s="1">
        <v>0.0</v>
      </c>
      <c r="M3526" s="1" t="s">
        <v>3625</v>
      </c>
      <c r="N3526" s="1"/>
      <c r="O3526" s="1" t="s">
        <v>30</v>
      </c>
      <c r="P3526" s="1" t="s">
        <v>31</v>
      </c>
      <c r="Q3526" s="1" t="s">
        <v>32</v>
      </c>
      <c r="R3526" s="1" t="s">
        <v>32</v>
      </c>
      <c r="S3526" s="1" t="s">
        <v>33</v>
      </c>
      <c r="T3526" s="1" t="s">
        <v>402</v>
      </c>
      <c r="U3526" s="1">
        <v>1.00642379E8</v>
      </c>
      <c r="X3526" s="1" t="s">
        <v>63</v>
      </c>
      <c r="Y3526" s="1" t="s">
        <v>10318</v>
      </c>
      <c r="Z3526" s="1" t="s">
        <v>37</v>
      </c>
    </row>
    <row r="3527" hidden="1">
      <c r="A3527" s="1" t="s">
        <v>10319</v>
      </c>
      <c r="B3527" s="1" t="s">
        <v>162</v>
      </c>
      <c r="C3527" s="1" t="s">
        <v>10320</v>
      </c>
      <c r="D3527" s="1" t="s">
        <v>27</v>
      </c>
      <c r="E3527" s="1" t="s">
        <v>28</v>
      </c>
      <c r="F3527" s="2">
        <v>250000.0</v>
      </c>
      <c r="G3527" s="4">
        <v>44024.0</v>
      </c>
      <c r="H3527" s="4">
        <f>IFERROR(__xludf.DUMMYFUNCTION("DATE(INDEX(SPLIT(G3527,""/""),,3),INDEX(SPLIT(G3527,""/""),,2),INDEX(SPLIT(G3527,""/""),,1))"),44172.0)</f>
        <v>44172</v>
      </c>
      <c r="I3527" s="1" t="s">
        <v>203</v>
      </c>
      <c r="J3527" s="4">
        <f>IFERROR(__xludf.DUMMYFUNCTION("DATE(INDEX(SPLIT(I3527,""/""),,3),INDEX(SPLIT(I3527,""/""),,2),INDEX(SPLIT(I3527,""/""),,1))"),44925.0)</f>
        <v>44925</v>
      </c>
      <c r="L3527" s="1">
        <v>0.0</v>
      </c>
      <c r="M3527" s="1" t="s">
        <v>2787</v>
      </c>
      <c r="N3527" s="1"/>
      <c r="O3527" s="1" t="s">
        <v>30</v>
      </c>
      <c r="P3527" s="1" t="s">
        <v>31</v>
      </c>
      <c r="Q3527" s="1" t="s">
        <v>157</v>
      </c>
      <c r="R3527" s="1" t="s">
        <v>157</v>
      </c>
      <c r="S3527" s="1" t="s">
        <v>158</v>
      </c>
      <c r="T3527" s="1" t="s">
        <v>442</v>
      </c>
      <c r="U3527" s="1">
        <v>1.00708984E8</v>
      </c>
      <c r="X3527" s="1" t="s">
        <v>117</v>
      </c>
      <c r="Y3527" s="1" t="s">
        <v>8035</v>
      </c>
      <c r="Z3527" s="1" t="s">
        <v>37</v>
      </c>
    </row>
    <row r="3528" hidden="1">
      <c r="A3528" s="1" t="s">
        <v>10321</v>
      </c>
      <c r="B3528" s="1" t="s">
        <v>10322</v>
      </c>
      <c r="C3528" s="1" t="s">
        <v>10323</v>
      </c>
      <c r="D3528" s="1" t="s">
        <v>27</v>
      </c>
      <c r="E3528" s="1" t="s">
        <v>28</v>
      </c>
      <c r="F3528" s="2">
        <v>250000.0</v>
      </c>
      <c r="G3528" s="4">
        <v>44024.0</v>
      </c>
      <c r="H3528" s="4">
        <f>IFERROR(__xludf.DUMMYFUNCTION("DATE(INDEX(SPLIT(G3528,""/""),,3),INDEX(SPLIT(G3528,""/""),,2),INDEX(SPLIT(G3528,""/""),,1))"),44172.0)</f>
        <v>44172</v>
      </c>
      <c r="I3528" s="1" t="s">
        <v>109</v>
      </c>
      <c r="J3528" s="4">
        <f>IFERROR(__xludf.DUMMYFUNCTION("DATE(INDEX(SPLIT(I3528,""/""),,3),INDEX(SPLIT(I3528,""/""),,2),INDEX(SPLIT(I3528,""/""),,1))"),44834.0)</f>
        <v>44834</v>
      </c>
      <c r="L3528" s="1">
        <v>0.0</v>
      </c>
      <c r="M3528" s="1" t="s">
        <v>2787</v>
      </c>
      <c r="N3528" s="1"/>
      <c r="O3528" s="1" t="s">
        <v>30</v>
      </c>
      <c r="P3528" s="1" t="s">
        <v>31</v>
      </c>
      <c r="Q3528" s="1" t="s">
        <v>157</v>
      </c>
      <c r="R3528" s="1" t="s">
        <v>157</v>
      </c>
      <c r="S3528" s="1" t="s">
        <v>158</v>
      </c>
      <c r="T3528" s="1" t="s">
        <v>442</v>
      </c>
      <c r="U3528" s="1">
        <v>1.00708984E8</v>
      </c>
      <c r="X3528" s="1" t="s">
        <v>125</v>
      </c>
      <c r="Y3528" s="1" t="s">
        <v>8035</v>
      </c>
      <c r="Z3528" s="1" t="s">
        <v>37</v>
      </c>
    </row>
    <row r="3529" hidden="1">
      <c r="A3529" s="1" t="s">
        <v>10324</v>
      </c>
      <c r="B3529" s="1" t="s">
        <v>546</v>
      </c>
      <c r="C3529" s="1" t="s">
        <v>10325</v>
      </c>
      <c r="D3529" s="1" t="s">
        <v>78</v>
      </c>
      <c r="E3529" s="1" t="s">
        <v>28</v>
      </c>
      <c r="F3529" s="2">
        <v>250000.0</v>
      </c>
      <c r="G3529" s="1" t="s">
        <v>632</v>
      </c>
      <c r="H3529" s="4">
        <f>IFERROR(__xludf.DUMMYFUNCTION("DATE(INDEX(SPLIT(G3529,""/""),,3),INDEX(SPLIT(G3529,""/""),,2),INDEX(SPLIT(G3529,""/""),,1))"),44484.0)</f>
        <v>44484</v>
      </c>
      <c r="I3529" s="4">
        <v>44904.0</v>
      </c>
      <c r="J3529" s="4">
        <f>IFERROR(__xludf.DUMMYFUNCTION("DATE(INDEX(SPLIT(I3529,""/""),,3),INDEX(SPLIT(I3529,""/""),,2),INDEX(SPLIT(I3529,""/""),,1))"),44816.0)</f>
        <v>44816</v>
      </c>
      <c r="L3529" s="1">
        <v>0.0</v>
      </c>
      <c r="M3529" s="1" t="s">
        <v>10209</v>
      </c>
      <c r="N3529" s="1"/>
      <c r="O3529" s="1" t="s">
        <v>30</v>
      </c>
      <c r="P3529" s="1" t="s">
        <v>31</v>
      </c>
      <c r="Q3529" s="1" t="s">
        <v>157</v>
      </c>
      <c r="R3529" s="1" t="s">
        <v>157</v>
      </c>
      <c r="S3529" s="1" t="s">
        <v>158</v>
      </c>
      <c r="T3529" s="1" t="s">
        <v>442</v>
      </c>
      <c r="U3529" s="1">
        <v>1.00630909E8</v>
      </c>
      <c r="X3529" s="1" t="s">
        <v>74</v>
      </c>
      <c r="Y3529" s="1" t="s">
        <v>9841</v>
      </c>
      <c r="Z3529" s="1" t="s">
        <v>527</v>
      </c>
    </row>
    <row r="3530" hidden="1">
      <c r="A3530" s="1" t="s">
        <v>10326</v>
      </c>
      <c r="B3530" s="1" t="s">
        <v>127</v>
      </c>
      <c r="C3530" s="1" t="s">
        <v>10327</v>
      </c>
      <c r="D3530" s="1" t="s">
        <v>27</v>
      </c>
      <c r="E3530" s="1" t="s">
        <v>28</v>
      </c>
      <c r="F3530" s="2">
        <v>250000.0</v>
      </c>
      <c r="G3530" s="1" t="s">
        <v>5914</v>
      </c>
      <c r="H3530" s="4">
        <f>IFERROR(__xludf.DUMMYFUNCTION("DATE(INDEX(SPLIT(G3530,""/""),,3),INDEX(SPLIT(G3530,""/""),,2),INDEX(SPLIT(G3530,""/""),,1))"),43908.0)</f>
        <v>43908</v>
      </c>
      <c r="I3530" s="1" t="s">
        <v>281</v>
      </c>
      <c r="J3530" s="4">
        <f>IFERROR(__xludf.DUMMYFUNCTION("DATE(INDEX(SPLIT(I3530,""/""),,3),INDEX(SPLIT(I3530,""/""),,2),INDEX(SPLIT(I3530,""/""),,1))"),44865.0)</f>
        <v>44865</v>
      </c>
      <c r="L3530" s="1">
        <v>0.0</v>
      </c>
      <c r="M3530" s="1" t="s">
        <v>620</v>
      </c>
      <c r="N3530" s="1"/>
      <c r="O3530" s="1" t="s">
        <v>30</v>
      </c>
      <c r="P3530" s="1" t="s">
        <v>31</v>
      </c>
      <c r="Q3530" s="1" t="s">
        <v>32</v>
      </c>
      <c r="R3530" s="1" t="s">
        <v>32</v>
      </c>
      <c r="S3530" s="1" t="s">
        <v>33</v>
      </c>
      <c r="T3530" s="1" t="s">
        <v>159</v>
      </c>
      <c r="U3530" s="1">
        <v>1.00609607E8</v>
      </c>
      <c r="X3530" s="1" t="s">
        <v>81</v>
      </c>
      <c r="Y3530" s="1" t="s">
        <v>4311</v>
      </c>
      <c r="Z3530" s="1" t="s">
        <v>37</v>
      </c>
    </row>
    <row r="3531" hidden="1">
      <c r="A3531" s="1" t="s">
        <v>10328</v>
      </c>
      <c r="B3531" s="1" t="s">
        <v>8144</v>
      </c>
      <c r="C3531" s="1" t="s">
        <v>10329</v>
      </c>
      <c r="D3531" s="1" t="s">
        <v>78</v>
      </c>
      <c r="E3531" s="1" t="s">
        <v>28</v>
      </c>
      <c r="F3531" s="2">
        <v>250000.0</v>
      </c>
      <c r="G3531" s="1" t="s">
        <v>10330</v>
      </c>
      <c r="H3531" s="4">
        <f>IFERROR(__xludf.DUMMYFUNCTION("DATE(INDEX(SPLIT(G3531,""/""),,3),INDEX(SPLIT(G3531,""/""),,2),INDEX(SPLIT(G3531,""/""),,1))"),44151.0)</f>
        <v>44151</v>
      </c>
      <c r="I3531" s="1" t="s">
        <v>42</v>
      </c>
      <c r="J3531" s="4">
        <f>IFERROR(__xludf.DUMMYFUNCTION("DATE(INDEX(SPLIT(I3531,""/""),,3),INDEX(SPLIT(I3531,""/""),,2),INDEX(SPLIT(I3531,""/""),,1))"),44926.0)</f>
        <v>44926</v>
      </c>
      <c r="L3531" s="1">
        <v>0.0</v>
      </c>
      <c r="M3531" s="1" t="s">
        <v>1582</v>
      </c>
      <c r="N3531" s="1"/>
      <c r="O3531" s="1" t="s">
        <v>30</v>
      </c>
      <c r="P3531" s="1" t="s">
        <v>31</v>
      </c>
      <c r="Q3531" s="1" t="s">
        <v>235</v>
      </c>
      <c r="R3531" s="1" t="s">
        <v>235</v>
      </c>
      <c r="S3531" s="1" t="s">
        <v>236</v>
      </c>
      <c r="T3531" s="1" t="s">
        <v>438</v>
      </c>
      <c r="U3531" s="1">
        <v>1.00639226E8</v>
      </c>
      <c r="X3531" s="1" t="s">
        <v>88</v>
      </c>
      <c r="Y3531" s="1" t="s">
        <v>1582</v>
      </c>
      <c r="Z3531" s="1" t="s">
        <v>527</v>
      </c>
    </row>
    <row r="3532">
      <c r="A3532" s="1" t="s">
        <v>10331</v>
      </c>
      <c r="B3532" s="1" t="s">
        <v>337</v>
      </c>
      <c r="C3532" s="1" t="s">
        <v>10332</v>
      </c>
      <c r="D3532" s="1" t="s">
        <v>78</v>
      </c>
      <c r="E3532" s="1" t="s">
        <v>28</v>
      </c>
      <c r="F3532" s="2">
        <v>250000.0</v>
      </c>
      <c r="G3532" s="4">
        <v>44442.0</v>
      </c>
      <c r="H3532" s="4">
        <f>IFERROR(__xludf.DUMMYFUNCTION("DATE(INDEX(SPLIT(G3532,""/""),,3),INDEX(SPLIT(G3532,""/""),,2),INDEX(SPLIT(G3532,""/""),,1))"),44264.0)</f>
        <v>44264</v>
      </c>
      <c r="I3532" s="1" t="s">
        <v>69</v>
      </c>
      <c r="J3532" s="4">
        <f>IFERROR(__xludf.DUMMYFUNCTION("DATE(INDEX(SPLIT(I3532,""/""),,3),INDEX(SPLIT(I3532,""/""),,2),INDEX(SPLIT(I3532,""/""),,1))"),44773.0)</f>
        <v>44773</v>
      </c>
      <c r="L3532" s="1">
        <v>0.0</v>
      </c>
      <c r="M3532" s="1" t="s">
        <v>2371</v>
      </c>
      <c r="N3532" s="1"/>
      <c r="O3532" s="1" t="s">
        <v>30</v>
      </c>
      <c r="P3532" s="1" t="s">
        <v>31</v>
      </c>
      <c r="Q3532" s="1" t="s">
        <v>53</v>
      </c>
      <c r="R3532" s="1" t="s">
        <v>53</v>
      </c>
      <c r="S3532" s="1" t="s">
        <v>54</v>
      </c>
      <c r="T3532" s="1" t="s">
        <v>2372</v>
      </c>
      <c r="U3532" s="1">
        <v>1.00649936E8</v>
      </c>
      <c r="X3532" s="1" t="s">
        <v>239</v>
      </c>
      <c r="Y3532" s="1" t="s">
        <v>2977</v>
      </c>
      <c r="Z3532" s="1" t="s">
        <v>37</v>
      </c>
    </row>
    <row r="3533" hidden="1">
      <c r="A3533" s="1" t="s">
        <v>10333</v>
      </c>
      <c r="B3533" s="1" t="s">
        <v>932</v>
      </c>
      <c r="C3533" s="1" t="s">
        <v>10334</v>
      </c>
      <c r="D3533" s="1" t="s">
        <v>27</v>
      </c>
      <c r="E3533" s="1" t="s">
        <v>28</v>
      </c>
      <c r="F3533" s="2">
        <v>250000.0</v>
      </c>
      <c r="G3533" s="1" t="s">
        <v>4346</v>
      </c>
      <c r="H3533" s="4">
        <f>IFERROR(__xludf.DUMMYFUNCTION("DATE(INDEX(SPLIT(G3533,""/""),,3),INDEX(SPLIT(G3533,""/""),,2),INDEX(SPLIT(G3533,""/""),,1))"),44765.0)</f>
        <v>44765</v>
      </c>
      <c r="I3533" s="1" t="s">
        <v>281</v>
      </c>
      <c r="J3533" s="4">
        <f>IFERROR(__xludf.DUMMYFUNCTION("DATE(INDEX(SPLIT(I3533,""/""),,3),INDEX(SPLIT(I3533,""/""),,2),INDEX(SPLIT(I3533,""/""),,1))"),44865.0)</f>
        <v>44865</v>
      </c>
      <c r="L3533" s="1">
        <v>0.0</v>
      </c>
      <c r="M3533" s="1" t="s">
        <v>1137</v>
      </c>
      <c r="N3533" s="1"/>
      <c r="O3533" s="1" t="s">
        <v>30</v>
      </c>
      <c r="P3533" s="1" t="s">
        <v>31</v>
      </c>
      <c r="Q3533" s="1" t="s">
        <v>71</v>
      </c>
      <c r="R3533" s="1" t="s">
        <v>71</v>
      </c>
      <c r="S3533" s="1" t="s">
        <v>72</v>
      </c>
      <c r="T3533" s="1" t="s">
        <v>73</v>
      </c>
      <c r="U3533" s="1">
        <v>1.00589728E8</v>
      </c>
      <c r="X3533" s="1" t="s">
        <v>74</v>
      </c>
      <c r="Y3533" s="1" t="s">
        <v>1137</v>
      </c>
      <c r="Z3533" s="1" t="s">
        <v>37</v>
      </c>
    </row>
    <row r="3534" hidden="1">
      <c r="A3534" s="1" t="s">
        <v>10335</v>
      </c>
      <c r="B3534" s="1" t="s">
        <v>1144</v>
      </c>
      <c r="C3534" s="1" t="s">
        <v>10336</v>
      </c>
      <c r="D3534" s="1" t="s">
        <v>27</v>
      </c>
      <c r="E3534" s="1" t="s">
        <v>28</v>
      </c>
      <c r="F3534" s="2">
        <v>250000.0</v>
      </c>
      <c r="G3534" s="4">
        <v>44412.0</v>
      </c>
      <c r="H3534" s="4">
        <f>IFERROR(__xludf.DUMMYFUNCTION("DATE(INDEX(SPLIT(G3534,""/""),,3),INDEX(SPLIT(G3534,""/""),,2),INDEX(SPLIT(G3534,""/""),,1))"),44294.0)</f>
        <v>44294</v>
      </c>
      <c r="I3534" s="1" t="s">
        <v>109</v>
      </c>
      <c r="J3534" s="4">
        <f>IFERROR(__xludf.DUMMYFUNCTION("DATE(INDEX(SPLIT(I3534,""/""),,3),INDEX(SPLIT(I3534,""/""),,2),INDEX(SPLIT(I3534,""/""),,1))"),44834.0)</f>
        <v>44834</v>
      </c>
      <c r="L3534" s="1">
        <v>0.0</v>
      </c>
      <c r="M3534" s="1" t="s">
        <v>1412</v>
      </c>
      <c r="N3534" s="1"/>
      <c r="O3534" s="1" t="s">
        <v>30</v>
      </c>
      <c r="P3534" s="1" t="s">
        <v>31</v>
      </c>
      <c r="Q3534" s="1" t="s">
        <v>53</v>
      </c>
      <c r="R3534" s="1" t="s">
        <v>53</v>
      </c>
      <c r="S3534" s="1" t="s">
        <v>54</v>
      </c>
      <c r="T3534" s="1" t="s">
        <v>5252</v>
      </c>
      <c r="U3534" s="1">
        <v>1.00589587E8</v>
      </c>
      <c r="X3534" s="1" t="s">
        <v>63</v>
      </c>
      <c r="Y3534" s="1" t="s">
        <v>10337</v>
      </c>
      <c r="Z3534" s="1" t="s">
        <v>37</v>
      </c>
    </row>
    <row r="3535" hidden="1">
      <c r="A3535" s="1" t="s">
        <v>10338</v>
      </c>
      <c r="B3535" s="1" t="s">
        <v>932</v>
      </c>
      <c r="C3535" s="1" t="s">
        <v>10339</v>
      </c>
      <c r="D3535" s="1" t="s">
        <v>27</v>
      </c>
      <c r="E3535" s="1" t="s">
        <v>28</v>
      </c>
      <c r="F3535" s="2">
        <v>250000.0</v>
      </c>
      <c r="G3535" s="1" t="s">
        <v>4346</v>
      </c>
      <c r="H3535" s="4">
        <f>IFERROR(__xludf.DUMMYFUNCTION("DATE(INDEX(SPLIT(G3535,""/""),,3),INDEX(SPLIT(G3535,""/""),,2),INDEX(SPLIT(G3535,""/""),,1))"),44765.0)</f>
        <v>44765</v>
      </c>
      <c r="I3535" s="1" t="s">
        <v>281</v>
      </c>
      <c r="J3535" s="4">
        <f>IFERROR(__xludf.DUMMYFUNCTION("DATE(INDEX(SPLIT(I3535,""/""),,3),INDEX(SPLIT(I3535,""/""),,2),INDEX(SPLIT(I3535,""/""),,1))"),44865.0)</f>
        <v>44865</v>
      </c>
      <c r="L3535" s="1">
        <v>0.0</v>
      </c>
      <c r="M3535" s="1" t="s">
        <v>1137</v>
      </c>
      <c r="N3535" s="1"/>
      <c r="O3535" s="1" t="s">
        <v>30</v>
      </c>
      <c r="P3535" s="1" t="s">
        <v>31</v>
      </c>
      <c r="Q3535" s="1" t="s">
        <v>71</v>
      </c>
      <c r="R3535" s="1" t="s">
        <v>71</v>
      </c>
      <c r="S3535" s="1" t="s">
        <v>72</v>
      </c>
      <c r="T3535" s="1" t="s">
        <v>73</v>
      </c>
      <c r="U3535" s="1">
        <v>1.00589728E8</v>
      </c>
      <c r="X3535" s="1" t="s">
        <v>74</v>
      </c>
      <c r="Y3535" s="1" t="s">
        <v>1137</v>
      </c>
      <c r="Z3535" s="1" t="s">
        <v>37</v>
      </c>
    </row>
    <row r="3536" hidden="1">
      <c r="A3536" s="1" t="s">
        <v>10340</v>
      </c>
      <c r="B3536" s="1" t="s">
        <v>10341</v>
      </c>
      <c r="C3536" s="1" t="s">
        <v>10342</v>
      </c>
      <c r="D3536" s="1" t="s">
        <v>27</v>
      </c>
      <c r="E3536" s="1" t="s">
        <v>28</v>
      </c>
      <c r="F3536" s="2">
        <v>250000.0</v>
      </c>
      <c r="G3536" s="1" t="s">
        <v>10343</v>
      </c>
      <c r="H3536" s="4">
        <f>IFERROR(__xludf.DUMMYFUNCTION("DATE(INDEX(SPLIT(G3536,""/""),,3),INDEX(SPLIT(G3536,""/""),,2),INDEX(SPLIT(G3536,""/""),,1))"),43935.0)</f>
        <v>43935</v>
      </c>
      <c r="I3536" s="4">
        <v>44604.0</v>
      </c>
      <c r="J3536" s="4">
        <f>IFERROR(__xludf.DUMMYFUNCTION("DATE(INDEX(SPLIT(I3536,""/""),,3),INDEX(SPLIT(I3536,""/""),,2),INDEX(SPLIT(I3536,""/""),,1))"),44897.0)</f>
        <v>44897</v>
      </c>
      <c r="L3536" s="1">
        <v>0.0</v>
      </c>
      <c r="M3536" s="1" t="s">
        <v>3585</v>
      </c>
      <c r="N3536" s="1"/>
      <c r="O3536" s="1" t="s">
        <v>30</v>
      </c>
      <c r="P3536" s="1" t="s">
        <v>31</v>
      </c>
      <c r="Q3536" s="1" t="s">
        <v>157</v>
      </c>
      <c r="R3536" s="1" t="s">
        <v>157</v>
      </c>
      <c r="S3536" s="1" t="s">
        <v>158</v>
      </c>
      <c r="U3536" s="1">
        <v>1.00649566E8</v>
      </c>
      <c r="Y3536" s="1" t="s">
        <v>3585</v>
      </c>
      <c r="Z3536" s="1" t="s">
        <v>37</v>
      </c>
    </row>
    <row r="3537">
      <c r="A3537" s="1" t="s">
        <v>10344</v>
      </c>
      <c r="B3537" s="1" t="s">
        <v>10345</v>
      </c>
      <c r="C3537" s="1" t="s">
        <v>10346</v>
      </c>
      <c r="D3537" s="1" t="s">
        <v>27</v>
      </c>
      <c r="E3537" s="1" t="s">
        <v>28</v>
      </c>
      <c r="F3537" s="2">
        <v>250000.0</v>
      </c>
      <c r="G3537" s="4">
        <v>44287.0</v>
      </c>
      <c r="H3537" s="4">
        <f>IFERROR(__xludf.DUMMYFUNCTION("DATE(INDEX(SPLIT(G3537,""/""),,3),INDEX(SPLIT(G3537,""/""),,2),INDEX(SPLIT(G3537,""/""),,1))"),44200.0)</f>
        <v>44200</v>
      </c>
      <c r="I3537" s="1" t="s">
        <v>1244</v>
      </c>
      <c r="J3537" s="4">
        <f>IFERROR(__xludf.DUMMYFUNCTION("DATE(INDEX(SPLIT(I3537,""/""),,3),INDEX(SPLIT(I3537,""/""),,2),INDEX(SPLIT(I3537,""/""),,1))"),44742.0)</f>
        <v>44742</v>
      </c>
      <c r="L3537" s="1">
        <v>0.0</v>
      </c>
      <c r="M3537" s="1" t="s">
        <v>3236</v>
      </c>
      <c r="N3537" s="1"/>
      <c r="O3537" s="1" t="s">
        <v>30</v>
      </c>
      <c r="P3537" s="1" t="s">
        <v>31</v>
      </c>
      <c r="Q3537" s="1" t="s">
        <v>53</v>
      </c>
      <c r="R3537" s="1" t="s">
        <v>53</v>
      </c>
      <c r="S3537" s="1" t="s">
        <v>54</v>
      </c>
      <c r="T3537" s="1" t="s">
        <v>10347</v>
      </c>
      <c r="U3537" s="1">
        <v>1.00650453E8</v>
      </c>
      <c r="X3537" s="1" t="s">
        <v>88</v>
      </c>
      <c r="Y3537" s="1" t="s">
        <v>3236</v>
      </c>
      <c r="Z3537" s="1" t="s">
        <v>37</v>
      </c>
    </row>
    <row r="3538" hidden="1">
      <c r="A3538" s="1" t="s">
        <v>10348</v>
      </c>
      <c r="B3538" s="1" t="s">
        <v>10349</v>
      </c>
      <c r="C3538" s="1" t="s">
        <v>10350</v>
      </c>
      <c r="D3538" s="1" t="s">
        <v>122</v>
      </c>
      <c r="E3538" s="1" t="s">
        <v>28</v>
      </c>
      <c r="F3538" s="2">
        <v>250000.0</v>
      </c>
      <c r="G3538" s="4">
        <v>44896.0</v>
      </c>
      <c r="H3538" s="4">
        <f>IFERROR(__xludf.DUMMYFUNCTION("DATE(INDEX(SPLIT(G3538,""/""),,3),INDEX(SPLIT(G3538,""/""),,2),INDEX(SPLIT(G3538,""/""),,1))"),44573.0)</f>
        <v>44573</v>
      </c>
      <c r="I3538" s="1" t="s">
        <v>130</v>
      </c>
      <c r="J3538" s="4">
        <f>IFERROR(__xludf.DUMMYFUNCTION("DATE(INDEX(SPLIT(I3538,""/""),,3),INDEX(SPLIT(I3538,""/""),,2),INDEX(SPLIT(I3538,""/""),,1))"),44804.0)</f>
        <v>44804</v>
      </c>
      <c r="L3538" s="1">
        <v>0.0</v>
      </c>
      <c r="M3538" s="1" t="s">
        <v>3854</v>
      </c>
      <c r="N3538" s="1"/>
      <c r="O3538" s="1" t="s">
        <v>30</v>
      </c>
      <c r="P3538" s="1" t="s">
        <v>31</v>
      </c>
      <c r="Q3538" s="1" t="s">
        <v>71</v>
      </c>
      <c r="R3538" s="1" t="s">
        <v>71</v>
      </c>
      <c r="S3538" s="1" t="s">
        <v>72</v>
      </c>
      <c r="T3538" s="1" t="s">
        <v>136</v>
      </c>
      <c r="U3538" s="1">
        <v>1.00603613E8</v>
      </c>
      <c r="X3538" s="1" t="s">
        <v>74</v>
      </c>
      <c r="Y3538" s="1" t="s">
        <v>3854</v>
      </c>
      <c r="Z3538" s="1" t="s">
        <v>37</v>
      </c>
    </row>
    <row r="3539" hidden="1">
      <c r="A3539" s="1" t="s">
        <v>10351</v>
      </c>
      <c r="B3539" s="1" t="s">
        <v>4045</v>
      </c>
      <c r="C3539" s="1" t="s">
        <v>10352</v>
      </c>
      <c r="D3539" s="1" t="s">
        <v>27</v>
      </c>
      <c r="E3539" s="1" t="s">
        <v>28</v>
      </c>
      <c r="F3539" s="2">
        <v>250000.0</v>
      </c>
      <c r="G3539" s="4">
        <v>44349.0</v>
      </c>
      <c r="H3539" s="4">
        <f>IFERROR(__xludf.DUMMYFUNCTION("DATE(INDEX(SPLIT(G3539,""/""),,3),INDEX(SPLIT(G3539,""/""),,2),INDEX(SPLIT(G3539,""/""),,1))"),44233.0)</f>
        <v>44233</v>
      </c>
      <c r="I3539" s="1" t="s">
        <v>165</v>
      </c>
      <c r="J3539" s="4">
        <f>IFERROR(__xludf.DUMMYFUNCTION("DATE(INDEX(SPLIT(I3539,""/""),,3),INDEX(SPLIT(I3539,""/""),,2),INDEX(SPLIT(I3539,""/""),,1))"),44803.0)</f>
        <v>44803</v>
      </c>
      <c r="L3539" s="1">
        <v>0.0</v>
      </c>
      <c r="M3539" s="1" t="s">
        <v>597</v>
      </c>
      <c r="N3539" s="1"/>
      <c r="O3539" s="1" t="s">
        <v>30</v>
      </c>
      <c r="P3539" s="1" t="s">
        <v>31</v>
      </c>
      <c r="Q3539" s="1" t="s">
        <v>32</v>
      </c>
      <c r="R3539" s="1" t="s">
        <v>32</v>
      </c>
      <c r="S3539" s="1" t="s">
        <v>33</v>
      </c>
      <c r="T3539" s="1" t="s">
        <v>34</v>
      </c>
      <c r="U3539" s="1">
        <v>1.0064407E8</v>
      </c>
      <c r="X3539" s="1" t="s">
        <v>35</v>
      </c>
      <c r="Y3539" s="1" t="s">
        <v>685</v>
      </c>
      <c r="Z3539" s="1" t="s">
        <v>37</v>
      </c>
    </row>
    <row r="3540" hidden="1">
      <c r="A3540" s="1" t="s">
        <v>10353</v>
      </c>
      <c r="B3540" s="1" t="s">
        <v>1629</v>
      </c>
      <c r="C3540" s="1" t="s">
        <v>10354</v>
      </c>
      <c r="D3540" s="1" t="s">
        <v>78</v>
      </c>
      <c r="E3540" s="1" t="s">
        <v>28</v>
      </c>
      <c r="F3540" s="2">
        <v>250000.0</v>
      </c>
      <c r="G3540" s="4">
        <v>44899.0</v>
      </c>
      <c r="H3540" s="4">
        <f>IFERROR(__xludf.DUMMYFUNCTION("DATE(INDEX(SPLIT(G3540,""/""),,3),INDEX(SPLIT(G3540,""/""),,2),INDEX(SPLIT(G3540,""/""),,1))"),44663.0)</f>
        <v>44663</v>
      </c>
      <c r="I3540" s="1" t="s">
        <v>165</v>
      </c>
      <c r="J3540" s="4">
        <f>IFERROR(__xludf.DUMMYFUNCTION("DATE(INDEX(SPLIT(I3540,""/""),,3),INDEX(SPLIT(I3540,""/""),,2),INDEX(SPLIT(I3540,""/""),,1))"),44803.0)</f>
        <v>44803</v>
      </c>
      <c r="L3540" s="1">
        <v>0.0</v>
      </c>
      <c r="M3540" s="1" t="s">
        <v>3717</v>
      </c>
      <c r="N3540" s="1"/>
      <c r="O3540" s="1" t="s">
        <v>30</v>
      </c>
      <c r="P3540" s="1" t="s">
        <v>31</v>
      </c>
      <c r="Q3540" s="1" t="s">
        <v>32</v>
      </c>
      <c r="R3540" s="1" t="s">
        <v>32</v>
      </c>
      <c r="S3540" s="1" t="s">
        <v>33</v>
      </c>
      <c r="T3540" s="1" t="s">
        <v>103</v>
      </c>
      <c r="U3540" s="1">
        <v>1.00651946E8</v>
      </c>
      <c r="X3540" s="1" t="s">
        <v>410</v>
      </c>
      <c r="Y3540" s="1" t="s">
        <v>2761</v>
      </c>
      <c r="Z3540" s="1" t="s">
        <v>37</v>
      </c>
    </row>
    <row r="3541" hidden="1">
      <c r="A3541" s="1" t="s">
        <v>10355</v>
      </c>
      <c r="B3541" s="1" t="s">
        <v>658</v>
      </c>
      <c r="C3541" s="1" t="s">
        <v>10356</v>
      </c>
      <c r="D3541" s="1" t="s">
        <v>122</v>
      </c>
      <c r="E3541" s="1" t="s">
        <v>28</v>
      </c>
      <c r="F3541" s="2">
        <v>250000.0</v>
      </c>
      <c r="G3541" s="1" t="s">
        <v>10357</v>
      </c>
      <c r="H3541" s="4">
        <f>IFERROR(__xludf.DUMMYFUNCTION("DATE(INDEX(SPLIT(G3541,""/""),,3),INDEX(SPLIT(G3541,""/""),,2),INDEX(SPLIT(G3541,""/""),,1))"),43754.0)</f>
        <v>43754</v>
      </c>
      <c r="I3541" s="1" t="s">
        <v>281</v>
      </c>
      <c r="J3541" s="4">
        <f>IFERROR(__xludf.DUMMYFUNCTION("DATE(INDEX(SPLIT(I3541,""/""),,3),INDEX(SPLIT(I3541,""/""),,2),INDEX(SPLIT(I3541,""/""),,1))"),44865.0)</f>
        <v>44865</v>
      </c>
      <c r="L3541" s="1">
        <v>0.0</v>
      </c>
      <c r="M3541" s="1" t="s">
        <v>211</v>
      </c>
      <c r="N3541" s="1"/>
      <c r="O3541" s="1" t="s">
        <v>30</v>
      </c>
      <c r="P3541" s="1" t="s">
        <v>31</v>
      </c>
      <c r="Q3541" s="1" t="s">
        <v>71</v>
      </c>
      <c r="R3541" s="1" t="s">
        <v>71</v>
      </c>
      <c r="S3541" s="1" t="s">
        <v>72</v>
      </c>
      <c r="T3541" s="1" t="s">
        <v>136</v>
      </c>
      <c r="U3541" s="1">
        <v>1.00590896E8</v>
      </c>
      <c r="X3541" s="1" t="s">
        <v>74</v>
      </c>
      <c r="Y3541" s="1" t="s">
        <v>10358</v>
      </c>
      <c r="Z3541" s="1" t="s">
        <v>37</v>
      </c>
    </row>
    <row r="3542">
      <c r="A3542" s="1" t="s">
        <v>10359</v>
      </c>
      <c r="B3542" s="1" t="s">
        <v>10360</v>
      </c>
      <c r="C3542" s="1" t="s">
        <v>10361</v>
      </c>
      <c r="D3542" s="1" t="s">
        <v>27</v>
      </c>
      <c r="E3542" s="1" t="s">
        <v>28</v>
      </c>
      <c r="F3542" s="2">
        <v>250000.0</v>
      </c>
      <c r="G3542" s="1" t="s">
        <v>1958</v>
      </c>
      <c r="H3542" s="4">
        <f>IFERROR(__xludf.DUMMYFUNCTION("DATE(INDEX(SPLIT(G3542,""/""),,3),INDEX(SPLIT(G3542,""/""),,2),INDEX(SPLIT(G3542,""/""),,1))"),44583.0)</f>
        <v>44583</v>
      </c>
      <c r="I3542" s="1" t="s">
        <v>226</v>
      </c>
      <c r="J3542" s="4">
        <f>IFERROR(__xludf.DUMMYFUNCTION("DATE(INDEX(SPLIT(I3542,""/""),,3),INDEX(SPLIT(I3542,""/""),,2),INDEX(SPLIT(I3542,""/""),,1))"),44771.0)</f>
        <v>44771</v>
      </c>
      <c r="L3542" s="1">
        <v>0.0</v>
      </c>
      <c r="M3542" s="1" t="s">
        <v>1959</v>
      </c>
      <c r="N3542" s="1"/>
      <c r="O3542" s="1" t="s">
        <v>30</v>
      </c>
      <c r="P3542" s="1" t="s">
        <v>31</v>
      </c>
      <c r="Q3542" s="1" t="s">
        <v>228</v>
      </c>
      <c r="R3542" s="1" t="s">
        <v>228</v>
      </c>
      <c r="S3542" s="1" t="s">
        <v>229</v>
      </c>
      <c r="T3542" s="1" t="s">
        <v>640</v>
      </c>
      <c r="U3542" s="1">
        <v>1.00955805E8</v>
      </c>
      <c r="X3542" s="1" t="s">
        <v>375</v>
      </c>
      <c r="Y3542" s="1" t="s">
        <v>1959</v>
      </c>
      <c r="Z3542" s="1" t="s">
        <v>37</v>
      </c>
    </row>
    <row r="3543" hidden="1">
      <c r="A3543" s="1" t="s">
        <v>10362</v>
      </c>
      <c r="B3543" s="1" t="s">
        <v>484</v>
      </c>
      <c r="C3543" s="1" t="s">
        <v>10363</v>
      </c>
      <c r="D3543" s="1" t="s">
        <v>27</v>
      </c>
      <c r="E3543" s="1" t="s">
        <v>28</v>
      </c>
      <c r="F3543" s="2">
        <v>250000.0</v>
      </c>
      <c r="G3543" s="1" t="s">
        <v>1012</v>
      </c>
      <c r="H3543" s="4">
        <f>IFERROR(__xludf.DUMMYFUNCTION("DATE(INDEX(SPLIT(G3543,""/""),,3),INDEX(SPLIT(G3543,""/""),,2),INDEX(SPLIT(G3543,""/""),,1))"),44496.0)</f>
        <v>44496</v>
      </c>
      <c r="I3543" s="1" t="s">
        <v>130</v>
      </c>
      <c r="J3543" s="4">
        <f>IFERROR(__xludf.DUMMYFUNCTION("DATE(INDEX(SPLIT(I3543,""/""),,3),INDEX(SPLIT(I3543,""/""),,2),INDEX(SPLIT(I3543,""/""),,1))"),44804.0)</f>
        <v>44804</v>
      </c>
      <c r="L3543" s="1">
        <v>0.0</v>
      </c>
      <c r="M3543" s="1" t="s">
        <v>2281</v>
      </c>
      <c r="N3543" s="1"/>
      <c r="O3543" s="1" t="s">
        <v>30</v>
      </c>
      <c r="P3543" s="1" t="s">
        <v>31</v>
      </c>
      <c r="Q3543" s="1" t="s">
        <v>95</v>
      </c>
      <c r="R3543" s="1" t="s">
        <v>95</v>
      </c>
      <c r="S3543" s="1" t="s">
        <v>96</v>
      </c>
      <c r="T3543" s="1" t="s">
        <v>489</v>
      </c>
      <c r="U3543" s="1">
        <v>1.00646427E8</v>
      </c>
      <c r="X3543" s="1" t="s">
        <v>490</v>
      </c>
      <c r="Y3543" s="1" t="s">
        <v>1013</v>
      </c>
      <c r="Z3543" s="1" t="s">
        <v>37</v>
      </c>
    </row>
    <row r="3544" hidden="1">
      <c r="A3544" s="1" t="s">
        <v>10364</v>
      </c>
      <c r="B3544" s="1" t="s">
        <v>10365</v>
      </c>
      <c r="C3544" s="1" t="s">
        <v>10366</v>
      </c>
      <c r="D3544" s="1" t="s">
        <v>27</v>
      </c>
      <c r="E3544" s="1" t="s">
        <v>28</v>
      </c>
      <c r="F3544" s="2">
        <v>250000.0</v>
      </c>
      <c r="G3544" s="4">
        <v>44239.0</v>
      </c>
      <c r="H3544" s="4">
        <f>IFERROR(__xludf.DUMMYFUNCTION("DATE(INDEX(SPLIT(G3544,""/""),,3),INDEX(SPLIT(G3544,""/""),,2),INDEX(SPLIT(G3544,""/""),,1))"),44532.0)</f>
        <v>44532</v>
      </c>
      <c r="I3544" s="4">
        <v>44689.0</v>
      </c>
      <c r="J3544" s="4">
        <f>IFERROR(__xludf.DUMMYFUNCTION("DATE(INDEX(SPLIT(I3544,""/""),,3),INDEX(SPLIT(I3544,""/""),,2),INDEX(SPLIT(I3544,""/""),,1))"),44778.0)</f>
        <v>44778</v>
      </c>
      <c r="L3544" s="1">
        <v>0.0</v>
      </c>
      <c r="M3544" s="1" t="s">
        <v>7598</v>
      </c>
      <c r="N3544" s="1"/>
      <c r="O3544" s="1" t="s">
        <v>30</v>
      </c>
      <c r="P3544" s="1" t="s">
        <v>31</v>
      </c>
      <c r="Q3544" s="1" t="s">
        <v>32</v>
      </c>
      <c r="R3544" s="1" t="s">
        <v>32</v>
      </c>
      <c r="S3544" s="1" t="s">
        <v>33</v>
      </c>
      <c r="T3544" s="1" t="s">
        <v>103</v>
      </c>
      <c r="U3544" s="1">
        <v>1.00644939E8</v>
      </c>
      <c r="X3544" s="1" t="s">
        <v>254</v>
      </c>
      <c r="Y3544" s="1" t="s">
        <v>3565</v>
      </c>
      <c r="Z3544" s="1" t="s">
        <v>37</v>
      </c>
    </row>
    <row r="3545" hidden="1">
      <c r="A3545" s="1" t="s">
        <v>10367</v>
      </c>
      <c r="B3545" s="1" t="s">
        <v>6131</v>
      </c>
      <c r="C3545" s="1" t="s">
        <v>10368</v>
      </c>
      <c r="D3545" s="1" t="s">
        <v>78</v>
      </c>
      <c r="E3545" s="1" t="s">
        <v>28</v>
      </c>
      <c r="F3545" s="2">
        <v>250000.0</v>
      </c>
      <c r="G3545" s="1" t="s">
        <v>1218</v>
      </c>
      <c r="H3545" s="4">
        <f>IFERROR(__xludf.DUMMYFUNCTION("DATE(INDEX(SPLIT(G3545,""/""),,3),INDEX(SPLIT(G3545,""/""),,2),INDEX(SPLIT(G3545,""/""),,1))"),44427.0)</f>
        <v>44427</v>
      </c>
      <c r="I3545" s="1" t="s">
        <v>42</v>
      </c>
      <c r="J3545" s="4">
        <f>IFERROR(__xludf.DUMMYFUNCTION("DATE(INDEX(SPLIT(I3545,""/""),,3),INDEX(SPLIT(I3545,""/""),,2),INDEX(SPLIT(I3545,""/""),,1))"),44926.0)</f>
        <v>44926</v>
      </c>
      <c r="L3545" s="1">
        <v>0.0</v>
      </c>
      <c r="M3545" s="1" t="s">
        <v>2752</v>
      </c>
      <c r="N3545" s="1"/>
      <c r="O3545" s="1" t="s">
        <v>30</v>
      </c>
      <c r="P3545" s="1" t="s">
        <v>31</v>
      </c>
      <c r="Q3545" s="1" t="s">
        <v>235</v>
      </c>
      <c r="R3545" s="1" t="s">
        <v>235</v>
      </c>
      <c r="S3545" s="1" t="s">
        <v>236</v>
      </c>
      <c r="T3545" s="1" t="s">
        <v>1349</v>
      </c>
      <c r="U3545" s="1">
        <v>1.0062606E8</v>
      </c>
      <c r="X3545" s="1" t="s">
        <v>375</v>
      </c>
      <c r="Y3545" s="1" t="s">
        <v>3508</v>
      </c>
      <c r="Z3545" s="1" t="s">
        <v>37</v>
      </c>
    </row>
    <row r="3546">
      <c r="A3546" s="1" t="s">
        <v>10369</v>
      </c>
      <c r="B3546" s="1" t="s">
        <v>10370</v>
      </c>
      <c r="C3546" s="1" t="s">
        <v>10371</v>
      </c>
      <c r="D3546" s="1" t="s">
        <v>78</v>
      </c>
      <c r="E3546" s="1" t="s">
        <v>28</v>
      </c>
      <c r="F3546" s="2">
        <v>250000.0</v>
      </c>
      <c r="G3546" s="1" t="s">
        <v>10372</v>
      </c>
      <c r="H3546" s="4">
        <f>IFERROR(__xludf.DUMMYFUNCTION("DATE(INDEX(SPLIT(G3546,""/""),,3),INDEX(SPLIT(G3546,""/""),,2),INDEX(SPLIT(G3546,""/""),,1))"),43843.0)</f>
        <v>43843</v>
      </c>
      <c r="I3546" s="4">
        <v>44568.0</v>
      </c>
      <c r="J3546" s="4">
        <f>IFERROR(__xludf.DUMMYFUNCTION("DATE(INDEX(SPLIT(I3546,""/""),,3),INDEX(SPLIT(I3546,""/""),,2),INDEX(SPLIT(I3546,""/""),,1))"),44743.0)</f>
        <v>44743</v>
      </c>
      <c r="L3546" s="1">
        <v>0.0</v>
      </c>
      <c r="M3546" s="1" t="s">
        <v>2696</v>
      </c>
      <c r="N3546" s="1"/>
      <c r="O3546" s="1" t="s">
        <v>30</v>
      </c>
      <c r="P3546" s="1" t="s">
        <v>31</v>
      </c>
      <c r="Q3546" s="1" t="s">
        <v>157</v>
      </c>
      <c r="R3546" s="1" t="s">
        <v>157</v>
      </c>
      <c r="S3546" s="1" t="s">
        <v>158</v>
      </c>
      <c r="T3546" s="1" t="s">
        <v>402</v>
      </c>
      <c r="U3546" s="1">
        <v>1.00611351E8</v>
      </c>
      <c r="X3546" s="1" t="s">
        <v>781</v>
      </c>
      <c r="Y3546" s="1" t="s">
        <v>3016</v>
      </c>
      <c r="Z3546" s="1" t="s">
        <v>37</v>
      </c>
    </row>
    <row r="3547" hidden="1">
      <c r="A3547" s="1" t="s">
        <v>10373</v>
      </c>
      <c r="B3547" s="1" t="s">
        <v>484</v>
      </c>
      <c r="C3547" s="1" t="s">
        <v>10374</v>
      </c>
      <c r="D3547" s="1" t="s">
        <v>27</v>
      </c>
      <c r="E3547" s="1" t="s">
        <v>28</v>
      </c>
      <c r="F3547" s="2">
        <v>250000.0</v>
      </c>
      <c r="G3547" s="1" t="s">
        <v>1012</v>
      </c>
      <c r="H3547" s="4">
        <f>IFERROR(__xludf.DUMMYFUNCTION("DATE(INDEX(SPLIT(G3547,""/""),,3),INDEX(SPLIT(G3547,""/""),,2),INDEX(SPLIT(G3547,""/""),,1))"),44496.0)</f>
        <v>44496</v>
      </c>
      <c r="I3547" s="1" t="s">
        <v>130</v>
      </c>
      <c r="J3547" s="4">
        <f>IFERROR(__xludf.DUMMYFUNCTION("DATE(INDEX(SPLIT(I3547,""/""),,3),INDEX(SPLIT(I3547,""/""),,2),INDEX(SPLIT(I3547,""/""),,1))"),44804.0)</f>
        <v>44804</v>
      </c>
      <c r="L3547" s="1">
        <v>0.0</v>
      </c>
      <c r="M3547" s="1" t="s">
        <v>6912</v>
      </c>
      <c r="N3547" s="1"/>
      <c r="O3547" s="1" t="s">
        <v>30</v>
      </c>
      <c r="P3547" s="1" t="s">
        <v>31</v>
      </c>
      <c r="Q3547" s="1" t="s">
        <v>32</v>
      </c>
      <c r="R3547" s="1" t="s">
        <v>32</v>
      </c>
      <c r="S3547" s="1" t="s">
        <v>33</v>
      </c>
      <c r="T3547" s="1" t="s">
        <v>1195</v>
      </c>
      <c r="U3547" s="1">
        <v>1.00608771E8</v>
      </c>
      <c r="X3547" s="1" t="s">
        <v>490</v>
      </c>
      <c r="Y3547" s="1" t="s">
        <v>1013</v>
      </c>
      <c r="Z3547" s="1" t="s">
        <v>37</v>
      </c>
    </row>
    <row r="3548" hidden="1">
      <c r="A3548" s="1" t="s">
        <v>10375</v>
      </c>
      <c r="B3548" s="1" t="s">
        <v>484</v>
      </c>
      <c r="C3548" s="1" t="s">
        <v>10376</v>
      </c>
      <c r="D3548" s="1" t="s">
        <v>27</v>
      </c>
      <c r="E3548" s="1" t="s">
        <v>28</v>
      </c>
      <c r="F3548" s="2">
        <v>250000.0</v>
      </c>
      <c r="G3548" s="1" t="s">
        <v>1012</v>
      </c>
      <c r="H3548" s="4">
        <f>IFERROR(__xludf.DUMMYFUNCTION("DATE(INDEX(SPLIT(G3548,""/""),,3),INDEX(SPLIT(G3548,""/""),,2),INDEX(SPLIT(G3548,""/""),,1))"),44496.0)</f>
        <v>44496</v>
      </c>
      <c r="I3548" s="1" t="s">
        <v>130</v>
      </c>
      <c r="J3548" s="4">
        <f>IFERROR(__xludf.DUMMYFUNCTION("DATE(INDEX(SPLIT(I3548,""/""),,3),INDEX(SPLIT(I3548,""/""),,2),INDEX(SPLIT(I3548,""/""),,1))"),44804.0)</f>
        <v>44804</v>
      </c>
      <c r="L3548" s="1">
        <v>0.0</v>
      </c>
      <c r="M3548" s="1" t="s">
        <v>2856</v>
      </c>
      <c r="N3548" s="1"/>
      <c r="O3548" s="1" t="s">
        <v>30</v>
      </c>
      <c r="P3548" s="1" t="s">
        <v>31</v>
      </c>
      <c r="Q3548" s="1" t="s">
        <v>71</v>
      </c>
      <c r="R3548" s="1" t="s">
        <v>71</v>
      </c>
      <c r="S3548" s="1" t="s">
        <v>72</v>
      </c>
      <c r="T3548" s="1" t="s">
        <v>615</v>
      </c>
      <c r="U3548" s="1">
        <v>1.00637221E8</v>
      </c>
      <c r="X3548" s="1" t="s">
        <v>490</v>
      </c>
      <c r="Y3548" s="1" t="s">
        <v>1013</v>
      </c>
      <c r="Z3548" s="1" t="s">
        <v>37</v>
      </c>
    </row>
    <row r="3549" hidden="1">
      <c r="A3549" s="1" t="s">
        <v>10377</v>
      </c>
      <c r="B3549" s="1" t="s">
        <v>10378</v>
      </c>
      <c r="C3549" s="1" t="s">
        <v>10379</v>
      </c>
      <c r="D3549" s="1" t="s">
        <v>78</v>
      </c>
      <c r="E3549" s="1" t="s">
        <v>28</v>
      </c>
      <c r="F3549" s="2">
        <v>250000.0</v>
      </c>
      <c r="G3549" s="4">
        <v>44146.0</v>
      </c>
      <c r="H3549" s="4">
        <f>IFERROR(__xludf.DUMMYFUNCTION("DATE(INDEX(SPLIT(G3549,""/""),,3),INDEX(SPLIT(G3549,""/""),,2),INDEX(SPLIT(G3549,""/""),,1))"),44146.0)</f>
        <v>44146</v>
      </c>
      <c r="I3549" s="1" t="s">
        <v>1097</v>
      </c>
      <c r="J3549" s="4">
        <f>IFERROR(__xludf.DUMMYFUNCTION("DATE(INDEX(SPLIT(I3549,""/""),,3),INDEX(SPLIT(I3549,""/""),,2),INDEX(SPLIT(I3549,""/""),,1))"),45107.0)</f>
        <v>45107</v>
      </c>
      <c r="L3549" s="1">
        <v>0.0</v>
      </c>
      <c r="M3549" s="1" t="s">
        <v>2592</v>
      </c>
      <c r="N3549" s="1"/>
      <c r="O3549" s="1" t="s">
        <v>30</v>
      </c>
      <c r="P3549" s="1" t="s">
        <v>31</v>
      </c>
      <c r="Q3549" s="1" t="s">
        <v>71</v>
      </c>
      <c r="R3549" s="1" t="s">
        <v>71</v>
      </c>
      <c r="S3549" s="1" t="s">
        <v>72</v>
      </c>
      <c r="T3549" s="1" t="s">
        <v>136</v>
      </c>
      <c r="U3549" s="1">
        <v>1.00586452E8</v>
      </c>
      <c r="X3549" s="1" t="s">
        <v>98</v>
      </c>
      <c r="Y3549" s="1" t="s">
        <v>2593</v>
      </c>
      <c r="Z3549" s="1" t="s">
        <v>37</v>
      </c>
    </row>
    <row r="3550" hidden="1">
      <c r="A3550" s="1" t="s">
        <v>10380</v>
      </c>
      <c r="B3550" s="1" t="s">
        <v>162</v>
      </c>
      <c r="C3550" s="1" t="s">
        <v>10381</v>
      </c>
      <c r="D3550" s="1" t="s">
        <v>27</v>
      </c>
      <c r="E3550" s="1" t="s">
        <v>28</v>
      </c>
      <c r="F3550" s="2">
        <v>250000.0</v>
      </c>
      <c r="G3550" s="4">
        <v>44623.0</v>
      </c>
      <c r="H3550" s="4">
        <f>IFERROR(__xludf.DUMMYFUNCTION("DATE(INDEX(SPLIT(G3550,""/""),,3),INDEX(SPLIT(G3550,""/""),,2),INDEX(SPLIT(G3550,""/""),,1))"),44623.0)</f>
        <v>44623</v>
      </c>
      <c r="I3550" s="1" t="s">
        <v>109</v>
      </c>
      <c r="J3550" s="4">
        <f>IFERROR(__xludf.DUMMYFUNCTION("DATE(INDEX(SPLIT(I3550,""/""),,3),INDEX(SPLIT(I3550,""/""),,2),INDEX(SPLIT(I3550,""/""),,1))"),44834.0)</f>
        <v>44834</v>
      </c>
      <c r="L3550" s="1">
        <v>0.0</v>
      </c>
      <c r="M3550" s="1" t="s">
        <v>3419</v>
      </c>
      <c r="N3550" s="1"/>
      <c r="O3550" s="1" t="s">
        <v>30</v>
      </c>
      <c r="P3550" s="1" t="s">
        <v>31</v>
      </c>
      <c r="Q3550" s="1" t="s">
        <v>32</v>
      </c>
      <c r="R3550" s="1" t="s">
        <v>32</v>
      </c>
      <c r="S3550" s="1" t="s">
        <v>33</v>
      </c>
      <c r="T3550" s="1" t="s">
        <v>1195</v>
      </c>
      <c r="U3550" s="1">
        <v>1.00651998E8</v>
      </c>
      <c r="X3550" s="1" t="s">
        <v>98</v>
      </c>
      <c r="Y3550" s="1" t="s">
        <v>3419</v>
      </c>
      <c r="Z3550" s="1" t="s">
        <v>37</v>
      </c>
    </row>
    <row r="3551" hidden="1">
      <c r="A3551" s="1" t="s">
        <v>10382</v>
      </c>
      <c r="B3551" s="1" t="s">
        <v>1131</v>
      </c>
      <c r="C3551" s="1" t="s">
        <v>10383</v>
      </c>
      <c r="D3551" s="1" t="s">
        <v>78</v>
      </c>
      <c r="E3551" s="1" t="s">
        <v>28</v>
      </c>
      <c r="F3551" s="2">
        <v>250000.0</v>
      </c>
      <c r="G3551" s="1" t="s">
        <v>935</v>
      </c>
      <c r="H3551" s="4">
        <f>IFERROR(__xludf.DUMMYFUNCTION("DATE(INDEX(SPLIT(G3551,""/""),,3),INDEX(SPLIT(G3551,""/""),,2),INDEX(SPLIT(G3551,""/""),,1))"),44764.0)</f>
        <v>44764</v>
      </c>
      <c r="I3551" s="1" t="s">
        <v>109</v>
      </c>
      <c r="J3551" s="4">
        <f>IFERROR(__xludf.DUMMYFUNCTION("DATE(INDEX(SPLIT(I3551,""/""),,3),INDEX(SPLIT(I3551,""/""),,2),INDEX(SPLIT(I3551,""/""),,1))"),44834.0)</f>
        <v>44834</v>
      </c>
      <c r="L3551" s="1">
        <v>0.0</v>
      </c>
      <c r="M3551" s="1" t="s">
        <v>70</v>
      </c>
      <c r="N3551" s="1"/>
      <c r="O3551" s="1" t="s">
        <v>30</v>
      </c>
      <c r="P3551" s="1" t="s">
        <v>31</v>
      </c>
      <c r="Q3551" s="1" t="s">
        <v>71</v>
      </c>
      <c r="R3551" s="1" t="s">
        <v>71</v>
      </c>
      <c r="S3551" s="1" t="s">
        <v>72</v>
      </c>
      <c r="U3551" s="1">
        <v>1.00640331E8</v>
      </c>
      <c r="X3551" s="1" t="s">
        <v>74</v>
      </c>
      <c r="Y3551" s="1" t="s">
        <v>2241</v>
      </c>
      <c r="Z3551" s="1" t="s">
        <v>37</v>
      </c>
    </row>
    <row r="3552" hidden="1">
      <c r="A3552" s="1" t="s">
        <v>10384</v>
      </c>
      <c r="B3552" s="1" t="s">
        <v>10385</v>
      </c>
      <c r="C3552" s="1" t="s">
        <v>10386</v>
      </c>
      <c r="D3552" s="1" t="s">
        <v>78</v>
      </c>
      <c r="E3552" s="1" t="s">
        <v>28</v>
      </c>
      <c r="F3552" s="2">
        <v>250000.0</v>
      </c>
      <c r="G3552" s="1" t="s">
        <v>185</v>
      </c>
      <c r="H3552" s="4">
        <f>IFERROR(__xludf.DUMMYFUNCTION("DATE(INDEX(SPLIT(G3552,""/""),,3),INDEX(SPLIT(G3552,""/""),,2),INDEX(SPLIT(G3552,""/""),,1))"),44741.0)</f>
        <v>44741</v>
      </c>
      <c r="I3552" s="4">
        <v>44689.0</v>
      </c>
      <c r="J3552" s="4">
        <f>IFERROR(__xludf.DUMMYFUNCTION("DATE(INDEX(SPLIT(I3552,""/""),,3),INDEX(SPLIT(I3552,""/""),,2),INDEX(SPLIT(I3552,""/""),,1))"),44778.0)</f>
        <v>44778</v>
      </c>
      <c r="L3552" s="1">
        <v>0.0</v>
      </c>
      <c r="M3552" s="1" t="s">
        <v>10387</v>
      </c>
      <c r="N3552" s="1"/>
      <c r="O3552" s="1" t="s">
        <v>30</v>
      </c>
      <c r="P3552" s="1" t="s">
        <v>31</v>
      </c>
      <c r="Q3552" s="1" t="s">
        <v>32</v>
      </c>
      <c r="R3552" s="1" t="s">
        <v>32</v>
      </c>
      <c r="S3552" s="1" t="s">
        <v>33</v>
      </c>
      <c r="U3552" s="1">
        <v>1.00638317E8</v>
      </c>
      <c r="X3552" s="1" t="s">
        <v>117</v>
      </c>
      <c r="Y3552" s="1" t="s">
        <v>10387</v>
      </c>
      <c r="Z3552" s="1" t="s">
        <v>527</v>
      </c>
    </row>
    <row r="3553">
      <c r="A3553" s="1" t="s">
        <v>10388</v>
      </c>
      <c r="B3553" s="1" t="s">
        <v>7041</v>
      </c>
      <c r="C3553" s="1" t="s">
        <v>10389</v>
      </c>
      <c r="D3553" s="1" t="s">
        <v>27</v>
      </c>
      <c r="E3553" s="1" t="s">
        <v>28</v>
      </c>
      <c r="F3553" s="2">
        <v>250000.0</v>
      </c>
      <c r="G3553" s="1" t="s">
        <v>1569</v>
      </c>
      <c r="H3553" s="4">
        <f>IFERROR(__xludf.DUMMYFUNCTION("DATE(INDEX(SPLIT(G3553,""/""),,3),INDEX(SPLIT(G3553,""/""),,2),INDEX(SPLIT(G3553,""/""),,1))"),44645.0)</f>
        <v>44645</v>
      </c>
      <c r="I3553" s="1" t="s">
        <v>1244</v>
      </c>
      <c r="J3553" s="4">
        <f>IFERROR(__xludf.DUMMYFUNCTION("DATE(INDEX(SPLIT(I3553,""/""),,3),INDEX(SPLIT(I3553,""/""),,2),INDEX(SPLIT(I3553,""/""),,1))"),44742.0)</f>
        <v>44742</v>
      </c>
      <c r="L3553" s="1">
        <v>0.0</v>
      </c>
      <c r="M3553" s="1" t="s">
        <v>1088</v>
      </c>
      <c r="N3553" s="1"/>
      <c r="O3553" s="1" t="s">
        <v>30</v>
      </c>
      <c r="P3553" s="1" t="s">
        <v>31</v>
      </c>
      <c r="Q3553" s="1" t="s">
        <v>71</v>
      </c>
      <c r="R3553" s="1" t="s">
        <v>71</v>
      </c>
      <c r="S3553" s="1" t="s">
        <v>72</v>
      </c>
      <c r="T3553" s="1" t="s">
        <v>136</v>
      </c>
      <c r="U3553" s="1">
        <v>1.0090037E8</v>
      </c>
      <c r="X3553" s="1" t="s">
        <v>74</v>
      </c>
      <c r="Y3553" s="1" t="s">
        <v>1088</v>
      </c>
      <c r="Z3553" s="1" t="s">
        <v>37</v>
      </c>
    </row>
    <row r="3554" hidden="1">
      <c r="A3554" s="1" t="s">
        <v>10390</v>
      </c>
      <c r="B3554" s="1" t="s">
        <v>1144</v>
      </c>
      <c r="C3554" s="1" t="s">
        <v>10391</v>
      </c>
      <c r="D3554" s="1" t="s">
        <v>27</v>
      </c>
      <c r="E3554" s="1" t="s">
        <v>28</v>
      </c>
      <c r="F3554" s="2">
        <v>250000.0</v>
      </c>
      <c r="G3554" s="1" t="s">
        <v>534</v>
      </c>
      <c r="H3554" s="4">
        <f>IFERROR(__xludf.DUMMYFUNCTION("DATE(INDEX(SPLIT(G3554,""/""),,3),INDEX(SPLIT(G3554,""/""),,2),INDEX(SPLIT(G3554,""/""),,1))"),44704.0)</f>
        <v>44704</v>
      </c>
      <c r="I3554" s="1" t="s">
        <v>42</v>
      </c>
      <c r="J3554" s="4">
        <f>IFERROR(__xludf.DUMMYFUNCTION("DATE(INDEX(SPLIT(I3554,""/""),,3),INDEX(SPLIT(I3554,""/""),,2),INDEX(SPLIT(I3554,""/""),,1))"),44926.0)</f>
        <v>44926</v>
      </c>
      <c r="L3554" s="1">
        <v>0.0</v>
      </c>
      <c r="M3554" s="1" t="s">
        <v>2614</v>
      </c>
      <c r="N3554" s="1"/>
      <c r="O3554" s="1" t="s">
        <v>30</v>
      </c>
      <c r="P3554" s="1" t="s">
        <v>31</v>
      </c>
      <c r="Q3554" s="1" t="s">
        <v>53</v>
      </c>
      <c r="R3554" s="1" t="s">
        <v>53</v>
      </c>
      <c r="S3554" s="1" t="s">
        <v>54</v>
      </c>
      <c r="U3554" s="1">
        <v>1.00592932E8</v>
      </c>
      <c r="X3554" s="1" t="s">
        <v>63</v>
      </c>
      <c r="Y3554" s="1" t="s">
        <v>2614</v>
      </c>
      <c r="Z3554" s="1" t="s">
        <v>37</v>
      </c>
    </row>
    <row r="3555" hidden="1">
      <c r="A3555" s="1" t="s">
        <v>10392</v>
      </c>
      <c r="B3555" s="1" t="s">
        <v>4055</v>
      </c>
      <c r="C3555" s="1" t="s">
        <v>10393</v>
      </c>
      <c r="D3555" s="1" t="s">
        <v>78</v>
      </c>
      <c r="E3555" s="1" t="s">
        <v>28</v>
      </c>
      <c r="F3555" s="2">
        <v>250000.0</v>
      </c>
      <c r="G3555" s="1" t="s">
        <v>10394</v>
      </c>
      <c r="H3555" s="4">
        <f>IFERROR(__xludf.DUMMYFUNCTION("DATE(INDEX(SPLIT(G3555,""/""),,3),INDEX(SPLIT(G3555,""/""),,2),INDEX(SPLIT(G3555,""/""),,1))"),43579.0)</f>
        <v>43579</v>
      </c>
      <c r="I3555" s="1" t="s">
        <v>317</v>
      </c>
      <c r="J3555" s="4">
        <f>IFERROR(__xludf.DUMMYFUNCTION("DATE(INDEX(SPLIT(I3555,""/""),,3),INDEX(SPLIT(I3555,""/""),,2),INDEX(SPLIT(I3555,""/""),,1))"),44862.0)</f>
        <v>44862</v>
      </c>
      <c r="L3555" s="1">
        <v>0.0</v>
      </c>
      <c r="M3555" s="1" t="s">
        <v>3133</v>
      </c>
      <c r="N3555" s="1"/>
      <c r="O3555" s="1" t="s">
        <v>30</v>
      </c>
      <c r="P3555" s="1" t="s">
        <v>31</v>
      </c>
      <c r="Q3555" s="1" t="s">
        <v>228</v>
      </c>
      <c r="R3555" s="1" t="s">
        <v>228</v>
      </c>
      <c r="S3555" s="1" t="s">
        <v>229</v>
      </c>
      <c r="T3555" s="1" t="s">
        <v>640</v>
      </c>
      <c r="U3555" s="1">
        <v>1.00611158E8</v>
      </c>
      <c r="X3555" s="1" t="s">
        <v>63</v>
      </c>
      <c r="Y3555" s="1" t="s">
        <v>3133</v>
      </c>
      <c r="Z3555" s="1" t="s">
        <v>37</v>
      </c>
    </row>
    <row r="3556" hidden="1">
      <c r="A3556" s="1" t="s">
        <v>10395</v>
      </c>
      <c r="B3556" s="1" t="s">
        <v>7339</v>
      </c>
      <c r="C3556" s="1" t="s">
        <v>10396</v>
      </c>
      <c r="D3556" s="1" t="s">
        <v>27</v>
      </c>
      <c r="E3556" s="1" t="s">
        <v>28</v>
      </c>
      <c r="F3556" s="2">
        <v>250000.0</v>
      </c>
      <c r="G3556" s="4">
        <v>44686.0</v>
      </c>
      <c r="H3556" s="4">
        <f>IFERROR(__xludf.DUMMYFUNCTION("DATE(INDEX(SPLIT(G3556,""/""),,3),INDEX(SPLIT(G3556,""/""),,2),INDEX(SPLIT(G3556,""/""),,1))"),44686.0)</f>
        <v>44686</v>
      </c>
      <c r="I3556" s="1" t="s">
        <v>317</v>
      </c>
      <c r="J3556" s="4">
        <f>IFERROR(__xludf.DUMMYFUNCTION("DATE(INDEX(SPLIT(I3556,""/""),,3),INDEX(SPLIT(I3556,""/""),,2),INDEX(SPLIT(I3556,""/""),,1))"),44862.0)</f>
        <v>44862</v>
      </c>
      <c r="L3556" s="1">
        <v>0.0</v>
      </c>
      <c r="M3556" s="1" t="s">
        <v>3138</v>
      </c>
      <c r="N3556" s="1"/>
      <c r="O3556" s="1" t="s">
        <v>30</v>
      </c>
      <c r="P3556" s="1" t="s">
        <v>31</v>
      </c>
      <c r="Q3556" s="1" t="s">
        <v>157</v>
      </c>
      <c r="R3556" s="1" t="s">
        <v>157</v>
      </c>
      <c r="S3556" s="1" t="s">
        <v>158</v>
      </c>
      <c r="U3556" s="1">
        <v>1.00616377E8</v>
      </c>
      <c r="X3556" s="1" t="s">
        <v>490</v>
      </c>
      <c r="Y3556" s="1" t="s">
        <v>985</v>
      </c>
      <c r="Z3556" s="1" t="s">
        <v>37</v>
      </c>
    </row>
    <row r="3557" hidden="1">
      <c r="A3557" s="1" t="s">
        <v>10397</v>
      </c>
      <c r="B3557" s="1" t="s">
        <v>7339</v>
      </c>
      <c r="C3557" s="1" t="s">
        <v>10398</v>
      </c>
      <c r="D3557" s="1" t="s">
        <v>27</v>
      </c>
      <c r="E3557" s="1" t="s">
        <v>28</v>
      </c>
      <c r="F3557" s="2">
        <v>250000.0</v>
      </c>
      <c r="G3557" s="4">
        <v>44686.0</v>
      </c>
      <c r="H3557" s="4">
        <f>IFERROR(__xludf.DUMMYFUNCTION("DATE(INDEX(SPLIT(G3557,""/""),,3),INDEX(SPLIT(G3557,""/""),,2),INDEX(SPLIT(G3557,""/""),,1))"),44686.0)</f>
        <v>44686</v>
      </c>
      <c r="I3557" s="1" t="s">
        <v>109</v>
      </c>
      <c r="J3557" s="4">
        <f>IFERROR(__xludf.DUMMYFUNCTION("DATE(INDEX(SPLIT(I3557,""/""),,3),INDEX(SPLIT(I3557,""/""),,2),INDEX(SPLIT(I3557,""/""),,1))"),44834.0)</f>
        <v>44834</v>
      </c>
      <c r="L3557" s="1">
        <v>0.0</v>
      </c>
      <c r="M3557" s="1" t="s">
        <v>3138</v>
      </c>
      <c r="N3557" s="1"/>
      <c r="O3557" s="1" t="s">
        <v>30</v>
      </c>
      <c r="P3557" s="1" t="s">
        <v>31</v>
      </c>
      <c r="Q3557" s="1" t="s">
        <v>157</v>
      </c>
      <c r="R3557" s="1" t="s">
        <v>157</v>
      </c>
      <c r="S3557" s="1" t="s">
        <v>158</v>
      </c>
      <c r="U3557" s="1">
        <v>1.00616377E8</v>
      </c>
      <c r="X3557" s="1" t="s">
        <v>490</v>
      </c>
      <c r="Y3557" s="1" t="s">
        <v>985</v>
      </c>
      <c r="Z3557" s="1" t="s">
        <v>37</v>
      </c>
    </row>
    <row r="3558" hidden="1">
      <c r="A3558" s="1" t="s">
        <v>10399</v>
      </c>
      <c r="B3558" s="1" t="s">
        <v>10400</v>
      </c>
      <c r="C3558" s="1" t="s">
        <v>10401</v>
      </c>
      <c r="D3558" s="1" t="s">
        <v>27</v>
      </c>
      <c r="E3558" s="1" t="s">
        <v>28</v>
      </c>
      <c r="F3558" s="2">
        <v>250000.0</v>
      </c>
      <c r="G3558" s="1" t="s">
        <v>1023</v>
      </c>
      <c r="H3558" s="4">
        <f>IFERROR(__xludf.DUMMYFUNCTION("DATE(INDEX(SPLIT(G3558,""/""),,3),INDEX(SPLIT(G3558,""/""),,2),INDEX(SPLIT(G3558,""/""),,1))"),44090.0)</f>
        <v>44090</v>
      </c>
      <c r="I3558" s="1" t="s">
        <v>109</v>
      </c>
      <c r="J3558" s="4">
        <f>IFERROR(__xludf.DUMMYFUNCTION("DATE(INDEX(SPLIT(I3558,""/""),,3),INDEX(SPLIT(I3558,""/""),,2),INDEX(SPLIT(I3558,""/""),,1))"),44834.0)</f>
        <v>44834</v>
      </c>
      <c r="L3558" s="1">
        <v>0.0</v>
      </c>
      <c r="M3558" s="1" t="s">
        <v>1200</v>
      </c>
      <c r="N3558" s="1"/>
      <c r="O3558" s="1" t="s">
        <v>30</v>
      </c>
      <c r="P3558" s="1" t="s">
        <v>31</v>
      </c>
      <c r="Q3558" s="1" t="s">
        <v>235</v>
      </c>
      <c r="R3558" s="1" t="s">
        <v>235</v>
      </c>
      <c r="S3558" s="1" t="s">
        <v>236</v>
      </c>
      <c r="T3558" s="1" t="s">
        <v>438</v>
      </c>
      <c r="U3558" s="1">
        <v>1.00586959E8</v>
      </c>
      <c r="X3558" s="1" t="s">
        <v>88</v>
      </c>
      <c r="Y3558" s="1" t="s">
        <v>2865</v>
      </c>
      <c r="Z3558" s="1" t="s">
        <v>37</v>
      </c>
    </row>
    <row r="3559">
      <c r="A3559" s="1" t="s">
        <v>10402</v>
      </c>
      <c r="B3559" s="1" t="s">
        <v>2415</v>
      </c>
      <c r="C3559" s="1" t="s">
        <v>10403</v>
      </c>
      <c r="D3559" s="1" t="s">
        <v>27</v>
      </c>
      <c r="E3559" s="1" t="s">
        <v>28</v>
      </c>
      <c r="F3559" s="2">
        <v>250000.0</v>
      </c>
      <c r="G3559" s="1" t="s">
        <v>185</v>
      </c>
      <c r="H3559" s="4">
        <f>IFERROR(__xludf.DUMMYFUNCTION("DATE(INDEX(SPLIT(G3559,""/""),,3),INDEX(SPLIT(G3559,""/""),,2),INDEX(SPLIT(G3559,""/""),,1))"),44741.0)</f>
        <v>44741</v>
      </c>
      <c r="I3559" s="1" t="s">
        <v>226</v>
      </c>
      <c r="J3559" s="4">
        <f>IFERROR(__xludf.DUMMYFUNCTION("DATE(INDEX(SPLIT(I3559,""/""),,3),INDEX(SPLIT(I3559,""/""),,2),INDEX(SPLIT(I3559,""/""),,1))"),44771.0)</f>
        <v>44771</v>
      </c>
      <c r="L3559" s="1">
        <v>0.0</v>
      </c>
      <c r="M3559" s="1" t="s">
        <v>1685</v>
      </c>
      <c r="N3559" s="1"/>
      <c r="O3559" s="1" t="s">
        <v>30</v>
      </c>
      <c r="P3559" s="1" t="s">
        <v>31</v>
      </c>
      <c r="Q3559" s="1" t="s">
        <v>228</v>
      </c>
      <c r="R3559" s="1" t="s">
        <v>228</v>
      </c>
      <c r="S3559" s="1" t="s">
        <v>229</v>
      </c>
      <c r="T3559" s="1" t="s">
        <v>505</v>
      </c>
      <c r="U3559" s="1">
        <v>1.00612055E8</v>
      </c>
      <c r="X3559" s="1" t="s">
        <v>239</v>
      </c>
      <c r="Y3559" s="1" t="s">
        <v>1685</v>
      </c>
      <c r="Z3559" s="1" t="s">
        <v>37</v>
      </c>
    </row>
    <row r="3560" hidden="1">
      <c r="A3560" s="1" t="s">
        <v>10404</v>
      </c>
      <c r="B3560" s="1" t="s">
        <v>1748</v>
      </c>
      <c r="C3560" s="1" t="s">
        <v>10405</v>
      </c>
      <c r="D3560" s="1" t="s">
        <v>27</v>
      </c>
      <c r="E3560" s="1" t="s">
        <v>28</v>
      </c>
      <c r="F3560" s="2">
        <v>250000.0</v>
      </c>
      <c r="G3560" s="1" t="s">
        <v>10406</v>
      </c>
      <c r="H3560" s="4">
        <f>IFERROR(__xludf.DUMMYFUNCTION("DATE(INDEX(SPLIT(G3560,""/""),,3),INDEX(SPLIT(G3560,""/""),,2),INDEX(SPLIT(G3560,""/""),,1))"),44300.0)</f>
        <v>44300</v>
      </c>
      <c r="I3560" s="1" t="s">
        <v>872</v>
      </c>
      <c r="J3560" s="4">
        <f>IFERROR(__xludf.DUMMYFUNCTION("DATE(INDEX(SPLIT(I3560,""/""),,3),INDEX(SPLIT(I3560,""/""),,2),INDEX(SPLIT(I3560,""/""),,1))"),44820.0)</f>
        <v>44820</v>
      </c>
      <c r="L3560" s="1">
        <v>0.0</v>
      </c>
      <c r="M3560" s="1" t="s">
        <v>4022</v>
      </c>
      <c r="N3560" s="1"/>
      <c r="O3560" s="1" t="s">
        <v>30</v>
      </c>
      <c r="P3560" s="1" t="s">
        <v>31</v>
      </c>
      <c r="Q3560" s="1" t="s">
        <v>235</v>
      </c>
      <c r="R3560" s="1" t="s">
        <v>235</v>
      </c>
      <c r="S3560" s="1" t="s">
        <v>236</v>
      </c>
      <c r="T3560" s="1" t="s">
        <v>753</v>
      </c>
      <c r="U3560" s="1">
        <v>1.00648421E8</v>
      </c>
      <c r="X3560" s="1" t="s">
        <v>88</v>
      </c>
      <c r="Y3560" s="1" t="s">
        <v>3860</v>
      </c>
      <c r="Z3560" s="1" t="s">
        <v>37</v>
      </c>
    </row>
    <row r="3561">
      <c r="A3561" s="1" t="s">
        <v>10407</v>
      </c>
      <c r="B3561" s="1" t="s">
        <v>516</v>
      </c>
      <c r="C3561" s="1" t="s">
        <v>10408</v>
      </c>
      <c r="D3561" s="1" t="s">
        <v>122</v>
      </c>
      <c r="E3561" s="1" t="s">
        <v>28</v>
      </c>
      <c r="F3561" s="2">
        <v>250000.0</v>
      </c>
      <c r="G3561" s="1" t="s">
        <v>779</v>
      </c>
      <c r="H3561" s="4">
        <f>IFERROR(__xludf.DUMMYFUNCTION("DATE(INDEX(SPLIT(G3561,""/""),,3),INDEX(SPLIT(G3561,""/""),,2),INDEX(SPLIT(G3561,""/""),,1))"),44734.0)</f>
        <v>44734</v>
      </c>
      <c r="I3561" s="1" t="s">
        <v>2422</v>
      </c>
      <c r="J3561" s="4">
        <f>IFERROR(__xludf.DUMMYFUNCTION("DATE(INDEX(SPLIT(I3561,""/""),,3),INDEX(SPLIT(I3561,""/""),,2),INDEX(SPLIT(I3561,""/""),,1))"),44769.0)</f>
        <v>44769</v>
      </c>
      <c r="L3561" s="1">
        <v>0.0</v>
      </c>
      <c r="M3561" s="1" t="s">
        <v>512</v>
      </c>
      <c r="N3561" s="1"/>
      <c r="O3561" s="1" t="s">
        <v>30</v>
      </c>
      <c r="P3561" s="1" t="s">
        <v>31</v>
      </c>
      <c r="Q3561" s="1" t="s">
        <v>228</v>
      </c>
      <c r="R3561" s="1" t="s">
        <v>228</v>
      </c>
      <c r="S3561" s="1" t="s">
        <v>229</v>
      </c>
      <c r="T3561" s="1" t="s">
        <v>513</v>
      </c>
      <c r="U3561" s="1">
        <v>1.00654864E8</v>
      </c>
      <c r="X3561" s="1" t="s">
        <v>98</v>
      </c>
      <c r="Y3561" s="1" t="s">
        <v>7905</v>
      </c>
      <c r="Z3561" s="1" t="s">
        <v>37</v>
      </c>
    </row>
    <row r="3562" hidden="1">
      <c r="A3562" s="1" t="s">
        <v>10409</v>
      </c>
      <c r="B3562" s="1" t="s">
        <v>484</v>
      </c>
      <c r="C3562" s="1" t="s">
        <v>10410</v>
      </c>
      <c r="D3562" s="1" t="s">
        <v>27</v>
      </c>
      <c r="E3562" s="1" t="s">
        <v>28</v>
      </c>
      <c r="F3562" s="2">
        <v>250000.0</v>
      </c>
      <c r="G3562" s="1" t="s">
        <v>1012</v>
      </c>
      <c r="H3562" s="4">
        <f>IFERROR(__xludf.DUMMYFUNCTION("DATE(INDEX(SPLIT(G3562,""/""),,3),INDEX(SPLIT(G3562,""/""),,2),INDEX(SPLIT(G3562,""/""),,1))"),44496.0)</f>
        <v>44496</v>
      </c>
      <c r="I3562" s="1" t="s">
        <v>203</v>
      </c>
      <c r="J3562" s="4">
        <f>IFERROR(__xludf.DUMMYFUNCTION("DATE(INDEX(SPLIT(I3562,""/""),,3),INDEX(SPLIT(I3562,""/""),,2),INDEX(SPLIT(I3562,""/""),,1))"),44925.0)</f>
        <v>44925</v>
      </c>
      <c r="L3562" s="1">
        <v>0.0</v>
      </c>
      <c r="M3562" s="1" t="s">
        <v>1552</v>
      </c>
      <c r="N3562" s="1"/>
      <c r="O3562" s="1" t="s">
        <v>30</v>
      </c>
      <c r="P3562" s="1" t="s">
        <v>31</v>
      </c>
      <c r="Q3562" s="1" t="s">
        <v>32</v>
      </c>
      <c r="R3562" s="1" t="s">
        <v>32</v>
      </c>
      <c r="S3562" s="1" t="s">
        <v>33</v>
      </c>
      <c r="T3562" s="1" t="s">
        <v>1195</v>
      </c>
      <c r="U3562" s="1">
        <v>1.00637597E8</v>
      </c>
      <c r="X3562" s="1" t="s">
        <v>490</v>
      </c>
      <c r="Y3562" s="1" t="s">
        <v>1013</v>
      </c>
      <c r="Z3562" s="1" t="s">
        <v>37</v>
      </c>
    </row>
    <row r="3563" hidden="1">
      <c r="A3563" s="1" t="s">
        <v>10411</v>
      </c>
      <c r="B3563" s="1" t="s">
        <v>177</v>
      </c>
      <c r="C3563" s="1" t="s">
        <v>10412</v>
      </c>
      <c r="D3563" s="1" t="s">
        <v>27</v>
      </c>
      <c r="E3563" s="1" t="s">
        <v>28</v>
      </c>
      <c r="F3563" s="2">
        <v>250000.0</v>
      </c>
      <c r="G3563" s="1" t="s">
        <v>8986</v>
      </c>
      <c r="H3563" s="4">
        <f>IFERROR(__xludf.DUMMYFUNCTION("DATE(INDEX(SPLIT(G3563,""/""),,3),INDEX(SPLIT(G3563,""/""),,2),INDEX(SPLIT(G3563,""/""),,1))"),44180.0)</f>
        <v>44180</v>
      </c>
      <c r="I3563" s="4">
        <v>44689.0</v>
      </c>
      <c r="J3563" s="4">
        <f>IFERROR(__xludf.DUMMYFUNCTION("DATE(INDEX(SPLIT(I3563,""/""),,3),INDEX(SPLIT(I3563,""/""),,2),INDEX(SPLIT(I3563,""/""),,1))"),44778.0)</f>
        <v>44778</v>
      </c>
      <c r="L3563" s="1">
        <v>0.0</v>
      </c>
      <c r="M3563" s="1" t="s">
        <v>1088</v>
      </c>
      <c r="N3563" s="1"/>
      <c r="O3563" s="1" t="s">
        <v>30</v>
      </c>
      <c r="P3563" s="1" t="s">
        <v>31</v>
      </c>
      <c r="Q3563" s="1" t="s">
        <v>71</v>
      </c>
      <c r="R3563" s="1" t="s">
        <v>71</v>
      </c>
      <c r="S3563" s="1" t="s">
        <v>72</v>
      </c>
      <c r="T3563" s="1" t="s">
        <v>136</v>
      </c>
      <c r="U3563" s="1">
        <v>1.0090037E8</v>
      </c>
      <c r="X3563" s="1" t="s">
        <v>74</v>
      </c>
      <c r="Y3563" s="1" t="s">
        <v>1088</v>
      </c>
      <c r="Z3563" s="1" t="s">
        <v>37</v>
      </c>
    </row>
    <row r="3564">
      <c r="A3564" s="1" t="s">
        <v>10413</v>
      </c>
      <c r="B3564" s="1" t="s">
        <v>2000</v>
      </c>
      <c r="C3564" s="1" t="s">
        <v>10414</v>
      </c>
      <c r="D3564" s="1" t="s">
        <v>78</v>
      </c>
      <c r="E3564" s="1" t="s">
        <v>28</v>
      </c>
      <c r="F3564" s="2">
        <v>250000.0</v>
      </c>
      <c r="G3564" s="1" t="s">
        <v>394</v>
      </c>
      <c r="H3564" s="4">
        <f>IFERROR(__xludf.DUMMYFUNCTION("DATE(INDEX(SPLIT(G3564,""/""),,3),INDEX(SPLIT(G3564,""/""),,2),INDEX(SPLIT(G3564,""/""),,1))"),44677.0)</f>
        <v>44677</v>
      </c>
      <c r="I3564" s="1" t="s">
        <v>226</v>
      </c>
      <c r="J3564" s="4">
        <f>IFERROR(__xludf.DUMMYFUNCTION("DATE(INDEX(SPLIT(I3564,""/""),,3),INDEX(SPLIT(I3564,""/""),,2),INDEX(SPLIT(I3564,""/""),,1))"),44771.0)</f>
        <v>44771</v>
      </c>
      <c r="L3564" s="1">
        <v>0.0</v>
      </c>
      <c r="M3564" s="1" t="s">
        <v>259</v>
      </c>
      <c r="N3564" s="1"/>
      <c r="O3564" s="1" t="s">
        <v>30</v>
      </c>
      <c r="P3564" s="1" t="s">
        <v>31</v>
      </c>
      <c r="Q3564" s="1" t="s">
        <v>95</v>
      </c>
      <c r="R3564" s="1" t="s">
        <v>95</v>
      </c>
      <c r="S3564" s="1" t="s">
        <v>96</v>
      </c>
      <c r="T3564" s="1" t="s">
        <v>260</v>
      </c>
      <c r="U3564" s="1">
        <v>1.00659114E8</v>
      </c>
      <c r="X3564" s="1" t="s">
        <v>239</v>
      </c>
      <c r="Y3564" s="1" t="s">
        <v>10415</v>
      </c>
      <c r="Z3564" s="1" t="s">
        <v>37</v>
      </c>
    </row>
    <row r="3565">
      <c r="A3565" s="1" t="s">
        <v>10416</v>
      </c>
      <c r="B3565" s="1" t="s">
        <v>516</v>
      </c>
      <c r="C3565" s="1" t="s">
        <v>10417</v>
      </c>
      <c r="D3565" s="1" t="s">
        <v>122</v>
      </c>
      <c r="E3565" s="1" t="s">
        <v>28</v>
      </c>
      <c r="F3565" s="2">
        <v>250000.0</v>
      </c>
      <c r="G3565" s="1" t="s">
        <v>779</v>
      </c>
      <c r="H3565" s="4">
        <f>IFERROR(__xludf.DUMMYFUNCTION("DATE(INDEX(SPLIT(G3565,""/""),,3),INDEX(SPLIT(G3565,""/""),,2),INDEX(SPLIT(G3565,""/""),,1))"),44734.0)</f>
        <v>44734</v>
      </c>
      <c r="I3565" s="1" t="s">
        <v>2422</v>
      </c>
      <c r="J3565" s="4">
        <f>IFERROR(__xludf.DUMMYFUNCTION("DATE(INDEX(SPLIT(I3565,""/""),,3),INDEX(SPLIT(I3565,""/""),,2),INDEX(SPLIT(I3565,""/""),,1))"),44769.0)</f>
        <v>44769</v>
      </c>
      <c r="L3565" s="1">
        <v>0.0</v>
      </c>
      <c r="M3565" s="1" t="s">
        <v>512</v>
      </c>
      <c r="N3565" s="1"/>
      <c r="O3565" s="1" t="s">
        <v>30</v>
      </c>
      <c r="P3565" s="1" t="s">
        <v>31</v>
      </c>
      <c r="Q3565" s="1" t="s">
        <v>228</v>
      </c>
      <c r="R3565" s="1" t="s">
        <v>228</v>
      </c>
      <c r="S3565" s="1" t="s">
        <v>229</v>
      </c>
      <c r="T3565" s="1" t="s">
        <v>640</v>
      </c>
      <c r="U3565" s="1">
        <v>1.00654864E8</v>
      </c>
      <c r="X3565" s="1" t="s">
        <v>98</v>
      </c>
      <c r="Y3565" s="1" t="s">
        <v>7905</v>
      </c>
      <c r="Z3565" s="1" t="s">
        <v>37</v>
      </c>
    </row>
    <row r="3566" hidden="1">
      <c r="A3566" s="1" t="s">
        <v>10418</v>
      </c>
      <c r="B3566" s="1" t="s">
        <v>484</v>
      </c>
      <c r="C3566" s="1" t="s">
        <v>10419</v>
      </c>
      <c r="D3566" s="1" t="s">
        <v>27</v>
      </c>
      <c r="E3566" s="1" t="s">
        <v>28</v>
      </c>
      <c r="F3566" s="2">
        <v>250000.0</v>
      </c>
      <c r="G3566" s="1" t="s">
        <v>1012</v>
      </c>
      <c r="H3566" s="4">
        <f>IFERROR(__xludf.DUMMYFUNCTION("DATE(INDEX(SPLIT(G3566,""/""),,3),INDEX(SPLIT(G3566,""/""),,2),INDEX(SPLIT(G3566,""/""),,1))"),44496.0)</f>
        <v>44496</v>
      </c>
      <c r="I3566" s="1" t="s">
        <v>130</v>
      </c>
      <c r="J3566" s="4">
        <f>IFERROR(__xludf.DUMMYFUNCTION("DATE(INDEX(SPLIT(I3566,""/""),,3),INDEX(SPLIT(I3566,""/""),,2),INDEX(SPLIT(I3566,""/""),,1))"),44804.0)</f>
        <v>44804</v>
      </c>
      <c r="L3566" s="1">
        <v>0.0</v>
      </c>
      <c r="M3566" s="1" t="s">
        <v>1833</v>
      </c>
      <c r="N3566" s="1"/>
      <c r="O3566" s="1" t="s">
        <v>30</v>
      </c>
      <c r="P3566" s="1" t="s">
        <v>31</v>
      </c>
      <c r="Q3566" s="1" t="s">
        <v>53</v>
      </c>
      <c r="R3566" s="1" t="s">
        <v>53</v>
      </c>
      <c r="S3566" s="1" t="s">
        <v>54</v>
      </c>
      <c r="T3566" s="1" t="s">
        <v>634</v>
      </c>
      <c r="U3566" s="1">
        <v>1.0105484E8</v>
      </c>
      <c r="X3566" s="1" t="s">
        <v>490</v>
      </c>
      <c r="Y3566" s="1" t="s">
        <v>1013</v>
      </c>
      <c r="Z3566" s="1" t="s">
        <v>37</v>
      </c>
    </row>
    <row r="3567" hidden="1">
      <c r="A3567" s="1" t="s">
        <v>10420</v>
      </c>
      <c r="B3567" s="1" t="s">
        <v>5318</v>
      </c>
      <c r="C3567" s="1" t="s">
        <v>10421</v>
      </c>
      <c r="D3567" s="1" t="s">
        <v>122</v>
      </c>
      <c r="E3567" s="1" t="s">
        <v>28</v>
      </c>
      <c r="F3567" s="2">
        <v>250000.0</v>
      </c>
      <c r="G3567" s="1" t="s">
        <v>1521</v>
      </c>
      <c r="H3567" s="4">
        <f>IFERROR(__xludf.DUMMYFUNCTION("DATE(INDEX(SPLIT(G3567,""/""),,3),INDEX(SPLIT(G3567,""/""),,2),INDEX(SPLIT(G3567,""/""),,1))"),44756.0)</f>
        <v>44756</v>
      </c>
      <c r="I3567" s="1" t="s">
        <v>85</v>
      </c>
      <c r="J3567" s="4">
        <f>IFERROR(__xludf.DUMMYFUNCTION("DATE(INDEX(SPLIT(I3567,""/""),,3),INDEX(SPLIT(I3567,""/""),,2),INDEX(SPLIT(I3567,""/""),,1))"),44799.0)</f>
        <v>44799</v>
      </c>
      <c r="L3567" s="1">
        <v>0.0</v>
      </c>
      <c r="M3567" s="1" t="s">
        <v>1422</v>
      </c>
      <c r="N3567" s="1"/>
      <c r="O3567" s="1" t="s">
        <v>30</v>
      </c>
      <c r="P3567" s="1" t="s">
        <v>31</v>
      </c>
      <c r="Q3567" s="1" t="s">
        <v>157</v>
      </c>
      <c r="R3567" s="1" t="s">
        <v>157</v>
      </c>
      <c r="S3567" s="1" t="s">
        <v>158</v>
      </c>
      <c r="T3567" s="1" t="s">
        <v>159</v>
      </c>
      <c r="U3567" s="1">
        <v>1.00869794E8</v>
      </c>
      <c r="X3567" s="1" t="s">
        <v>117</v>
      </c>
      <c r="Y3567" s="1" t="s">
        <v>10422</v>
      </c>
      <c r="Z3567" s="1" t="s">
        <v>37</v>
      </c>
    </row>
    <row r="3568" hidden="1">
      <c r="A3568" s="1" t="s">
        <v>10423</v>
      </c>
      <c r="B3568" s="1" t="s">
        <v>4196</v>
      </c>
      <c r="C3568" s="1" t="s">
        <v>10424</v>
      </c>
      <c r="D3568" s="1" t="s">
        <v>27</v>
      </c>
      <c r="E3568" s="1" t="s">
        <v>28</v>
      </c>
      <c r="F3568" s="2">
        <v>250000.0</v>
      </c>
      <c r="G3568" s="4">
        <v>44837.0</v>
      </c>
      <c r="H3568" s="4">
        <f>IFERROR(__xludf.DUMMYFUNCTION("DATE(INDEX(SPLIT(G3568,""/""),,3),INDEX(SPLIT(G3568,""/""),,2),INDEX(SPLIT(G3568,""/""),,1))"),44630.0)</f>
        <v>44630</v>
      </c>
      <c r="I3568" s="1" t="s">
        <v>130</v>
      </c>
      <c r="J3568" s="4">
        <f>IFERROR(__xludf.DUMMYFUNCTION("DATE(INDEX(SPLIT(I3568,""/""),,3),INDEX(SPLIT(I3568,""/""),,2),INDEX(SPLIT(I3568,""/""),,1))"),44804.0)</f>
        <v>44804</v>
      </c>
      <c r="L3568" s="1">
        <v>0.0</v>
      </c>
      <c r="M3568" s="1" t="s">
        <v>7296</v>
      </c>
      <c r="N3568" s="1"/>
      <c r="O3568" s="1" t="s">
        <v>30</v>
      </c>
      <c r="P3568" s="1" t="s">
        <v>31</v>
      </c>
      <c r="Q3568" s="1" t="s">
        <v>71</v>
      </c>
      <c r="R3568" s="1" t="s">
        <v>71</v>
      </c>
      <c r="S3568" s="1" t="s">
        <v>72</v>
      </c>
      <c r="T3568" s="1" t="s">
        <v>73</v>
      </c>
      <c r="U3568" s="1">
        <v>1.00594243E8</v>
      </c>
      <c r="X3568" s="1" t="s">
        <v>74</v>
      </c>
      <c r="Y3568" s="1" t="s">
        <v>7629</v>
      </c>
      <c r="Z3568" s="1" t="s">
        <v>206</v>
      </c>
    </row>
    <row r="3569" hidden="1">
      <c r="A3569" s="1" t="s">
        <v>10425</v>
      </c>
      <c r="B3569" s="1" t="s">
        <v>10426</v>
      </c>
      <c r="C3569" s="1" t="s">
        <v>10427</v>
      </c>
      <c r="D3569" s="1" t="s">
        <v>27</v>
      </c>
      <c r="E3569" s="1" t="s">
        <v>28</v>
      </c>
      <c r="F3569" s="2">
        <v>250000.0</v>
      </c>
      <c r="G3569" s="1" t="s">
        <v>1244</v>
      </c>
      <c r="H3569" s="4">
        <f>IFERROR(__xludf.DUMMYFUNCTION("DATE(INDEX(SPLIT(G3569,""/""),,3),INDEX(SPLIT(G3569,""/""),,2),INDEX(SPLIT(G3569,""/""),,1))"),44742.0)</f>
        <v>44742</v>
      </c>
      <c r="I3569" s="1" t="s">
        <v>203</v>
      </c>
      <c r="J3569" s="4">
        <f>IFERROR(__xludf.DUMMYFUNCTION("DATE(INDEX(SPLIT(I3569,""/""),,3),INDEX(SPLIT(I3569,""/""),,2),INDEX(SPLIT(I3569,""/""),,1))"),44925.0)</f>
        <v>44925</v>
      </c>
      <c r="L3569" s="1">
        <v>0.0</v>
      </c>
      <c r="M3569" s="1" t="s">
        <v>2831</v>
      </c>
      <c r="N3569" s="1"/>
      <c r="O3569" s="1" t="s">
        <v>30</v>
      </c>
      <c r="P3569" s="1" t="s">
        <v>31</v>
      </c>
      <c r="Q3569" s="1" t="s">
        <v>32</v>
      </c>
      <c r="R3569" s="1" t="s">
        <v>32</v>
      </c>
      <c r="S3569" s="1" t="s">
        <v>33</v>
      </c>
      <c r="U3569" s="1">
        <v>1.0119869E8</v>
      </c>
      <c r="X3569" s="1" t="s">
        <v>125</v>
      </c>
      <c r="Y3569" s="1" t="s">
        <v>10428</v>
      </c>
      <c r="Z3569" s="1" t="s">
        <v>37</v>
      </c>
    </row>
    <row r="3570" hidden="1">
      <c r="A3570" s="1" t="s">
        <v>10429</v>
      </c>
      <c r="B3570" s="1" t="s">
        <v>4486</v>
      </c>
      <c r="C3570" s="1" t="s">
        <v>10430</v>
      </c>
      <c r="D3570" s="1" t="s">
        <v>78</v>
      </c>
      <c r="E3570" s="1" t="s">
        <v>28</v>
      </c>
      <c r="F3570" s="2">
        <v>250000.0</v>
      </c>
      <c r="G3570" s="4">
        <v>44567.0</v>
      </c>
      <c r="H3570" s="4">
        <f>IFERROR(__xludf.DUMMYFUNCTION("DATE(INDEX(SPLIT(G3570,""/""),,3),INDEX(SPLIT(G3570,""/""),,2),INDEX(SPLIT(G3570,""/""),,1))"),44713.0)</f>
        <v>44713</v>
      </c>
      <c r="I3570" s="1" t="s">
        <v>130</v>
      </c>
      <c r="J3570" s="4">
        <f>IFERROR(__xludf.DUMMYFUNCTION("DATE(INDEX(SPLIT(I3570,""/""),,3),INDEX(SPLIT(I3570,""/""),,2),INDEX(SPLIT(I3570,""/""),,1))"),44804.0)</f>
        <v>44804</v>
      </c>
      <c r="L3570" s="1">
        <v>0.0</v>
      </c>
      <c r="M3570" s="1" t="s">
        <v>7088</v>
      </c>
      <c r="N3570" s="1"/>
      <c r="O3570" s="1" t="s">
        <v>30</v>
      </c>
      <c r="P3570" s="1" t="s">
        <v>31</v>
      </c>
      <c r="Q3570" s="1" t="s">
        <v>228</v>
      </c>
      <c r="R3570" s="1" t="s">
        <v>228</v>
      </c>
      <c r="S3570" s="1" t="s">
        <v>229</v>
      </c>
      <c r="T3570" s="1" t="s">
        <v>513</v>
      </c>
      <c r="U3570" s="1">
        <v>1.00597339E8</v>
      </c>
      <c r="X3570" s="1" t="s">
        <v>312</v>
      </c>
      <c r="Y3570" s="1" t="s">
        <v>7089</v>
      </c>
      <c r="Z3570" s="1" t="s">
        <v>37</v>
      </c>
    </row>
    <row r="3571" hidden="1">
      <c r="A3571" s="1" t="s">
        <v>10431</v>
      </c>
      <c r="B3571" s="1" t="s">
        <v>10432</v>
      </c>
      <c r="C3571" s="1" t="s">
        <v>10433</v>
      </c>
      <c r="D3571" s="1" t="s">
        <v>78</v>
      </c>
      <c r="E3571" s="1" t="s">
        <v>28</v>
      </c>
      <c r="F3571" s="2">
        <v>250000.0</v>
      </c>
      <c r="G3571" s="1" t="s">
        <v>1581</v>
      </c>
      <c r="H3571" s="4">
        <f>IFERROR(__xludf.DUMMYFUNCTION("DATE(INDEX(SPLIT(G3571,""/""),,3),INDEX(SPLIT(G3571,""/""),,2),INDEX(SPLIT(G3571,""/""),,1))"),44453.0)</f>
        <v>44453</v>
      </c>
      <c r="I3571" s="1" t="s">
        <v>109</v>
      </c>
      <c r="J3571" s="4">
        <f>IFERROR(__xludf.DUMMYFUNCTION("DATE(INDEX(SPLIT(I3571,""/""),,3),INDEX(SPLIT(I3571,""/""),,2),INDEX(SPLIT(I3571,""/""),,1))"),44834.0)</f>
        <v>44834</v>
      </c>
      <c r="L3571" s="1">
        <v>0.0</v>
      </c>
      <c r="M3571" s="1" t="s">
        <v>2614</v>
      </c>
      <c r="N3571" s="1"/>
      <c r="O3571" s="1" t="s">
        <v>30</v>
      </c>
      <c r="P3571" s="1" t="s">
        <v>31</v>
      </c>
      <c r="Q3571" s="1" t="s">
        <v>53</v>
      </c>
      <c r="R3571" s="1" t="s">
        <v>53</v>
      </c>
      <c r="S3571" s="1" t="s">
        <v>54</v>
      </c>
      <c r="T3571" s="1" t="s">
        <v>55</v>
      </c>
      <c r="U3571" s="1">
        <v>1.00592932E8</v>
      </c>
      <c r="X3571" s="1" t="s">
        <v>254</v>
      </c>
      <c r="Y3571" s="1" t="s">
        <v>8384</v>
      </c>
      <c r="Z3571" s="1" t="s">
        <v>37</v>
      </c>
    </row>
    <row r="3572">
      <c r="A3572" s="1" t="s">
        <v>10434</v>
      </c>
      <c r="B3572" s="1" t="s">
        <v>546</v>
      </c>
      <c r="C3572" s="1" t="s">
        <v>10435</v>
      </c>
      <c r="D3572" s="1" t="s">
        <v>27</v>
      </c>
      <c r="E3572" s="1" t="s">
        <v>28</v>
      </c>
      <c r="F3572" s="2">
        <v>250000.0</v>
      </c>
      <c r="G3572" s="1" t="s">
        <v>935</v>
      </c>
      <c r="H3572" s="4">
        <f>IFERROR(__xludf.DUMMYFUNCTION("DATE(INDEX(SPLIT(G3572,""/""),,3),INDEX(SPLIT(G3572,""/""),,2),INDEX(SPLIT(G3572,""/""),,1))"),44764.0)</f>
        <v>44764</v>
      </c>
      <c r="I3572" s="1" t="s">
        <v>935</v>
      </c>
      <c r="J3572" s="4">
        <f>IFERROR(__xludf.DUMMYFUNCTION("DATE(INDEX(SPLIT(I3572,""/""),,3),INDEX(SPLIT(I3572,""/""),,2),INDEX(SPLIT(I3572,""/""),,1))"),44764.0)</f>
        <v>44764</v>
      </c>
      <c r="L3572" s="1">
        <v>0.0</v>
      </c>
      <c r="M3572" s="1" t="s">
        <v>318</v>
      </c>
      <c r="N3572" s="1"/>
      <c r="O3572" s="1" t="s">
        <v>30</v>
      </c>
      <c r="P3572" s="1" t="s">
        <v>31</v>
      </c>
      <c r="Q3572" s="1" t="s">
        <v>71</v>
      </c>
      <c r="R3572" s="1" t="s">
        <v>71</v>
      </c>
      <c r="S3572" s="1" t="s">
        <v>72</v>
      </c>
      <c r="T3572" s="1" t="s">
        <v>73</v>
      </c>
      <c r="U3572" s="1">
        <v>1.00654705E8</v>
      </c>
      <c r="X3572" s="1" t="s">
        <v>74</v>
      </c>
      <c r="Y3572" s="1" t="s">
        <v>10436</v>
      </c>
      <c r="Z3572" s="1" t="s">
        <v>37</v>
      </c>
    </row>
    <row r="3573">
      <c r="A3573" s="1" t="s">
        <v>10437</v>
      </c>
      <c r="B3573" s="1" t="s">
        <v>10438</v>
      </c>
      <c r="C3573" s="1" t="s">
        <v>10439</v>
      </c>
      <c r="D3573" s="1" t="s">
        <v>78</v>
      </c>
      <c r="E3573" s="1" t="s">
        <v>28</v>
      </c>
      <c r="F3573" s="2">
        <v>250000.0</v>
      </c>
      <c r="G3573" s="1" t="s">
        <v>3972</v>
      </c>
      <c r="H3573" s="4">
        <f>IFERROR(__xludf.DUMMYFUNCTION("DATE(INDEX(SPLIT(G3573,""/""),,3),INDEX(SPLIT(G3573,""/""),,2),INDEX(SPLIT(G3573,""/""),,1))"),44637.0)</f>
        <v>44637</v>
      </c>
      <c r="I3573" s="1" t="s">
        <v>226</v>
      </c>
      <c r="J3573" s="4">
        <f>IFERROR(__xludf.DUMMYFUNCTION("DATE(INDEX(SPLIT(I3573,""/""),,3),INDEX(SPLIT(I3573,""/""),,2),INDEX(SPLIT(I3573,""/""),,1))"),44771.0)</f>
        <v>44771</v>
      </c>
      <c r="L3573" s="1">
        <v>0.0</v>
      </c>
      <c r="M3573" s="1" t="s">
        <v>253</v>
      </c>
      <c r="N3573" s="1"/>
      <c r="O3573" s="1" t="s">
        <v>30</v>
      </c>
      <c r="P3573" s="1" t="s">
        <v>31</v>
      </c>
      <c r="Q3573" s="1" t="s">
        <v>95</v>
      </c>
      <c r="R3573" s="1" t="s">
        <v>95</v>
      </c>
      <c r="S3573" s="1" t="s">
        <v>96</v>
      </c>
      <c r="T3573" s="1" t="s">
        <v>97</v>
      </c>
      <c r="U3573" s="1">
        <v>1.00640433E8</v>
      </c>
      <c r="X3573" s="1" t="s">
        <v>125</v>
      </c>
      <c r="Y3573" s="1" t="s">
        <v>3631</v>
      </c>
      <c r="Z3573" s="1" t="s">
        <v>37</v>
      </c>
    </row>
    <row r="3574" hidden="1">
      <c r="A3574" s="1" t="s">
        <v>10440</v>
      </c>
      <c r="B3574" s="1" t="s">
        <v>1042</v>
      </c>
      <c r="C3574" s="1" t="s">
        <v>10441</v>
      </c>
      <c r="D3574" s="1" t="s">
        <v>27</v>
      </c>
      <c r="E3574" s="1" t="s">
        <v>28</v>
      </c>
      <c r="F3574" s="2">
        <v>250000.0</v>
      </c>
      <c r="G3574" s="1" t="s">
        <v>343</v>
      </c>
      <c r="H3574" s="4">
        <f>IFERROR(__xludf.DUMMYFUNCTION("DATE(INDEX(SPLIT(G3574,""/""),,3),INDEX(SPLIT(G3574,""/""),,2),INDEX(SPLIT(G3574,""/""),,1))"),44761.0)</f>
        <v>44761</v>
      </c>
      <c r="I3574" s="1" t="s">
        <v>130</v>
      </c>
      <c r="J3574" s="4">
        <f>IFERROR(__xludf.DUMMYFUNCTION("DATE(INDEX(SPLIT(I3574,""/""),,3),INDEX(SPLIT(I3574,""/""),,2),INDEX(SPLIT(I3574,""/""),,1))"),44804.0)</f>
        <v>44804</v>
      </c>
      <c r="L3574" s="1">
        <v>0.0</v>
      </c>
      <c r="M3574" s="1" t="s">
        <v>86</v>
      </c>
      <c r="N3574" s="1"/>
      <c r="O3574" s="1" t="s">
        <v>30</v>
      </c>
      <c r="P3574" s="1" t="s">
        <v>31</v>
      </c>
      <c r="Q3574" s="1" t="s">
        <v>53</v>
      </c>
      <c r="R3574" s="1" t="s">
        <v>53</v>
      </c>
      <c r="S3574" s="1" t="s">
        <v>54</v>
      </c>
      <c r="U3574" s="1">
        <v>1.00653539E8</v>
      </c>
      <c r="X3574" s="1" t="s">
        <v>88</v>
      </c>
      <c r="Y3574" s="1" t="s">
        <v>3439</v>
      </c>
      <c r="Z3574" s="1" t="s">
        <v>37</v>
      </c>
    </row>
    <row r="3575" hidden="1">
      <c r="A3575" s="1" t="s">
        <v>10442</v>
      </c>
      <c r="B3575" s="1" t="s">
        <v>10443</v>
      </c>
      <c r="C3575" s="1" t="s">
        <v>10444</v>
      </c>
      <c r="D3575" s="1" t="s">
        <v>27</v>
      </c>
      <c r="E3575" s="1" t="s">
        <v>28</v>
      </c>
      <c r="F3575" s="2">
        <v>250000.0</v>
      </c>
      <c r="G3575" s="4">
        <v>44327.0</v>
      </c>
      <c r="H3575" s="4">
        <f>IFERROR(__xludf.DUMMYFUNCTION("DATE(INDEX(SPLIT(G3575,""/""),,3),INDEX(SPLIT(G3575,""/""),,2),INDEX(SPLIT(G3575,""/""),,1))"),44505.0)</f>
        <v>44505</v>
      </c>
      <c r="I3575" s="1" t="s">
        <v>281</v>
      </c>
      <c r="J3575" s="4">
        <f>IFERROR(__xludf.DUMMYFUNCTION("DATE(INDEX(SPLIT(I3575,""/""),,3),INDEX(SPLIT(I3575,""/""),,2),INDEX(SPLIT(I3575,""/""),,1))"),44865.0)</f>
        <v>44865</v>
      </c>
      <c r="L3575" s="1">
        <v>0.0</v>
      </c>
      <c r="M3575" s="1" t="s">
        <v>1230</v>
      </c>
      <c r="N3575" s="1"/>
      <c r="O3575" s="1" t="s">
        <v>30</v>
      </c>
      <c r="P3575" s="1" t="s">
        <v>31</v>
      </c>
      <c r="Q3575" s="1" t="s">
        <v>53</v>
      </c>
      <c r="R3575" s="1" t="s">
        <v>53</v>
      </c>
      <c r="S3575" s="1" t="s">
        <v>54</v>
      </c>
      <c r="T3575" s="1" t="s">
        <v>80</v>
      </c>
      <c r="U3575" s="1">
        <v>1.01127868E8</v>
      </c>
      <c r="X3575" s="1" t="s">
        <v>312</v>
      </c>
      <c r="Y3575" s="1" t="s">
        <v>2367</v>
      </c>
      <c r="Z3575" s="1" t="s">
        <v>37</v>
      </c>
    </row>
    <row r="3576">
      <c r="A3576" s="1" t="s">
        <v>10445</v>
      </c>
      <c r="B3576" s="1" t="s">
        <v>2295</v>
      </c>
      <c r="C3576" s="1" t="s">
        <v>10446</v>
      </c>
      <c r="D3576" s="1" t="s">
        <v>122</v>
      </c>
      <c r="E3576" s="1" t="s">
        <v>28</v>
      </c>
      <c r="F3576" s="2">
        <v>250000.0</v>
      </c>
      <c r="G3576" s="4">
        <v>44900.0</v>
      </c>
      <c r="H3576" s="4">
        <f>IFERROR(__xludf.DUMMYFUNCTION("DATE(INDEX(SPLIT(G3576,""/""),,3),INDEX(SPLIT(G3576,""/""),,2),INDEX(SPLIT(G3576,""/""),,1))"),44693.0)</f>
        <v>44693</v>
      </c>
      <c r="I3576" s="1" t="s">
        <v>226</v>
      </c>
      <c r="J3576" s="4">
        <f>IFERROR(__xludf.DUMMYFUNCTION("DATE(INDEX(SPLIT(I3576,""/""),,3),INDEX(SPLIT(I3576,""/""),,2),INDEX(SPLIT(I3576,""/""),,1))"),44771.0)</f>
        <v>44771</v>
      </c>
      <c r="L3576" s="1">
        <v>0.0</v>
      </c>
      <c r="M3576" s="1" t="s">
        <v>936</v>
      </c>
      <c r="N3576" s="1"/>
      <c r="O3576" s="1" t="s">
        <v>30</v>
      </c>
      <c r="P3576" s="1" t="s">
        <v>31</v>
      </c>
      <c r="Q3576" s="1" t="s">
        <v>71</v>
      </c>
      <c r="R3576" s="1" t="s">
        <v>71</v>
      </c>
      <c r="S3576" s="1" t="s">
        <v>72</v>
      </c>
      <c r="T3576" s="1" t="s">
        <v>73</v>
      </c>
      <c r="U3576" s="1">
        <v>1.00941744E8</v>
      </c>
      <c r="X3576" s="1" t="s">
        <v>74</v>
      </c>
      <c r="Y3576" s="1" t="s">
        <v>936</v>
      </c>
      <c r="Z3576" s="1" t="s">
        <v>37</v>
      </c>
    </row>
    <row r="3577">
      <c r="A3577" s="1" t="s">
        <v>10447</v>
      </c>
      <c r="B3577" s="1" t="s">
        <v>337</v>
      </c>
      <c r="C3577" s="1" t="s">
        <v>10448</v>
      </c>
      <c r="D3577" s="1" t="s">
        <v>27</v>
      </c>
      <c r="E3577" s="1" t="s">
        <v>28</v>
      </c>
      <c r="F3577" s="2">
        <v>250000.0</v>
      </c>
      <c r="G3577" s="4">
        <v>44239.0</v>
      </c>
      <c r="H3577" s="4">
        <f>IFERROR(__xludf.DUMMYFUNCTION("DATE(INDEX(SPLIT(G3577,""/""),,3),INDEX(SPLIT(G3577,""/""),,2),INDEX(SPLIT(G3577,""/""),,1))"),44532.0)</f>
        <v>44532</v>
      </c>
      <c r="I3577" s="1" t="s">
        <v>226</v>
      </c>
      <c r="J3577" s="4">
        <f>IFERROR(__xludf.DUMMYFUNCTION("DATE(INDEX(SPLIT(I3577,""/""),,3),INDEX(SPLIT(I3577,""/""),,2),INDEX(SPLIT(I3577,""/""),,1))"),44771.0)</f>
        <v>44771</v>
      </c>
      <c r="L3577" s="1">
        <v>0.0</v>
      </c>
      <c r="M3577" s="1" t="s">
        <v>5814</v>
      </c>
      <c r="N3577" s="1"/>
      <c r="O3577" s="1" t="s">
        <v>30</v>
      </c>
      <c r="P3577" s="1" t="s">
        <v>31</v>
      </c>
      <c r="Q3577" s="1" t="s">
        <v>53</v>
      </c>
      <c r="R3577" s="1" t="s">
        <v>53</v>
      </c>
      <c r="S3577" s="1" t="s">
        <v>54</v>
      </c>
      <c r="T3577" s="1" t="s">
        <v>2372</v>
      </c>
      <c r="U3577" s="1">
        <v>1.00910509E8</v>
      </c>
      <c r="X3577" s="1" t="s">
        <v>239</v>
      </c>
      <c r="Y3577" s="1" t="s">
        <v>5814</v>
      </c>
      <c r="Z3577" s="1" t="s">
        <v>37</v>
      </c>
    </row>
    <row r="3578" hidden="1">
      <c r="A3578" s="1" t="s">
        <v>10449</v>
      </c>
      <c r="B3578" s="1" t="s">
        <v>177</v>
      </c>
      <c r="C3578" s="1" t="s">
        <v>10450</v>
      </c>
      <c r="D3578" s="1" t="s">
        <v>27</v>
      </c>
      <c r="E3578" s="1" t="s">
        <v>28</v>
      </c>
      <c r="F3578" s="2">
        <v>250000.0</v>
      </c>
      <c r="G3578" s="4">
        <v>44899.0</v>
      </c>
      <c r="H3578" s="4">
        <f>IFERROR(__xludf.DUMMYFUNCTION("DATE(INDEX(SPLIT(G3578,""/""),,3),INDEX(SPLIT(G3578,""/""),,2),INDEX(SPLIT(G3578,""/""),,1))"),44663.0)</f>
        <v>44663</v>
      </c>
      <c r="I3578" s="1" t="s">
        <v>921</v>
      </c>
      <c r="J3578" s="4">
        <f>IFERROR(__xludf.DUMMYFUNCTION("DATE(INDEX(SPLIT(I3578,""/""),,3),INDEX(SPLIT(I3578,""/""),,2),INDEX(SPLIT(I3578,""/""),,1))"),44981.0)</f>
        <v>44981</v>
      </c>
      <c r="L3578" s="1">
        <v>0.0</v>
      </c>
      <c r="M3578" s="1" t="s">
        <v>10451</v>
      </c>
      <c r="N3578" s="1"/>
      <c r="O3578" s="1" t="s">
        <v>30</v>
      </c>
      <c r="P3578" s="1" t="s">
        <v>31</v>
      </c>
      <c r="Q3578" s="1" t="s">
        <v>71</v>
      </c>
      <c r="R3578" s="1" t="s">
        <v>71</v>
      </c>
      <c r="S3578" s="1" t="s">
        <v>72</v>
      </c>
      <c r="T3578" s="1" t="s">
        <v>10452</v>
      </c>
      <c r="U3578" s="1">
        <v>1.00608247E8</v>
      </c>
      <c r="X3578" s="1" t="s">
        <v>74</v>
      </c>
      <c r="Y3578" s="1" t="s">
        <v>10453</v>
      </c>
      <c r="Z3578" s="1" t="s">
        <v>37</v>
      </c>
    </row>
    <row r="3579" hidden="1">
      <c r="A3579" s="1" t="s">
        <v>10454</v>
      </c>
      <c r="B3579" s="1" t="s">
        <v>10455</v>
      </c>
      <c r="C3579" s="1" t="s">
        <v>10456</v>
      </c>
      <c r="D3579" s="1" t="s">
        <v>78</v>
      </c>
      <c r="E3579" s="1" t="s">
        <v>28</v>
      </c>
      <c r="F3579" s="2">
        <v>250000.0</v>
      </c>
      <c r="G3579" s="1" t="s">
        <v>714</v>
      </c>
      <c r="H3579" s="4">
        <f>IFERROR(__xludf.DUMMYFUNCTION("DATE(INDEX(SPLIT(G3579,""/""),,3),INDEX(SPLIT(G3579,""/""),,2),INDEX(SPLIT(G3579,""/""),,1))"),44546.0)</f>
        <v>44546</v>
      </c>
      <c r="I3579" s="1" t="s">
        <v>872</v>
      </c>
      <c r="J3579" s="4">
        <f>IFERROR(__xludf.DUMMYFUNCTION("DATE(INDEX(SPLIT(I3579,""/""),,3),INDEX(SPLIT(I3579,""/""),,2),INDEX(SPLIT(I3579,""/""),,1))"),44820.0)</f>
        <v>44820</v>
      </c>
      <c r="L3579" s="1">
        <v>0.0</v>
      </c>
      <c r="M3579" s="1" t="s">
        <v>3670</v>
      </c>
      <c r="N3579" s="1"/>
      <c r="O3579" s="1" t="s">
        <v>30</v>
      </c>
      <c r="P3579" s="1" t="s">
        <v>31</v>
      </c>
      <c r="Q3579" s="1" t="s">
        <v>228</v>
      </c>
      <c r="R3579" s="1" t="s">
        <v>228</v>
      </c>
      <c r="S3579" s="1" t="s">
        <v>229</v>
      </c>
      <c r="T3579" s="1" t="s">
        <v>640</v>
      </c>
      <c r="U3579" s="1">
        <v>1.01093737E8</v>
      </c>
      <c r="X3579" s="1" t="s">
        <v>2769</v>
      </c>
      <c r="Y3579" s="1" t="s">
        <v>3670</v>
      </c>
      <c r="Z3579" s="1" t="s">
        <v>206</v>
      </c>
    </row>
    <row r="3580">
      <c r="A3580" s="1" t="s">
        <v>10457</v>
      </c>
      <c r="B3580" s="1" t="s">
        <v>2131</v>
      </c>
      <c r="C3580" s="1" t="s">
        <v>10458</v>
      </c>
      <c r="D3580" s="1" t="s">
        <v>78</v>
      </c>
      <c r="E3580" s="1" t="s">
        <v>28</v>
      </c>
      <c r="F3580" s="2">
        <v>250000.0</v>
      </c>
      <c r="G3580" s="4">
        <v>44238.0</v>
      </c>
      <c r="H3580" s="4">
        <f>IFERROR(__xludf.DUMMYFUNCTION("DATE(INDEX(SPLIT(G3580,""/""),,3),INDEX(SPLIT(G3580,""/""),,2),INDEX(SPLIT(G3580,""/""),,1))"),44502.0)</f>
        <v>44502</v>
      </c>
      <c r="I3580" s="1" t="s">
        <v>69</v>
      </c>
      <c r="J3580" s="4">
        <f>IFERROR(__xludf.DUMMYFUNCTION("DATE(INDEX(SPLIT(I3580,""/""),,3),INDEX(SPLIT(I3580,""/""),,2),INDEX(SPLIT(I3580,""/""),,1))"),44773.0)</f>
        <v>44773</v>
      </c>
      <c r="L3580" s="1">
        <v>0.0</v>
      </c>
      <c r="M3580" s="1" t="s">
        <v>4598</v>
      </c>
      <c r="N3580" s="1"/>
      <c r="O3580" s="1" t="s">
        <v>30</v>
      </c>
      <c r="P3580" s="1" t="s">
        <v>31</v>
      </c>
      <c r="Q3580" s="1" t="s">
        <v>157</v>
      </c>
      <c r="R3580" s="1" t="s">
        <v>157</v>
      </c>
      <c r="S3580" s="1" t="s">
        <v>158</v>
      </c>
      <c r="T3580" s="1" t="s">
        <v>237</v>
      </c>
      <c r="U3580" s="1">
        <v>1.00650304E8</v>
      </c>
      <c r="X3580" s="1" t="s">
        <v>239</v>
      </c>
      <c r="Y3580" s="1" t="s">
        <v>3994</v>
      </c>
      <c r="Z3580" s="1" t="s">
        <v>37</v>
      </c>
    </row>
    <row r="3581">
      <c r="A3581" s="1" t="s">
        <v>10459</v>
      </c>
      <c r="B3581" s="1" t="s">
        <v>9720</v>
      </c>
      <c r="C3581" s="1" t="s">
        <v>10460</v>
      </c>
      <c r="D3581" s="1" t="s">
        <v>78</v>
      </c>
      <c r="E3581" s="1" t="s">
        <v>28</v>
      </c>
      <c r="F3581" s="2">
        <v>250000.0</v>
      </c>
      <c r="G3581" s="1" t="s">
        <v>836</v>
      </c>
      <c r="H3581" s="4">
        <f>IFERROR(__xludf.DUMMYFUNCTION("DATE(INDEX(SPLIT(G3581,""/""),,3),INDEX(SPLIT(G3581,""/""),,2),INDEX(SPLIT(G3581,""/""),,1))"),44610.0)</f>
        <v>44610</v>
      </c>
      <c r="I3581" s="1" t="s">
        <v>226</v>
      </c>
      <c r="J3581" s="4">
        <f>IFERROR(__xludf.DUMMYFUNCTION("DATE(INDEX(SPLIT(I3581,""/""),,3),INDEX(SPLIT(I3581,""/""),,2),INDEX(SPLIT(I3581,""/""),,1))"),44771.0)</f>
        <v>44771</v>
      </c>
      <c r="L3581" s="1">
        <v>0.0</v>
      </c>
      <c r="M3581" s="1" t="s">
        <v>5380</v>
      </c>
      <c r="N3581" s="1"/>
      <c r="O3581" s="1" t="s">
        <v>30</v>
      </c>
      <c r="P3581" s="1" t="s">
        <v>31</v>
      </c>
      <c r="Q3581" s="1" t="s">
        <v>188</v>
      </c>
      <c r="R3581" s="1" t="s">
        <v>188</v>
      </c>
      <c r="S3581" s="1" t="s">
        <v>189</v>
      </c>
      <c r="T3581" s="1" t="s">
        <v>345</v>
      </c>
      <c r="U3581" s="1">
        <v>1.00592561E8</v>
      </c>
      <c r="X3581" s="1" t="s">
        <v>88</v>
      </c>
      <c r="Y3581" s="1" t="s">
        <v>5564</v>
      </c>
      <c r="Z3581" s="1" t="s">
        <v>37</v>
      </c>
    </row>
    <row r="3582">
      <c r="A3582" s="1" t="s">
        <v>10461</v>
      </c>
      <c r="B3582" s="1" t="s">
        <v>9720</v>
      </c>
      <c r="C3582" s="1" t="s">
        <v>10462</v>
      </c>
      <c r="D3582" s="1" t="s">
        <v>78</v>
      </c>
      <c r="E3582" s="1" t="s">
        <v>28</v>
      </c>
      <c r="F3582" s="2">
        <v>250000.0</v>
      </c>
      <c r="G3582" s="1" t="s">
        <v>836</v>
      </c>
      <c r="H3582" s="4">
        <f>IFERROR(__xludf.DUMMYFUNCTION("DATE(INDEX(SPLIT(G3582,""/""),,3),INDEX(SPLIT(G3582,""/""),,2),INDEX(SPLIT(G3582,""/""),,1))"),44610.0)</f>
        <v>44610</v>
      </c>
      <c r="I3582" s="1" t="s">
        <v>226</v>
      </c>
      <c r="J3582" s="4">
        <f>IFERROR(__xludf.DUMMYFUNCTION("DATE(INDEX(SPLIT(I3582,""/""),,3),INDEX(SPLIT(I3582,""/""),,2),INDEX(SPLIT(I3582,""/""),,1))"),44771.0)</f>
        <v>44771</v>
      </c>
      <c r="L3582" s="1">
        <v>0.0</v>
      </c>
      <c r="M3582" s="1" t="s">
        <v>5380</v>
      </c>
      <c r="N3582" s="1"/>
      <c r="O3582" s="1" t="s">
        <v>30</v>
      </c>
      <c r="P3582" s="1" t="s">
        <v>31</v>
      </c>
      <c r="Q3582" s="1" t="s">
        <v>188</v>
      </c>
      <c r="R3582" s="1" t="s">
        <v>188</v>
      </c>
      <c r="S3582" s="1" t="s">
        <v>189</v>
      </c>
      <c r="T3582" s="1" t="s">
        <v>345</v>
      </c>
      <c r="U3582" s="1">
        <v>1.00592561E8</v>
      </c>
      <c r="X3582" s="1" t="s">
        <v>88</v>
      </c>
      <c r="Y3582" s="1" t="s">
        <v>5564</v>
      </c>
      <c r="Z3582" s="1" t="s">
        <v>37</v>
      </c>
    </row>
    <row r="3583" hidden="1">
      <c r="A3583" s="1" t="s">
        <v>10463</v>
      </c>
      <c r="B3583" s="1" t="s">
        <v>7339</v>
      </c>
      <c r="C3583" s="1" t="s">
        <v>10464</v>
      </c>
      <c r="D3583" s="1" t="s">
        <v>78</v>
      </c>
      <c r="E3583" s="1" t="s">
        <v>28</v>
      </c>
      <c r="F3583" s="2">
        <v>250000.0</v>
      </c>
      <c r="G3583" s="4">
        <v>44686.0</v>
      </c>
      <c r="H3583" s="4">
        <f>IFERROR(__xludf.DUMMYFUNCTION("DATE(INDEX(SPLIT(G3583,""/""),,3),INDEX(SPLIT(G3583,""/""),,2),INDEX(SPLIT(G3583,""/""),,1))"),44686.0)</f>
        <v>44686</v>
      </c>
      <c r="I3583" s="1" t="s">
        <v>1799</v>
      </c>
      <c r="J3583" s="4">
        <f>IFERROR(__xludf.DUMMYFUNCTION("DATE(INDEX(SPLIT(I3583,""/""),,3),INDEX(SPLIT(I3583,""/""),,2),INDEX(SPLIT(I3583,""/""),,1))"),44788.0)</f>
        <v>44788</v>
      </c>
      <c r="L3583" s="1">
        <v>0.0</v>
      </c>
      <c r="M3583" s="1" t="s">
        <v>1527</v>
      </c>
      <c r="N3583" s="1"/>
      <c r="O3583" s="1" t="s">
        <v>30</v>
      </c>
      <c r="P3583" s="1" t="s">
        <v>31</v>
      </c>
      <c r="Q3583" s="1" t="s">
        <v>95</v>
      </c>
      <c r="R3583" s="1" t="s">
        <v>95</v>
      </c>
      <c r="S3583" s="1" t="s">
        <v>96</v>
      </c>
      <c r="T3583" s="1" t="s">
        <v>489</v>
      </c>
      <c r="U3583" s="1">
        <v>1.00651554E8</v>
      </c>
      <c r="X3583" s="1" t="s">
        <v>490</v>
      </c>
      <c r="Y3583" s="1" t="s">
        <v>985</v>
      </c>
      <c r="Z3583" s="1" t="s">
        <v>37</v>
      </c>
    </row>
    <row r="3584" hidden="1">
      <c r="A3584" s="1" t="s">
        <v>10465</v>
      </c>
      <c r="B3584" s="1" t="s">
        <v>4080</v>
      </c>
      <c r="C3584" s="1" t="s">
        <v>10466</v>
      </c>
      <c r="D3584" s="1" t="s">
        <v>27</v>
      </c>
      <c r="E3584" s="1" t="s">
        <v>28</v>
      </c>
      <c r="F3584" s="2">
        <v>250000.0</v>
      </c>
      <c r="G3584" s="1" t="s">
        <v>185</v>
      </c>
      <c r="H3584" s="4">
        <f>IFERROR(__xludf.DUMMYFUNCTION("DATE(INDEX(SPLIT(G3584,""/""),,3),INDEX(SPLIT(G3584,""/""),,2),INDEX(SPLIT(G3584,""/""),,1))"),44741.0)</f>
        <v>44741</v>
      </c>
      <c r="I3584" s="4">
        <v>44752.0</v>
      </c>
      <c r="J3584" s="4">
        <f>IFERROR(__xludf.DUMMYFUNCTION("DATE(INDEX(SPLIT(I3584,""/""),,3),INDEX(SPLIT(I3584,""/""),,2),INDEX(SPLIT(I3584,""/""),,1))"),44841.0)</f>
        <v>44841</v>
      </c>
      <c r="L3584" s="1">
        <v>0.0</v>
      </c>
      <c r="M3584" s="1" t="s">
        <v>2147</v>
      </c>
      <c r="N3584" s="1"/>
      <c r="O3584" s="1" t="s">
        <v>30</v>
      </c>
      <c r="P3584" s="1" t="s">
        <v>31</v>
      </c>
      <c r="Q3584" s="1" t="s">
        <v>235</v>
      </c>
      <c r="R3584" s="1" t="s">
        <v>235</v>
      </c>
      <c r="S3584" s="1" t="s">
        <v>236</v>
      </c>
      <c r="T3584" s="1" t="s">
        <v>237</v>
      </c>
      <c r="U3584" s="1">
        <v>1.00647935E8</v>
      </c>
      <c r="X3584" s="1" t="s">
        <v>239</v>
      </c>
      <c r="Y3584" s="1" t="s">
        <v>2147</v>
      </c>
      <c r="Z3584" s="1" t="s">
        <v>37</v>
      </c>
    </row>
    <row r="3585" hidden="1">
      <c r="A3585" s="1" t="s">
        <v>10467</v>
      </c>
      <c r="B3585" s="1" t="s">
        <v>1192</v>
      </c>
      <c r="C3585" s="1" t="s">
        <v>10468</v>
      </c>
      <c r="D3585" s="1" t="s">
        <v>27</v>
      </c>
      <c r="E3585" s="1" t="s">
        <v>28</v>
      </c>
      <c r="F3585" s="2">
        <v>250000.0</v>
      </c>
      <c r="G3585" s="4">
        <v>44870.0</v>
      </c>
      <c r="H3585" s="4">
        <f>IFERROR(__xludf.DUMMYFUNCTION("DATE(INDEX(SPLIT(G3585,""/""),,3),INDEX(SPLIT(G3585,""/""),,2),INDEX(SPLIT(G3585,""/""),,1))"),44692.0)</f>
        <v>44692</v>
      </c>
      <c r="I3585" s="4">
        <v>44927.0</v>
      </c>
      <c r="J3585" s="4">
        <f>IFERROR(__xludf.DUMMYFUNCTION("DATE(INDEX(SPLIT(I3585,""/""),,3),INDEX(SPLIT(I3585,""/""),,2),INDEX(SPLIT(I3585,""/""),,1))"),44927.0)</f>
        <v>44927</v>
      </c>
      <c r="L3585" s="1">
        <v>0.0</v>
      </c>
      <c r="M3585" s="1" t="s">
        <v>10469</v>
      </c>
      <c r="N3585" s="1"/>
      <c r="O3585" s="1" t="s">
        <v>30</v>
      </c>
      <c r="P3585" s="1" t="s">
        <v>31</v>
      </c>
      <c r="Q3585" s="1" t="s">
        <v>53</v>
      </c>
      <c r="R3585" s="1" t="s">
        <v>53</v>
      </c>
      <c r="S3585" s="1" t="s">
        <v>54</v>
      </c>
      <c r="T3585" s="1" t="s">
        <v>1386</v>
      </c>
      <c r="U3585" s="1">
        <v>1.01211126E8</v>
      </c>
      <c r="X3585" s="1" t="s">
        <v>125</v>
      </c>
      <c r="Y3585" s="1" t="s">
        <v>10469</v>
      </c>
      <c r="Z3585" s="1" t="s">
        <v>206</v>
      </c>
    </row>
    <row r="3586" hidden="1">
      <c r="A3586" s="1" t="s">
        <v>10470</v>
      </c>
      <c r="B3586" s="1" t="s">
        <v>5483</v>
      </c>
      <c r="C3586" s="1" t="s">
        <v>7991</v>
      </c>
      <c r="D3586" s="1" t="s">
        <v>27</v>
      </c>
      <c r="E3586" s="1" t="s">
        <v>28</v>
      </c>
      <c r="F3586" s="2">
        <v>250000.0</v>
      </c>
      <c r="G3586" s="4">
        <v>44748.0</v>
      </c>
      <c r="H3586" s="4">
        <f>IFERROR(__xludf.DUMMYFUNCTION("DATE(INDEX(SPLIT(G3586,""/""),,3),INDEX(SPLIT(G3586,""/""),,2),INDEX(SPLIT(G3586,""/""),,1))"),44719.0)</f>
        <v>44719</v>
      </c>
      <c r="I3586" s="4">
        <v>44572.0</v>
      </c>
      <c r="J3586" s="4">
        <f>IFERROR(__xludf.DUMMYFUNCTION("DATE(INDEX(SPLIT(I3586,""/""),,3),INDEX(SPLIT(I3586,""/""),,2),INDEX(SPLIT(I3586,""/""),,1))"),44866.0)</f>
        <v>44866</v>
      </c>
      <c r="L3586" s="1">
        <v>0.0</v>
      </c>
      <c r="M3586" s="1" t="s">
        <v>7347</v>
      </c>
      <c r="N3586" s="1"/>
      <c r="O3586" s="1" t="s">
        <v>30</v>
      </c>
      <c r="P3586" s="1" t="s">
        <v>31</v>
      </c>
      <c r="Q3586" s="1" t="s">
        <v>228</v>
      </c>
      <c r="R3586" s="1" t="s">
        <v>228</v>
      </c>
      <c r="S3586" s="1" t="s">
        <v>229</v>
      </c>
      <c r="U3586" s="1">
        <v>1.00613669E8</v>
      </c>
      <c r="X3586" s="1" t="s">
        <v>190</v>
      </c>
      <c r="Y3586" s="1" t="s">
        <v>5485</v>
      </c>
      <c r="Z3586" s="1" t="s">
        <v>527</v>
      </c>
    </row>
    <row r="3587" hidden="1">
      <c r="A3587" s="1" t="s">
        <v>10471</v>
      </c>
      <c r="B3587" s="1" t="s">
        <v>561</v>
      </c>
      <c r="C3587" s="1" t="s">
        <v>10472</v>
      </c>
      <c r="D3587" s="1" t="s">
        <v>78</v>
      </c>
      <c r="E3587" s="1" t="s">
        <v>28</v>
      </c>
      <c r="F3587" s="2">
        <v>250000.0</v>
      </c>
      <c r="G3587" s="4">
        <v>44110.0</v>
      </c>
      <c r="H3587" s="4">
        <f>IFERROR(__xludf.DUMMYFUNCTION("DATE(INDEX(SPLIT(G3587,""/""),,3),INDEX(SPLIT(G3587,""/""),,2),INDEX(SPLIT(G3587,""/""),,1))"),43992.0)</f>
        <v>43992</v>
      </c>
      <c r="I3587" s="1" t="s">
        <v>109</v>
      </c>
      <c r="J3587" s="4">
        <f>IFERROR(__xludf.DUMMYFUNCTION("DATE(INDEX(SPLIT(I3587,""/""),,3),INDEX(SPLIT(I3587,""/""),,2),INDEX(SPLIT(I3587,""/""),,1))"),44834.0)</f>
        <v>44834</v>
      </c>
      <c r="K3587" s="9">
        <v>44053.938888888886</v>
      </c>
      <c r="L3587" s="1">
        <v>0.0</v>
      </c>
      <c r="M3587" s="1" t="s">
        <v>780</v>
      </c>
      <c r="N3587" s="1"/>
      <c r="O3587" s="1" t="s">
        <v>30</v>
      </c>
      <c r="P3587" s="1" t="s">
        <v>31</v>
      </c>
      <c r="Q3587" s="1" t="s">
        <v>157</v>
      </c>
      <c r="R3587" s="1" t="s">
        <v>157</v>
      </c>
      <c r="S3587" s="1" t="s">
        <v>158</v>
      </c>
      <c r="T3587" s="1" t="s">
        <v>442</v>
      </c>
      <c r="U3587" s="1">
        <v>1.00654914E8</v>
      </c>
      <c r="X3587" s="1" t="s">
        <v>361</v>
      </c>
      <c r="Y3587" s="1" t="s">
        <v>4311</v>
      </c>
      <c r="Z3587" s="1" t="s">
        <v>37</v>
      </c>
    </row>
    <row r="3588" hidden="1">
      <c r="A3588" s="1" t="s">
        <v>10473</v>
      </c>
      <c r="B3588" s="1" t="s">
        <v>10474</v>
      </c>
      <c r="C3588" s="1" t="s">
        <v>10475</v>
      </c>
      <c r="D3588" s="1" t="s">
        <v>122</v>
      </c>
      <c r="E3588" s="1" t="s">
        <v>28</v>
      </c>
      <c r="F3588" s="2">
        <v>250000.0</v>
      </c>
      <c r="G3588" s="1" t="s">
        <v>1259</v>
      </c>
      <c r="H3588" s="4">
        <f>IFERROR(__xludf.DUMMYFUNCTION("DATE(INDEX(SPLIT(G3588,""/""),,3),INDEX(SPLIT(G3588,""/""),,2),INDEX(SPLIT(G3588,""/""),,1))"),44763.0)</f>
        <v>44763</v>
      </c>
      <c r="I3588" s="1" t="s">
        <v>1097</v>
      </c>
      <c r="J3588" s="4">
        <f>IFERROR(__xludf.DUMMYFUNCTION("DATE(INDEX(SPLIT(I3588,""/""),,3),INDEX(SPLIT(I3588,""/""),,2),INDEX(SPLIT(I3588,""/""),,1))"),45107.0)</f>
        <v>45107</v>
      </c>
      <c r="L3588" s="1">
        <v>0.0</v>
      </c>
      <c r="M3588" s="1" t="s">
        <v>4477</v>
      </c>
      <c r="N3588" s="1"/>
      <c r="O3588" s="1" t="s">
        <v>30</v>
      </c>
      <c r="P3588" s="1" t="s">
        <v>31</v>
      </c>
      <c r="Q3588" s="1" t="s">
        <v>228</v>
      </c>
      <c r="R3588" s="1" t="s">
        <v>228</v>
      </c>
      <c r="S3588" s="1" t="s">
        <v>229</v>
      </c>
      <c r="T3588" s="1" t="s">
        <v>513</v>
      </c>
      <c r="U3588" s="1">
        <v>1.00592715E8</v>
      </c>
      <c r="X3588" s="1" t="s">
        <v>98</v>
      </c>
      <c r="Y3588" s="1" t="s">
        <v>4477</v>
      </c>
      <c r="Z3588" s="1" t="s">
        <v>37</v>
      </c>
    </row>
    <row r="3589">
      <c r="A3589" s="1" t="s">
        <v>10476</v>
      </c>
      <c r="B3589" s="1" t="s">
        <v>4779</v>
      </c>
      <c r="C3589" s="1" t="s">
        <v>10477</v>
      </c>
      <c r="D3589" s="1" t="s">
        <v>27</v>
      </c>
      <c r="E3589" s="1" t="s">
        <v>28</v>
      </c>
      <c r="F3589" s="2">
        <v>250000.0</v>
      </c>
      <c r="G3589" s="1" t="s">
        <v>1694</v>
      </c>
      <c r="H3589" s="4">
        <f>IFERROR(__xludf.DUMMYFUNCTION("DATE(INDEX(SPLIT(G3589,""/""),,3),INDEX(SPLIT(G3589,""/""),,2),INDEX(SPLIT(G3589,""/""),,1))"),44516.0)</f>
        <v>44516</v>
      </c>
      <c r="I3589" s="1" t="s">
        <v>1244</v>
      </c>
      <c r="J3589" s="4">
        <f>IFERROR(__xludf.DUMMYFUNCTION("DATE(INDEX(SPLIT(I3589,""/""),,3),INDEX(SPLIT(I3589,""/""),,2),INDEX(SPLIT(I3589,""/""),,1))"),44742.0)</f>
        <v>44742</v>
      </c>
      <c r="L3589" s="1">
        <v>0.0</v>
      </c>
      <c r="M3589" s="1" t="s">
        <v>52</v>
      </c>
      <c r="N3589" s="1"/>
      <c r="O3589" s="1" t="s">
        <v>30</v>
      </c>
      <c r="P3589" s="1" t="s">
        <v>31</v>
      </c>
      <c r="Q3589" s="1" t="s">
        <v>53</v>
      </c>
      <c r="R3589" s="1" t="s">
        <v>53</v>
      </c>
      <c r="S3589" s="1" t="s">
        <v>54</v>
      </c>
      <c r="T3589" s="1" t="s">
        <v>103</v>
      </c>
      <c r="U3589" s="1">
        <v>1.01059432E8</v>
      </c>
      <c r="X3589" s="1" t="s">
        <v>312</v>
      </c>
      <c r="Y3589" s="1" t="s">
        <v>2367</v>
      </c>
      <c r="Z3589" s="1" t="s">
        <v>37</v>
      </c>
    </row>
    <row r="3590" hidden="1">
      <c r="A3590" s="1" t="s">
        <v>10478</v>
      </c>
      <c r="B3590" s="1" t="s">
        <v>2439</v>
      </c>
      <c r="C3590" s="1" t="s">
        <v>10479</v>
      </c>
      <c r="D3590" s="1" t="s">
        <v>27</v>
      </c>
      <c r="E3590" s="1" t="s">
        <v>28</v>
      </c>
      <c r="F3590" s="2">
        <v>250000.0</v>
      </c>
      <c r="G3590" s="1" t="s">
        <v>275</v>
      </c>
      <c r="H3590" s="4">
        <f>IFERROR(__xludf.DUMMYFUNCTION("DATE(INDEX(SPLIT(G3590,""/""),,3),INDEX(SPLIT(G3590,""/""),,2),INDEX(SPLIT(G3590,""/""),,1))"),44462.0)</f>
        <v>44462</v>
      </c>
      <c r="I3590" s="1" t="s">
        <v>109</v>
      </c>
      <c r="J3590" s="4">
        <f>IFERROR(__xludf.DUMMYFUNCTION("DATE(INDEX(SPLIT(I3590,""/""),,3),INDEX(SPLIT(I3590,""/""),,2),INDEX(SPLIT(I3590,""/""),,1))"),44834.0)</f>
        <v>44834</v>
      </c>
      <c r="L3590" s="1">
        <v>0.0</v>
      </c>
      <c r="M3590" s="1" t="s">
        <v>1565</v>
      </c>
      <c r="N3590" s="1"/>
      <c r="O3590" s="1" t="s">
        <v>30</v>
      </c>
      <c r="P3590" s="1" t="s">
        <v>31</v>
      </c>
      <c r="Q3590" s="1" t="s">
        <v>157</v>
      </c>
      <c r="R3590" s="1" t="s">
        <v>157</v>
      </c>
      <c r="S3590" s="1" t="s">
        <v>158</v>
      </c>
      <c r="T3590" s="1" t="s">
        <v>442</v>
      </c>
      <c r="U3590" s="1">
        <v>1.00646908E8</v>
      </c>
      <c r="X3590" s="1" t="s">
        <v>781</v>
      </c>
      <c r="Y3590" s="1" t="s">
        <v>3455</v>
      </c>
      <c r="Z3590" s="1" t="s">
        <v>37</v>
      </c>
    </row>
    <row r="3591" hidden="1">
      <c r="A3591" s="1" t="s">
        <v>10480</v>
      </c>
      <c r="B3591" s="1" t="s">
        <v>889</v>
      </c>
      <c r="C3591" s="1" t="s">
        <v>10481</v>
      </c>
      <c r="D3591" s="1" t="s">
        <v>27</v>
      </c>
      <c r="E3591" s="1" t="s">
        <v>28</v>
      </c>
      <c r="F3591" s="2">
        <v>250000.0</v>
      </c>
      <c r="G3591" s="4">
        <v>44870.0</v>
      </c>
      <c r="H3591" s="4">
        <f>IFERROR(__xludf.DUMMYFUNCTION("DATE(INDEX(SPLIT(G3591,""/""),,3),INDEX(SPLIT(G3591,""/""),,2),INDEX(SPLIT(G3591,""/""),,1))"),44692.0)</f>
        <v>44692</v>
      </c>
      <c r="I3591" s="4">
        <v>44927.0</v>
      </c>
      <c r="J3591" s="4">
        <f>IFERROR(__xludf.DUMMYFUNCTION("DATE(INDEX(SPLIT(I3591,""/""),,3),INDEX(SPLIT(I3591,""/""),,2),INDEX(SPLIT(I3591,""/""),,1))"),44927.0)</f>
        <v>44927</v>
      </c>
      <c r="L3591" s="1">
        <v>0.0</v>
      </c>
      <c r="M3591" s="1" t="s">
        <v>10469</v>
      </c>
      <c r="N3591" s="1"/>
      <c r="O3591" s="1" t="s">
        <v>30</v>
      </c>
      <c r="P3591" s="1" t="s">
        <v>31</v>
      </c>
      <c r="Q3591" s="1" t="s">
        <v>53</v>
      </c>
      <c r="R3591" s="1" t="s">
        <v>53</v>
      </c>
      <c r="S3591" s="1" t="s">
        <v>54</v>
      </c>
      <c r="T3591" s="1" t="s">
        <v>1386</v>
      </c>
      <c r="U3591" s="1">
        <v>1.01211126E8</v>
      </c>
      <c r="X3591" s="1" t="s">
        <v>125</v>
      </c>
      <c r="Y3591" s="1" t="s">
        <v>10469</v>
      </c>
      <c r="Z3591" s="1" t="s">
        <v>206</v>
      </c>
    </row>
    <row r="3592" hidden="1">
      <c r="A3592" s="1" t="s">
        <v>10482</v>
      </c>
      <c r="B3592" s="1" t="s">
        <v>954</v>
      </c>
      <c r="C3592" s="1" t="s">
        <v>10483</v>
      </c>
      <c r="D3592" s="1" t="s">
        <v>122</v>
      </c>
      <c r="E3592" s="1" t="s">
        <v>28</v>
      </c>
      <c r="F3592" s="2">
        <v>250000.0</v>
      </c>
      <c r="G3592" s="4">
        <v>44866.0</v>
      </c>
      <c r="H3592" s="4">
        <f>IFERROR(__xludf.DUMMYFUNCTION("DATE(INDEX(SPLIT(G3592,""/""),,3),INDEX(SPLIT(G3592,""/""),,2),INDEX(SPLIT(G3592,""/""),,1))"),44572.0)</f>
        <v>44572</v>
      </c>
      <c r="I3592" s="1" t="s">
        <v>130</v>
      </c>
      <c r="J3592" s="4">
        <f>IFERROR(__xludf.DUMMYFUNCTION("DATE(INDEX(SPLIT(I3592,""/""),,3),INDEX(SPLIT(I3592,""/""),,2),INDEX(SPLIT(I3592,""/""),,1))"),44804.0)</f>
        <v>44804</v>
      </c>
      <c r="L3592" s="1">
        <v>0.0</v>
      </c>
      <c r="M3592" s="1" t="s">
        <v>951</v>
      </c>
      <c r="N3592" s="1"/>
      <c r="O3592" s="1" t="s">
        <v>30</v>
      </c>
      <c r="P3592" s="1" t="s">
        <v>31</v>
      </c>
      <c r="Q3592" s="1" t="s">
        <v>157</v>
      </c>
      <c r="R3592" s="1" t="s">
        <v>157</v>
      </c>
      <c r="S3592" s="1" t="s">
        <v>158</v>
      </c>
      <c r="T3592" s="1" t="s">
        <v>159</v>
      </c>
      <c r="U3592" s="1">
        <v>1.00653269E8</v>
      </c>
      <c r="X3592" s="1" t="s">
        <v>74</v>
      </c>
      <c r="Y3592" s="1" t="s">
        <v>10484</v>
      </c>
      <c r="Z3592" s="1" t="s">
        <v>37</v>
      </c>
    </row>
    <row r="3593" hidden="1">
      <c r="A3593" s="1" t="s">
        <v>10485</v>
      </c>
      <c r="B3593" s="1" t="s">
        <v>4345</v>
      </c>
      <c r="C3593" s="1" t="s">
        <v>10486</v>
      </c>
      <c r="D3593" s="1" t="s">
        <v>122</v>
      </c>
      <c r="E3593" s="1" t="s">
        <v>28</v>
      </c>
      <c r="F3593" s="2">
        <v>250000.0</v>
      </c>
      <c r="G3593" s="4">
        <v>44870.0</v>
      </c>
      <c r="H3593" s="4">
        <f>IFERROR(__xludf.DUMMYFUNCTION("DATE(INDEX(SPLIT(G3593,""/""),,3),INDEX(SPLIT(G3593,""/""),,2),INDEX(SPLIT(G3593,""/""),,1))"),44692.0)</f>
        <v>44692</v>
      </c>
      <c r="I3593" s="1" t="s">
        <v>4867</v>
      </c>
      <c r="J3593" s="4">
        <f>IFERROR(__xludf.DUMMYFUNCTION("DATE(INDEX(SPLIT(I3593,""/""),,3),INDEX(SPLIT(I3593,""/""),,2),INDEX(SPLIT(I3593,""/""),,1))"),44854.0)</f>
        <v>44854</v>
      </c>
      <c r="L3593" s="1">
        <v>0.0</v>
      </c>
      <c r="M3593" s="1" t="s">
        <v>3670</v>
      </c>
      <c r="N3593" s="1"/>
      <c r="O3593" s="1" t="s">
        <v>30</v>
      </c>
      <c r="P3593" s="1" t="s">
        <v>31</v>
      </c>
      <c r="Q3593" s="1" t="s">
        <v>228</v>
      </c>
      <c r="R3593" s="1" t="s">
        <v>228</v>
      </c>
      <c r="S3593" s="1" t="s">
        <v>229</v>
      </c>
      <c r="U3593" s="1">
        <v>1.01093737E8</v>
      </c>
      <c r="X3593" s="1" t="s">
        <v>125</v>
      </c>
      <c r="Y3593" s="1" t="s">
        <v>6196</v>
      </c>
      <c r="Z3593" s="1" t="s">
        <v>206</v>
      </c>
    </row>
    <row r="3594" hidden="1">
      <c r="A3594" s="1" t="s">
        <v>10487</v>
      </c>
      <c r="B3594" s="1" t="s">
        <v>39</v>
      </c>
      <c r="C3594" s="1" t="s">
        <v>10488</v>
      </c>
      <c r="D3594" s="1" t="s">
        <v>27</v>
      </c>
      <c r="E3594" s="1" t="s">
        <v>28</v>
      </c>
      <c r="F3594" s="2">
        <v>250000.0</v>
      </c>
      <c r="G3594" s="4">
        <v>44686.0</v>
      </c>
      <c r="H3594" s="4">
        <f>IFERROR(__xludf.DUMMYFUNCTION("DATE(INDEX(SPLIT(G3594,""/""),,3),INDEX(SPLIT(G3594,""/""),,2),INDEX(SPLIT(G3594,""/""),,1))"),44686.0)</f>
        <v>44686</v>
      </c>
      <c r="I3594" s="1" t="s">
        <v>109</v>
      </c>
      <c r="J3594" s="4">
        <f>IFERROR(__xludf.DUMMYFUNCTION("DATE(INDEX(SPLIT(I3594,""/""),,3),INDEX(SPLIT(I3594,""/""),,2),INDEX(SPLIT(I3594,""/""),,1))"),44834.0)</f>
        <v>44834</v>
      </c>
      <c r="L3594" s="1">
        <v>0.0</v>
      </c>
      <c r="M3594" s="1" t="s">
        <v>1324</v>
      </c>
      <c r="N3594" s="1"/>
      <c r="O3594" s="1" t="s">
        <v>30</v>
      </c>
      <c r="P3594" s="1" t="s">
        <v>31</v>
      </c>
      <c r="Q3594" s="1" t="s">
        <v>188</v>
      </c>
      <c r="R3594" s="1" t="s">
        <v>188</v>
      </c>
      <c r="S3594" s="1" t="s">
        <v>189</v>
      </c>
      <c r="U3594" s="1">
        <v>1.01186492E8</v>
      </c>
      <c r="V3594" s="1" t="s">
        <v>1325</v>
      </c>
      <c r="W3594" s="1" t="s">
        <v>45</v>
      </c>
      <c r="X3594" s="1" t="s">
        <v>46</v>
      </c>
      <c r="Y3594" s="1" t="s">
        <v>1326</v>
      </c>
      <c r="Z3594" s="1" t="s">
        <v>37</v>
      </c>
    </row>
    <row r="3595" hidden="1">
      <c r="A3595" s="1" t="s">
        <v>10489</v>
      </c>
      <c r="B3595" s="1" t="s">
        <v>1216</v>
      </c>
      <c r="C3595" s="1" t="s">
        <v>10490</v>
      </c>
      <c r="D3595" s="1" t="s">
        <v>27</v>
      </c>
      <c r="E3595" s="1" t="s">
        <v>28</v>
      </c>
      <c r="F3595" s="2">
        <v>250000.0</v>
      </c>
      <c r="G3595" s="4">
        <v>44870.0</v>
      </c>
      <c r="H3595" s="4">
        <f>IFERROR(__xludf.DUMMYFUNCTION("DATE(INDEX(SPLIT(G3595,""/""),,3),INDEX(SPLIT(G3595,""/""),,2),INDEX(SPLIT(G3595,""/""),,1))"),44692.0)</f>
        <v>44692</v>
      </c>
      <c r="I3595" s="4">
        <v>44569.0</v>
      </c>
      <c r="J3595" s="4">
        <f>IFERROR(__xludf.DUMMYFUNCTION("DATE(INDEX(SPLIT(I3595,""/""),,3),INDEX(SPLIT(I3595,""/""),,2),INDEX(SPLIT(I3595,""/""),,1))"),44774.0)</f>
        <v>44774</v>
      </c>
      <c r="L3595" s="1">
        <v>0.0</v>
      </c>
      <c r="M3595" s="1" t="s">
        <v>1219</v>
      </c>
      <c r="N3595" s="1"/>
      <c r="O3595" s="1" t="s">
        <v>30</v>
      </c>
      <c r="P3595" s="1" t="s">
        <v>31</v>
      </c>
      <c r="Q3595" s="1" t="s">
        <v>53</v>
      </c>
      <c r="R3595" s="1" t="s">
        <v>53</v>
      </c>
      <c r="S3595" s="1" t="s">
        <v>54</v>
      </c>
      <c r="U3595" s="1">
        <v>1.00968114E8</v>
      </c>
      <c r="X3595" s="1" t="s">
        <v>88</v>
      </c>
      <c r="Y3595" s="1" t="s">
        <v>1219</v>
      </c>
      <c r="Z3595" s="1" t="s">
        <v>37</v>
      </c>
    </row>
    <row r="3596" hidden="1">
      <c r="A3596" s="1" t="s">
        <v>10491</v>
      </c>
      <c r="B3596" s="1" t="s">
        <v>301</v>
      </c>
      <c r="C3596" s="1" t="s">
        <v>10492</v>
      </c>
      <c r="D3596" s="1" t="s">
        <v>78</v>
      </c>
      <c r="E3596" s="1" t="s">
        <v>28</v>
      </c>
      <c r="F3596" s="2">
        <v>250000.0</v>
      </c>
      <c r="G3596" s="4">
        <v>44686.0</v>
      </c>
      <c r="H3596" s="4">
        <f>IFERROR(__xludf.DUMMYFUNCTION("DATE(INDEX(SPLIT(G3596,""/""),,3),INDEX(SPLIT(G3596,""/""),,2),INDEX(SPLIT(G3596,""/""),,1))"),44686.0)</f>
        <v>44686</v>
      </c>
      <c r="I3596" s="1" t="s">
        <v>130</v>
      </c>
      <c r="J3596" s="4">
        <f>IFERROR(__xludf.DUMMYFUNCTION("DATE(INDEX(SPLIT(I3596,""/""),,3),INDEX(SPLIT(I3596,""/""),,2),INDEX(SPLIT(I3596,""/""),,1))"),44804.0)</f>
        <v>44804</v>
      </c>
      <c r="L3596" s="1">
        <v>0.0</v>
      </c>
      <c r="M3596" s="1" t="s">
        <v>1036</v>
      </c>
      <c r="N3596" s="1"/>
      <c r="O3596" s="1" t="s">
        <v>30</v>
      </c>
      <c r="P3596" s="1" t="s">
        <v>31</v>
      </c>
      <c r="Q3596" s="1" t="s">
        <v>95</v>
      </c>
      <c r="R3596" s="1" t="s">
        <v>95</v>
      </c>
      <c r="S3596" s="1" t="s">
        <v>96</v>
      </c>
      <c r="T3596" s="1" t="s">
        <v>111</v>
      </c>
      <c r="U3596" s="1">
        <v>1.00633489E8</v>
      </c>
      <c r="X3596" s="1" t="s">
        <v>305</v>
      </c>
      <c r="Y3596" s="1" t="s">
        <v>306</v>
      </c>
      <c r="Z3596" s="1" t="s">
        <v>37</v>
      </c>
    </row>
    <row r="3597" hidden="1">
      <c r="A3597" s="1" t="s">
        <v>10493</v>
      </c>
      <c r="B3597" s="1" t="s">
        <v>301</v>
      </c>
      <c r="C3597" s="1" t="s">
        <v>10494</v>
      </c>
      <c r="D3597" s="1" t="s">
        <v>27</v>
      </c>
      <c r="E3597" s="1" t="s">
        <v>28</v>
      </c>
      <c r="F3597" s="2">
        <v>250000.0</v>
      </c>
      <c r="G3597" s="4">
        <v>44686.0</v>
      </c>
      <c r="H3597" s="4">
        <f>IFERROR(__xludf.DUMMYFUNCTION("DATE(INDEX(SPLIT(G3597,""/""),,3),INDEX(SPLIT(G3597,""/""),,2),INDEX(SPLIT(G3597,""/""),,1))"),44686.0)</f>
        <v>44686</v>
      </c>
      <c r="I3597" s="1" t="s">
        <v>109</v>
      </c>
      <c r="J3597" s="4">
        <f>IFERROR(__xludf.DUMMYFUNCTION("DATE(INDEX(SPLIT(I3597,""/""),,3),INDEX(SPLIT(I3597,""/""),,2),INDEX(SPLIT(I3597,""/""),,1))"),44834.0)</f>
        <v>44834</v>
      </c>
      <c r="L3597" s="1">
        <v>0.0</v>
      </c>
      <c r="M3597" s="1" t="s">
        <v>1036</v>
      </c>
      <c r="N3597" s="1"/>
      <c r="O3597" s="1" t="s">
        <v>30</v>
      </c>
      <c r="P3597" s="1" t="s">
        <v>31</v>
      </c>
      <c r="Q3597" s="1" t="s">
        <v>95</v>
      </c>
      <c r="R3597" s="1" t="s">
        <v>95</v>
      </c>
      <c r="S3597" s="1" t="s">
        <v>96</v>
      </c>
      <c r="T3597" s="1" t="s">
        <v>111</v>
      </c>
      <c r="U3597" s="1">
        <v>1.00633489E8</v>
      </c>
      <c r="X3597" s="1" t="s">
        <v>305</v>
      </c>
      <c r="Y3597" s="1" t="s">
        <v>306</v>
      </c>
      <c r="Z3597" s="1" t="s">
        <v>37</v>
      </c>
    </row>
    <row r="3598" hidden="1">
      <c r="A3598" s="1" t="s">
        <v>10495</v>
      </c>
      <c r="B3598" s="1" t="s">
        <v>6193</v>
      </c>
      <c r="C3598" s="1" t="s">
        <v>10496</v>
      </c>
      <c r="D3598" s="1" t="s">
        <v>122</v>
      </c>
      <c r="E3598" s="1" t="s">
        <v>28</v>
      </c>
      <c r="F3598" s="2">
        <v>250000.0</v>
      </c>
      <c r="G3598" s="1" t="s">
        <v>333</v>
      </c>
      <c r="H3598" s="4">
        <f>IFERROR(__xludf.DUMMYFUNCTION("DATE(INDEX(SPLIT(G3598,""/""),,3),INDEX(SPLIT(G3598,""/""),,2),INDEX(SPLIT(G3598,""/""),,1))"),44669.0)</f>
        <v>44669</v>
      </c>
      <c r="I3598" s="4">
        <v>44689.0</v>
      </c>
      <c r="J3598" s="4">
        <f>IFERROR(__xludf.DUMMYFUNCTION("DATE(INDEX(SPLIT(I3598,""/""),,3),INDEX(SPLIT(I3598,""/""),,2),INDEX(SPLIT(I3598,""/""),,1))"),44778.0)</f>
        <v>44778</v>
      </c>
      <c r="L3598" s="1">
        <v>0.0</v>
      </c>
      <c r="M3598" s="1" t="s">
        <v>1944</v>
      </c>
      <c r="N3598" s="1"/>
      <c r="O3598" s="1" t="s">
        <v>30</v>
      </c>
      <c r="P3598" s="1" t="s">
        <v>31</v>
      </c>
      <c r="Q3598" s="1" t="s">
        <v>235</v>
      </c>
      <c r="R3598" s="1" t="s">
        <v>235</v>
      </c>
      <c r="S3598" s="1" t="s">
        <v>236</v>
      </c>
      <c r="T3598" s="1" t="s">
        <v>753</v>
      </c>
      <c r="U3598" s="1">
        <v>1.00628186E8</v>
      </c>
      <c r="X3598" s="1" t="s">
        <v>88</v>
      </c>
      <c r="Y3598" s="1" t="s">
        <v>5997</v>
      </c>
      <c r="Z3598" s="1" t="s">
        <v>37</v>
      </c>
    </row>
    <row r="3599" hidden="1">
      <c r="A3599" s="1" t="s">
        <v>10497</v>
      </c>
      <c r="B3599" s="1" t="s">
        <v>3532</v>
      </c>
      <c r="C3599" s="1" t="s">
        <v>10498</v>
      </c>
      <c r="D3599" s="1" t="s">
        <v>78</v>
      </c>
      <c r="E3599" s="1" t="s">
        <v>28</v>
      </c>
      <c r="F3599" s="2">
        <v>250000.0</v>
      </c>
      <c r="G3599" s="4">
        <v>44866.0</v>
      </c>
      <c r="H3599" s="4">
        <f>IFERROR(__xludf.DUMMYFUNCTION("DATE(INDEX(SPLIT(G3599,""/""),,3),INDEX(SPLIT(G3599,""/""),,2),INDEX(SPLIT(G3599,""/""),,1))"),44572.0)</f>
        <v>44572</v>
      </c>
      <c r="I3599" s="1" t="s">
        <v>130</v>
      </c>
      <c r="J3599" s="4">
        <f>IFERROR(__xludf.DUMMYFUNCTION("DATE(INDEX(SPLIT(I3599,""/""),,3),INDEX(SPLIT(I3599,""/""),,2),INDEX(SPLIT(I3599,""/""),,1))"),44804.0)</f>
        <v>44804</v>
      </c>
      <c r="L3599" s="1">
        <v>0.0</v>
      </c>
      <c r="M3599" s="1" t="s">
        <v>1373</v>
      </c>
      <c r="N3599" s="1"/>
      <c r="O3599" s="1" t="s">
        <v>30</v>
      </c>
      <c r="P3599" s="1" t="s">
        <v>31</v>
      </c>
      <c r="Q3599" s="1" t="s">
        <v>95</v>
      </c>
      <c r="R3599" s="1" t="s">
        <v>95</v>
      </c>
      <c r="S3599" s="1" t="s">
        <v>96</v>
      </c>
      <c r="U3599" s="1">
        <v>1.00626753E8</v>
      </c>
      <c r="X3599" s="1" t="s">
        <v>63</v>
      </c>
      <c r="Y3599" s="1" t="s">
        <v>1373</v>
      </c>
      <c r="Z3599" s="1" t="s">
        <v>37</v>
      </c>
    </row>
    <row r="3600" hidden="1">
      <c r="A3600" s="1" t="s">
        <v>10499</v>
      </c>
      <c r="B3600" s="1" t="s">
        <v>997</v>
      </c>
      <c r="C3600" s="1" t="s">
        <v>10500</v>
      </c>
      <c r="D3600" s="1" t="s">
        <v>27</v>
      </c>
      <c r="E3600" s="1" t="s">
        <v>28</v>
      </c>
      <c r="F3600" s="2">
        <v>250000.0</v>
      </c>
      <c r="G3600" s="1" t="s">
        <v>10501</v>
      </c>
      <c r="H3600" s="4">
        <f>IFERROR(__xludf.DUMMYFUNCTION("DATE(INDEX(SPLIT(G3600,""/""),,3),INDEX(SPLIT(G3600,""/""),,2),INDEX(SPLIT(G3600,""/""),,1))"),43127.0)</f>
        <v>43127</v>
      </c>
      <c r="I3600" s="1" t="s">
        <v>430</v>
      </c>
      <c r="J3600" s="4">
        <f>IFERROR(__xludf.DUMMYFUNCTION("DATE(INDEX(SPLIT(I3600,""/""),,3),INDEX(SPLIT(I3600,""/""),,2),INDEX(SPLIT(I3600,""/""),,1))"),44985.0)</f>
        <v>44985</v>
      </c>
      <c r="L3600" s="1">
        <v>0.0</v>
      </c>
      <c r="M3600" s="1" t="s">
        <v>1452</v>
      </c>
      <c r="N3600" s="1"/>
      <c r="O3600" s="1" t="s">
        <v>30</v>
      </c>
      <c r="P3600" s="1" t="s">
        <v>31</v>
      </c>
      <c r="Q3600" s="1" t="s">
        <v>32</v>
      </c>
      <c r="R3600" s="1" t="s">
        <v>32</v>
      </c>
      <c r="S3600" s="1" t="s">
        <v>33</v>
      </c>
      <c r="T3600" s="1" t="s">
        <v>103</v>
      </c>
      <c r="U3600" s="1">
        <v>1.00643044E8</v>
      </c>
      <c r="X3600" s="1" t="s">
        <v>410</v>
      </c>
      <c r="Y3600" s="1" t="s">
        <v>1452</v>
      </c>
      <c r="Z3600" s="1" t="s">
        <v>206</v>
      </c>
    </row>
    <row r="3601">
      <c r="A3601" s="1" t="s">
        <v>10502</v>
      </c>
      <c r="B3601" s="1" t="s">
        <v>10503</v>
      </c>
      <c r="C3601" s="1" t="s">
        <v>10504</v>
      </c>
      <c r="D3601" s="1" t="s">
        <v>78</v>
      </c>
      <c r="E3601" s="1" t="s">
        <v>28</v>
      </c>
      <c r="F3601" s="2">
        <v>250000.0</v>
      </c>
      <c r="G3601" s="4">
        <v>44870.0</v>
      </c>
      <c r="H3601" s="4">
        <f>IFERROR(__xludf.DUMMYFUNCTION("DATE(INDEX(SPLIT(G3601,""/""),,3),INDEX(SPLIT(G3601,""/""),,2),INDEX(SPLIT(G3601,""/""),,1))"),44692.0)</f>
        <v>44692</v>
      </c>
      <c r="I3601" s="1" t="s">
        <v>1244</v>
      </c>
      <c r="J3601" s="4">
        <f>IFERROR(__xludf.DUMMYFUNCTION("DATE(INDEX(SPLIT(I3601,""/""),,3),INDEX(SPLIT(I3601,""/""),,2),INDEX(SPLIT(I3601,""/""),,1))"),44742.0)</f>
        <v>44742</v>
      </c>
      <c r="L3601" s="1">
        <v>0.0</v>
      </c>
      <c r="M3601" s="1" t="s">
        <v>7664</v>
      </c>
      <c r="N3601" s="1"/>
      <c r="O3601" s="1" t="s">
        <v>30</v>
      </c>
      <c r="P3601" s="1" t="s">
        <v>31</v>
      </c>
      <c r="Q3601" s="1" t="s">
        <v>228</v>
      </c>
      <c r="R3601" s="1" t="s">
        <v>228</v>
      </c>
      <c r="S3601" s="1" t="s">
        <v>229</v>
      </c>
      <c r="U3601" s="1">
        <v>1.01120172E8</v>
      </c>
      <c r="X3601" s="1" t="s">
        <v>254</v>
      </c>
      <c r="Y3601" s="1" t="s">
        <v>7664</v>
      </c>
      <c r="Z3601" s="1" t="s">
        <v>527</v>
      </c>
    </row>
    <row r="3602" hidden="1">
      <c r="A3602" s="1" t="s">
        <v>10505</v>
      </c>
      <c r="B3602" s="1" t="s">
        <v>2483</v>
      </c>
      <c r="C3602" s="1" t="s">
        <v>10506</v>
      </c>
      <c r="D3602" s="1" t="s">
        <v>78</v>
      </c>
      <c r="E3602" s="1" t="s">
        <v>28</v>
      </c>
      <c r="F3602" s="2">
        <v>250000.0</v>
      </c>
      <c r="G3602" s="4">
        <v>44533.0</v>
      </c>
      <c r="H3602" s="4">
        <f>IFERROR(__xludf.DUMMYFUNCTION("DATE(INDEX(SPLIT(G3602,""/""),,3),INDEX(SPLIT(G3602,""/""),,2),INDEX(SPLIT(G3602,""/""),,1))"),44267.0)</f>
        <v>44267</v>
      </c>
      <c r="I3602" s="1" t="s">
        <v>109</v>
      </c>
      <c r="J3602" s="4">
        <f>IFERROR(__xludf.DUMMYFUNCTION("DATE(INDEX(SPLIT(I3602,""/""),,3),INDEX(SPLIT(I3602,""/""),,2),INDEX(SPLIT(I3602,""/""),,1))"),44834.0)</f>
        <v>44834</v>
      </c>
      <c r="K3602" s="1" t="s">
        <v>10507</v>
      </c>
      <c r="L3602" s="1">
        <v>0.0</v>
      </c>
      <c r="M3602" s="1" t="s">
        <v>3601</v>
      </c>
      <c r="N3602" s="1"/>
      <c r="O3602" s="1" t="s">
        <v>30</v>
      </c>
      <c r="P3602" s="1" t="s">
        <v>31</v>
      </c>
      <c r="Q3602" s="1" t="s">
        <v>71</v>
      </c>
      <c r="R3602" s="1" t="s">
        <v>71</v>
      </c>
      <c r="S3602" s="1" t="s">
        <v>72</v>
      </c>
      <c r="T3602" s="1" t="s">
        <v>136</v>
      </c>
      <c r="U3602" s="1">
        <v>1.00611547E8</v>
      </c>
      <c r="X3602" s="1" t="s">
        <v>74</v>
      </c>
      <c r="Y3602" s="1" t="s">
        <v>3601</v>
      </c>
      <c r="Z3602" s="1" t="s">
        <v>37</v>
      </c>
    </row>
    <row r="3603" hidden="1">
      <c r="A3603" s="1" t="s">
        <v>10508</v>
      </c>
      <c r="B3603" s="1" t="s">
        <v>315</v>
      </c>
      <c r="C3603" s="1" t="s">
        <v>10509</v>
      </c>
      <c r="D3603" s="1" t="s">
        <v>78</v>
      </c>
      <c r="E3603" s="1" t="s">
        <v>28</v>
      </c>
      <c r="F3603" s="2">
        <v>250000.0</v>
      </c>
      <c r="G3603" s="1" t="s">
        <v>4133</v>
      </c>
      <c r="H3603" s="4">
        <f>IFERROR(__xludf.DUMMYFUNCTION("DATE(INDEX(SPLIT(G3603,""/""),,3),INDEX(SPLIT(G3603,""/""),,2),INDEX(SPLIT(G3603,""/""),,1))"),44495.0)</f>
        <v>44495</v>
      </c>
      <c r="I3603" s="1" t="s">
        <v>109</v>
      </c>
      <c r="J3603" s="4">
        <f>IFERROR(__xludf.DUMMYFUNCTION("DATE(INDEX(SPLIT(I3603,""/""),,3),INDEX(SPLIT(I3603,""/""),,2),INDEX(SPLIT(I3603,""/""),,1))"),44834.0)</f>
        <v>44834</v>
      </c>
      <c r="L3603" s="1">
        <v>0.0</v>
      </c>
      <c r="M3603" s="1" t="s">
        <v>1137</v>
      </c>
      <c r="N3603" s="1"/>
      <c r="O3603" s="1" t="s">
        <v>30</v>
      </c>
      <c r="P3603" s="1" t="s">
        <v>31</v>
      </c>
      <c r="Q3603" s="1" t="s">
        <v>71</v>
      </c>
      <c r="R3603" s="1" t="s">
        <v>71</v>
      </c>
      <c r="S3603" s="1" t="s">
        <v>72</v>
      </c>
      <c r="T3603" s="1" t="s">
        <v>73</v>
      </c>
      <c r="U3603" s="1">
        <v>1.00589728E8</v>
      </c>
      <c r="X3603" s="1" t="s">
        <v>74</v>
      </c>
      <c r="Y3603" s="1" t="s">
        <v>1137</v>
      </c>
      <c r="Z3603" s="1" t="s">
        <v>37</v>
      </c>
    </row>
    <row r="3604" hidden="1">
      <c r="A3604" s="1" t="s">
        <v>10510</v>
      </c>
      <c r="B3604" s="1" t="s">
        <v>9177</v>
      </c>
      <c r="C3604" s="1" t="s">
        <v>10511</v>
      </c>
      <c r="D3604" s="1" t="s">
        <v>78</v>
      </c>
      <c r="E3604" s="1" t="s">
        <v>28</v>
      </c>
      <c r="F3604" s="2">
        <v>250000.0</v>
      </c>
      <c r="G3604" s="1" t="s">
        <v>1244</v>
      </c>
      <c r="H3604" s="4">
        <f>IFERROR(__xludf.DUMMYFUNCTION("DATE(INDEX(SPLIT(G3604,""/""),,3),INDEX(SPLIT(G3604,""/""),,2),INDEX(SPLIT(G3604,""/""),,1))"),44742.0)</f>
        <v>44742</v>
      </c>
      <c r="I3604" s="1" t="s">
        <v>109</v>
      </c>
      <c r="J3604" s="4">
        <f>IFERROR(__xludf.DUMMYFUNCTION("DATE(INDEX(SPLIT(I3604,""/""),,3),INDEX(SPLIT(I3604,""/""),,2),INDEX(SPLIT(I3604,""/""),,1))"),44834.0)</f>
        <v>44834</v>
      </c>
      <c r="L3604" s="1">
        <v>0.0</v>
      </c>
      <c r="M3604" s="1" t="s">
        <v>8690</v>
      </c>
      <c r="N3604" s="1"/>
      <c r="O3604" s="1" t="s">
        <v>30</v>
      </c>
      <c r="P3604" s="1" t="s">
        <v>31</v>
      </c>
      <c r="Q3604" s="1" t="s">
        <v>53</v>
      </c>
      <c r="R3604" s="1" t="s">
        <v>53</v>
      </c>
      <c r="S3604" s="1" t="s">
        <v>54</v>
      </c>
      <c r="T3604" s="1" t="s">
        <v>87</v>
      </c>
      <c r="U3604" s="1">
        <v>1.00990615E8</v>
      </c>
      <c r="X3604" s="1" t="s">
        <v>375</v>
      </c>
      <c r="Y3604" s="1" t="s">
        <v>8690</v>
      </c>
      <c r="Z3604" s="1" t="s">
        <v>527</v>
      </c>
    </row>
    <row r="3605" hidden="1">
      <c r="A3605" s="1" t="s">
        <v>10512</v>
      </c>
      <c r="B3605" s="1" t="s">
        <v>10513</v>
      </c>
      <c r="C3605" s="1" t="s">
        <v>10514</v>
      </c>
      <c r="D3605" s="1" t="s">
        <v>27</v>
      </c>
      <c r="E3605" s="1" t="s">
        <v>28</v>
      </c>
      <c r="F3605" s="2">
        <v>250000.0</v>
      </c>
      <c r="G3605" s="4">
        <v>44686.0</v>
      </c>
      <c r="H3605" s="4">
        <f>IFERROR(__xludf.DUMMYFUNCTION("DATE(INDEX(SPLIT(G3605,""/""),,3),INDEX(SPLIT(G3605,""/""),,2),INDEX(SPLIT(G3605,""/""),,1))"),44686.0)</f>
        <v>44686</v>
      </c>
      <c r="I3605" s="4">
        <v>44751.0</v>
      </c>
      <c r="J3605" s="4">
        <f>IFERROR(__xludf.DUMMYFUNCTION("DATE(INDEX(SPLIT(I3605,""/""),,3),INDEX(SPLIT(I3605,""/""),,2),INDEX(SPLIT(I3605,""/""),,1))"),44811.0)</f>
        <v>44811</v>
      </c>
      <c r="L3605" s="1">
        <v>0.0</v>
      </c>
      <c r="M3605" s="1" t="s">
        <v>4011</v>
      </c>
      <c r="N3605" s="1"/>
      <c r="O3605" s="1" t="s">
        <v>30</v>
      </c>
      <c r="P3605" s="1" t="s">
        <v>31</v>
      </c>
      <c r="Q3605" s="1" t="s">
        <v>95</v>
      </c>
      <c r="R3605" s="1" t="s">
        <v>95</v>
      </c>
      <c r="S3605" s="1" t="s">
        <v>96</v>
      </c>
      <c r="T3605" s="1" t="s">
        <v>97</v>
      </c>
      <c r="U3605" s="1">
        <v>1.00702554E8</v>
      </c>
      <c r="X3605" s="1" t="s">
        <v>781</v>
      </c>
      <c r="Y3605" s="1" t="s">
        <v>4011</v>
      </c>
      <c r="Z3605" s="1" t="s">
        <v>206</v>
      </c>
    </row>
    <row r="3606" hidden="1">
      <c r="A3606" s="1" t="s">
        <v>10515</v>
      </c>
      <c r="B3606" s="1" t="s">
        <v>1185</v>
      </c>
      <c r="C3606" s="1" t="s">
        <v>10516</v>
      </c>
      <c r="D3606" s="1" t="s">
        <v>27</v>
      </c>
      <c r="E3606" s="1" t="s">
        <v>28</v>
      </c>
      <c r="F3606" s="2">
        <v>250000.0</v>
      </c>
      <c r="G3606" s="4">
        <v>44840.0</v>
      </c>
      <c r="H3606" s="4">
        <f>IFERROR(__xludf.DUMMYFUNCTION("DATE(INDEX(SPLIT(G3606,""/""),,3),INDEX(SPLIT(G3606,""/""),,2),INDEX(SPLIT(G3606,""/""),,1))"),44722.0)</f>
        <v>44722</v>
      </c>
      <c r="I3606" s="1" t="s">
        <v>317</v>
      </c>
      <c r="J3606" s="4">
        <f>IFERROR(__xludf.DUMMYFUNCTION("DATE(INDEX(SPLIT(I3606,""/""),,3),INDEX(SPLIT(I3606,""/""),,2),INDEX(SPLIT(I3606,""/""),,1))"),44862.0)</f>
        <v>44862</v>
      </c>
      <c r="L3606" s="1">
        <v>0.0</v>
      </c>
      <c r="M3606" s="1" t="s">
        <v>1704</v>
      </c>
      <c r="N3606" s="1"/>
      <c r="O3606" s="1" t="s">
        <v>30</v>
      </c>
      <c r="P3606" s="1" t="s">
        <v>31</v>
      </c>
      <c r="Q3606" s="1" t="s">
        <v>157</v>
      </c>
      <c r="R3606" s="1" t="s">
        <v>157</v>
      </c>
      <c r="S3606" s="1" t="s">
        <v>158</v>
      </c>
      <c r="T3606" s="1" t="s">
        <v>442</v>
      </c>
      <c r="U3606" s="1">
        <v>1.00654991E8</v>
      </c>
      <c r="X3606" s="1" t="s">
        <v>190</v>
      </c>
      <c r="Y3606" s="1" t="s">
        <v>1969</v>
      </c>
      <c r="Z3606" s="1" t="s">
        <v>37</v>
      </c>
    </row>
    <row r="3607">
      <c r="A3607" s="1" t="s">
        <v>10517</v>
      </c>
      <c r="B3607" s="1" t="s">
        <v>4779</v>
      </c>
      <c r="C3607" s="1" t="s">
        <v>10518</v>
      </c>
      <c r="D3607" s="1" t="s">
        <v>27</v>
      </c>
      <c r="E3607" s="1" t="s">
        <v>28</v>
      </c>
      <c r="F3607" s="2">
        <v>250000.0</v>
      </c>
      <c r="G3607" s="1" t="s">
        <v>1694</v>
      </c>
      <c r="H3607" s="4">
        <f>IFERROR(__xludf.DUMMYFUNCTION("DATE(INDEX(SPLIT(G3607,""/""),,3),INDEX(SPLIT(G3607,""/""),,2),INDEX(SPLIT(G3607,""/""),,1))"),44516.0)</f>
        <v>44516</v>
      </c>
      <c r="I3607" s="1" t="s">
        <v>1244</v>
      </c>
      <c r="J3607" s="4">
        <f>IFERROR(__xludf.DUMMYFUNCTION("DATE(INDEX(SPLIT(I3607,""/""),,3),INDEX(SPLIT(I3607,""/""),,2),INDEX(SPLIT(I3607,""/""),,1))"),44742.0)</f>
        <v>44742</v>
      </c>
      <c r="L3607" s="1">
        <v>0.0</v>
      </c>
      <c r="M3607" s="1" t="s">
        <v>1230</v>
      </c>
      <c r="N3607" s="1"/>
      <c r="O3607" s="1" t="s">
        <v>30</v>
      </c>
      <c r="P3607" s="1" t="s">
        <v>31</v>
      </c>
      <c r="Q3607" s="1" t="s">
        <v>53</v>
      </c>
      <c r="R3607" s="1" t="s">
        <v>53</v>
      </c>
      <c r="S3607" s="1" t="s">
        <v>54</v>
      </c>
      <c r="U3607" s="1">
        <v>1.01127868E8</v>
      </c>
      <c r="X3607" s="1" t="s">
        <v>312</v>
      </c>
      <c r="Y3607" s="1" t="s">
        <v>2367</v>
      </c>
      <c r="Z3607" s="1" t="s">
        <v>37</v>
      </c>
    </row>
    <row r="3608" hidden="1">
      <c r="A3608" s="1" t="s">
        <v>10519</v>
      </c>
      <c r="B3608" s="1" t="s">
        <v>6959</v>
      </c>
      <c r="C3608" s="1" t="s">
        <v>10520</v>
      </c>
      <c r="D3608" s="1" t="s">
        <v>27</v>
      </c>
      <c r="E3608" s="1" t="s">
        <v>28</v>
      </c>
      <c r="F3608" s="2">
        <v>250000.0</v>
      </c>
      <c r="G3608" s="4">
        <v>44418.0</v>
      </c>
      <c r="H3608" s="4">
        <f>IFERROR(__xludf.DUMMYFUNCTION("DATE(INDEX(SPLIT(G3608,""/""),,3),INDEX(SPLIT(G3608,""/""),,2),INDEX(SPLIT(G3608,""/""),,1))"),44477.0)</f>
        <v>44477</v>
      </c>
      <c r="I3608" s="1" t="s">
        <v>203</v>
      </c>
      <c r="J3608" s="4">
        <f>IFERROR(__xludf.DUMMYFUNCTION("DATE(INDEX(SPLIT(I3608,""/""),,3),INDEX(SPLIT(I3608,""/""),,2),INDEX(SPLIT(I3608,""/""),,1))"),44925.0)</f>
        <v>44925</v>
      </c>
      <c r="L3608" s="1">
        <v>0.0</v>
      </c>
      <c r="M3608" s="1" t="s">
        <v>2614</v>
      </c>
      <c r="N3608" s="1"/>
      <c r="O3608" s="1" t="s">
        <v>30</v>
      </c>
      <c r="P3608" s="1" t="s">
        <v>31</v>
      </c>
      <c r="Q3608" s="1" t="s">
        <v>53</v>
      </c>
      <c r="R3608" s="1" t="s">
        <v>53</v>
      </c>
      <c r="S3608" s="1" t="s">
        <v>54</v>
      </c>
      <c r="T3608" s="1" t="s">
        <v>197</v>
      </c>
      <c r="U3608" s="1">
        <v>1.00592932E8</v>
      </c>
      <c r="X3608" s="1" t="s">
        <v>254</v>
      </c>
      <c r="Y3608" s="1" t="s">
        <v>2614</v>
      </c>
      <c r="Z3608" s="1" t="s">
        <v>37</v>
      </c>
    </row>
    <row r="3609" hidden="1">
      <c r="A3609" s="1" t="s">
        <v>10521</v>
      </c>
      <c r="B3609" s="1" t="s">
        <v>704</v>
      </c>
      <c r="C3609" s="1" t="s">
        <v>10522</v>
      </c>
      <c r="D3609" s="1" t="s">
        <v>78</v>
      </c>
      <c r="E3609" s="1" t="s">
        <v>28</v>
      </c>
      <c r="F3609" s="2">
        <v>250000.0</v>
      </c>
      <c r="G3609" s="1" t="s">
        <v>935</v>
      </c>
      <c r="H3609" s="4">
        <f>IFERROR(__xludf.DUMMYFUNCTION("DATE(INDEX(SPLIT(G3609,""/""),,3),INDEX(SPLIT(G3609,""/""),,2),INDEX(SPLIT(G3609,""/""),,1))"),44764.0)</f>
        <v>44764</v>
      </c>
      <c r="I3609" s="4">
        <v>44601.0</v>
      </c>
      <c r="J3609" s="4">
        <f>IFERROR(__xludf.DUMMYFUNCTION("DATE(INDEX(SPLIT(I3609,""/""),,3),INDEX(SPLIT(I3609,""/""),,2),INDEX(SPLIT(I3609,""/""),,1))"),44806.0)</f>
        <v>44806</v>
      </c>
      <c r="L3609" s="1">
        <v>0.0</v>
      </c>
      <c r="M3609" s="1" t="s">
        <v>1548</v>
      </c>
      <c r="N3609" s="1"/>
      <c r="O3609" s="1" t="s">
        <v>30</v>
      </c>
      <c r="P3609" s="1" t="s">
        <v>31</v>
      </c>
      <c r="Q3609" s="1" t="s">
        <v>32</v>
      </c>
      <c r="R3609" s="1" t="s">
        <v>32</v>
      </c>
      <c r="S3609" s="1" t="s">
        <v>33</v>
      </c>
      <c r="U3609" s="1">
        <v>1.01215106E8</v>
      </c>
      <c r="X3609" s="1" t="s">
        <v>35</v>
      </c>
      <c r="Y3609" s="1" t="s">
        <v>1548</v>
      </c>
      <c r="Z3609" s="1" t="s">
        <v>37</v>
      </c>
    </row>
    <row r="3610" hidden="1">
      <c r="A3610" s="1" t="s">
        <v>10523</v>
      </c>
      <c r="B3610" s="1" t="s">
        <v>1634</v>
      </c>
      <c r="C3610" s="1" t="s">
        <v>10524</v>
      </c>
      <c r="D3610" s="1" t="s">
        <v>27</v>
      </c>
      <c r="E3610" s="1" t="s">
        <v>28</v>
      </c>
      <c r="F3610" s="2">
        <v>250000.0</v>
      </c>
      <c r="G3610" s="4">
        <v>44868.0</v>
      </c>
      <c r="H3610" s="4">
        <f>IFERROR(__xludf.DUMMYFUNCTION("DATE(INDEX(SPLIT(G3610,""/""),,3),INDEX(SPLIT(G3610,""/""),,2),INDEX(SPLIT(G3610,""/""),,1))"),44631.0)</f>
        <v>44631</v>
      </c>
      <c r="I3610" s="1" t="s">
        <v>425</v>
      </c>
      <c r="J3610" s="4">
        <f>IFERROR(__xludf.DUMMYFUNCTION("DATE(INDEX(SPLIT(I3610,""/""),,3),INDEX(SPLIT(I3610,""/""),,2),INDEX(SPLIT(I3610,""/""),,1))"),44911.0)</f>
        <v>44911</v>
      </c>
      <c r="L3610" s="1">
        <v>0.0</v>
      </c>
      <c r="M3610" s="1" t="s">
        <v>614</v>
      </c>
      <c r="N3610" s="1"/>
      <c r="O3610" s="1" t="s">
        <v>30</v>
      </c>
      <c r="P3610" s="1" t="s">
        <v>31</v>
      </c>
      <c r="Q3610" s="1" t="s">
        <v>71</v>
      </c>
      <c r="R3610" s="1" t="s">
        <v>71</v>
      </c>
      <c r="S3610" s="1" t="s">
        <v>72</v>
      </c>
      <c r="T3610" s="1" t="s">
        <v>615</v>
      </c>
      <c r="U3610" s="1">
        <v>1.00869732E8</v>
      </c>
      <c r="X3610" s="1" t="s">
        <v>490</v>
      </c>
      <c r="Y3610" s="1" t="s">
        <v>1841</v>
      </c>
      <c r="Z3610" s="1" t="s">
        <v>37</v>
      </c>
    </row>
    <row r="3611" hidden="1">
      <c r="A3611" s="1" t="s">
        <v>10525</v>
      </c>
      <c r="B3611" s="1" t="s">
        <v>2265</v>
      </c>
      <c r="C3611" s="1" t="s">
        <v>10526</v>
      </c>
      <c r="D3611" s="1" t="s">
        <v>27</v>
      </c>
      <c r="E3611" s="1" t="s">
        <v>28</v>
      </c>
      <c r="F3611" s="2">
        <v>250000.0</v>
      </c>
      <c r="G3611" s="1" t="s">
        <v>3349</v>
      </c>
      <c r="H3611" s="4">
        <f>IFERROR(__xludf.DUMMYFUNCTION("DATE(INDEX(SPLIT(G3611,""/""),,3),INDEX(SPLIT(G3611,""/""),,2),INDEX(SPLIT(G3611,""/""),,1))"),44648.0)</f>
        <v>44648</v>
      </c>
      <c r="I3611" s="1" t="s">
        <v>130</v>
      </c>
      <c r="J3611" s="4">
        <f>IFERROR(__xludf.DUMMYFUNCTION("DATE(INDEX(SPLIT(I3611,""/""),,3),INDEX(SPLIT(I3611,""/""),,2),INDEX(SPLIT(I3611,""/""),,1))"),44804.0)</f>
        <v>44804</v>
      </c>
      <c r="L3611" s="1">
        <v>0.0</v>
      </c>
      <c r="M3611" s="1" t="s">
        <v>124</v>
      </c>
      <c r="N3611" s="1"/>
      <c r="O3611" s="1" t="s">
        <v>30</v>
      </c>
      <c r="P3611" s="1" t="s">
        <v>31</v>
      </c>
      <c r="Q3611" s="1" t="s">
        <v>53</v>
      </c>
      <c r="R3611" s="1" t="s">
        <v>53</v>
      </c>
      <c r="S3611" s="1" t="s">
        <v>54</v>
      </c>
      <c r="U3611" s="1">
        <v>1.00651441E8</v>
      </c>
      <c r="X3611" s="1" t="s">
        <v>239</v>
      </c>
      <c r="Y3611" s="1" t="s">
        <v>3586</v>
      </c>
      <c r="Z3611" s="1" t="s">
        <v>37</v>
      </c>
    </row>
    <row r="3612">
      <c r="A3612" s="1" t="s">
        <v>10527</v>
      </c>
      <c r="B3612" s="1" t="s">
        <v>6293</v>
      </c>
      <c r="C3612" s="1" t="s">
        <v>10528</v>
      </c>
      <c r="D3612" s="1" t="s">
        <v>122</v>
      </c>
      <c r="E3612" s="1" t="s">
        <v>28</v>
      </c>
      <c r="F3612" s="2">
        <v>250000.0</v>
      </c>
      <c r="G3612" s="1" t="s">
        <v>3853</v>
      </c>
      <c r="H3612" s="4">
        <f>IFERROR(__xludf.DUMMYFUNCTION("DATE(INDEX(SPLIT(G3612,""/""),,3),INDEX(SPLIT(G3612,""/""),,2),INDEX(SPLIT(G3612,""/""),,1))"),44679.0)</f>
        <v>44679</v>
      </c>
      <c r="I3612" s="1" t="s">
        <v>226</v>
      </c>
      <c r="J3612" s="4">
        <f>IFERROR(__xludf.DUMMYFUNCTION("DATE(INDEX(SPLIT(I3612,""/""),,3),INDEX(SPLIT(I3612,""/""),,2),INDEX(SPLIT(I3612,""/""),,1))"),44771.0)</f>
        <v>44771</v>
      </c>
      <c r="L3612" s="1">
        <v>0.0</v>
      </c>
      <c r="M3612" s="1" t="s">
        <v>1433</v>
      </c>
      <c r="N3612" s="1"/>
      <c r="O3612" s="1" t="s">
        <v>30</v>
      </c>
      <c r="P3612" s="1" t="s">
        <v>31</v>
      </c>
      <c r="Q3612" s="1" t="s">
        <v>228</v>
      </c>
      <c r="R3612" s="1" t="s">
        <v>228</v>
      </c>
      <c r="S3612" s="1" t="s">
        <v>229</v>
      </c>
      <c r="T3612" s="1" t="s">
        <v>505</v>
      </c>
      <c r="U3612" s="1">
        <v>1.00609118E8</v>
      </c>
      <c r="X3612" s="1" t="s">
        <v>490</v>
      </c>
      <c r="Y3612" s="1" t="s">
        <v>1433</v>
      </c>
      <c r="Z3612" s="1" t="s">
        <v>37</v>
      </c>
    </row>
    <row r="3613" hidden="1">
      <c r="A3613" s="1" t="s">
        <v>10529</v>
      </c>
      <c r="B3613" s="1" t="s">
        <v>612</v>
      </c>
      <c r="C3613" s="1" t="s">
        <v>10530</v>
      </c>
      <c r="D3613" s="1" t="s">
        <v>27</v>
      </c>
      <c r="E3613" s="1" t="s">
        <v>28</v>
      </c>
      <c r="F3613" s="2">
        <v>250000.0</v>
      </c>
      <c r="G3613" s="4">
        <v>44868.0</v>
      </c>
      <c r="H3613" s="4">
        <f>IFERROR(__xludf.DUMMYFUNCTION("DATE(INDEX(SPLIT(G3613,""/""),,3),INDEX(SPLIT(G3613,""/""),,2),INDEX(SPLIT(G3613,""/""),,1))"),44631.0)</f>
        <v>44631</v>
      </c>
      <c r="I3613" s="1" t="s">
        <v>360</v>
      </c>
      <c r="J3613" s="4">
        <f>IFERROR(__xludf.DUMMYFUNCTION("DATE(INDEX(SPLIT(I3613,""/""),,3),INDEX(SPLIT(I3613,""/""),,2),INDEX(SPLIT(I3613,""/""),,1))"),44895.0)</f>
        <v>44895</v>
      </c>
      <c r="L3613" s="1">
        <v>0.0</v>
      </c>
      <c r="M3613" s="1" t="s">
        <v>614</v>
      </c>
      <c r="N3613" s="1"/>
      <c r="O3613" s="1" t="s">
        <v>30</v>
      </c>
      <c r="P3613" s="1" t="s">
        <v>31</v>
      </c>
      <c r="Q3613" s="1" t="s">
        <v>71</v>
      </c>
      <c r="R3613" s="1" t="s">
        <v>71</v>
      </c>
      <c r="S3613" s="1" t="s">
        <v>72</v>
      </c>
      <c r="T3613" s="1" t="s">
        <v>615</v>
      </c>
      <c r="U3613" s="1">
        <v>1.00869732E8</v>
      </c>
      <c r="X3613" s="1" t="s">
        <v>490</v>
      </c>
      <c r="Y3613" s="1" t="s">
        <v>1841</v>
      </c>
      <c r="Z3613" s="1" t="s">
        <v>37</v>
      </c>
    </row>
    <row r="3614" hidden="1">
      <c r="A3614" s="1" t="s">
        <v>10531</v>
      </c>
      <c r="B3614" s="1" t="s">
        <v>4345</v>
      </c>
      <c r="C3614" s="1" t="s">
        <v>10532</v>
      </c>
      <c r="D3614" s="1" t="s">
        <v>27</v>
      </c>
      <c r="E3614" s="1" t="s">
        <v>28</v>
      </c>
      <c r="F3614" s="2">
        <v>250000.0</v>
      </c>
      <c r="G3614" s="4">
        <v>44713.0</v>
      </c>
      <c r="H3614" s="4">
        <f>IFERROR(__xludf.DUMMYFUNCTION("DATE(INDEX(SPLIT(G3614,""/""),,3),INDEX(SPLIT(G3614,""/""),,2),INDEX(SPLIT(G3614,""/""),,1))"),44567.0)</f>
        <v>44567</v>
      </c>
      <c r="I3614" s="1" t="s">
        <v>85</v>
      </c>
      <c r="J3614" s="4">
        <f>IFERROR(__xludf.DUMMYFUNCTION("DATE(INDEX(SPLIT(I3614,""/""),,3),INDEX(SPLIT(I3614,""/""),,2),INDEX(SPLIT(I3614,""/""),,1))"),44799.0)</f>
        <v>44799</v>
      </c>
      <c r="L3614" s="1">
        <v>0.0</v>
      </c>
      <c r="M3614" s="1" t="s">
        <v>3670</v>
      </c>
      <c r="N3614" s="1"/>
      <c r="O3614" s="1" t="s">
        <v>30</v>
      </c>
      <c r="P3614" s="1" t="s">
        <v>31</v>
      </c>
      <c r="Q3614" s="1" t="s">
        <v>228</v>
      </c>
      <c r="R3614" s="1" t="s">
        <v>228</v>
      </c>
      <c r="S3614" s="1" t="s">
        <v>229</v>
      </c>
      <c r="T3614" s="1" t="s">
        <v>640</v>
      </c>
      <c r="U3614" s="1">
        <v>1.01093737E8</v>
      </c>
      <c r="X3614" s="1" t="s">
        <v>125</v>
      </c>
      <c r="Y3614" s="1" t="s">
        <v>3670</v>
      </c>
      <c r="Z3614" s="1" t="s">
        <v>206</v>
      </c>
    </row>
    <row r="3615" hidden="1">
      <c r="A3615" s="1" t="s">
        <v>10533</v>
      </c>
      <c r="B3615" s="1" t="s">
        <v>1511</v>
      </c>
      <c r="C3615" s="1" t="s">
        <v>10524</v>
      </c>
      <c r="D3615" s="1" t="s">
        <v>78</v>
      </c>
      <c r="E3615" s="1" t="s">
        <v>28</v>
      </c>
      <c r="F3615" s="2">
        <v>250000.0</v>
      </c>
      <c r="G3615" s="4">
        <v>44868.0</v>
      </c>
      <c r="H3615" s="4">
        <f>IFERROR(__xludf.DUMMYFUNCTION("DATE(INDEX(SPLIT(G3615,""/""),,3),INDEX(SPLIT(G3615,""/""),,2),INDEX(SPLIT(G3615,""/""),,1))"),44631.0)</f>
        <v>44631</v>
      </c>
      <c r="I3615" s="1" t="s">
        <v>6544</v>
      </c>
      <c r="J3615" s="4">
        <f>IFERROR(__xludf.DUMMYFUNCTION("DATE(INDEX(SPLIT(I3615,""/""),,3),INDEX(SPLIT(I3615,""/""),,2),INDEX(SPLIT(I3615,""/""),,1))"),44939.0)</f>
        <v>44939</v>
      </c>
      <c r="L3615" s="1">
        <v>0.0</v>
      </c>
      <c r="M3615" s="1" t="s">
        <v>614</v>
      </c>
      <c r="N3615" s="1"/>
      <c r="O3615" s="1" t="s">
        <v>30</v>
      </c>
      <c r="P3615" s="1" t="s">
        <v>31</v>
      </c>
      <c r="Q3615" s="1" t="s">
        <v>71</v>
      </c>
      <c r="R3615" s="1" t="s">
        <v>71</v>
      </c>
      <c r="S3615" s="1" t="s">
        <v>72</v>
      </c>
      <c r="T3615" s="1" t="s">
        <v>615</v>
      </c>
      <c r="U3615" s="1">
        <v>1.00869732E8</v>
      </c>
      <c r="X3615" s="1" t="s">
        <v>490</v>
      </c>
      <c r="Y3615" s="1" t="s">
        <v>1841</v>
      </c>
      <c r="Z3615" s="1" t="s">
        <v>37</v>
      </c>
    </row>
    <row r="3616" hidden="1">
      <c r="A3616" s="1" t="s">
        <v>10534</v>
      </c>
      <c r="B3616" s="1" t="s">
        <v>1762</v>
      </c>
      <c r="C3616" s="1" t="s">
        <v>10524</v>
      </c>
      <c r="D3616" s="1" t="s">
        <v>27</v>
      </c>
      <c r="E3616" s="1" t="s">
        <v>28</v>
      </c>
      <c r="F3616" s="2">
        <v>250000.0</v>
      </c>
      <c r="G3616" s="4">
        <v>44868.0</v>
      </c>
      <c r="H3616" s="4">
        <f>IFERROR(__xludf.DUMMYFUNCTION("DATE(INDEX(SPLIT(G3616,""/""),,3),INDEX(SPLIT(G3616,""/""),,2),INDEX(SPLIT(G3616,""/""),,1))"),44631.0)</f>
        <v>44631</v>
      </c>
      <c r="I3616" s="1" t="s">
        <v>42</v>
      </c>
      <c r="J3616" s="4">
        <f>IFERROR(__xludf.DUMMYFUNCTION("DATE(INDEX(SPLIT(I3616,""/""),,3),INDEX(SPLIT(I3616,""/""),,2),INDEX(SPLIT(I3616,""/""),,1))"),44926.0)</f>
        <v>44926</v>
      </c>
      <c r="L3616" s="1">
        <v>0.0</v>
      </c>
      <c r="M3616" s="1" t="s">
        <v>614</v>
      </c>
      <c r="N3616" s="1"/>
      <c r="O3616" s="1" t="s">
        <v>30</v>
      </c>
      <c r="P3616" s="1" t="s">
        <v>31</v>
      </c>
      <c r="Q3616" s="1" t="s">
        <v>71</v>
      </c>
      <c r="R3616" s="1" t="s">
        <v>71</v>
      </c>
      <c r="S3616" s="1" t="s">
        <v>72</v>
      </c>
      <c r="T3616" s="1" t="s">
        <v>615</v>
      </c>
      <c r="U3616" s="1">
        <v>1.00869732E8</v>
      </c>
      <c r="X3616" s="1" t="s">
        <v>490</v>
      </c>
      <c r="Y3616" s="1" t="s">
        <v>1841</v>
      </c>
      <c r="Z3616" s="1" t="s">
        <v>37</v>
      </c>
    </row>
    <row r="3617" hidden="1">
      <c r="A3617" s="1" t="s">
        <v>10535</v>
      </c>
      <c r="B3617" s="1" t="s">
        <v>1994</v>
      </c>
      <c r="C3617" s="1" t="s">
        <v>10524</v>
      </c>
      <c r="D3617" s="1" t="s">
        <v>27</v>
      </c>
      <c r="E3617" s="1" t="s">
        <v>28</v>
      </c>
      <c r="F3617" s="2">
        <v>250000.0</v>
      </c>
      <c r="G3617" s="4">
        <v>44868.0</v>
      </c>
      <c r="H3617" s="4">
        <f>IFERROR(__xludf.DUMMYFUNCTION("DATE(INDEX(SPLIT(G3617,""/""),,3),INDEX(SPLIT(G3617,""/""),,2),INDEX(SPLIT(G3617,""/""),,1))"),44631.0)</f>
        <v>44631</v>
      </c>
      <c r="I3617" s="1" t="s">
        <v>1097</v>
      </c>
      <c r="J3617" s="4">
        <f>IFERROR(__xludf.DUMMYFUNCTION("DATE(INDEX(SPLIT(I3617,""/""),,3),INDEX(SPLIT(I3617,""/""),,2),INDEX(SPLIT(I3617,""/""),,1))"),45107.0)</f>
        <v>45107</v>
      </c>
      <c r="L3617" s="1">
        <v>0.0</v>
      </c>
      <c r="M3617" s="1" t="s">
        <v>614</v>
      </c>
      <c r="N3617" s="1"/>
      <c r="O3617" s="1" t="s">
        <v>30</v>
      </c>
      <c r="P3617" s="1" t="s">
        <v>31</v>
      </c>
      <c r="Q3617" s="1" t="s">
        <v>71</v>
      </c>
      <c r="R3617" s="1" t="s">
        <v>71</v>
      </c>
      <c r="S3617" s="1" t="s">
        <v>72</v>
      </c>
      <c r="T3617" s="1" t="s">
        <v>615</v>
      </c>
      <c r="U3617" s="1">
        <v>1.00869732E8</v>
      </c>
      <c r="X3617" s="1" t="s">
        <v>490</v>
      </c>
      <c r="Y3617" s="1" t="s">
        <v>1841</v>
      </c>
      <c r="Z3617" s="1" t="s">
        <v>37</v>
      </c>
    </row>
    <row r="3618" hidden="1">
      <c r="A3618" s="1" t="s">
        <v>10536</v>
      </c>
      <c r="B3618" s="1" t="s">
        <v>1991</v>
      </c>
      <c r="C3618" s="1" t="s">
        <v>10524</v>
      </c>
      <c r="D3618" s="1" t="s">
        <v>27</v>
      </c>
      <c r="E3618" s="1" t="s">
        <v>28</v>
      </c>
      <c r="F3618" s="2">
        <v>250000.0</v>
      </c>
      <c r="G3618" s="4">
        <v>44868.0</v>
      </c>
      <c r="H3618" s="4">
        <f>IFERROR(__xludf.DUMMYFUNCTION("DATE(INDEX(SPLIT(G3618,""/""),,3),INDEX(SPLIT(G3618,""/""),,2),INDEX(SPLIT(G3618,""/""),,1))"),44631.0)</f>
        <v>44631</v>
      </c>
      <c r="I3618" s="1" t="s">
        <v>317</v>
      </c>
      <c r="J3618" s="4">
        <f>IFERROR(__xludf.DUMMYFUNCTION("DATE(INDEX(SPLIT(I3618,""/""),,3),INDEX(SPLIT(I3618,""/""),,2),INDEX(SPLIT(I3618,""/""),,1))"),44862.0)</f>
        <v>44862</v>
      </c>
      <c r="L3618" s="1">
        <v>0.0</v>
      </c>
      <c r="M3618" s="1" t="s">
        <v>614</v>
      </c>
      <c r="N3618" s="1"/>
      <c r="O3618" s="1" t="s">
        <v>30</v>
      </c>
      <c r="P3618" s="1" t="s">
        <v>31</v>
      </c>
      <c r="Q3618" s="1" t="s">
        <v>71</v>
      </c>
      <c r="R3618" s="1" t="s">
        <v>71</v>
      </c>
      <c r="S3618" s="1" t="s">
        <v>72</v>
      </c>
      <c r="T3618" s="1" t="s">
        <v>615</v>
      </c>
      <c r="U3618" s="1">
        <v>1.00869732E8</v>
      </c>
      <c r="X3618" s="1" t="s">
        <v>490</v>
      </c>
      <c r="Y3618" s="1" t="s">
        <v>1841</v>
      </c>
      <c r="Z3618" s="1" t="s">
        <v>37</v>
      </c>
    </row>
    <row r="3619" hidden="1">
      <c r="A3619" s="1" t="s">
        <v>10537</v>
      </c>
      <c r="B3619" s="1" t="s">
        <v>8162</v>
      </c>
      <c r="C3619" s="1" t="s">
        <v>10538</v>
      </c>
      <c r="D3619" s="1" t="s">
        <v>27</v>
      </c>
      <c r="E3619" s="1" t="s">
        <v>28</v>
      </c>
      <c r="F3619" s="2">
        <v>250000.0</v>
      </c>
      <c r="G3619" s="1" t="s">
        <v>1004</v>
      </c>
      <c r="H3619" s="4">
        <f>IFERROR(__xludf.DUMMYFUNCTION("DATE(INDEX(SPLIT(G3619,""/""),,3),INDEX(SPLIT(G3619,""/""),,2),INDEX(SPLIT(G3619,""/""),,1))"),44582.0)</f>
        <v>44582</v>
      </c>
      <c r="I3619" s="1" t="s">
        <v>360</v>
      </c>
      <c r="J3619" s="4">
        <f>IFERROR(__xludf.DUMMYFUNCTION("DATE(INDEX(SPLIT(I3619,""/""),,3),INDEX(SPLIT(I3619,""/""),,2),INDEX(SPLIT(I3619,""/""),,1))"),44895.0)</f>
        <v>44895</v>
      </c>
      <c r="L3619" s="1">
        <v>0.0</v>
      </c>
      <c r="M3619" s="1" t="s">
        <v>52</v>
      </c>
      <c r="N3619" s="1"/>
      <c r="O3619" s="1" t="s">
        <v>30</v>
      </c>
      <c r="P3619" s="1" t="s">
        <v>31</v>
      </c>
      <c r="Q3619" s="1" t="s">
        <v>53</v>
      </c>
      <c r="R3619" s="1" t="s">
        <v>53</v>
      </c>
      <c r="S3619" s="1" t="s">
        <v>54</v>
      </c>
      <c r="T3619" s="1" t="s">
        <v>55</v>
      </c>
      <c r="U3619" s="1">
        <v>1.01059432E8</v>
      </c>
      <c r="X3619" s="1" t="s">
        <v>312</v>
      </c>
      <c r="Y3619" s="1" t="s">
        <v>2367</v>
      </c>
      <c r="Z3619" s="1" t="s">
        <v>37</v>
      </c>
    </row>
    <row r="3620" hidden="1">
      <c r="A3620" s="1" t="s">
        <v>10539</v>
      </c>
      <c r="B3620" s="1" t="s">
        <v>532</v>
      </c>
      <c r="C3620" s="1" t="s">
        <v>10540</v>
      </c>
      <c r="D3620" s="1" t="s">
        <v>27</v>
      </c>
      <c r="E3620" s="1" t="s">
        <v>28</v>
      </c>
      <c r="F3620" s="2">
        <v>250000.0</v>
      </c>
      <c r="G3620" s="1" t="s">
        <v>5390</v>
      </c>
      <c r="H3620" s="4">
        <f>IFERROR(__xludf.DUMMYFUNCTION("DATE(INDEX(SPLIT(G3620,""/""),,3),INDEX(SPLIT(G3620,""/""),,2),INDEX(SPLIT(G3620,""/""),,1))"),44307.0)</f>
        <v>44307</v>
      </c>
      <c r="I3620" s="1" t="s">
        <v>109</v>
      </c>
      <c r="J3620" s="4">
        <f>IFERROR(__xludf.DUMMYFUNCTION("DATE(INDEX(SPLIT(I3620,""/""),,3),INDEX(SPLIT(I3620,""/""),,2),INDEX(SPLIT(I3620,""/""),,1))"),44834.0)</f>
        <v>44834</v>
      </c>
      <c r="L3620" s="1">
        <v>0.0</v>
      </c>
      <c r="M3620" s="1" t="s">
        <v>1019</v>
      </c>
      <c r="N3620" s="1"/>
      <c r="O3620" s="1" t="s">
        <v>30</v>
      </c>
      <c r="P3620" s="1" t="s">
        <v>31</v>
      </c>
      <c r="Q3620" s="1" t="s">
        <v>95</v>
      </c>
      <c r="R3620" s="1" t="s">
        <v>95</v>
      </c>
      <c r="S3620" s="1" t="s">
        <v>96</v>
      </c>
      <c r="T3620" s="1" t="s">
        <v>311</v>
      </c>
      <c r="U3620" s="1">
        <v>1.00607644E8</v>
      </c>
      <c r="X3620" s="1" t="s">
        <v>490</v>
      </c>
      <c r="Y3620" s="1" t="s">
        <v>1019</v>
      </c>
      <c r="Z3620" s="1" t="s">
        <v>37</v>
      </c>
    </row>
    <row r="3621" hidden="1">
      <c r="A3621" s="1" t="s">
        <v>10541</v>
      </c>
      <c r="B3621" s="1" t="s">
        <v>3820</v>
      </c>
      <c r="C3621" s="1" t="s">
        <v>10542</v>
      </c>
      <c r="D3621" s="1" t="s">
        <v>27</v>
      </c>
      <c r="E3621" s="1" t="s">
        <v>28</v>
      </c>
      <c r="F3621" s="2">
        <v>250000.0</v>
      </c>
      <c r="G3621" s="1" t="s">
        <v>751</v>
      </c>
      <c r="H3621" s="4">
        <f>IFERROR(__xludf.DUMMYFUNCTION("DATE(INDEX(SPLIT(G3621,""/""),,3),INDEX(SPLIT(G3621,""/""),,2),INDEX(SPLIT(G3621,""/""),,1))"),44519.0)</f>
        <v>44519</v>
      </c>
      <c r="I3621" s="1" t="s">
        <v>281</v>
      </c>
      <c r="J3621" s="4">
        <f>IFERROR(__xludf.DUMMYFUNCTION("DATE(INDEX(SPLIT(I3621,""/""),,3),INDEX(SPLIT(I3621,""/""),,2),INDEX(SPLIT(I3621,""/""),,1))"),44865.0)</f>
        <v>44865</v>
      </c>
      <c r="L3621" s="1">
        <v>0.0</v>
      </c>
      <c r="M3621" s="1" t="s">
        <v>1303</v>
      </c>
      <c r="N3621" s="1"/>
      <c r="O3621" s="1" t="s">
        <v>30</v>
      </c>
      <c r="P3621" s="1" t="s">
        <v>31</v>
      </c>
      <c r="Q3621" s="1" t="s">
        <v>235</v>
      </c>
      <c r="R3621" s="1" t="s">
        <v>235</v>
      </c>
      <c r="S3621" s="1" t="s">
        <v>236</v>
      </c>
      <c r="T3621" s="1" t="s">
        <v>438</v>
      </c>
      <c r="U3621" s="1">
        <v>1.00609073E8</v>
      </c>
      <c r="X3621" s="1" t="s">
        <v>88</v>
      </c>
      <c r="Y3621" s="1" t="s">
        <v>1303</v>
      </c>
      <c r="Z3621" s="1" t="s">
        <v>37</v>
      </c>
    </row>
    <row r="3622" hidden="1">
      <c r="A3622" s="1" t="s">
        <v>10543</v>
      </c>
      <c r="B3622" s="1" t="s">
        <v>605</v>
      </c>
      <c r="C3622" s="1" t="s">
        <v>10544</v>
      </c>
      <c r="D3622" s="1" t="s">
        <v>78</v>
      </c>
      <c r="E3622" s="1" t="s">
        <v>28</v>
      </c>
      <c r="F3622" s="2">
        <v>250000.0</v>
      </c>
      <c r="G3622" s="1" t="s">
        <v>330</v>
      </c>
      <c r="H3622" s="4">
        <f>IFERROR(__xludf.DUMMYFUNCTION("DATE(INDEX(SPLIT(G3622,""/""),,3),INDEX(SPLIT(G3622,""/""),,2),INDEX(SPLIT(G3622,""/""),,1))"),44728.0)</f>
        <v>44728</v>
      </c>
      <c r="I3622" s="1" t="s">
        <v>4867</v>
      </c>
      <c r="J3622" s="4">
        <f>IFERROR(__xludf.DUMMYFUNCTION("DATE(INDEX(SPLIT(I3622,""/""),,3),INDEX(SPLIT(I3622,""/""),,2),INDEX(SPLIT(I3622,""/""),,1))"),44854.0)</f>
        <v>44854</v>
      </c>
      <c r="L3622" s="1">
        <v>0.0</v>
      </c>
      <c r="M3622" s="1" t="s">
        <v>10545</v>
      </c>
      <c r="N3622" s="1"/>
      <c r="O3622" s="1" t="s">
        <v>30</v>
      </c>
      <c r="P3622" s="1" t="s">
        <v>31</v>
      </c>
      <c r="Q3622" s="1" t="s">
        <v>228</v>
      </c>
      <c r="R3622" s="1" t="s">
        <v>228</v>
      </c>
      <c r="S3622" s="1" t="s">
        <v>229</v>
      </c>
      <c r="U3622" s="1">
        <v>1.00584409E8</v>
      </c>
      <c r="X3622" s="1" t="s">
        <v>609</v>
      </c>
      <c r="Y3622" s="1" t="s">
        <v>610</v>
      </c>
      <c r="Z3622" s="1" t="s">
        <v>37</v>
      </c>
    </row>
    <row r="3623" hidden="1">
      <c r="A3623" s="1" t="s">
        <v>10546</v>
      </c>
      <c r="B3623" s="1" t="s">
        <v>10547</v>
      </c>
      <c r="C3623" s="1" t="s">
        <v>10548</v>
      </c>
      <c r="D3623" s="1" t="s">
        <v>78</v>
      </c>
      <c r="E3623" s="1" t="s">
        <v>28</v>
      </c>
      <c r="F3623" s="2">
        <v>250000.0</v>
      </c>
      <c r="G3623" s="4">
        <v>44625.0</v>
      </c>
      <c r="H3623" s="4">
        <f>IFERROR(__xludf.DUMMYFUNCTION("DATE(INDEX(SPLIT(G3623,""/""),,3),INDEX(SPLIT(G3623,""/""),,2),INDEX(SPLIT(G3623,""/""),,1))"),44684.0)</f>
        <v>44684</v>
      </c>
      <c r="I3623" s="1" t="s">
        <v>109</v>
      </c>
      <c r="J3623" s="4">
        <f>IFERROR(__xludf.DUMMYFUNCTION("DATE(INDEX(SPLIT(I3623,""/""),,3),INDEX(SPLIT(I3623,""/""),,2),INDEX(SPLIT(I3623,""/""),,1))"),44834.0)</f>
        <v>44834</v>
      </c>
      <c r="L3623" s="1">
        <v>0.0</v>
      </c>
      <c r="M3623" s="1" t="s">
        <v>4282</v>
      </c>
      <c r="N3623" s="1"/>
      <c r="O3623" s="1" t="s">
        <v>30</v>
      </c>
      <c r="P3623" s="1" t="s">
        <v>31</v>
      </c>
      <c r="Q3623" s="1" t="s">
        <v>53</v>
      </c>
      <c r="R3623" s="1" t="s">
        <v>53</v>
      </c>
      <c r="S3623" s="1" t="s">
        <v>54</v>
      </c>
      <c r="T3623" s="1" t="s">
        <v>55</v>
      </c>
      <c r="U3623" s="1">
        <v>1.01238292E8</v>
      </c>
      <c r="X3623" s="1" t="s">
        <v>117</v>
      </c>
      <c r="Y3623" s="1" t="s">
        <v>4282</v>
      </c>
      <c r="Z3623" s="1" t="s">
        <v>37</v>
      </c>
    </row>
    <row r="3624" hidden="1">
      <c r="A3624" s="1" t="s">
        <v>10549</v>
      </c>
      <c r="B3624" s="1" t="s">
        <v>1748</v>
      </c>
      <c r="C3624" s="1" t="s">
        <v>10550</v>
      </c>
      <c r="D3624" s="1" t="s">
        <v>27</v>
      </c>
      <c r="E3624" s="1" t="s">
        <v>28</v>
      </c>
      <c r="F3624" s="2">
        <v>250000.0</v>
      </c>
      <c r="G3624" s="4">
        <v>44656.0</v>
      </c>
      <c r="H3624" s="4">
        <f>IFERROR(__xludf.DUMMYFUNCTION("DATE(INDEX(SPLIT(G3624,""/""),,3),INDEX(SPLIT(G3624,""/""),,2),INDEX(SPLIT(G3624,""/""),,1))"),44685.0)</f>
        <v>44685</v>
      </c>
      <c r="I3624" s="1" t="s">
        <v>203</v>
      </c>
      <c r="J3624" s="4">
        <f>IFERROR(__xludf.DUMMYFUNCTION("DATE(INDEX(SPLIT(I3624,""/""),,3),INDEX(SPLIT(I3624,""/""),,2),INDEX(SPLIT(I3624,""/""),,1))"),44925.0)</f>
        <v>44925</v>
      </c>
      <c r="L3624" s="1">
        <v>0.0</v>
      </c>
      <c r="M3624" s="1" t="s">
        <v>2488</v>
      </c>
      <c r="N3624" s="1"/>
      <c r="O3624" s="1" t="s">
        <v>30</v>
      </c>
      <c r="P3624" s="1" t="s">
        <v>31</v>
      </c>
      <c r="Q3624" s="1" t="s">
        <v>95</v>
      </c>
      <c r="R3624" s="1" t="s">
        <v>95</v>
      </c>
      <c r="S3624" s="1" t="s">
        <v>96</v>
      </c>
      <c r="U3624" s="1">
        <v>1.00646485E8</v>
      </c>
      <c r="X3624" s="1" t="s">
        <v>88</v>
      </c>
      <c r="Y3624" s="1" t="s">
        <v>2489</v>
      </c>
      <c r="Z3624" s="1" t="s">
        <v>527</v>
      </c>
    </row>
    <row r="3625" hidden="1">
      <c r="A3625" s="1" t="s">
        <v>10551</v>
      </c>
      <c r="B3625" s="1" t="s">
        <v>3324</v>
      </c>
      <c r="C3625" s="1" t="s">
        <v>10552</v>
      </c>
      <c r="D3625" s="1" t="s">
        <v>27</v>
      </c>
      <c r="E3625" s="1" t="s">
        <v>28</v>
      </c>
      <c r="F3625" s="2">
        <v>250000.0</v>
      </c>
      <c r="G3625" s="4">
        <v>44563.0</v>
      </c>
      <c r="H3625" s="4">
        <f>IFERROR(__xludf.DUMMYFUNCTION("DATE(INDEX(SPLIT(G3625,""/""),,3),INDEX(SPLIT(G3625,""/""),,2),INDEX(SPLIT(G3625,""/""),,1))"),44593.0)</f>
        <v>44593</v>
      </c>
      <c r="I3625" s="1" t="s">
        <v>10553</v>
      </c>
      <c r="J3625" s="4">
        <f>IFERROR(__xludf.DUMMYFUNCTION("DATE(INDEX(SPLIT(I3625,""/""),,3),INDEX(SPLIT(I3625,""/""),,2),INDEX(SPLIT(I3625,""/""),,1))"),44881.0)</f>
        <v>44881</v>
      </c>
      <c r="L3625" s="1">
        <v>0.0</v>
      </c>
      <c r="M3625" s="1" t="s">
        <v>3873</v>
      </c>
      <c r="N3625" s="1"/>
      <c r="O3625" s="1" t="s">
        <v>30</v>
      </c>
      <c r="P3625" s="1" t="s">
        <v>31</v>
      </c>
      <c r="Q3625" s="1" t="s">
        <v>53</v>
      </c>
      <c r="R3625" s="1" t="s">
        <v>53</v>
      </c>
      <c r="S3625" s="1" t="s">
        <v>54</v>
      </c>
      <c r="T3625" s="1" t="s">
        <v>1386</v>
      </c>
      <c r="U3625" s="1">
        <v>1.01213659E8</v>
      </c>
      <c r="X3625" s="1" t="s">
        <v>81</v>
      </c>
      <c r="Y3625" s="1" t="s">
        <v>1387</v>
      </c>
      <c r="Z3625" s="1" t="s">
        <v>206</v>
      </c>
    </row>
    <row r="3626" hidden="1">
      <c r="A3626" s="1" t="s">
        <v>10554</v>
      </c>
      <c r="B3626" s="1" t="s">
        <v>10555</v>
      </c>
      <c r="C3626" s="1" t="s">
        <v>10552</v>
      </c>
      <c r="D3626" s="1" t="s">
        <v>27</v>
      </c>
      <c r="E3626" s="1" t="s">
        <v>28</v>
      </c>
      <c r="F3626" s="2">
        <v>250000.0</v>
      </c>
      <c r="G3626" s="4">
        <v>44563.0</v>
      </c>
      <c r="H3626" s="4">
        <f>IFERROR(__xludf.DUMMYFUNCTION("DATE(INDEX(SPLIT(G3626,""/""),,3),INDEX(SPLIT(G3626,""/""),,2),INDEX(SPLIT(G3626,""/""),,1))"),44593.0)</f>
        <v>44593</v>
      </c>
      <c r="I3626" s="1" t="s">
        <v>317</v>
      </c>
      <c r="J3626" s="4">
        <f>IFERROR(__xludf.DUMMYFUNCTION("DATE(INDEX(SPLIT(I3626,""/""),,3),INDEX(SPLIT(I3626,""/""),,2),INDEX(SPLIT(I3626,""/""),,1))"),44862.0)</f>
        <v>44862</v>
      </c>
      <c r="L3626" s="1">
        <v>0.0</v>
      </c>
      <c r="M3626" s="1" t="s">
        <v>3873</v>
      </c>
      <c r="N3626" s="1"/>
      <c r="O3626" s="1" t="s">
        <v>30</v>
      </c>
      <c r="P3626" s="1" t="s">
        <v>31</v>
      </c>
      <c r="Q3626" s="1" t="s">
        <v>53</v>
      </c>
      <c r="R3626" s="1" t="s">
        <v>53</v>
      </c>
      <c r="S3626" s="1" t="s">
        <v>54</v>
      </c>
      <c r="T3626" s="1" t="s">
        <v>1386</v>
      </c>
      <c r="U3626" s="1">
        <v>1.01213659E8</v>
      </c>
      <c r="X3626" s="1" t="s">
        <v>81</v>
      </c>
      <c r="Y3626" s="1" t="s">
        <v>1387</v>
      </c>
      <c r="Z3626" s="1" t="s">
        <v>206</v>
      </c>
    </row>
    <row r="3627">
      <c r="A3627" s="1" t="s">
        <v>10556</v>
      </c>
      <c r="B3627" s="1" t="s">
        <v>10557</v>
      </c>
      <c r="C3627" s="1" t="s">
        <v>10558</v>
      </c>
      <c r="D3627" s="1" t="s">
        <v>78</v>
      </c>
      <c r="E3627" s="1" t="s">
        <v>28</v>
      </c>
      <c r="F3627" s="2">
        <v>250000.0</v>
      </c>
      <c r="G3627" s="4">
        <v>44509.0</v>
      </c>
      <c r="H3627" s="4">
        <f>IFERROR(__xludf.DUMMYFUNCTION("DATE(INDEX(SPLIT(G3627,""/""),,3),INDEX(SPLIT(G3627,""/""),,2),INDEX(SPLIT(G3627,""/""),,1))"),44450.0)</f>
        <v>44450</v>
      </c>
      <c r="I3627" s="4">
        <v>44658.0</v>
      </c>
      <c r="J3627" s="4">
        <f>IFERROR(__xludf.DUMMYFUNCTION("DATE(INDEX(SPLIT(I3627,""/""),,3),INDEX(SPLIT(I3627,""/""),,2),INDEX(SPLIT(I3627,""/""),,1))"),44746.0)</f>
        <v>44746</v>
      </c>
      <c r="L3627" s="1">
        <v>0.0</v>
      </c>
      <c r="M3627" s="1" t="s">
        <v>4016</v>
      </c>
      <c r="N3627" s="1"/>
      <c r="O3627" s="1" t="s">
        <v>30</v>
      </c>
      <c r="P3627" s="1" t="s">
        <v>31</v>
      </c>
      <c r="Q3627" s="1" t="s">
        <v>95</v>
      </c>
      <c r="R3627" s="1" t="s">
        <v>95</v>
      </c>
      <c r="S3627" s="1" t="s">
        <v>96</v>
      </c>
      <c r="T3627" s="1" t="s">
        <v>311</v>
      </c>
      <c r="U3627" s="1">
        <v>1.00628223E8</v>
      </c>
      <c r="X3627" s="1" t="s">
        <v>410</v>
      </c>
      <c r="Y3627" s="1" t="s">
        <v>10559</v>
      </c>
      <c r="Z3627" s="1" t="s">
        <v>206</v>
      </c>
    </row>
    <row r="3628" hidden="1">
      <c r="A3628" s="1" t="s">
        <v>10560</v>
      </c>
      <c r="B3628" s="1" t="s">
        <v>2000</v>
      </c>
      <c r="C3628" s="1" t="s">
        <v>2003</v>
      </c>
      <c r="D3628" s="1" t="s">
        <v>27</v>
      </c>
      <c r="E3628" s="1" t="s">
        <v>28</v>
      </c>
      <c r="F3628" s="2">
        <v>250000.0</v>
      </c>
      <c r="G3628" s="4">
        <v>44383.0</v>
      </c>
      <c r="H3628" s="4">
        <f>IFERROR(__xludf.DUMMYFUNCTION("DATE(INDEX(SPLIT(G3628,""/""),,3),INDEX(SPLIT(G3628,""/""),,2),INDEX(SPLIT(G3628,""/""),,1))"),44354.0)</f>
        <v>44354</v>
      </c>
      <c r="I3628" s="1" t="s">
        <v>109</v>
      </c>
      <c r="J3628" s="4">
        <f>IFERROR(__xludf.DUMMYFUNCTION("DATE(INDEX(SPLIT(I3628,""/""),,3),INDEX(SPLIT(I3628,""/""),,2),INDEX(SPLIT(I3628,""/""),,1))"),44834.0)</f>
        <v>44834</v>
      </c>
      <c r="L3628" s="1">
        <v>0.0</v>
      </c>
      <c r="M3628" s="1" t="s">
        <v>1084</v>
      </c>
      <c r="N3628" s="1"/>
      <c r="O3628" s="1" t="s">
        <v>30</v>
      </c>
      <c r="P3628" s="1" t="s">
        <v>31</v>
      </c>
      <c r="Q3628" s="1" t="s">
        <v>32</v>
      </c>
      <c r="R3628" s="1" t="s">
        <v>32</v>
      </c>
      <c r="S3628" s="1" t="s">
        <v>33</v>
      </c>
      <c r="T3628" s="1" t="s">
        <v>34</v>
      </c>
      <c r="U3628" s="1">
        <v>1.00601386E8</v>
      </c>
      <c r="W3628" s="1" t="s">
        <v>56</v>
      </c>
      <c r="X3628" s="1" t="s">
        <v>81</v>
      </c>
      <c r="Y3628" s="1" t="s">
        <v>1084</v>
      </c>
      <c r="Z3628" s="1" t="s">
        <v>37</v>
      </c>
    </row>
    <row r="3629" hidden="1">
      <c r="A3629" s="1" t="s">
        <v>10561</v>
      </c>
      <c r="B3629" s="1" t="s">
        <v>1772</v>
      </c>
      <c r="C3629" s="1" t="s">
        <v>10552</v>
      </c>
      <c r="D3629" s="1" t="s">
        <v>27</v>
      </c>
      <c r="E3629" s="1" t="s">
        <v>28</v>
      </c>
      <c r="F3629" s="2">
        <v>250000.0</v>
      </c>
      <c r="G3629" s="4">
        <v>44563.0</v>
      </c>
      <c r="H3629" s="4">
        <f>IFERROR(__xludf.DUMMYFUNCTION("DATE(INDEX(SPLIT(G3629,""/""),,3),INDEX(SPLIT(G3629,""/""),,2),INDEX(SPLIT(G3629,""/""),,1))"),44593.0)</f>
        <v>44593</v>
      </c>
      <c r="I3629" s="1" t="s">
        <v>317</v>
      </c>
      <c r="J3629" s="4">
        <f>IFERROR(__xludf.DUMMYFUNCTION("DATE(INDEX(SPLIT(I3629,""/""),,3),INDEX(SPLIT(I3629,""/""),,2),INDEX(SPLIT(I3629,""/""),,1))"),44862.0)</f>
        <v>44862</v>
      </c>
      <c r="L3629" s="1">
        <v>0.0</v>
      </c>
      <c r="M3629" s="1" t="s">
        <v>3873</v>
      </c>
      <c r="N3629" s="1"/>
      <c r="O3629" s="1" t="s">
        <v>30</v>
      </c>
      <c r="P3629" s="1" t="s">
        <v>31</v>
      </c>
      <c r="Q3629" s="1" t="s">
        <v>53</v>
      </c>
      <c r="R3629" s="1" t="s">
        <v>53</v>
      </c>
      <c r="S3629" s="1" t="s">
        <v>54</v>
      </c>
      <c r="T3629" s="1" t="s">
        <v>1386</v>
      </c>
      <c r="U3629" s="1">
        <v>1.01213659E8</v>
      </c>
      <c r="X3629" s="1" t="s">
        <v>81</v>
      </c>
      <c r="Y3629" s="1" t="s">
        <v>1387</v>
      </c>
      <c r="Z3629" s="1" t="s">
        <v>206</v>
      </c>
    </row>
    <row r="3630" hidden="1">
      <c r="A3630" s="1" t="s">
        <v>10562</v>
      </c>
      <c r="B3630" s="1" t="s">
        <v>7618</v>
      </c>
      <c r="C3630" s="1" t="s">
        <v>10563</v>
      </c>
      <c r="D3630" s="1" t="s">
        <v>78</v>
      </c>
      <c r="E3630" s="1" t="s">
        <v>28</v>
      </c>
      <c r="F3630" s="2">
        <v>250000.0</v>
      </c>
      <c r="G3630" s="1" t="s">
        <v>586</v>
      </c>
      <c r="H3630" s="4">
        <f>IFERROR(__xludf.DUMMYFUNCTION("DATE(INDEX(SPLIT(G3630,""/""),,3),INDEX(SPLIT(G3630,""/""),,2),INDEX(SPLIT(G3630,""/""),,1))"),44726.0)</f>
        <v>44726</v>
      </c>
      <c r="I3630" s="1" t="s">
        <v>569</v>
      </c>
      <c r="J3630" s="4">
        <f>IFERROR(__xludf.DUMMYFUNCTION("DATE(INDEX(SPLIT(I3630,""/""),,3),INDEX(SPLIT(I3630,""/""),,2),INDEX(SPLIT(I3630,""/""),,1))"),45016.0)</f>
        <v>45016</v>
      </c>
      <c r="L3630" s="1">
        <v>0.0</v>
      </c>
      <c r="M3630" s="1" t="s">
        <v>2072</v>
      </c>
      <c r="N3630" s="1"/>
      <c r="O3630" s="1" t="s">
        <v>30</v>
      </c>
      <c r="P3630" s="1" t="s">
        <v>31</v>
      </c>
      <c r="Q3630" s="1" t="s">
        <v>71</v>
      </c>
      <c r="R3630" s="1" t="s">
        <v>71</v>
      </c>
      <c r="S3630" s="1" t="s">
        <v>72</v>
      </c>
      <c r="T3630" s="1" t="s">
        <v>136</v>
      </c>
      <c r="U3630" s="1">
        <v>1.00628181E8</v>
      </c>
      <c r="X3630" s="1" t="s">
        <v>74</v>
      </c>
      <c r="Y3630" s="1" t="s">
        <v>10564</v>
      </c>
      <c r="Z3630" s="1" t="s">
        <v>37</v>
      </c>
    </row>
    <row r="3631" hidden="1">
      <c r="A3631" s="1" t="s">
        <v>10565</v>
      </c>
      <c r="B3631" s="1" t="s">
        <v>516</v>
      </c>
      <c r="C3631" s="1" t="s">
        <v>10566</v>
      </c>
      <c r="D3631" s="1" t="s">
        <v>78</v>
      </c>
      <c r="E3631" s="1" t="s">
        <v>28</v>
      </c>
      <c r="F3631" s="2">
        <v>250000.0</v>
      </c>
      <c r="G3631" s="4">
        <v>44777.0</v>
      </c>
      <c r="H3631" s="4">
        <f>IFERROR(__xludf.DUMMYFUNCTION("DATE(INDEX(SPLIT(G3631,""/""),,3),INDEX(SPLIT(G3631,""/""),,2),INDEX(SPLIT(G3631,""/""),,1))"),44659.0)</f>
        <v>44659</v>
      </c>
      <c r="I3631" s="4">
        <v>44689.0</v>
      </c>
      <c r="J3631" s="4">
        <f>IFERROR(__xludf.DUMMYFUNCTION("DATE(INDEX(SPLIT(I3631,""/""),,3),INDEX(SPLIT(I3631,""/""),,2),INDEX(SPLIT(I3631,""/""),,1))"),44778.0)</f>
        <v>44778</v>
      </c>
      <c r="L3631" s="1">
        <v>0.0</v>
      </c>
      <c r="M3631" s="1" t="s">
        <v>4645</v>
      </c>
      <c r="N3631" s="1"/>
      <c r="O3631" s="1" t="s">
        <v>30</v>
      </c>
      <c r="P3631" s="1" t="s">
        <v>31</v>
      </c>
      <c r="Q3631" s="1" t="s">
        <v>95</v>
      </c>
      <c r="R3631" s="1" t="s">
        <v>95</v>
      </c>
      <c r="S3631" s="1" t="s">
        <v>96</v>
      </c>
      <c r="T3631" s="1" t="s">
        <v>97</v>
      </c>
      <c r="U3631" s="1">
        <v>1.0062141E8</v>
      </c>
      <c r="X3631" s="1" t="s">
        <v>781</v>
      </c>
      <c r="Y3631" s="1" t="s">
        <v>2703</v>
      </c>
      <c r="Z3631" s="1" t="s">
        <v>37</v>
      </c>
    </row>
    <row r="3632" hidden="1">
      <c r="A3632" s="1" t="s">
        <v>10567</v>
      </c>
      <c r="B3632" s="1" t="s">
        <v>3329</v>
      </c>
      <c r="C3632" s="1" t="s">
        <v>10552</v>
      </c>
      <c r="D3632" s="1" t="s">
        <v>27</v>
      </c>
      <c r="E3632" s="1" t="s">
        <v>28</v>
      </c>
      <c r="F3632" s="2">
        <v>250000.0</v>
      </c>
      <c r="G3632" s="4">
        <v>44563.0</v>
      </c>
      <c r="H3632" s="4">
        <f>IFERROR(__xludf.DUMMYFUNCTION("DATE(INDEX(SPLIT(G3632,""/""),,3),INDEX(SPLIT(G3632,""/""),,2),INDEX(SPLIT(G3632,""/""),,1))"),44593.0)</f>
        <v>44593</v>
      </c>
      <c r="I3632" s="1" t="s">
        <v>281</v>
      </c>
      <c r="J3632" s="4">
        <f>IFERROR(__xludf.DUMMYFUNCTION("DATE(INDEX(SPLIT(I3632,""/""),,3),INDEX(SPLIT(I3632,""/""),,2),INDEX(SPLIT(I3632,""/""),,1))"),44865.0)</f>
        <v>44865</v>
      </c>
      <c r="L3632" s="1">
        <v>0.0</v>
      </c>
      <c r="M3632" s="1" t="s">
        <v>3873</v>
      </c>
      <c r="N3632" s="1"/>
      <c r="O3632" s="1" t="s">
        <v>30</v>
      </c>
      <c r="P3632" s="1" t="s">
        <v>31</v>
      </c>
      <c r="Q3632" s="1" t="s">
        <v>53</v>
      </c>
      <c r="R3632" s="1" t="s">
        <v>53</v>
      </c>
      <c r="S3632" s="1" t="s">
        <v>54</v>
      </c>
      <c r="T3632" s="1" t="s">
        <v>1386</v>
      </c>
      <c r="U3632" s="1">
        <v>1.01213659E8</v>
      </c>
      <c r="X3632" s="1" t="s">
        <v>81</v>
      </c>
      <c r="Y3632" s="1" t="s">
        <v>1387</v>
      </c>
      <c r="Z3632" s="1" t="s">
        <v>206</v>
      </c>
    </row>
    <row r="3633">
      <c r="A3633" s="1" t="s">
        <v>10568</v>
      </c>
      <c r="B3633" s="1" t="s">
        <v>127</v>
      </c>
      <c r="C3633" s="1" t="s">
        <v>10569</v>
      </c>
      <c r="D3633" s="1" t="s">
        <v>27</v>
      </c>
      <c r="E3633" s="1" t="s">
        <v>28</v>
      </c>
      <c r="F3633" s="2">
        <v>250000.0</v>
      </c>
      <c r="G3633" s="4">
        <v>44563.0</v>
      </c>
      <c r="H3633" s="4">
        <f>IFERROR(__xludf.DUMMYFUNCTION("DATE(INDEX(SPLIT(G3633,""/""),,3),INDEX(SPLIT(G3633,""/""),,2),INDEX(SPLIT(G3633,""/""),,1))"),44593.0)</f>
        <v>44593</v>
      </c>
      <c r="I3633" s="4">
        <v>44568.0</v>
      </c>
      <c r="J3633" s="4">
        <f>IFERROR(__xludf.DUMMYFUNCTION("DATE(INDEX(SPLIT(I3633,""/""),,3),INDEX(SPLIT(I3633,""/""),,2),INDEX(SPLIT(I3633,""/""),,1))"),44743.0)</f>
        <v>44743</v>
      </c>
      <c r="L3633" s="1">
        <v>0.0</v>
      </c>
      <c r="M3633" s="1" t="s">
        <v>1610</v>
      </c>
      <c r="N3633" s="1"/>
      <c r="O3633" s="1" t="s">
        <v>30</v>
      </c>
      <c r="P3633" s="1" t="s">
        <v>31</v>
      </c>
      <c r="Q3633" s="1" t="s">
        <v>53</v>
      </c>
      <c r="R3633" s="1" t="s">
        <v>53</v>
      </c>
      <c r="S3633" s="1" t="s">
        <v>54</v>
      </c>
      <c r="T3633" s="1" t="s">
        <v>1386</v>
      </c>
      <c r="U3633" s="1">
        <v>1.01141441E8</v>
      </c>
      <c r="X3633" s="1" t="s">
        <v>81</v>
      </c>
      <c r="Y3633" s="1" t="s">
        <v>1387</v>
      </c>
      <c r="Z3633" s="1" t="s">
        <v>37</v>
      </c>
    </row>
    <row r="3634" hidden="1">
      <c r="A3634" s="1" t="s">
        <v>10570</v>
      </c>
      <c r="B3634" s="1" t="s">
        <v>1748</v>
      </c>
      <c r="C3634" s="1" t="s">
        <v>10571</v>
      </c>
      <c r="D3634" s="1" t="s">
        <v>27</v>
      </c>
      <c r="E3634" s="1" t="s">
        <v>28</v>
      </c>
      <c r="F3634" s="2">
        <v>250000.0</v>
      </c>
      <c r="G3634" s="4">
        <v>44656.0</v>
      </c>
      <c r="H3634" s="4">
        <f>IFERROR(__xludf.DUMMYFUNCTION("DATE(INDEX(SPLIT(G3634,""/""),,3),INDEX(SPLIT(G3634,""/""),,2),INDEX(SPLIT(G3634,""/""),,1))"),44685.0)</f>
        <v>44685</v>
      </c>
      <c r="I3634" s="1" t="s">
        <v>203</v>
      </c>
      <c r="J3634" s="4">
        <f>IFERROR(__xludf.DUMMYFUNCTION("DATE(INDEX(SPLIT(I3634,""/""),,3),INDEX(SPLIT(I3634,""/""),,2),INDEX(SPLIT(I3634,""/""),,1))"),44925.0)</f>
        <v>44925</v>
      </c>
      <c r="L3634" s="1">
        <v>0.0</v>
      </c>
      <c r="M3634" s="1" t="s">
        <v>2488</v>
      </c>
      <c r="N3634" s="1"/>
      <c r="O3634" s="1" t="s">
        <v>30</v>
      </c>
      <c r="P3634" s="1" t="s">
        <v>31</v>
      </c>
      <c r="Q3634" s="1" t="s">
        <v>95</v>
      </c>
      <c r="R3634" s="1" t="s">
        <v>95</v>
      </c>
      <c r="S3634" s="1" t="s">
        <v>96</v>
      </c>
      <c r="U3634" s="1">
        <v>1.00646485E8</v>
      </c>
      <c r="X3634" s="1" t="s">
        <v>88</v>
      </c>
      <c r="Y3634" s="1" t="s">
        <v>2489</v>
      </c>
      <c r="Z3634" s="1" t="s">
        <v>527</v>
      </c>
    </row>
    <row r="3635" hidden="1">
      <c r="A3635" s="1" t="s">
        <v>10572</v>
      </c>
      <c r="B3635" s="1" t="s">
        <v>4434</v>
      </c>
      <c r="C3635" s="1" t="s">
        <v>10573</v>
      </c>
      <c r="D3635" s="1" t="s">
        <v>27</v>
      </c>
      <c r="E3635" s="1" t="s">
        <v>28</v>
      </c>
      <c r="F3635" s="2">
        <v>250000.0</v>
      </c>
      <c r="G3635" s="4">
        <v>44563.0</v>
      </c>
      <c r="H3635" s="4">
        <f>IFERROR(__xludf.DUMMYFUNCTION("DATE(INDEX(SPLIT(G3635,""/""),,3),INDEX(SPLIT(G3635,""/""),,2),INDEX(SPLIT(G3635,""/""),,1))"),44593.0)</f>
        <v>44593</v>
      </c>
      <c r="I3635" s="1" t="s">
        <v>317</v>
      </c>
      <c r="J3635" s="4">
        <f>IFERROR(__xludf.DUMMYFUNCTION("DATE(INDEX(SPLIT(I3635,""/""),,3),INDEX(SPLIT(I3635,""/""),,2),INDEX(SPLIT(I3635,""/""),,1))"),44862.0)</f>
        <v>44862</v>
      </c>
      <c r="L3635" s="1">
        <v>0.0</v>
      </c>
      <c r="M3635" s="1" t="s">
        <v>3873</v>
      </c>
      <c r="N3635" s="1"/>
      <c r="O3635" s="1" t="s">
        <v>30</v>
      </c>
      <c r="P3635" s="1" t="s">
        <v>31</v>
      </c>
      <c r="Q3635" s="1" t="s">
        <v>53</v>
      </c>
      <c r="R3635" s="1" t="s">
        <v>53</v>
      </c>
      <c r="S3635" s="1" t="s">
        <v>54</v>
      </c>
      <c r="T3635" s="1" t="s">
        <v>1386</v>
      </c>
      <c r="U3635" s="1">
        <v>1.01213659E8</v>
      </c>
      <c r="X3635" s="1" t="s">
        <v>81</v>
      </c>
      <c r="Y3635" s="1" t="s">
        <v>1387</v>
      </c>
      <c r="Z3635" s="1" t="s">
        <v>206</v>
      </c>
    </row>
    <row r="3636" hidden="1">
      <c r="A3636" s="1" t="s">
        <v>10574</v>
      </c>
      <c r="B3636" s="1" t="s">
        <v>5423</v>
      </c>
      <c r="C3636" s="1" t="s">
        <v>10575</v>
      </c>
      <c r="D3636" s="1" t="s">
        <v>68</v>
      </c>
      <c r="E3636" s="1" t="s">
        <v>28</v>
      </c>
      <c r="F3636" s="2">
        <v>250000.0</v>
      </c>
      <c r="G3636" s="4">
        <v>44656.0</v>
      </c>
      <c r="H3636" s="4">
        <f>IFERROR(__xludf.DUMMYFUNCTION("DATE(INDEX(SPLIT(G3636,""/""),,3),INDEX(SPLIT(G3636,""/""),,2),INDEX(SPLIT(G3636,""/""),,1))"),44685.0)</f>
        <v>44685</v>
      </c>
      <c r="I3636" s="1" t="s">
        <v>203</v>
      </c>
      <c r="J3636" s="4">
        <f>IFERROR(__xludf.DUMMYFUNCTION("DATE(INDEX(SPLIT(I3636,""/""),,3),INDEX(SPLIT(I3636,""/""),,2),INDEX(SPLIT(I3636,""/""),,1))"),44925.0)</f>
        <v>44925</v>
      </c>
      <c r="L3636" s="1">
        <v>0.0</v>
      </c>
      <c r="M3636" s="1" t="s">
        <v>512</v>
      </c>
      <c r="N3636" s="1"/>
      <c r="O3636" s="1" t="s">
        <v>30</v>
      </c>
      <c r="P3636" s="1" t="s">
        <v>31</v>
      </c>
      <c r="Q3636" s="1" t="s">
        <v>228</v>
      </c>
      <c r="R3636" s="1" t="s">
        <v>228</v>
      </c>
      <c r="S3636" s="1" t="s">
        <v>229</v>
      </c>
      <c r="T3636" s="1" t="s">
        <v>513</v>
      </c>
      <c r="U3636" s="1">
        <v>1.00654864E8</v>
      </c>
      <c r="X3636" s="1" t="s">
        <v>125</v>
      </c>
      <c r="Y3636" s="1" t="s">
        <v>10576</v>
      </c>
      <c r="Z3636" s="1" t="s">
        <v>37</v>
      </c>
    </row>
    <row r="3637" hidden="1">
      <c r="A3637" s="1" t="s">
        <v>10577</v>
      </c>
      <c r="B3637" s="1" t="s">
        <v>1748</v>
      </c>
      <c r="C3637" s="1" t="s">
        <v>10578</v>
      </c>
      <c r="D3637" s="1" t="s">
        <v>27</v>
      </c>
      <c r="E3637" s="1" t="s">
        <v>28</v>
      </c>
      <c r="F3637" s="2">
        <v>250000.0</v>
      </c>
      <c r="G3637" s="1" t="s">
        <v>6460</v>
      </c>
      <c r="H3637" s="4">
        <f>IFERROR(__xludf.DUMMYFUNCTION("DATE(INDEX(SPLIT(G3637,""/""),,3),INDEX(SPLIT(G3637,""/""),,2),INDEX(SPLIT(G3637,""/""),,1))"),44433.0)</f>
        <v>44433</v>
      </c>
      <c r="I3637" s="1" t="s">
        <v>42</v>
      </c>
      <c r="J3637" s="4">
        <f>IFERROR(__xludf.DUMMYFUNCTION("DATE(INDEX(SPLIT(I3637,""/""),,3),INDEX(SPLIT(I3637,""/""),,2),INDEX(SPLIT(I3637,""/""),,1))"),44926.0)</f>
        <v>44926</v>
      </c>
      <c r="L3637" s="1">
        <v>0.0</v>
      </c>
      <c r="M3637" s="1" t="s">
        <v>5684</v>
      </c>
      <c r="N3637" s="1"/>
      <c r="O3637" s="1" t="s">
        <v>30</v>
      </c>
      <c r="P3637" s="1" t="s">
        <v>31</v>
      </c>
      <c r="Q3637" s="1" t="s">
        <v>53</v>
      </c>
      <c r="R3637" s="1" t="s">
        <v>53</v>
      </c>
      <c r="S3637" s="1" t="s">
        <v>54</v>
      </c>
      <c r="T3637" s="1" t="s">
        <v>1349</v>
      </c>
      <c r="U3637" s="1">
        <v>1.00649463E8</v>
      </c>
      <c r="X3637" s="1" t="s">
        <v>88</v>
      </c>
      <c r="Y3637" s="1" t="s">
        <v>5685</v>
      </c>
      <c r="Z3637" s="1" t="s">
        <v>37</v>
      </c>
    </row>
    <row r="3638" hidden="1">
      <c r="A3638" s="1" t="s">
        <v>10579</v>
      </c>
      <c r="B3638" s="1" t="s">
        <v>981</v>
      </c>
      <c r="C3638" s="1" t="s">
        <v>10580</v>
      </c>
      <c r="D3638" s="1" t="s">
        <v>78</v>
      </c>
      <c r="E3638" s="1" t="s">
        <v>28</v>
      </c>
      <c r="F3638" s="2">
        <v>250000.0</v>
      </c>
      <c r="G3638" s="4">
        <v>44682.0</v>
      </c>
      <c r="H3638" s="4">
        <f>IFERROR(__xludf.DUMMYFUNCTION("DATE(INDEX(SPLIT(G3638,""/""),,3),INDEX(SPLIT(G3638,""/""),,2),INDEX(SPLIT(G3638,""/""),,1))"),44566.0)</f>
        <v>44566</v>
      </c>
      <c r="I3638" s="1" t="s">
        <v>85</v>
      </c>
      <c r="J3638" s="4">
        <f>IFERROR(__xludf.DUMMYFUNCTION("DATE(INDEX(SPLIT(I3638,""/""),,3),INDEX(SPLIT(I3638,""/""),,2),INDEX(SPLIT(I3638,""/""),,1))"),44799.0)</f>
        <v>44799</v>
      </c>
      <c r="L3638" s="1">
        <v>0.0</v>
      </c>
      <c r="M3638" s="1" t="s">
        <v>4039</v>
      </c>
      <c r="N3638" s="1"/>
      <c r="O3638" s="1" t="s">
        <v>30</v>
      </c>
      <c r="P3638" s="1" t="s">
        <v>31</v>
      </c>
      <c r="Q3638" s="1" t="s">
        <v>228</v>
      </c>
      <c r="R3638" s="1" t="s">
        <v>228</v>
      </c>
      <c r="S3638" s="1" t="s">
        <v>229</v>
      </c>
      <c r="T3638" s="1" t="s">
        <v>505</v>
      </c>
      <c r="U3638" s="1">
        <v>1.00662113E8</v>
      </c>
      <c r="X3638" s="1" t="s">
        <v>490</v>
      </c>
      <c r="Y3638" s="1" t="s">
        <v>4039</v>
      </c>
      <c r="Z3638" s="1" t="s">
        <v>37</v>
      </c>
    </row>
    <row r="3639" hidden="1">
      <c r="A3639" s="1" t="s">
        <v>10581</v>
      </c>
      <c r="B3639" s="1" t="s">
        <v>4029</v>
      </c>
      <c r="C3639" s="1" t="s">
        <v>10582</v>
      </c>
      <c r="D3639" s="1" t="s">
        <v>27</v>
      </c>
      <c r="E3639" s="1" t="s">
        <v>28</v>
      </c>
      <c r="F3639" s="2">
        <v>250000.0</v>
      </c>
      <c r="G3639" s="4">
        <v>44327.0</v>
      </c>
      <c r="H3639" s="4">
        <f>IFERROR(__xludf.DUMMYFUNCTION("DATE(INDEX(SPLIT(G3639,""/""),,3),INDEX(SPLIT(G3639,""/""),,2),INDEX(SPLIT(G3639,""/""),,1))"),44505.0)</f>
        <v>44505</v>
      </c>
      <c r="I3639" s="1" t="s">
        <v>130</v>
      </c>
      <c r="J3639" s="4">
        <f>IFERROR(__xludf.DUMMYFUNCTION("DATE(INDEX(SPLIT(I3639,""/""),,3),INDEX(SPLIT(I3639,""/""),,2),INDEX(SPLIT(I3639,""/""),,1))"),44804.0)</f>
        <v>44804</v>
      </c>
      <c r="L3639" s="1">
        <v>0.0</v>
      </c>
      <c r="M3639" s="1" t="s">
        <v>2057</v>
      </c>
      <c r="N3639" s="1"/>
      <c r="O3639" s="1" t="s">
        <v>30</v>
      </c>
      <c r="P3639" s="1" t="s">
        <v>31</v>
      </c>
      <c r="Q3639" s="1" t="s">
        <v>71</v>
      </c>
      <c r="R3639" s="1" t="s">
        <v>71</v>
      </c>
      <c r="S3639" s="1" t="s">
        <v>72</v>
      </c>
      <c r="T3639" s="1" t="s">
        <v>136</v>
      </c>
      <c r="U3639" s="1">
        <v>1.01078216E8</v>
      </c>
      <c r="X3639" s="1" t="s">
        <v>74</v>
      </c>
      <c r="Y3639" s="1" t="s">
        <v>2057</v>
      </c>
      <c r="Z3639" s="1" t="s">
        <v>206</v>
      </c>
    </row>
    <row r="3640" hidden="1">
      <c r="A3640" s="1" t="s">
        <v>10583</v>
      </c>
      <c r="B3640" s="1" t="s">
        <v>5699</v>
      </c>
      <c r="C3640" s="1" t="s">
        <v>10584</v>
      </c>
      <c r="D3640" s="1" t="s">
        <v>27</v>
      </c>
      <c r="E3640" s="1" t="s">
        <v>28</v>
      </c>
      <c r="F3640" s="2">
        <v>250000.0</v>
      </c>
      <c r="G3640" s="1" t="s">
        <v>10585</v>
      </c>
      <c r="H3640" s="4">
        <f>IFERROR(__xludf.DUMMYFUNCTION("DATE(INDEX(SPLIT(G3640,""/""),,3),INDEX(SPLIT(G3640,""/""),,2),INDEX(SPLIT(G3640,""/""),,1))"),44159.0)</f>
        <v>44159</v>
      </c>
      <c r="I3640" s="1" t="s">
        <v>109</v>
      </c>
      <c r="J3640" s="4">
        <f>IFERROR(__xludf.DUMMYFUNCTION("DATE(INDEX(SPLIT(I3640,""/""),,3),INDEX(SPLIT(I3640,""/""),,2),INDEX(SPLIT(I3640,""/""),,1))"),44834.0)</f>
        <v>44834</v>
      </c>
      <c r="L3640" s="1">
        <v>0.0</v>
      </c>
      <c r="M3640" s="1" t="s">
        <v>1376</v>
      </c>
      <c r="N3640" s="1"/>
      <c r="O3640" s="1" t="s">
        <v>30</v>
      </c>
      <c r="P3640" s="1" t="s">
        <v>31</v>
      </c>
      <c r="Q3640" s="1" t="s">
        <v>32</v>
      </c>
      <c r="R3640" s="1" t="s">
        <v>32</v>
      </c>
      <c r="S3640" s="1" t="s">
        <v>33</v>
      </c>
      <c r="T3640" s="1" t="s">
        <v>1195</v>
      </c>
      <c r="U3640" s="1">
        <v>1.006096E8</v>
      </c>
      <c r="X3640" s="1" t="s">
        <v>490</v>
      </c>
      <c r="Y3640" s="1" t="s">
        <v>1376</v>
      </c>
      <c r="Z3640" s="1" t="s">
        <v>37</v>
      </c>
    </row>
    <row r="3641" hidden="1">
      <c r="A3641" s="1" t="s">
        <v>10586</v>
      </c>
      <c r="B3641" s="1" t="s">
        <v>1991</v>
      </c>
      <c r="C3641" s="1" t="s">
        <v>10587</v>
      </c>
      <c r="D3641" s="1" t="s">
        <v>27</v>
      </c>
      <c r="E3641" s="1" t="s">
        <v>28</v>
      </c>
      <c r="F3641" s="2">
        <v>250000.0</v>
      </c>
      <c r="G3641" s="1" t="s">
        <v>10585</v>
      </c>
      <c r="H3641" s="4">
        <f>IFERROR(__xludf.DUMMYFUNCTION("DATE(INDEX(SPLIT(G3641,""/""),,3),INDEX(SPLIT(G3641,""/""),,2),INDEX(SPLIT(G3641,""/""),,1))"),44159.0)</f>
        <v>44159</v>
      </c>
      <c r="I3641" s="1" t="s">
        <v>109</v>
      </c>
      <c r="J3641" s="4">
        <f>IFERROR(__xludf.DUMMYFUNCTION("DATE(INDEX(SPLIT(I3641,""/""),,3),INDEX(SPLIT(I3641,""/""),,2),INDEX(SPLIT(I3641,""/""),,1))"),44834.0)</f>
        <v>44834</v>
      </c>
      <c r="L3641" s="1">
        <v>0.0</v>
      </c>
      <c r="M3641" s="1" t="s">
        <v>1376</v>
      </c>
      <c r="N3641" s="1"/>
      <c r="O3641" s="1" t="s">
        <v>30</v>
      </c>
      <c r="P3641" s="1" t="s">
        <v>31</v>
      </c>
      <c r="Q3641" s="1" t="s">
        <v>32</v>
      </c>
      <c r="R3641" s="1" t="s">
        <v>32</v>
      </c>
      <c r="S3641" s="1" t="s">
        <v>33</v>
      </c>
      <c r="T3641" s="1" t="s">
        <v>1195</v>
      </c>
      <c r="U3641" s="1">
        <v>1.006096E8</v>
      </c>
      <c r="X3641" s="1" t="s">
        <v>490</v>
      </c>
      <c r="Y3641" s="1" t="s">
        <v>1376</v>
      </c>
      <c r="Z3641" s="1" t="s">
        <v>37</v>
      </c>
    </row>
    <row r="3642" hidden="1">
      <c r="A3642" s="1" t="s">
        <v>10588</v>
      </c>
      <c r="B3642" s="1" t="s">
        <v>532</v>
      </c>
      <c r="C3642" s="1" t="s">
        <v>10589</v>
      </c>
      <c r="D3642" s="1" t="s">
        <v>27</v>
      </c>
      <c r="E3642" s="1" t="s">
        <v>28</v>
      </c>
      <c r="F3642" s="2">
        <v>250000.0</v>
      </c>
      <c r="G3642" s="1" t="s">
        <v>10585</v>
      </c>
      <c r="H3642" s="4">
        <f>IFERROR(__xludf.DUMMYFUNCTION("DATE(INDEX(SPLIT(G3642,""/""),,3),INDEX(SPLIT(G3642,""/""),,2),INDEX(SPLIT(G3642,""/""),,1))"),44159.0)</f>
        <v>44159</v>
      </c>
      <c r="I3642" s="1" t="s">
        <v>109</v>
      </c>
      <c r="J3642" s="4">
        <f>IFERROR(__xludf.DUMMYFUNCTION("DATE(INDEX(SPLIT(I3642,""/""),,3),INDEX(SPLIT(I3642,""/""),,2),INDEX(SPLIT(I3642,""/""),,1))"),44834.0)</f>
        <v>44834</v>
      </c>
      <c r="L3642" s="1">
        <v>0.0</v>
      </c>
      <c r="M3642" s="1" t="s">
        <v>1376</v>
      </c>
      <c r="N3642" s="1"/>
      <c r="O3642" s="1" t="s">
        <v>30</v>
      </c>
      <c r="P3642" s="1" t="s">
        <v>31</v>
      </c>
      <c r="Q3642" s="1" t="s">
        <v>32</v>
      </c>
      <c r="R3642" s="1" t="s">
        <v>32</v>
      </c>
      <c r="S3642" s="1" t="s">
        <v>33</v>
      </c>
      <c r="T3642" s="1" t="s">
        <v>1195</v>
      </c>
      <c r="U3642" s="1">
        <v>1.006096E8</v>
      </c>
      <c r="X3642" s="1" t="s">
        <v>490</v>
      </c>
      <c r="Y3642" s="1" t="s">
        <v>1376</v>
      </c>
      <c r="Z3642" s="1" t="s">
        <v>37</v>
      </c>
    </row>
    <row r="3643" hidden="1">
      <c r="A3643" s="1" t="s">
        <v>10590</v>
      </c>
      <c r="B3643" s="1" t="s">
        <v>5724</v>
      </c>
      <c r="C3643" s="1" t="s">
        <v>10591</v>
      </c>
      <c r="D3643" s="1" t="s">
        <v>27</v>
      </c>
      <c r="E3643" s="1" t="s">
        <v>28</v>
      </c>
      <c r="F3643" s="2">
        <v>250000.0</v>
      </c>
      <c r="G3643" s="1" t="s">
        <v>5115</v>
      </c>
      <c r="H3643" s="4">
        <f>IFERROR(__xludf.DUMMYFUNCTION("DATE(INDEX(SPLIT(G3643,""/""),,3),INDEX(SPLIT(G3643,""/""),,2),INDEX(SPLIT(G3643,""/""),,1))"),44530.0)</f>
        <v>44530</v>
      </c>
      <c r="I3643" s="1" t="s">
        <v>171</v>
      </c>
      <c r="J3643" s="4">
        <f>IFERROR(__xludf.DUMMYFUNCTION("DATE(INDEX(SPLIT(I3643,""/""),,3),INDEX(SPLIT(I3643,""/""),,2),INDEX(SPLIT(I3643,""/""),,1))"),45077.0)</f>
        <v>45077</v>
      </c>
      <c r="L3643" s="1">
        <v>0.0</v>
      </c>
      <c r="M3643" s="1" t="s">
        <v>1230</v>
      </c>
      <c r="N3643" s="1"/>
      <c r="O3643" s="1" t="s">
        <v>30</v>
      </c>
      <c r="P3643" s="1" t="s">
        <v>31</v>
      </c>
      <c r="Q3643" s="1" t="s">
        <v>53</v>
      </c>
      <c r="R3643" s="1" t="s">
        <v>53</v>
      </c>
      <c r="S3643" s="1" t="s">
        <v>54</v>
      </c>
      <c r="T3643" s="1" t="s">
        <v>159</v>
      </c>
      <c r="U3643" s="1">
        <v>1.01127868E8</v>
      </c>
      <c r="X3643" s="1" t="s">
        <v>312</v>
      </c>
      <c r="Y3643" s="1" t="s">
        <v>4868</v>
      </c>
      <c r="Z3643" s="1" t="s">
        <v>37</v>
      </c>
    </row>
    <row r="3644" hidden="1">
      <c r="A3644" s="1" t="s">
        <v>10592</v>
      </c>
      <c r="B3644" s="1" t="s">
        <v>1492</v>
      </c>
      <c r="C3644" s="1" t="s">
        <v>10593</v>
      </c>
      <c r="D3644" s="1" t="s">
        <v>27</v>
      </c>
      <c r="E3644" s="1" t="s">
        <v>28</v>
      </c>
      <c r="F3644" s="2">
        <v>250000.0</v>
      </c>
      <c r="G3644" s="1" t="s">
        <v>2949</v>
      </c>
      <c r="H3644" s="4">
        <f>IFERROR(__xludf.DUMMYFUNCTION("DATE(INDEX(SPLIT(G3644,""/""),,3),INDEX(SPLIT(G3644,""/""),,2),INDEX(SPLIT(G3644,""/""),,1))"),44675.0)</f>
        <v>44675</v>
      </c>
      <c r="I3644" s="4">
        <v>44692.0</v>
      </c>
      <c r="J3644" s="4">
        <f>IFERROR(__xludf.DUMMYFUNCTION("DATE(INDEX(SPLIT(I3644,""/""),,3),INDEX(SPLIT(I3644,""/""),,2),INDEX(SPLIT(I3644,""/""),,1))"),44870.0)</f>
        <v>44870</v>
      </c>
      <c r="L3644" s="1">
        <v>0.0</v>
      </c>
      <c r="M3644" s="1" t="s">
        <v>1496</v>
      </c>
      <c r="N3644" s="1"/>
      <c r="O3644" s="1" t="s">
        <v>30</v>
      </c>
      <c r="P3644" s="1" t="s">
        <v>31</v>
      </c>
      <c r="Q3644" s="1" t="s">
        <v>53</v>
      </c>
      <c r="R3644" s="1" t="s">
        <v>53</v>
      </c>
      <c r="S3644" s="1" t="s">
        <v>54</v>
      </c>
      <c r="U3644" s="1">
        <v>1.00610014E8</v>
      </c>
      <c r="X3644" s="1" t="s">
        <v>81</v>
      </c>
      <c r="Y3644" s="1" t="s">
        <v>104</v>
      </c>
      <c r="Z3644" s="1" t="s">
        <v>37</v>
      </c>
    </row>
    <row r="3645" hidden="1">
      <c r="A3645" s="1" t="s">
        <v>10594</v>
      </c>
      <c r="B3645" s="1" t="s">
        <v>7339</v>
      </c>
      <c r="C3645" s="1" t="s">
        <v>10595</v>
      </c>
      <c r="D3645" s="1" t="s">
        <v>27</v>
      </c>
      <c r="E3645" s="1" t="s">
        <v>28</v>
      </c>
      <c r="F3645" s="2">
        <v>250000.0</v>
      </c>
      <c r="G3645" s="4">
        <v>43902.0</v>
      </c>
      <c r="H3645" s="4">
        <f>IFERROR(__xludf.DUMMYFUNCTION("DATE(INDEX(SPLIT(G3645,""/""),,3),INDEX(SPLIT(G3645,""/""),,2),INDEX(SPLIT(G3645,""/""),,1))"),44168.0)</f>
        <v>44168</v>
      </c>
      <c r="I3645" s="1" t="s">
        <v>109</v>
      </c>
      <c r="J3645" s="4">
        <f>IFERROR(__xludf.DUMMYFUNCTION("DATE(INDEX(SPLIT(I3645,""/""),,3),INDEX(SPLIT(I3645,""/""),,2),INDEX(SPLIT(I3645,""/""),,1))"),44834.0)</f>
        <v>44834</v>
      </c>
      <c r="L3645" s="1">
        <v>0.0</v>
      </c>
      <c r="M3645" s="1" t="s">
        <v>1376</v>
      </c>
      <c r="N3645" s="1"/>
      <c r="O3645" s="1" t="s">
        <v>30</v>
      </c>
      <c r="P3645" s="1" t="s">
        <v>31</v>
      </c>
      <c r="Q3645" s="1" t="s">
        <v>32</v>
      </c>
      <c r="R3645" s="1" t="s">
        <v>32</v>
      </c>
      <c r="S3645" s="1" t="s">
        <v>33</v>
      </c>
      <c r="T3645" s="1" t="s">
        <v>1195</v>
      </c>
      <c r="U3645" s="1">
        <v>1.006096E8</v>
      </c>
      <c r="X3645" s="1" t="s">
        <v>361</v>
      </c>
      <c r="Y3645" s="1" t="s">
        <v>1376</v>
      </c>
      <c r="Z3645" s="1" t="s">
        <v>37</v>
      </c>
    </row>
    <row r="3646">
      <c r="A3646" s="1" t="s">
        <v>10596</v>
      </c>
      <c r="B3646" s="1" t="s">
        <v>4458</v>
      </c>
      <c r="C3646" s="1" t="s">
        <v>10597</v>
      </c>
      <c r="D3646" s="1" t="s">
        <v>122</v>
      </c>
      <c r="E3646" s="1" t="s">
        <v>28</v>
      </c>
      <c r="F3646" s="2">
        <v>250000.0</v>
      </c>
      <c r="G3646" s="4">
        <v>44623.0</v>
      </c>
      <c r="H3646" s="4">
        <f>IFERROR(__xludf.DUMMYFUNCTION("DATE(INDEX(SPLIT(G3646,""/""),,3),INDEX(SPLIT(G3646,""/""),,2),INDEX(SPLIT(G3646,""/""),,1))"),44623.0)</f>
        <v>44623</v>
      </c>
      <c r="I3646" s="1" t="s">
        <v>226</v>
      </c>
      <c r="J3646" s="4">
        <f>IFERROR(__xludf.DUMMYFUNCTION("DATE(INDEX(SPLIT(I3646,""/""),,3),INDEX(SPLIT(I3646,""/""),,2),INDEX(SPLIT(I3646,""/""),,1))"),44771.0)</f>
        <v>44771</v>
      </c>
      <c r="L3646" s="1">
        <v>0.0</v>
      </c>
      <c r="M3646" s="1" t="s">
        <v>5740</v>
      </c>
      <c r="N3646" s="1"/>
      <c r="O3646" s="1" t="s">
        <v>30</v>
      </c>
      <c r="P3646" s="1" t="s">
        <v>31</v>
      </c>
      <c r="Q3646" s="1" t="s">
        <v>71</v>
      </c>
      <c r="R3646" s="1" t="s">
        <v>71</v>
      </c>
      <c r="S3646" s="1" t="s">
        <v>72</v>
      </c>
      <c r="T3646" s="1" t="s">
        <v>136</v>
      </c>
      <c r="U3646" s="1">
        <v>1.01152256E8</v>
      </c>
      <c r="X3646" s="1" t="s">
        <v>63</v>
      </c>
      <c r="Y3646" s="1" t="s">
        <v>5740</v>
      </c>
      <c r="Z3646" s="1" t="s">
        <v>37</v>
      </c>
    </row>
    <row r="3647">
      <c r="A3647" s="1" t="s">
        <v>10598</v>
      </c>
      <c r="B3647" s="1" t="s">
        <v>10599</v>
      </c>
      <c r="C3647" s="1" t="s">
        <v>10600</v>
      </c>
      <c r="D3647" s="1" t="s">
        <v>27</v>
      </c>
      <c r="E3647" s="1" t="s">
        <v>28</v>
      </c>
      <c r="F3647" s="2">
        <v>250000.0</v>
      </c>
      <c r="G3647" s="1" t="s">
        <v>248</v>
      </c>
      <c r="H3647" s="4">
        <f>IFERROR(__xludf.DUMMYFUNCTION("DATE(INDEX(SPLIT(G3647,""/""),,3),INDEX(SPLIT(G3647,""/""),,2),INDEX(SPLIT(G3647,""/""),,1))"),44483.0)</f>
        <v>44483</v>
      </c>
      <c r="I3647" s="1" t="s">
        <v>226</v>
      </c>
      <c r="J3647" s="4">
        <f>IFERROR(__xludf.DUMMYFUNCTION("DATE(INDEX(SPLIT(I3647,""/""),,3),INDEX(SPLIT(I3647,""/""),,2),INDEX(SPLIT(I3647,""/""),,1))"),44771.0)</f>
        <v>44771</v>
      </c>
      <c r="L3647" s="1">
        <v>0.0</v>
      </c>
      <c r="M3647" s="1" t="s">
        <v>10601</v>
      </c>
      <c r="N3647" s="1"/>
      <c r="O3647" s="1" t="s">
        <v>30</v>
      </c>
      <c r="P3647" s="1" t="s">
        <v>31</v>
      </c>
      <c r="Q3647" s="1" t="s">
        <v>53</v>
      </c>
      <c r="R3647" s="1" t="s">
        <v>53</v>
      </c>
      <c r="S3647" s="1" t="s">
        <v>54</v>
      </c>
      <c r="T3647" s="1" t="s">
        <v>55</v>
      </c>
      <c r="U3647" s="1">
        <v>1.00892374E8</v>
      </c>
      <c r="X3647" s="1" t="s">
        <v>117</v>
      </c>
      <c r="Y3647" s="1" t="s">
        <v>10601</v>
      </c>
      <c r="Z3647" s="1" t="s">
        <v>37</v>
      </c>
    </row>
    <row r="3648" hidden="1">
      <c r="A3648" s="1" t="s">
        <v>10602</v>
      </c>
      <c r="B3648" s="1" t="s">
        <v>1629</v>
      </c>
      <c r="C3648" s="1" t="s">
        <v>10603</v>
      </c>
      <c r="D3648" s="1" t="s">
        <v>27</v>
      </c>
      <c r="E3648" s="1" t="s">
        <v>28</v>
      </c>
      <c r="F3648" s="2">
        <v>250000.0</v>
      </c>
      <c r="G3648" s="1" t="s">
        <v>1631</v>
      </c>
      <c r="H3648" s="4">
        <f>IFERROR(__xludf.DUMMYFUNCTION("DATE(INDEX(SPLIT(G3648,""/""),,3),INDEX(SPLIT(G3648,""/""),,2),INDEX(SPLIT(G3648,""/""),,1))"),44000.0)</f>
        <v>44000</v>
      </c>
      <c r="I3648" s="4">
        <v>44571.0</v>
      </c>
      <c r="J3648" s="4">
        <f>IFERROR(__xludf.DUMMYFUNCTION("DATE(INDEX(SPLIT(I3648,""/""),,3),INDEX(SPLIT(I3648,""/""),,2),INDEX(SPLIT(I3648,""/""),,1))"),44835.0)</f>
        <v>44835</v>
      </c>
      <c r="L3648" s="1">
        <v>0.0</v>
      </c>
      <c r="M3648" s="1" t="s">
        <v>3376</v>
      </c>
      <c r="N3648" s="1"/>
      <c r="O3648" s="1" t="s">
        <v>30</v>
      </c>
      <c r="P3648" s="1" t="s">
        <v>31</v>
      </c>
      <c r="Q3648" s="1" t="s">
        <v>32</v>
      </c>
      <c r="R3648" s="1" t="s">
        <v>32</v>
      </c>
      <c r="S3648" s="1" t="s">
        <v>33</v>
      </c>
      <c r="T3648" s="1" t="s">
        <v>55</v>
      </c>
      <c r="U3648" s="1">
        <v>1.00597272E8</v>
      </c>
      <c r="X3648" s="1" t="s">
        <v>410</v>
      </c>
      <c r="Y3648" s="1" t="s">
        <v>1632</v>
      </c>
      <c r="Z3648" s="1" t="s">
        <v>206</v>
      </c>
    </row>
    <row r="3649">
      <c r="A3649" s="1" t="s">
        <v>10604</v>
      </c>
      <c r="B3649" s="1" t="s">
        <v>3786</v>
      </c>
      <c r="C3649" s="1" t="s">
        <v>10605</v>
      </c>
      <c r="D3649" s="1" t="s">
        <v>27</v>
      </c>
      <c r="E3649" s="1" t="s">
        <v>28</v>
      </c>
      <c r="F3649" s="2">
        <v>250000.0</v>
      </c>
      <c r="G3649" s="1" t="s">
        <v>248</v>
      </c>
      <c r="H3649" s="4">
        <f>IFERROR(__xludf.DUMMYFUNCTION("DATE(INDEX(SPLIT(G3649,""/""),,3),INDEX(SPLIT(G3649,""/""),,2),INDEX(SPLIT(G3649,""/""),,1))"),44483.0)</f>
        <v>44483</v>
      </c>
      <c r="I3649" s="1" t="s">
        <v>226</v>
      </c>
      <c r="J3649" s="4">
        <f>IFERROR(__xludf.DUMMYFUNCTION("DATE(INDEX(SPLIT(I3649,""/""),,3),INDEX(SPLIT(I3649,""/""),,2),INDEX(SPLIT(I3649,""/""),,1))"),44771.0)</f>
        <v>44771</v>
      </c>
      <c r="L3649" s="1">
        <v>0.0</v>
      </c>
      <c r="M3649" s="1" t="s">
        <v>1833</v>
      </c>
      <c r="N3649" s="1"/>
      <c r="O3649" s="1" t="s">
        <v>30</v>
      </c>
      <c r="P3649" s="1" t="s">
        <v>31</v>
      </c>
      <c r="Q3649" s="1" t="s">
        <v>53</v>
      </c>
      <c r="R3649" s="1" t="s">
        <v>53</v>
      </c>
      <c r="S3649" s="1" t="s">
        <v>54</v>
      </c>
      <c r="T3649" s="1" t="s">
        <v>634</v>
      </c>
      <c r="U3649" s="1">
        <v>1.0105484E8</v>
      </c>
      <c r="X3649" s="1" t="s">
        <v>490</v>
      </c>
      <c r="Y3649" s="1" t="s">
        <v>10606</v>
      </c>
      <c r="Z3649" s="1" t="s">
        <v>37</v>
      </c>
    </row>
    <row r="3650">
      <c r="A3650" s="1" t="s">
        <v>10607</v>
      </c>
      <c r="B3650" s="1" t="s">
        <v>10608</v>
      </c>
      <c r="C3650" s="1" t="s">
        <v>10609</v>
      </c>
      <c r="D3650" s="1" t="s">
        <v>78</v>
      </c>
      <c r="E3650" s="1" t="s">
        <v>28</v>
      </c>
      <c r="F3650" s="2">
        <v>250000.0</v>
      </c>
      <c r="G3650" s="4">
        <v>44748.0</v>
      </c>
      <c r="H3650" s="4">
        <f>IFERROR(__xludf.DUMMYFUNCTION("DATE(INDEX(SPLIT(G3650,""/""),,3),INDEX(SPLIT(G3650,""/""),,2),INDEX(SPLIT(G3650,""/""),,1))"),44719.0)</f>
        <v>44719</v>
      </c>
      <c r="I3650" s="1" t="s">
        <v>226</v>
      </c>
      <c r="J3650" s="4">
        <f>IFERROR(__xludf.DUMMYFUNCTION("DATE(INDEX(SPLIT(I3650,""/""),,3),INDEX(SPLIT(I3650,""/""),,2),INDEX(SPLIT(I3650,""/""),,1))"),44771.0)</f>
        <v>44771</v>
      </c>
      <c r="L3650" s="1">
        <v>0.0</v>
      </c>
      <c r="M3650" s="1" t="s">
        <v>1614</v>
      </c>
      <c r="N3650" s="1"/>
      <c r="O3650" s="1" t="s">
        <v>30</v>
      </c>
      <c r="P3650" s="1" t="s">
        <v>31</v>
      </c>
      <c r="Q3650" s="1" t="s">
        <v>32</v>
      </c>
      <c r="R3650" s="1" t="s">
        <v>32</v>
      </c>
      <c r="S3650" s="1" t="s">
        <v>33</v>
      </c>
      <c r="U3650" s="1">
        <v>1.00587799E8</v>
      </c>
      <c r="X3650" s="1" t="s">
        <v>125</v>
      </c>
      <c r="Y3650" s="1" t="s">
        <v>3626</v>
      </c>
      <c r="Z3650" s="1" t="s">
        <v>37</v>
      </c>
    </row>
    <row r="3651" hidden="1">
      <c r="A3651" s="1" t="s">
        <v>10610</v>
      </c>
      <c r="B3651" s="1" t="s">
        <v>10611</v>
      </c>
      <c r="C3651" s="1" t="s">
        <v>10612</v>
      </c>
      <c r="D3651" s="1" t="s">
        <v>78</v>
      </c>
      <c r="E3651" s="1" t="s">
        <v>28</v>
      </c>
      <c r="F3651" s="2">
        <v>250000.0</v>
      </c>
      <c r="G3651" s="1" t="s">
        <v>1569</v>
      </c>
      <c r="H3651" s="4">
        <f>IFERROR(__xludf.DUMMYFUNCTION("DATE(INDEX(SPLIT(G3651,""/""),,3),INDEX(SPLIT(G3651,""/""),,2),INDEX(SPLIT(G3651,""/""),,1))"),44645.0)</f>
        <v>44645</v>
      </c>
      <c r="I3651" s="1" t="s">
        <v>2002</v>
      </c>
      <c r="J3651" s="4">
        <f>IFERROR(__xludf.DUMMYFUNCTION("DATE(INDEX(SPLIT(I3651,""/""),,3),INDEX(SPLIT(I3651,""/""),,2),INDEX(SPLIT(I3651,""/""),,1))"),45009.0)</f>
        <v>45009</v>
      </c>
      <c r="L3651" s="1">
        <v>0.0</v>
      </c>
      <c r="M3651" s="1" t="s">
        <v>2546</v>
      </c>
      <c r="N3651" s="1"/>
      <c r="O3651" s="1" t="s">
        <v>30</v>
      </c>
      <c r="P3651" s="1" t="s">
        <v>31</v>
      </c>
      <c r="Q3651" s="1" t="s">
        <v>228</v>
      </c>
      <c r="R3651" s="1" t="s">
        <v>228</v>
      </c>
      <c r="S3651" s="1" t="s">
        <v>229</v>
      </c>
      <c r="T3651" s="1" t="s">
        <v>505</v>
      </c>
      <c r="U3651" s="1">
        <v>1.00892076E8</v>
      </c>
      <c r="V3651" s="1" t="s">
        <v>10612</v>
      </c>
      <c r="W3651" s="1" t="s">
        <v>2556</v>
      </c>
      <c r="Y3651" s="1" t="s">
        <v>10613</v>
      </c>
      <c r="Z3651" s="1" t="s">
        <v>37</v>
      </c>
    </row>
    <row r="3652" hidden="1">
      <c r="A3652" s="1" t="s">
        <v>10614</v>
      </c>
      <c r="B3652" s="1" t="s">
        <v>709</v>
      </c>
      <c r="C3652" s="1" t="s">
        <v>10615</v>
      </c>
      <c r="D3652" s="1" t="s">
        <v>78</v>
      </c>
      <c r="E3652" s="1" t="s">
        <v>28</v>
      </c>
      <c r="F3652" s="2">
        <v>250000.0</v>
      </c>
      <c r="G3652" s="1" t="s">
        <v>472</v>
      </c>
      <c r="H3652" s="4">
        <f>IFERROR(__xludf.DUMMYFUNCTION("DATE(INDEX(SPLIT(G3652,""/""),,3),INDEX(SPLIT(G3652,""/""),,2),INDEX(SPLIT(G3652,""/""),,1))"),44760.0)</f>
        <v>44760</v>
      </c>
      <c r="I3652" s="4">
        <v>44813.0</v>
      </c>
      <c r="J3652" s="4">
        <f>IFERROR(__xludf.DUMMYFUNCTION("DATE(INDEX(SPLIT(I3652,""/""),,3),INDEX(SPLIT(I3652,""/""),,2),INDEX(SPLIT(I3652,""/""),,1))"),44813.0)</f>
        <v>44813</v>
      </c>
      <c r="L3652" s="1">
        <v>0.0</v>
      </c>
      <c r="M3652" s="1" t="s">
        <v>437</v>
      </c>
      <c r="N3652" s="1"/>
      <c r="O3652" s="1" t="s">
        <v>30</v>
      </c>
      <c r="P3652" s="1" t="s">
        <v>31</v>
      </c>
      <c r="Q3652" s="1" t="s">
        <v>235</v>
      </c>
      <c r="R3652" s="1" t="s">
        <v>235</v>
      </c>
      <c r="S3652" s="1" t="s">
        <v>236</v>
      </c>
      <c r="U3652" s="1">
        <v>1.00650375E8</v>
      </c>
      <c r="X3652" s="1" t="s">
        <v>35</v>
      </c>
      <c r="Y3652" s="1" t="s">
        <v>7487</v>
      </c>
      <c r="Z3652" s="1" t="s">
        <v>37</v>
      </c>
    </row>
    <row r="3653">
      <c r="A3653" s="1" t="s">
        <v>10616</v>
      </c>
      <c r="B3653" s="1" t="s">
        <v>9442</v>
      </c>
      <c r="C3653" s="1" t="s">
        <v>10617</v>
      </c>
      <c r="D3653" s="1" t="s">
        <v>78</v>
      </c>
      <c r="E3653" s="1" t="s">
        <v>28</v>
      </c>
      <c r="F3653" s="2">
        <v>250000.0</v>
      </c>
      <c r="G3653" s="1" t="s">
        <v>458</v>
      </c>
      <c r="H3653" s="4">
        <f>IFERROR(__xludf.DUMMYFUNCTION("DATE(INDEX(SPLIT(G3653,""/""),,3),INDEX(SPLIT(G3653,""/""),,2),INDEX(SPLIT(G3653,""/""),,1))"),44649.0)</f>
        <v>44649</v>
      </c>
      <c r="I3653" s="1" t="s">
        <v>226</v>
      </c>
      <c r="J3653" s="4">
        <f>IFERROR(__xludf.DUMMYFUNCTION("DATE(INDEX(SPLIT(I3653,""/""),,3),INDEX(SPLIT(I3653,""/""),,2),INDEX(SPLIT(I3653,""/""),,1))"),44771.0)</f>
        <v>44771</v>
      </c>
      <c r="L3653" s="1">
        <v>0.0</v>
      </c>
      <c r="M3653" s="1" t="s">
        <v>4328</v>
      </c>
      <c r="N3653" s="1"/>
      <c r="O3653" s="1" t="s">
        <v>30</v>
      </c>
      <c r="P3653" s="1" t="s">
        <v>31</v>
      </c>
      <c r="Q3653" s="1" t="s">
        <v>32</v>
      </c>
      <c r="R3653" s="1" t="s">
        <v>32</v>
      </c>
      <c r="S3653" s="1" t="s">
        <v>33</v>
      </c>
      <c r="T3653" s="1" t="s">
        <v>1195</v>
      </c>
      <c r="U3653" s="1">
        <v>1.00581763E8</v>
      </c>
      <c r="X3653" s="1" t="s">
        <v>490</v>
      </c>
      <c r="Y3653" s="1" t="s">
        <v>10618</v>
      </c>
      <c r="Z3653" s="1" t="s">
        <v>37</v>
      </c>
    </row>
    <row r="3654" hidden="1">
      <c r="A3654" s="1" t="s">
        <v>10619</v>
      </c>
      <c r="B3654" s="1" t="s">
        <v>8289</v>
      </c>
      <c r="C3654" s="1" t="s">
        <v>10620</v>
      </c>
      <c r="D3654" s="1" t="s">
        <v>27</v>
      </c>
      <c r="E3654" s="1" t="s">
        <v>28</v>
      </c>
      <c r="F3654" s="2">
        <v>250000.0</v>
      </c>
      <c r="G3654" s="1" t="s">
        <v>1063</v>
      </c>
      <c r="H3654" s="4">
        <f>IFERROR(__xludf.DUMMYFUNCTION("DATE(INDEX(SPLIT(G3654,""/""),,3),INDEX(SPLIT(G3654,""/""),,2),INDEX(SPLIT(G3654,""/""),,1))"),44068.0)</f>
        <v>44068</v>
      </c>
      <c r="I3654" s="1" t="s">
        <v>109</v>
      </c>
      <c r="J3654" s="4">
        <f>IFERROR(__xludf.DUMMYFUNCTION("DATE(INDEX(SPLIT(I3654,""/""),,3),INDEX(SPLIT(I3654,""/""),,2),INDEX(SPLIT(I3654,""/""),,1))"),44834.0)</f>
        <v>44834</v>
      </c>
      <c r="L3654" s="1">
        <v>0.0</v>
      </c>
      <c r="M3654" s="1" t="s">
        <v>259</v>
      </c>
      <c r="N3654" s="1"/>
      <c r="O3654" s="1" t="s">
        <v>30</v>
      </c>
      <c r="P3654" s="1" t="s">
        <v>31</v>
      </c>
      <c r="Q3654" s="1" t="s">
        <v>95</v>
      </c>
      <c r="R3654" s="1" t="s">
        <v>95</v>
      </c>
      <c r="S3654" s="1" t="s">
        <v>96</v>
      </c>
      <c r="T3654" s="1" t="s">
        <v>260</v>
      </c>
      <c r="U3654" s="1">
        <v>1.00659114E8</v>
      </c>
      <c r="X3654" s="1" t="s">
        <v>239</v>
      </c>
      <c r="Y3654" s="1" t="s">
        <v>9995</v>
      </c>
      <c r="Z3654" s="1" t="s">
        <v>37</v>
      </c>
    </row>
    <row r="3655" hidden="1">
      <c r="A3655" s="1" t="s">
        <v>10621</v>
      </c>
      <c r="B3655" s="1" t="s">
        <v>954</v>
      </c>
      <c r="C3655" s="1" t="s">
        <v>10622</v>
      </c>
      <c r="D3655" s="1" t="s">
        <v>27</v>
      </c>
      <c r="E3655" s="1" t="s">
        <v>28</v>
      </c>
      <c r="F3655" s="2">
        <v>250000.0</v>
      </c>
      <c r="G3655" s="4">
        <v>44808.0</v>
      </c>
      <c r="H3655" s="4">
        <f>IFERROR(__xludf.DUMMYFUNCTION("DATE(INDEX(SPLIT(G3655,""/""),,3),INDEX(SPLIT(G3655,""/""),,2),INDEX(SPLIT(G3655,""/""),,1))"),44660.0)</f>
        <v>44660</v>
      </c>
      <c r="I3655" s="4">
        <v>44958.0</v>
      </c>
      <c r="J3655" s="4">
        <f>IFERROR(__xludf.DUMMYFUNCTION("DATE(INDEX(SPLIT(I3655,""/""),,3),INDEX(SPLIT(I3655,""/""),,2),INDEX(SPLIT(I3655,""/""),,1))"),44928.0)</f>
        <v>44928</v>
      </c>
      <c r="L3655" s="1">
        <v>0.0</v>
      </c>
      <c r="M3655" s="1" t="s">
        <v>1009</v>
      </c>
      <c r="N3655" s="1"/>
      <c r="O3655" s="1" t="s">
        <v>30</v>
      </c>
      <c r="P3655" s="1" t="s">
        <v>31</v>
      </c>
      <c r="Q3655" s="1" t="s">
        <v>95</v>
      </c>
      <c r="R3655" s="1" t="s">
        <v>95</v>
      </c>
      <c r="S3655" s="1" t="s">
        <v>96</v>
      </c>
      <c r="T3655" s="1" t="s">
        <v>73</v>
      </c>
      <c r="U3655" s="1">
        <v>1.00592304E8</v>
      </c>
      <c r="X3655" s="1" t="s">
        <v>74</v>
      </c>
      <c r="Y3655" s="1" t="s">
        <v>957</v>
      </c>
      <c r="Z3655" s="1" t="s">
        <v>37</v>
      </c>
    </row>
    <row r="3656" hidden="1">
      <c r="A3656" s="1" t="s">
        <v>10623</v>
      </c>
      <c r="B3656" s="1" t="s">
        <v>1748</v>
      </c>
      <c r="C3656" s="1" t="s">
        <v>10624</v>
      </c>
      <c r="D3656" s="1" t="s">
        <v>68</v>
      </c>
      <c r="E3656" s="1" t="s">
        <v>28</v>
      </c>
      <c r="F3656" s="2">
        <v>250000.0</v>
      </c>
      <c r="G3656" s="1" t="s">
        <v>1044</v>
      </c>
      <c r="H3656" s="4">
        <f>IFERROR(__xludf.DUMMYFUNCTION("DATE(INDEX(SPLIT(G3656,""/""),,3),INDEX(SPLIT(G3656,""/""),,2),INDEX(SPLIT(G3656,""/""),,1))"),44588.0)</f>
        <v>44588</v>
      </c>
      <c r="I3656" s="1" t="s">
        <v>3202</v>
      </c>
      <c r="J3656" s="4">
        <f>IFERROR(__xludf.DUMMYFUNCTION("DATE(INDEX(SPLIT(I3656,""/""),,3),INDEX(SPLIT(I3656,""/""),,2),INDEX(SPLIT(I3656,""/""),,1))"),44830.0)</f>
        <v>44830</v>
      </c>
      <c r="L3656" s="1">
        <v>0.0</v>
      </c>
      <c r="M3656" s="1" t="s">
        <v>6003</v>
      </c>
      <c r="N3656" s="1"/>
      <c r="O3656" s="1" t="s">
        <v>30</v>
      </c>
      <c r="P3656" s="1" t="s">
        <v>31</v>
      </c>
      <c r="Q3656" s="1" t="s">
        <v>235</v>
      </c>
      <c r="R3656" s="1" t="s">
        <v>235</v>
      </c>
      <c r="S3656" s="1" t="s">
        <v>236</v>
      </c>
      <c r="T3656" s="1" t="s">
        <v>753</v>
      </c>
      <c r="U3656" s="1">
        <v>1.00623535E8</v>
      </c>
      <c r="X3656" s="1" t="s">
        <v>88</v>
      </c>
      <c r="Y3656" s="1" t="s">
        <v>6003</v>
      </c>
      <c r="Z3656" s="1" t="s">
        <v>37</v>
      </c>
    </row>
    <row r="3657" hidden="1">
      <c r="A3657" s="1" t="s">
        <v>10625</v>
      </c>
      <c r="B3657" s="1" t="s">
        <v>2159</v>
      </c>
      <c r="C3657" s="1" t="s">
        <v>10626</v>
      </c>
      <c r="D3657" s="1" t="s">
        <v>78</v>
      </c>
      <c r="E3657" s="1" t="s">
        <v>28</v>
      </c>
      <c r="F3657" s="2">
        <v>250000.0</v>
      </c>
      <c r="G3657" s="1" t="s">
        <v>7483</v>
      </c>
      <c r="H3657" s="4">
        <f>IFERROR(__xludf.DUMMYFUNCTION("DATE(INDEX(SPLIT(G3657,""/""),,3),INDEX(SPLIT(G3657,""/""),,2),INDEX(SPLIT(G3657,""/""),,1))"),44641.0)</f>
        <v>44641</v>
      </c>
      <c r="I3657" s="4">
        <v>44569.0</v>
      </c>
      <c r="J3657" s="4">
        <f>IFERROR(__xludf.DUMMYFUNCTION("DATE(INDEX(SPLIT(I3657,""/""),,3),INDEX(SPLIT(I3657,""/""),,2),INDEX(SPLIT(I3657,""/""),,1))"),44774.0)</f>
        <v>44774</v>
      </c>
      <c r="L3657" s="1">
        <v>0.0</v>
      </c>
      <c r="M3657" s="1" t="s">
        <v>10627</v>
      </c>
      <c r="N3657" s="1"/>
      <c r="O3657" s="1" t="s">
        <v>30</v>
      </c>
      <c r="P3657" s="1" t="s">
        <v>31</v>
      </c>
      <c r="Q3657" s="1" t="s">
        <v>228</v>
      </c>
      <c r="R3657" s="1" t="s">
        <v>228</v>
      </c>
      <c r="S3657" s="1" t="s">
        <v>229</v>
      </c>
      <c r="T3657" s="1" t="s">
        <v>513</v>
      </c>
      <c r="U3657" s="1">
        <v>1.00614969E8</v>
      </c>
      <c r="X3657" s="1" t="s">
        <v>74</v>
      </c>
      <c r="Y3657" s="1" t="s">
        <v>10628</v>
      </c>
      <c r="Z3657" s="1" t="s">
        <v>37</v>
      </c>
    </row>
    <row r="3658">
      <c r="A3658" s="1" t="s">
        <v>10629</v>
      </c>
      <c r="B3658" s="1" t="s">
        <v>10630</v>
      </c>
      <c r="C3658" s="1" t="s">
        <v>10631</v>
      </c>
      <c r="D3658" s="1" t="s">
        <v>27</v>
      </c>
      <c r="E3658" s="1" t="s">
        <v>28</v>
      </c>
      <c r="F3658" s="2">
        <v>250000.0</v>
      </c>
      <c r="G3658" s="1" t="s">
        <v>6039</v>
      </c>
      <c r="H3658" s="4">
        <f>IFERROR(__xludf.DUMMYFUNCTION("DATE(INDEX(SPLIT(G3658,""/""),,3),INDEX(SPLIT(G3658,""/""),,2),INDEX(SPLIT(G3658,""/""),,1))"),44316.0)</f>
        <v>44316</v>
      </c>
      <c r="I3658" s="1" t="s">
        <v>1244</v>
      </c>
      <c r="J3658" s="4">
        <f>IFERROR(__xludf.DUMMYFUNCTION("DATE(INDEX(SPLIT(I3658,""/""),,3),INDEX(SPLIT(I3658,""/""),,2),INDEX(SPLIT(I3658,""/""),,1))"),44742.0)</f>
        <v>44742</v>
      </c>
      <c r="L3658" s="1">
        <v>0.0</v>
      </c>
      <c r="M3658" s="1" t="s">
        <v>9478</v>
      </c>
      <c r="N3658" s="1"/>
      <c r="O3658" s="1" t="s">
        <v>30</v>
      </c>
      <c r="P3658" s="1" t="s">
        <v>31</v>
      </c>
      <c r="Q3658" s="1" t="s">
        <v>228</v>
      </c>
      <c r="R3658" s="1" t="s">
        <v>228</v>
      </c>
      <c r="S3658" s="1" t="s">
        <v>229</v>
      </c>
      <c r="T3658" s="1" t="s">
        <v>513</v>
      </c>
      <c r="U3658" s="1">
        <v>1.00589357E8</v>
      </c>
      <c r="X3658" s="1" t="s">
        <v>98</v>
      </c>
      <c r="Y3658" s="1" t="s">
        <v>10632</v>
      </c>
      <c r="Z3658" s="1" t="s">
        <v>37</v>
      </c>
    </row>
    <row r="3659" hidden="1">
      <c r="A3659" s="1" t="s">
        <v>10633</v>
      </c>
      <c r="B3659" s="1" t="s">
        <v>3786</v>
      </c>
      <c r="C3659" s="1" t="s">
        <v>10634</v>
      </c>
      <c r="D3659" s="1" t="s">
        <v>27</v>
      </c>
      <c r="E3659" s="1" t="s">
        <v>28</v>
      </c>
      <c r="F3659" s="2">
        <v>250000.0</v>
      </c>
      <c r="G3659" s="4">
        <v>44870.0</v>
      </c>
      <c r="H3659" s="4">
        <f>IFERROR(__xludf.DUMMYFUNCTION("DATE(INDEX(SPLIT(G3659,""/""),,3),INDEX(SPLIT(G3659,""/""),,2),INDEX(SPLIT(G3659,""/""),,1))"),44692.0)</f>
        <v>44692</v>
      </c>
      <c r="I3659" s="4">
        <v>44927.0</v>
      </c>
      <c r="J3659" s="4">
        <f>IFERROR(__xludf.DUMMYFUNCTION("DATE(INDEX(SPLIT(I3659,""/""),,3),INDEX(SPLIT(I3659,""/""),,2),INDEX(SPLIT(I3659,""/""),,1))"),44927.0)</f>
        <v>44927</v>
      </c>
      <c r="L3659" s="1">
        <v>0.0</v>
      </c>
      <c r="M3659" s="1" t="s">
        <v>10469</v>
      </c>
      <c r="N3659" s="1"/>
      <c r="O3659" s="1" t="s">
        <v>30</v>
      </c>
      <c r="P3659" s="1" t="s">
        <v>31</v>
      </c>
      <c r="Q3659" s="1" t="s">
        <v>53</v>
      </c>
      <c r="R3659" s="1" t="s">
        <v>53</v>
      </c>
      <c r="S3659" s="1" t="s">
        <v>54</v>
      </c>
      <c r="T3659" s="1" t="s">
        <v>1386</v>
      </c>
      <c r="U3659" s="1">
        <v>1.01211126E8</v>
      </c>
      <c r="X3659" s="1" t="s">
        <v>490</v>
      </c>
      <c r="Y3659" s="1" t="s">
        <v>10469</v>
      </c>
      <c r="Z3659" s="1" t="s">
        <v>206</v>
      </c>
    </row>
    <row r="3660" hidden="1">
      <c r="A3660" s="1" t="s">
        <v>10635</v>
      </c>
      <c r="B3660" s="1" t="s">
        <v>7339</v>
      </c>
      <c r="C3660" s="1" t="s">
        <v>10636</v>
      </c>
      <c r="D3660" s="1" t="s">
        <v>27</v>
      </c>
      <c r="E3660" s="1" t="s">
        <v>28</v>
      </c>
      <c r="F3660" s="2">
        <v>250000.0</v>
      </c>
      <c r="G3660" s="4">
        <v>44686.0</v>
      </c>
      <c r="H3660" s="4">
        <f>IFERROR(__xludf.DUMMYFUNCTION("DATE(INDEX(SPLIT(G3660,""/""),,3),INDEX(SPLIT(G3660,""/""),,2),INDEX(SPLIT(G3660,""/""),,1))"),44686.0)</f>
        <v>44686</v>
      </c>
      <c r="I3660" s="1" t="s">
        <v>1361</v>
      </c>
      <c r="J3660" s="4">
        <f>IFERROR(__xludf.DUMMYFUNCTION("DATE(INDEX(SPLIT(I3660,""/""),,3),INDEX(SPLIT(I3660,""/""),,2),INDEX(SPLIT(I3660,""/""),,1))"),44827.0)</f>
        <v>44827</v>
      </c>
      <c r="L3660" s="1">
        <v>0.0</v>
      </c>
      <c r="M3660" s="1" t="s">
        <v>5880</v>
      </c>
      <c r="N3660" s="1"/>
      <c r="O3660" s="1" t="s">
        <v>30</v>
      </c>
      <c r="P3660" s="1" t="s">
        <v>31</v>
      </c>
      <c r="Q3660" s="1" t="s">
        <v>228</v>
      </c>
      <c r="R3660" s="1" t="s">
        <v>228</v>
      </c>
      <c r="S3660" s="1" t="s">
        <v>229</v>
      </c>
      <c r="T3660" s="1" t="s">
        <v>640</v>
      </c>
      <c r="U3660" s="1">
        <v>1.00933537E8</v>
      </c>
      <c r="X3660" s="1" t="s">
        <v>490</v>
      </c>
      <c r="Y3660" s="1" t="s">
        <v>985</v>
      </c>
      <c r="Z3660" s="1" t="s">
        <v>37</v>
      </c>
    </row>
    <row r="3661" hidden="1">
      <c r="A3661" s="1" t="s">
        <v>10637</v>
      </c>
      <c r="B3661" s="1" t="s">
        <v>10638</v>
      </c>
      <c r="C3661" s="1" t="s">
        <v>10639</v>
      </c>
      <c r="D3661" s="1" t="s">
        <v>78</v>
      </c>
      <c r="E3661" s="1" t="s">
        <v>28</v>
      </c>
      <c r="F3661" s="2">
        <v>250000.0</v>
      </c>
      <c r="G3661" s="1" t="s">
        <v>185</v>
      </c>
      <c r="H3661" s="4">
        <f>IFERROR(__xludf.DUMMYFUNCTION("DATE(INDEX(SPLIT(G3661,""/""),,3),INDEX(SPLIT(G3661,""/""),,2),INDEX(SPLIT(G3661,""/""),,1))"),44741.0)</f>
        <v>44741</v>
      </c>
      <c r="I3661" s="1" t="s">
        <v>281</v>
      </c>
      <c r="J3661" s="4">
        <f>IFERROR(__xludf.DUMMYFUNCTION("DATE(INDEX(SPLIT(I3661,""/""),,3),INDEX(SPLIT(I3661,""/""),,2),INDEX(SPLIT(I3661,""/""),,1))"),44865.0)</f>
        <v>44865</v>
      </c>
      <c r="L3661" s="1">
        <v>0.0</v>
      </c>
      <c r="M3661" s="1" t="s">
        <v>1098</v>
      </c>
      <c r="N3661" s="1"/>
      <c r="O3661" s="1" t="s">
        <v>30</v>
      </c>
      <c r="P3661" s="1" t="s">
        <v>31</v>
      </c>
      <c r="Q3661" s="1" t="s">
        <v>95</v>
      </c>
      <c r="R3661" s="1" t="s">
        <v>95</v>
      </c>
      <c r="S3661" s="1" t="s">
        <v>96</v>
      </c>
      <c r="T3661" s="1" t="s">
        <v>311</v>
      </c>
      <c r="U3661" s="1">
        <v>1.00634994E8</v>
      </c>
      <c r="X3661" s="1" t="s">
        <v>46</v>
      </c>
      <c r="Y3661" s="1" t="s">
        <v>5363</v>
      </c>
      <c r="Z3661" s="1" t="s">
        <v>37</v>
      </c>
    </row>
    <row r="3662" hidden="1">
      <c r="A3662" s="1" t="s">
        <v>10640</v>
      </c>
      <c r="B3662" s="1" t="s">
        <v>1772</v>
      </c>
      <c r="C3662" s="1" t="s">
        <v>10641</v>
      </c>
      <c r="D3662" s="1" t="s">
        <v>78</v>
      </c>
      <c r="E3662" s="1" t="s">
        <v>28</v>
      </c>
      <c r="F3662" s="2">
        <v>250000.0</v>
      </c>
      <c r="G3662" s="1" t="s">
        <v>1442</v>
      </c>
      <c r="H3662" s="4">
        <f>IFERROR(__xludf.DUMMYFUNCTION("DATE(INDEX(SPLIT(G3662,""/""),,3),INDEX(SPLIT(G3662,""/""),,2),INDEX(SPLIT(G3662,""/""),,1))"),44727.0)</f>
        <v>44727</v>
      </c>
      <c r="I3662" s="4">
        <v>44689.0</v>
      </c>
      <c r="J3662" s="4">
        <f>IFERROR(__xludf.DUMMYFUNCTION("DATE(INDEX(SPLIT(I3662,""/""),,3),INDEX(SPLIT(I3662,""/""),,2),INDEX(SPLIT(I3662,""/""),,1))"),44778.0)</f>
        <v>44778</v>
      </c>
      <c r="L3662" s="1">
        <v>0.0</v>
      </c>
      <c r="M3662" s="1" t="s">
        <v>563</v>
      </c>
      <c r="N3662" s="1"/>
      <c r="O3662" s="1" t="s">
        <v>30</v>
      </c>
      <c r="P3662" s="1" t="s">
        <v>31</v>
      </c>
      <c r="Q3662" s="1" t="s">
        <v>95</v>
      </c>
      <c r="R3662" s="1" t="s">
        <v>95</v>
      </c>
      <c r="S3662" s="1" t="s">
        <v>96</v>
      </c>
      <c r="T3662" s="1" t="s">
        <v>217</v>
      </c>
      <c r="U3662" s="1">
        <v>1.00646702E8</v>
      </c>
      <c r="X3662" s="1" t="s">
        <v>81</v>
      </c>
      <c r="Y3662" s="1" t="s">
        <v>1925</v>
      </c>
      <c r="Z3662" s="1" t="s">
        <v>37</v>
      </c>
    </row>
    <row r="3663" hidden="1">
      <c r="A3663" s="1" t="s">
        <v>10642</v>
      </c>
      <c r="B3663" s="1" t="s">
        <v>8480</v>
      </c>
      <c r="C3663" s="1" t="s">
        <v>10643</v>
      </c>
      <c r="D3663" s="1" t="s">
        <v>78</v>
      </c>
      <c r="E3663" s="1" t="s">
        <v>28</v>
      </c>
      <c r="F3663" s="2">
        <v>250000.0</v>
      </c>
      <c r="G3663" s="1" t="s">
        <v>354</v>
      </c>
      <c r="H3663" s="4">
        <f>IFERROR(__xludf.DUMMYFUNCTION("DATE(INDEX(SPLIT(G3663,""/""),,3),INDEX(SPLIT(G3663,""/""),,2),INDEX(SPLIT(G3663,""/""),,1))"),44673.0)</f>
        <v>44673</v>
      </c>
      <c r="I3663" s="1" t="s">
        <v>130</v>
      </c>
      <c r="J3663" s="4">
        <f>IFERROR(__xludf.DUMMYFUNCTION("DATE(INDEX(SPLIT(I3663,""/""),,3),INDEX(SPLIT(I3663,""/""),,2),INDEX(SPLIT(I3663,""/""),,1))"),44804.0)</f>
        <v>44804</v>
      </c>
      <c r="L3663" s="1">
        <v>0.0</v>
      </c>
      <c r="M3663" s="1" t="s">
        <v>5351</v>
      </c>
      <c r="N3663" s="1"/>
      <c r="O3663" s="1" t="s">
        <v>30</v>
      </c>
      <c r="P3663" s="1" t="s">
        <v>31</v>
      </c>
      <c r="Q3663" s="1" t="s">
        <v>235</v>
      </c>
      <c r="R3663" s="1" t="s">
        <v>235</v>
      </c>
      <c r="S3663" s="1" t="s">
        <v>236</v>
      </c>
      <c r="T3663" s="1" t="s">
        <v>438</v>
      </c>
      <c r="U3663" s="1">
        <v>1.0060792E8</v>
      </c>
      <c r="X3663" s="1" t="s">
        <v>312</v>
      </c>
      <c r="Y3663" s="1" t="s">
        <v>10279</v>
      </c>
      <c r="Z3663" s="1" t="s">
        <v>37</v>
      </c>
    </row>
    <row r="3664" hidden="1">
      <c r="A3664" s="1" t="s">
        <v>10644</v>
      </c>
      <c r="B3664" s="1" t="s">
        <v>246</v>
      </c>
      <c r="C3664" s="1" t="s">
        <v>10645</v>
      </c>
      <c r="D3664" s="1" t="s">
        <v>27</v>
      </c>
      <c r="E3664" s="1" t="s">
        <v>28</v>
      </c>
      <c r="F3664" s="2">
        <v>250000.0</v>
      </c>
      <c r="G3664" s="1" t="s">
        <v>185</v>
      </c>
      <c r="H3664" s="4">
        <f>IFERROR(__xludf.DUMMYFUNCTION("DATE(INDEX(SPLIT(G3664,""/""),,3),INDEX(SPLIT(G3664,""/""),,2),INDEX(SPLIT(G3664,""/""),,1))"),44741.0)</f>
        <v>44741</v>
      </c>
      <c r="I3664" s="1" t="s">
        <v>109</v>
      </c>
      <c r="J3664" s="4">
        <f>IFERROR(__xludf.DUMMYFUNCTION("DATE(INDEX(SPLIT(I3664,""/""),,3),INDEX(SPLIT(I3664,""/""),,2),INDEX(SPLIT(I3664,""/""),,1))"),44834.0)</f>
        <v>44834</v>
      </c>
      <c r="L3664" s="1">
        <v>0.0</v>
      </c>
      <c r="M3664" s="1" t="s">
        <v>4098</v>
      </c>
      <c r="N3664" s="1"/>
      <c r="O3664" s="1" t="s">
        <v>30</v>
      </c>
      <c r="P3664" s="1" t="s">
        <v>31</v>
      </c>
      <c r="Q3664" s="1" t="s">
        <v>32</v>
      </c>
      <c r="R3664" s="1" t="s">
        <v>32</v>
      </c>
      <c r="S3664" s="1" t="s">
        <v>33</v>
      </c>
      <c r="U3664" s="1">
        <v>1.00586097E8</v>
      </c>
      <c r="X3664" s="1" t="s">
        <v>35</v>
      </c>
      <c r="Y3664" s="1" t="s">
        <v>4098</v>
      </c>
      <c r="Z3664" s="1" t="s">
        <v>37</v>
      </c>
    </row>
    <row r="3665" hidden="1">
      <c r="A3665" s="1" t="s">
        <v>10646</v>
      </c>
      <c r="B3665" s="1" t="s">
        <v>1790</v>
      </c>
      <c r="C3665" s="1" t="s">
        <v>10647</v>
      </c>
      <c r="D3665" s="1" t="s">
        <v>27</v>
      </c>
      <c r="E3665" s="1" t="s">
        <v>28</v>
      </c>
      <c r="F3665" s="2">
        <v>250000.0</v>
      </c>
      <c r="G3665" s="1" t="s">
        <v>429</v>
      </c>
      <c r="H3665" s="4">
        <f>IFERROR(__xludf.DUMMYFUNCTION("DATE(INDEX(SPLIT(G3665,""/""),,3),INDEX(SPLIT(G3665,""/""),,2),INDEX(SPLIT(G3665,""/""),,1))"),44739.0)</f>
        <v>44739</v>
      </c>
      <c r="I3665" s="1" t="s">
        <v>109</v>
      </c>
      <c r="J3665" s="4">
        <f>IFERROR(__xludf.DUMMYFUNCTION("DATE(INDEX(SPLIT(I3665,""/""),,3),INDEX(SPLIT(I3665,""/""),,2),INDEX(SPLIT(I3665,""/""),,1))"),44834.0)</f>
        <v>44834</v>
      </c>
      <c r="L3665" s="1">
        <v>0.0</v>
      </c>
      <c r="M3665" s="1" t="s">
        <v>4639</v>
      </c>
      <c r="N3665" s="1"/>
      <c r="O3665" s="1" t="s">
        <v>30</v>
      </c>
      <c r="P3665" s="1" t="s">
        <v>31</v>
      </c>
      <c r="Q3665" s="1" t="s">
        <v>53</v>
      </c>
      <c r="R3665" s="1" t="s">
        <v>53</v>
      </c>
      <c r="S3665" s="1" t="s">
        <v>54</v>
      </c>
      <c r="U3665" s="1">
        <v>1.00660049E8</v>
      </c>
      <c r="X3665" s="1" t="s">
        <v>88</v>
      </c>
      <c r="Y3665" s="1" t="s">
        <v>10648</v>
      </c>
      <c r="Z3665" s="1" t="s">
        <v>37</v>
      </c>
    </row>
    <row r="3666" hidden="1">
      <c r="A3666" s="1" t="s">
        <v>10649</v>
      </c>
      <c r="B3666" s="1" t="s">
        <v>6711</v>
      </c>
      <c r="C3666" s="1" t="s">
        <v>10650</v>
      </c>
      <c r="D3666" s="1" t="s">
        <v>27</v>
      </c>
      <c r="E3666" s="1" t="s">
        <v>28</v>
      </c>
      <c r="F3666" s="2">
        <v>250000.0</v>
      </c>
      <c r="G3666" s="4">
        <v>44478.0</v>
      </c>
      <c r="H3666" s="4">
        <f>IFERROR(__xludf.DUMMYFUNCTION("DATE(INDEX(SPLIT(G3666,""/""),,3),INDEX(SPLIT(G3666,""/""),,2),INDEX(SPLIT(G3666,""/""),,1))"),44449.0)</f>
        <v>44449</v>
      </c>
      <c r="I3666" s="1" t="s">
        <v>293</v>
      </c>
      <c r="J3666" s="4">
        <f>IFERROR(__xludf.DUMMYFUNCTION("DATE(INDEX(SPLIT(I3666,""/""),,3),INDEX(SPLIT(I3666,""/""),,2),INDEX(SPLIT(I3666,""/""),,1))"),44918.0)</f>
        <v>44918</v>
      </c>
      <c r="L3666" s="1">
        <v>0.0</v>
      </c>
      <c r="M3666" s="1" t="s">
        <v>1565</v>
      </c>
      <c r="N3666" s="1"/>
      <c r="O3666" s="1" t="s">
        <v>30</v>
      </c>
      <c r="P3666" s="1" t="s">
        <v>31</v>
      </c>
      <c r="Q3666" s="1" t="s">
        <v>157</v>
      </c>
      <c r="R3666" s="1" t="s">
        <v>157</v>
      </c>
      <c r="S3666" s="1" t="s">
        <v>158</v>
      </c>
      <c r="T3666" s="1" t="s">
        <v>442</v>
      </c>
      <c r="U3666" s="1">
        <v>1.00646908E8</v>
      </c>
      <c r="X3666" s="1" t="s">
        <v>781</v>
      </c>
      <c r="Y3666" s="1" t="s">
        <v>852</v>
      </c>
      <c r="Z3666" s="1" t="s">
        <v>37</v>
      </c>
    </row>
    <row r="3667" hidden="1">
      <c r="A3667" s="1" t="s">
        <v>10651</v>
      </c>
      <c r="B3667" s="1" t="s">
        <v>1790</v>
      </c>
      <c r="C3667" s="1" t="s">
        <v>10652</v>
      </c>
      <c r="D3667" s="1" t="s">
        <v>27</v>
      </c>
      <c r="E3667" s="1" t="s">
        <v>28</v>
      </c>
      <c r="F3667" s="2">
        <v>250000.0</v>
      </c>
      <c r="G3667" s="1" t="s">
        <v>429</v>
      </c>
      <c r="H3667" s="4">
        <f>IFERROR(__xludf.DUMMYFUNCTION("DATE(INDEX(SPLIT(G3667,""/""),,3),INDEX(SPLIT(G3667,""/""),,2),INDEX(SPLIT(G3667,""/""),,1))"),44739.0)</f>
        <v>44739</v>
      </c>
      <c r="I3667" s="1" t="s">
        <v>109</v>
      </c>
      <c r="J3667" s="4">
        <f>IFERROR(__xludf.DUMMYFUNCTION("DATE(INDEX(SPLIT(I3667,""/""),,3),INDEX(SPLIT(I3667,""/""),,2),INDEX(SPLIT(I3667,""/""),,1))"),44834.0)</f>
        <v>44834</v>
      </c>
      <c r="L3667" s="1">
        <v>0.0</v>
      </c>
      <c r="M3667" s="1" t="s">
        <v>4639</v>
      </c>
      <c r="N3667" s="1"/>
      <c r="O3667" s="1" t="s">
        <v>30</v>
      </c>
      <c r="P3667" s="1" t="s">
        <v>31</v>
      </c>
      <c r="Q3667" s="1" t="s">
        <v>53</v>
      </c>
      <c r="R3667" s="1" t="s">
        <v>53</v>
      </c>
      <c r="S3667" s="1" t="s">
        <v>54</v>
      </c>
      <c r="U3667" s="1">
        <v>1.00660049E8</v>
      </c>
      <c r="X3667" s="1" t="s">
        <v>88</v>
      </c>
      <c r="Y3667" s="1" t="s">
        <v>10648</v>
      </c>
      <c r="Z3667" s="1" t="s">
        <v>37</v>
      </c>
    </row>
    <row r="3668">
      <c r="A3668" s="1" t="s">
        <v>10653</v>
      </c>
      <c r="B3668" s="1" t="s">
        <v>4779</v>
      </c>
      <c r="C3668" s="1" t="s">
        <v>10654</v>
      </c>
      <c r="D3668" s="1" t="s">
        <v>27</v>
      </c>
      <c r="E3668" s="1" t="s">
        <v>28</v>
      </c>
      <c r="F3668" s="2">
        <v>250000.0</v>
      </c>
      <c r="G3668" s="1" t="s">
        <v>9159</v>
      </c>
      <c r="H3668" s="4">
        <f>IFERROR(__xludf.DUMMYFUNCTION("DATE(INDEX(SPLIT(G3668,""/""),,3),INDEX(SPLIT(G3668,""/""),,2),INDEX(SPLIT(G3668,""/""),,1))"),44515.0)</f>
        <v>44515</v>
      </c>
      <c r="I3668" s="1" t="s">
        <v>1244</v>
      </c>
      <c r="J3668" s="4">
        <f>IFERROR(__xludf.DUMMYFUNCTION("DATE(INDEX(SPLIT(I3668,""/""),,3),INDEX(SPLIT(I3668,""/""),,2),INDEX(SPLIT(I3668,""/""),,1))"),44742.0)</f>
        <v>44742</v>
      </c>
      <c r="L3668" s="1">
        <v>0.0</v>
      </c>
      <c r="M3668" s="1" t="s">
        <v>1230</v>
      </c>
      <c r="N3668" s="1"/>
      <c r="O3668" s="1" t="s">
        <v>30</v>
      </c>
      <c r="P3668" s="1" t="s">
        <v>31</v>
      </c>
      <c r="Q3668" s="1" t="s">
        <v>53</v>
      </c>
      <c r="R3668" s="1" t="s">
        <v>53</v>
      </c>
      <c r="S3668" s="1" t="s">
        <v>54</v>
      </c>
      <c r="U3668" s="1">
        <v>1.01127868E8</v>
      </c>
      <c r="X3668" s="1" t="s">
        <v>312</v>
      </c>
      <c r="Y3668" s="1" t="s">
        <v>2367</v>
      </c>
      <c r="Z3668" s="1" t="s">
        <v>37</v>
      </c>
    </row>
    <row r="3669">
      <c r="A3669" s="1" t="s">
        <v>10655</v>
      </c>
      <c r="B3669" s="1" t="s">
        <v>1854</v>
      </c>
      <c r="C3669" s="1" t="s">
        <v>10656</v>
      </c>
      <c r="D3669" s="1" t="s">
        <v>122</v>
      </c>
      <c r="E3669" s="1" t="s">
        <v>28</v>
      </c>
      <c r="F3669" s="2">
        <v>250000.0</v>
      </c>
      <c r="G3669" s="4">
        <v>44867.0</v>
      </c>
      <c r="H3669" s="4">
        <f>IFERROR(__xludf.DUMMYFUNCTION("DATE(INDEX(SPLIT(G3669,""/""),,3),INDEX(SPLIT(G3669,""/""),,2),INDEX(SPLIT(G3669,""/""),,1))"),44603.0)</f>
        <v>44603</v>
      </c>
      <c r="I3669" s="4">
        <v>44626.0</v>
      </c>
      <c r="J3669" s="4">
        <f>IFERROR(__xludf.DUMMYFUNCTION("DATE(INDEX(SPLIT(I3669,""/""),,3),INDEX(SPLIT(I3669,""/""),,2),INDEX(SPLIT(I3669,""/""),,1))"),44715.0)</f>
        <v>44715</v>
      </c>
      <c r="L3669" s="1">
        <v>0.0</v>
      </c>
      <c r="M3669" s="1" t="s">
        <v>2551</v>
      </c>
      <c r="N3669" s="1"/>
      <c r="O3669" s="1" t="s">
        <v>30</v>
      </c>
      <c r="P3669" s="1" t="s">
        <v>31</v>
      </c>
      <c r="Q3669" s="1" t="s">
        <v>95</v>
      </c>
      <c r="R3669" s="1" t="s">
        <v>95</v>
      </c>
      <c r="S3669" s="1" t="s">
        <v>96</v>
      </c>
      <c r="T3669" s="1" t="s">
        <v>111</v>
      </c>
      <c r="U3669" s="1">
        <v>1.00660092E8</v>
      </c>
      <c r="X3669" s="1" t="s">
        <v>63</v>
      </c>
      <c r="Y3669" s="1" t="s">
        <v>2551</v>
      </c>
      <c r="Z3669" s="1" t="s">
        <v>37</v>
      </c>
    </row>
    <row r="3670">
      <c r="A3670" s="1" t="s">
        <v>10657</v>
      </c>
      <c r="B3670" s="1" t="s">
        <v>932</v>
      </c>
      <c r="C3670" s="1" t="s">
        <v>10658</v>
      </c>
      <c r="D3670" s="1" t="s">
        <v>27</v>
      </c>
      <c r="E3670" s="1" t="s">
        <v>28</v>
      </c>
      <c r="F3670" s="2">
        <v>250000.0</v>
      </c>
      <c r="G3670" s="1" t="s">
        <v>4036</v>
      </c>
      <c r="H3670" s="4">
        <f>IFERROR(__xludf.DUMMYFUNCTION("DATE(INDEX(SPLIT(G3670,""/""),,3),INDEX(SPLIT(G3670,""/""),,2),INDEX(SPLIT(G3670,""/""),,1))"),44592.0)</f>
        <v>44592</v>
      </c>
      <c r="I3670" s="1" t="s">
        <v>226</v>
      </c>
      <c r="J3670" s="4">
        <f>IFERROR(__xludf.DUMMYFUNCTION("DATE(INDEX(SPLIT(I3670,""/""),,3),INDEX(SPLIT(I3670,""/""),,2),INDEX(SPLIT(I3670,""/""),,1))"),44771.0)</f>
        <v>44771</v>
      </c>
      <c r="K3670" s="9">
        <v>44809.85</v>
      </c>
      <c r="L3670" s="1">
        <v>0.0</v>
      </c>
      <c r="M3670" s="1" t="s">
        <v>2032</v>
      </c>
      <c r="N3670" s="1"/>
      <c r="O3670" s="1" t="s">
        <v>30</v>
      </c>
      <c r="P3670" s="1" t="s">
        <v>31</v>
      </c>
      <c r="Q3670" s="1" t="s">
        <v>71</v>
      </c>
      <c r="R3670" s="1" t="s">
        <v>71</v>
      </c>
      <c r="S3670" s="1" t="s">
        <v>72</v>
      </c>
      <c r="T3670" s="1" t="s">
        <v>73</v>
      </c>
      <c r="U3670" s="1">
        <v>1.00929557E8</v>
      </c>
      <c r="X3670" s="1" t="s">
        <v>74</v>
      </c>
      <c r="Y3670" s="1" t="s">
        <v>10659</v>
      </c>
      <c r="Z3670" s="1" t="s">
        <v>206</v>
      </c>
    </row>
    <row r="3671" hidden="1">
      <c r="A3671" s="1" t="s">
        <v>10660</v>
      </c>
      <c r="B3671" s="1" t="s">
        <v>479</v>
      </c>
      <c r="C3671" s="1" t="s">
        <v>10661</v>
      </c>
      <c r="D3671" s="1" t="s">
        <v>27</v>
      </c>
      <c r="E3671" s="1" t="s">
        <v>28</v>
      </c>
      <c r="F3671" s="2">
        <v>250000.0</v>
      </c>
      <c r="G3671" s="4">
        <v>44297.0</v>
      </c>
      <c r="H3671" s="4">
        <f>IFERROR(__xludf.DUMMYFUNCTION("DATE(INDEX(SPLIT(G3671,""/""),,3),INDEX(SPLIT(G3671,""/""),,2),INDEX(SPLIT(G3671,""/""),,1))"),44504.0)</f>
        <v>44504</v>
      </c>
      <c r="I3671" s="1" t="s">
        <v>872</v>
      </c>
      <c r="J3671" s="4">
        <f>IFERROR(__xludf.DUMMYFUNCTION("DATE(INDEX(SPLIT(I3671,""/""),,3),INDEX(SPLIT(I3671,""/""),,2),INDEX(SPLIT(I3671,""/""),,1))"),44820.0)</f>
        <v>44820</v>
      </c>
      <c r="L3671" s="1">
        <v>0.0</v>
      </c>
      <c r="M3671" s="1" t="s">
        <v>790</v>
      </c>
      <c r="N3671" s="1"/>
      <c r="O3671" s="1" t="s">
        <v>30</v>
      </c>
      <c r="P3671" s="1" t="s">
        <v>31</v>
      </c>
      <c r="Q3671" s="1" t="s">
        <v>228</v>
      </c>
      <c r="R3671" s="1" t="s">
        <v>228</v>
      </c>
      <c r="S3671" s="1" t="s">
        <v>229</v>
      </c>
      <c r="T3671" s="1" t="s">
        <v>505</v>
      </c>
      <c r="U3671" s="1">
        <v>1.00619765E8</v>
      </c>
      <c r="X3671" s="1" t="s">
        <v>312</v>
      </c>
      <c r="Y3671" s="1" t="s">
        <v>3189</v>
      </c>
      <c r="Z3671" s="1" t="s">
        <v>206</v>
      </c>
    </row>
    <row r="3672">
      <c r="A3672" s="1" t="s">
        <v>10662</v>
      </c>
      <c r="B3672" s="1" t="s">
        <v>6188</v>
      </c>
      <c r="C3672" s="1" t="s">
        <v>10663</v>
      </c>
      <c r="D3672" s="1" t="s">
        <v>122</v>
      </c>
      <c r="E3672" s="1" t="s">
        <v>28</v>
      </c>
      <c r="F3672" s="2">
        <v>250000.0</v>
      </c>
      <c r="G3672" s="1" t="s">
        <v>2064</v>
      </c>
      <c r="H3672" s="4">
        <f>IFERROR(__xludf.DUMMYFUNCTION("DATE(INDEX(SPLIT(G3672,""/""),,3),INDEX(SPLIT(G3672,""/""),,2),INDEX(SPLIT(G3672,""/""),,1))"),44616.0)</f>
        <v>44616</v>
      </c>
      <c r="I3672" s="1" t="s">
        <v>69</v>
      </c>
      <c r="J3672" s="4">
        <f>IFERROR(__xludf.DUMMYFUNCTION("DATE(INDEX(SPLIT(I3672,""/""),,3),INDEX(SPLIT(I3672,""/""),,2),INDEX(SPLIT(I3672,""/""),,1))"),44773.0)</f>
        <v>44773</v>
      </c>
      <c r="L3672" s="1">
        <v>0.0</v>
      </c>
      <c r="M3672" s="1" t="s">
        <v>524</v>
      </c>
      <c r="N3672" s="1"/>
      <c r="O3672" s="1" t="s">
        <v>30</v>
      </c>
      <c r="P3672" s="1" t="s">
        <v>31</v>
      </c>
      <c r="Q3672" s="1" t="s">
        <v>32</v>
      </c>
      <c r="R3672" s="1" t="s">
        <v>32</v>
      </c>
      <c r="S3672" s="1" t="s">
        <v>33</v>
      </c>
      <c r="U3672" s="1">
        <v>1.00627768E8</v>
      </c>
      <c r="V3672" s="1" t="s">
        <v>10664</v>
      </c>
      <c r="W3672" s="1" t="s">
        <v>199</v>
      </c>
      <c r="Y3672" s="1" t="s">
        <v>524</v>
      </c>
      <c r="Z3672" s="1" t="s">
        <v>527</v>
      </c>
    </row>
    <row r="3673" hidden="1">
      <c r="A3673" s="1" t="s">
        <v>10665</v>
      </c>
      <c r="B3673" s="1" t="s">
        <v>1994</v>
      </c>
      <c r="C3673" s="1" t="s">
        <v>10666</v>
      </c>
      <c r="D3673" s="1" t="s">
        <v>27</v>
      </c>
      <c r="E3673" s="1" t="s">
        <v>28</v>
      </c>
      <c r="F3673" s="2">
        <v>250000.0</v>
      </c>
      <c r="G3673" s="1" t="s">
        <v>10667</v>
      </c>
      <c r="H3673" s="4">
        <f>IFERROR(__xludf.DUMMYFUNCTION("DATE(INDEX(SPLIT(G3673,""/""),,3),INDEX(SPLIT(G3673,""/""),,2),INDEX(SPLIT(G3673,""/""),,1))"),44270.0)</f>
        <v>44270</v>
      </c>
      <c r="I3673" s="1" t="s">
        <v>42</v>
      </c>
      <c r="J3673" s="4">
        <f>IFERROR(__xludf.DUMMYFUNCTION("DATE(INDEX(SPLIT(I3673,""/""),,3),INDEX(SPLIT(I3673,""/""),,2),INDEX(SPLIT(I3673,""/""),,1))"),44926.0)</f>
        <v>44926</v>
      </c>
      <c r="L3673" s="1">
        <v>0.0</v>
      </c>
      <c r="M3673" s="1" t="s">
        <v>1376</v>
      </c>
      <c r="N3673" s="1"/>
      <c r="O3673" s="1" t="s">
        <v>30</v>
      </c>
      <c r="P3673" s="1" t="s">
        <v>31</v>
      </c>
      <c r="Q3673" s="1" t="s">
        <v>32</v>
      </c>
      <c r="R3673" s="1" t="s">
        <v>32</v>
      </c>
      <c r="S3673" s="1" t="s">
        <v>33</v>
      </c>
      <c r="T3673" s="1" t="s">
        <v>1195</v>
      </c>
      <c r="U3673" s="1">
        <v>1.006096E8</v>
      </c>
      <c r="X3673" s="1" t="s">
        <v>490</v>
      </c>
      <c r="Y3673" s="1" t="s">
        <v>7653</v>
      </c>
      <c r="Z3673" s="1" t="s">
        <v>37</v>
      </c>
    </row>
    <row r="3674">
      <c r="A3674" s="1" t="s">
        <v>10668</v>
      </c>
      <c r="B3674" s="1" t="s">
        <v>10669</v>
      </c>
      <c r="C3674" s="1" t="s">
        <v>10670</v>
      </c>
      <c r="D3674" s="1" t="s">
        <v>78</v>
      </c>
      <c r="E3674" s="1" t="s">
        <v>28</v>
      </c>
      <c r="F3674" s="2">
        <v>250000.0</v>
      </c>
      <c r="G3674" s="4">
        <v>44625.0</v>
      </c>
      <c r="H3674" s="4">
        <f>IFERROR(__xludf.DUMMYFUNCTION("DATE(INDEX(SPLIT(G3674,""/""),,3),INDEX(SPLIT(G3674,""/""),,2),INDEX(SPLIT(G3674,""/""),,1))"),44684.0)</f>
        <v>44684</v>
      </c>
      <c r="I3674" s="1" t="s">
        <v>69</v>
      </c>
      <c r="J3674" s="4">
        <f>IFERROR(__xludf.DUMMYFUNCTION("DATE(INDEX(SPLIT(I3674,""/""),,3),INDEX(SPLIT(I3674,""/""),,2),INDEX(SPLIT(I3674,""/""),,1))"),44773.0)</f>
        <v>44773</v>
      </c>
      <c r="L3674" s="1">
        <v>0.0</v>
      </c>
      <c r="M3674" s="1" t="s">
        <v>4282</v>
      </c>
      <c r="N3674" s="1"/>
      <c r="O3674" s="1" t="s">
        <v>30</v>
      </c>
      <c r="P3674" s="1" t="s">
        <v>31</v>
      </c>
      <c r="Q3674" s="1" t="s">
        <v>53</v>
      </c>
      <c r="R3674" s="1" t="s">
        <v>53</v>
      </c>
      <c r="S3674" s="1" t="s">
        <v>54</v>
      </c>
      <c r="T3674" s="1" t="s">
        <v>55</v>
      </c>
      <c r="U3674" s="1">
        <v>1.01238292E8</v>
      </c>
      <c r="X3674" s="1" t="s">
        <v>305</v>
      </c>
      <c r="Y3674" s="1" t="s">
        <v>4282</v>
      </c>
      <c r="Z3674" s="1" t="s">
        <v>37</v>
      </c>
    </row>
    <row r="3675" hidden="1">
      <c r="A3675" s="1" t="s">
        <v>10671</v>
      </c>
      <c r="B3675" s="1" t="s">
        <v>1994</v>
      </c>
      <c r="C3675" s="1" t="s">
        <v>10672</v>
      </c>
      <c r="D3675" s="1" t="s">
        <v>27</v>
      </c>
      <c r="E3675" s="1" t="s">
        <v>28</v>
      </c>
      <c r="F3675" s="2">
        <v>250000.0</v>
      </c>
      <c r="G3675" s="1" t="s">
        <v>10667</v>
      </c>
      <c r="H3675" s="4">
        <f>IFERROR(__xludf.DUMMYFUNCTION("DATE(INDEX(SPLIT(G3675,""/""),,3),INDEX(SPLIT(G3675,""/""),,2),INDEX(SPLIT(G3675,""/""),,1))"),44270.0)</f>
        <v>44270</v>
      </c>
      <c r="I3675" s="1" t="s">
        <v>42</v>
      </c>
      <c r="J3675" s="4">
        <f>IFERROR(__xludf.DUMMYFUNCTION("DATE(INDEX(SPLIT(I3675,""/""),,3),INDEX(SPLIT(I3675,""/""),,2),INDEX(SPLIT(I3675,""/""),,1))"),44926.0)</f>
        <v>44926</v>
      </c>
      <c r="L3675" s="1">
        <v>0.0</v>
      </c>
      <c r="M3675" s="1" t="s">
        <v>1376</v>
      </c>
      <c r="N3675" s="1"/>
      <c r="O3675" s="1" t="s">
        <v>30</v>
      </c>
      <c r="P3675" s="1" t="s">
        <v>31</v>
      </c>
      <c r="Q3675" s="1" t="s">
        <v>32</v>
      </c>
      <c r="R3675" s="1" t="s">
        <v>32</v>
      </c>
      <c r="S3675" s="1" t="s">
        <v>33</v>
      </c>
      <c r="T3675" s="1" t="s">
        <v>1195</v>
      </c>
      <c r="U3675" s="1">
        <v>1.006096E8</v>
      </c>
      <c r="X3675" s="1" t="s">
        <v>490</v>
      </c>
      <c r="Y3675" s="1" t="s">
        <v>7653</v>
      </c>
      <c r="Z3675" s="1" t="s">
        <v>37</v>
      </c>
    </row>
    <row r="3676">
      <c r="A3676" s="1" t="s">
        <v>10673</v>
      </c>
      <c r="B3676" s="1" t="s">
        <v>1692</v>
      </c>
      <c r="C3676" s="1" t="s">
        <v>10674</v>
      </c>
      <c r="D3676" s="1" t="s">
        <v>27</v>
      </c>
      <c r="E3676" s="1" t="s">
        <v>28</v>
      </c>
      <c r="F3676" s="2">
        <v>250000.0</v>
      </c>
      <c r="G3676" s="4">
        <v>44359.0</v>
      </c>
      <c r="H3676" s="4">
        <f>IFERROR(__xludf.DUMMYFUNCTION("DATE(INDEX(SPLIT(G3676,""/""),,3),INDEX(SPLIT(G3676,""/""),,2),INDEX(SPLIT(G3676,""/""),,1))"),44536.0)</f>
        <v>44536</v>
      </c>
      <c r="I3676" s="1" t="s">
        <v>69</v>
      </c>
      <c r="J3676" s="4">
        <f>IFERROR(__xludf.DUMMYFUNCTION("DATE(INDEX(SPLIT(I3676,""/""),,3),INDEX(SPLIT(I3676,""/""),,2),INDEX(SPLIT(I3676,""/""),,1))"),44773.0)</f>
        <v>44773</v>
      </c>
      <c r="L3676" s="1">
        <v>0.0</v>
      </c>
      <c r="M3676" s="1" t="s">
        <v>1759</v>
      </c>
      <c r="N3676" s="1"/>
      <c r="O3676" s="1" t="s">
        <v>30</v>
      </c>
      <c r="P3676" s="1" t="s">
        <v>31</v>
      </c>
      <c r="Q3676" s="1" t="s">
        <v>95</v>
      </c>
      <c r="R3676" s="1" t="s">
        <v>95</v>
      </c>
      <c r="S3676" s="1" t="s">
        <v>96</v>
      </c>
      <c r="T3676" s="1" t="s">
        <v>602</v>
      </c>
      <c r="U3676" s="1">
        <v>1.00596555E8</v>
      </c>
      <c r="X3676" s="1" t="s">
        <v>88</v>
      </c>
      <c r="Y3676" s="1" t="s">
        <v>4059</v>
      </c>
      <c r="Z3676" s="1" t="s">
        <v>206</v>
      </c>
    </row>
    <row r="3677" hidden="1">
      <c r="A3677" s="1" t="s">
        <v>10675</v>
      </c>
      <c r="B3677" s="1" t="s">
        <v>10676</v>
      </c>
      <c r="C3677" s="1" t="s">
        <v>10677</v>
      </c>
      <c r="D3677" s="1" t="s">
        <v>27</v>
      </c>
      <c r="E3677" s="1" t="s">
        <v>28</v>
      </c>
      <c r="F3677" s="2">
        <v>250000.0</v>
      </c>
      <c r="G3677" s="1" t="s">
        <v>10667</v>
      </c>
      <c r="H3677" s="4">
        <f>IFERROR(__xludf.DUMMYFUNCTION("DATE(INDEX(SPLIT(G3677,""/""),,3),INDEX(SPLIT(G3677,""/""),,2),INDEX(SPLIT(G3677,""/""),,1))"),44270.0)</f>
        <v>44270</v>
      </c>
      <c r="I3677" s="1" t="s">
        <v>42</v>
      </c>
      <c r="J3677" s="4">
        <f>IFERROR(__xludf.DUMMYFUNCTION("DATE(INDEX(SPLIT(I3677,""/""),,3),INDEX(SPLIT(I3677,""/""),,2),INDEX(SPLIT(I3677,""/""),,1))"),44926.0)</f>
        <v>44926</v>
      </c>
      <c r="L3677" s="1">
        <v>0.0</v>
      </c>
      <c r="M3677" s="1" t="s">
        <v>1376</v>
      </c>
      <c r="N3677" s="1"/>
      <c r="O3677" s="1" t="s">
        <v>30</v>
      </c>
      <c r="P3677" s="1" t="s">
        <v>31</v>
      </c>
      <c r="Q3677" s="1" t="s">
        <v>32</v>
      </c>
      <c r="R3677" s="1" t="s">
        <v>32</v>
      </c>
      <c r="S3677" s="1" t="s">
        <v>33</v>
      </c>
      <c r="T3677" s="1" t="s">
        <v>1195</v>
      </c>
      <c r="U3677" s="1">
        <v>1.006096E8</v>
      </c>
      <c r="X3677" s="1" t="s">
        <v>490</v>
      </c>
      <c r="Y3677" s="1" t="s">
        <v>7653</v>
      </c>
      <c r="Z3677" s="1" t="s">
        <v>37</v>
      </c>
    </row>
    <row r="3678" hidden="1">
      <c r="A3678" s="1" t="s">
        <v>10678</v>
      </c>
      <c r="B3678" s="1" t="s">
        <v>1762</v>
      </c>
      <c r="C3678" s="1" t="s">
        <v>10679</v>
      </c>
      <c r="D3678" s="1" t="s">
        <v>27</v>
      </c>
      <c r="E3678" s="1" t="s">
        <v>28</v>
      </c>
      <c r="F3678" s="2">
        <v>250000.0</v>
      </c>
      <c r="G3678" s="1" t="s">
        <v>586</v>
      </c>
      <c r="H3678" s="4">
        <f>IFERROR(__xludf.DUMMYFUNCTION("DATE(INDEX(SPLIT(G3678,""/""),,3),INDEX(SPLIT(G3678,""/""),,2),INDEX(SPLIT(G3678,""/""),,1))"),44726.0)</f>
        <v>44726</v>
      </c>
      <c r="I3678" s="1" t="s">
        <v>130</v>
      </c>
      <c r="J3678" s="4">
        <f>IFERROR(__xludf.DUMMYFUNCTION("DATE(INDEX(SPLIT(I3678,""/""),,3),INDEX(SPLIT(I3678,""/""),,2),INDEX(SPLIT(I3678,""/""),,1))"),44804.0)</f>
        <v>44804</v>
      </c>
      <c r="L3678" s="1">
        <v>0.0</v>
      </c>
      <c r="M3678" s="1" t="s">
        <v>863</v>
      </c>
      <c r="N3678" s="1"/>
      <c r="O3678" s="1" t="s">
        <v>30</v>
      </c>
      <c r="P3678" s="1" t="s">
        <v>31</v>
      </c>
      <c r="Q3678" s="1" t="s">
        <v>32</v>
      </c>
      <c r="R3678" s="1" t="s">
        <v>32</v>
      </c>
      <c r="S3678" s="1" t="s">
        <v>33</v>
      </c>
      <c r="U3678" s="1">
        <v>1.00650568E8</v>
      </c>
      <c r="X3678" s="1" t="s">
        <v>490</v>
      </c>
      <c r="Y3678" s="1" t="s">
        <v>6682</v>
      </c>
      <c r="Z3678" s="1" t="s">
        <v>37</v>
      </c>
    </row>
    <row r="3679">
      <c r="A3679" s="1" t="s">
        <v>10680</v>
      </c>
      <c r="B3679" s="1" t="s">
        <v>427</v>
      </c>
      <c r="C3679" s="1" t="s">
        <v>10681</v>
      </c>
      <c r="D3679" s="1" t="s">
        <v>27</v>
      </c>
      <c r="E3679" s="1" t="s">
        <v>28</v>
      </c>
      <c r="F3679" s="2">
        <v>250000.0</v>
      </c>
      <c r="G3679" s="1" t="s">
        <v>4379</v>
      </c>
      <c r="H3679" s="4">
        <f>IFERROR(__xludf.DUMMYFUNCTION("DATE(INDEX(SPLIT(G3679,""/""),,3),INDEX(SPLIT(G3679,""/""),,2),INDEX(SPLIT(G3679,""/""),,1))"),44522.0)</f>
        <v>44522</v>
      </c>
      <c r="I3679" s="1" t="s">
        <v>1244</v>
      </c>
      <c r="J3679" s="4">
        <f>IFERROR(__xludf.DUMMYFUNCTION("DATE(INDEX(SPLIT(I3679,""/""),,3),INDEX(SPLIT(I3679,""/""),,2),INDEX(SPLIT(I3679,""/""),,1))"),44742.0)</f>
        <v>44742</v>
      </c>
      <c r="L3679" s="1">
        <v>0.0</v>
      </c>
      <c r="M3679" s="1" t="s">
        <v>891</v>
      </c>
      <c r="N3679" s="1"/>
      <c r="O3679" s="1" t="s">
        <v>30</v>
      </c>
      <c r="P3679" s="1" t="s">
        <v>31</v>
      </c>
      <c r="Q3679" s="1" t="s">
        <v>32</v>
      </c>
      <c r="R3679" s="1" t="s">
        <v>32</v>
      </c>
      <c r="S3679" s="1" t="s">
        <v>33</v>
      </c>
      <c r="T3679" s="1" t="s">
        <v>402</v>
      </c>
      <c r="U3679" s="1">
        <v>1.00866856E8</v>
      </c>
      <c r="W3679" s="1" t="s">
        <v>56</v>
      </c>
      <c r="X3679" s="1" t="s">
        <v>125</v>
      </c>
      <c r="Y3679" s="1" t="s">
        <v>891</v>
      </c>
      <c r="Z3679" s="1" t="s">
        <v>37</v>
      </c>
    </row>
    <row r="3680">
      <c r="A3680" s="1" t="s">
        <v>10682</v>
      </c>
      <c r="B3680" s="1" t="s">
        <v>10599</v>
      </c>
      <c r="C3680" s="1" t="s">
        <v>10683</v>
      </c>
      <c r="D3680" s="1" t="s">
        <v>27</v>
      </c>
      <c r="E3680" s="1" t="s">
        <v>28</v>
      </c>
      <c r="F3680" s="2">
        <v>250000.0</v>
      </c>
      <c r="G3680" s="1" t="s">
        <v>2632</v>
      </c>
      <c r="H3680" s="4">
        <f>IFERROR(__xludf.DUMMYFUNCTION("DATE(INDEX(SPLIT(G3680,""/""),,3),INDEX(SPLIT(G3680,""/""),,2),INDEX(SPLIT(G3680,""/""),,1))"),44702.0)</f>
        <v>44702</v>
      </c>
      <c r="I3680" s="4">
        <v>44780.0</v>
      </c>
      <c r="J3680" s="4">
        <f>IFERROR(__xludf.DUMMYFUNCTION("DATE(INDEX(SPLIT(I3680,""/""),,3),INDEX(SPLIT(I3680,""/""),,2),INDEX(SPLIT(I3680,""/""),,1))"),44750.0)</f>
        <v>44750</v>
      </c>
      <c r="L3680" s="1">
        <v>0.0</v>
      </c>
      <c r="M3680" s="1" t="s">
        <v>10684</v>
      </c>
      <c r="N3680" s="1"/>
      <c r="O3680" s="1" t="s">
        <v>30</v>
      </c>
      <c r="P3680" s="1" t="s">
        <v>31</v>
      </c>
      <c r="Q3680" s="1" t="s">
        <v>53</v>
      </c>
      <c r="R3680" s="1" t="s">
        <v>53</v>
      </c>
      <c r="S3680" s="1" t="s">
        <v>54</v>
      </c>
      <c r="T3680" s="1" t="s">
        <v>442</v>
      </c>
      <c r="U3680" s="1">
        <v>1.01215108E8</v>
      </c>
      <c r="X3680" s="1" t="s">
        <v>117</v>
      </c>
      <c r="Y3680" s="1" t="s">
        <v>10684</v>
      </c>
      <c r="Z3680" s="1" t="s">
        <v>37</v>
      </c>
    </row>
    <row r="3681">
      <c r="A3681" s="1" t="s">
        <v>10685</v>
      </c>
      <c r="B3681" s="1" t="s">
        <v>427</v>
      </c>
      <c r="C3681" s="1" t="s">
        <v>10686</v>
      </c>
      <c r="D3681" s="1" t="s">
        <v>27</v>
      </c>
      <c r="E3681" s="1" t="s">
        <v>28</v>
      </c>
      <c r="F3681" s="2">
        <v>250000.0</v>
      </c>
      <c r="G3681" s="1" t="s">
        <v>3470</v>
      </c>
      <c r="H3681" s="4">
        <f>IFERROR(__xludf.DUMMYFUNCTION("DATE(INDEX(SPLIT(G3681,""/""),,3),INDEX(SPLIT(G3681,""/""),,2),INDEX(SPLIT(G3681,""/""),,1))"),44126.0)</f>
        <v>44126</v>
      </c>
      <c r="I3681" s="1" t="s">
        <v>226</v>
      </c>
      <c r="J3681" s="4">
        <f>IFERROR(__xludf.DUMMYFUNCTION("DATE(INDEX(SPLIT(I3681,""/""),,3),INDEX(SPLIT(I3681,""/""),,2),INDEX(SPLIT(I3681,""/""),,1))"),44771.0)</f>
        <v>44771</v>
      </c>
      <c r="L3681" s="1">
        <v>0.0</v>
      </c>
      <c r="M3681" s="1" t="s">
        <v>770</v>
      </c>
      <c r="N3681" s="1"/>
      <c r="O3681" s="1" t="s">
        <v>30</v>
      </c>
      <c r="P3681" s="1" t="s">
        <v>31</v>
      </c>
      <c r="Q3681" s="1" t="s">
        <v>157</v>
      </c>
      <c r="R3681" s="1" t="s">
        <v>157</v>
      </c>
      <c r="S3681" s="1" t="s">
        <v>158</v>
      </c>
      <c r="T3681" s="1" t="s">
        <v>442</v>
      </c>
      <c r="U3681" s="1">
        <v>1.00623421E8</v>
      </c>
      <c r="X3681" s="1" t="s">
        <v>125</v>
      </c>
      <c r="Y3681" s="1" t="s">
        <v>432</v>
      </c>
      <c r="Z3681" s="1" t="s">
        <v>37</v>
      </c>
    </row>
    <row r="3682" hidden="1">
      <c r="A3682" s="1" t="s">
        <v>10687</v>
      </c>
      <c r="B3682" s="1" t="s">
        <v>301</v>
      </c>
      <c r="C3682" s="1" t="s">
        <v>10688</v>
      </c>
      <c r="D3682" s="1" t="s">
        <v>27</v>
      </c>
      <c r="E3682" s="1" t="s">
        <v>28</v>
      </c>
      <c r="F3682" s="2">
        <v>250000.0</v>
      </c>
      <c r="G3682" s="4">
        <v>44717.0</v>
      </c>
      <c r="H3682" s="4">
        <f>IFERROR(__xludf.DUMMYFUNCTION("DATE(INDEX(SPLIT(G3682,""/""),,3),INDEX(SPLIT(G3682,""/""),,2),INDEX(SPLIT(G3682,""/""),,1))"),44687.0)</f>
        <v>44687</v>
      </c>
      <c r="I3682" s="1" t="s">
        <v>130</v>
      </c>
      <c r="J3682" s="4">
        <f>IFERROR(__xludf.DUMMYFUNCTION("DATE(INDEX(SPLIT(I3682,""/""),,3),INDEX(SPLIT(I3682,""/""),,2),INDEX(SPLIT(I3682,""/""),,1))"),44804.0)</f>
        <v>44804</v>
      </c>
      <c r="L3682" s="1">
        <v>0.0</v>
      </c>
      <c r="M3682" s="1" t="s">
        <v>674</v>
      </c>
      <c r="N3682" s="1"/>
      <c r="O3682" s="1" t="s">
        <v>30</v>
      </c>
      <c r="P3682" s="1" t="s">
        <v>31</v>
      </c>
      <c r="Q3682" s="1" t="s">
        <v>228</v>
      </c>
      <c r="R3682" s="1" t="s">
        <v>228</v>
      </c>
      <c r="S3682" s="1" t="s">
        <v>229</v>
      </c>
      <c r="U3682" s="1">
        <v>1.0089503E8</v>
      </c>
      <c r="X3682" s="1" t="s">
        <v>305</v>
      </c>
      <c r="Y3682" s="1" t="s">
        <v>5031</v>
      </c>
      <c r="Z3682" s="1" t="s">
        <v>37</v>
      </c>
    </row>
    <row r="3683">
      <c r="A3683" s="1" t="s">
        <v>10689</v>
      </c>
      <c r="B3683" s="1" t="s">
        <v>7785</v>
      </c>
      <c r="C3683" s="1" t="s">
        <v>10690</v>
      </c>
      <c r="D3683" s="1" t="s">
        <v>122</v>
      </c>
      <c r="E3683" s="1" t="s">
        <v>28</v>
      </c>
      <c r="F3683" s="2">
        <v>250000.0</v>
      </c>
      <c r="G3683" s="1" t="s">
        <v>330</v>
      </c>
      <c r="H3683" s="4">
        <f>IFERROR(__xludf.DUMMYFUNCTION("DATE(INDEX(SPLIT(G3683,""/""),,3),INDEX(SPLIT(G3683,""/""),,2),INDEX(SPLIT(G3683,""/""),,1))"),44728.0)</f>
        <v>44728</v>
      </c>
      <c r="I3683" s="1" t="s">
        <v>1244</v>
      </c>
      <c r="J3683" s="4">
        <f>IFERROR(__xludf.DUMMYFUNCTION("DATE(INDEX(SPLIT(I3683,""/""),,3),INDEX(SPLIT(I3683,""/""),,2),INDEX(SPLIT(I3683,""/""),,1))"),44742.0)</f>
        <v>44742</v>
      </c>
      <c r="L3683" s="1">
        <v>0.0</v>
      </c>
      <c r="M3683" s="1" t="s">
        <v>3236</v>
      </c>
      <c r="N3683" s="1"/>
      <c r="O3683" s="1" t="s">
        <v>30</v>
      </c>
      <c r="P3683" s="1" t="s">
        <v>31</v>
      </c>
      <c r="Q3683" s="1" t="s">
        <v>53</v>
      </c>
      <c r="R3683" s="1" t="s">
        <v>53</v>
      </c>
      <c r="S3683" s="1" t="s">
        <v>54</v>
      </c>
      <c r="U3683" s="1">
        <v>1.00650453E8</v>
      </c>
      <c r="W3683" s="1" t="s">
        <v>56</v>
      </c>
      <c r="X3683" s="1" t="s">
        <v>375</v>
      </c>
      <c r="Y3683" s="1" t="s">
        <v>3236</v>
      </c>
      <c r="Z3683" s="1" t="s">
        <v>37</v>
      </c>
    </row>
    <row r="3684">
      <c r="A3684" s="1" t="s">
        <v>10691</v>
      </c>
      <c r="B3684" s="1" t="s">
        <v>5675</v>
      </c>
      <c r="C3684" s="1" t="s">
        <v>10692</v>
      </c>
      <c r="D3684" s="1" t="s">
        <v>78</v>
      </c>
      <c r="E3684" s="1" t="s">
        <v>28</v>
      </c>
      <c r="F3684" s="2">
        <v>250000.0</v>
      </c>
      <c r="G3684" s="1" t="s">
        <v>4047</v>
      </c>
      <c r="H3684" s="4">
        <f>IFERROR(__xludf.DUMMYFUNCTION("DATE(INDEX(SPLIT(G3684,""/""),,3),INDEX(SPLIT(G3684,""/""),,2),INDEX(SPLIT(G3684,""/""),,1))"),44580.0)</f>
        <v>44580</v>
      </c>
      <c r="I3684" s="1" t="s">
        <v>1259</v>
      </c>
      <c r="J3684" s="4">
        <f>IFERROR(__xludf.DUMMYFUNCTION("DATE(INDEX(SPLIT(I3684,""/""),,3),INDEX(SPLIT(I3684,""/""),,2),INDEX(SPLIT(I3684,""/""),,1))"),44763.0)</f>
        <v>44763</v>
      </c>
      <c r="L3684" s="1">
        <v>0.0</v>
      </c>
      <c r="M3684" s="1" t="s">
        <v>4011</v>
      </c>
      <c r="N3684" s="1"/>
      <c r="O3684" s="1" t="s">
        <v>30</v>
      </c>
      <c r="P3684" s="1" t="s">
        <v>31</v>
      </c>
      <c r="Q3684" s="1" t="s">
        <v>95</v>
      </c>
      <c r="R3684" s="1" t="s">
        <v>95</v>
      </c>
      <c r="S3684" s="1" t="s">
        <v>96</v>
      </c>
      <c r="T3684" s="1" t="s">
        <v>97</v>
      </c>
      <c r="U3684" s="1">
        <v>1.00702554E8</v>
      </c>
      <c r="X3684" s="1" t="s">
        <v>305</v>
      </c>
      <c r="Y3684" s="1" t="s">
        <v>4011</v>
      </c>
      <c r="Z3684" s="1" t="s">
        <v>206</v>
      </c>
    </row>
    <row r="3685" hidden="1">
      <c r="A3685" s="1" t="s">
        <v>10693</v>
      </c>
      <c r="B3685" s="1" t="s">
        <v>1237</v>
      </c>
      <c r="C3685" s="1" t="s">
        <v>10694</v>
      </c>
      <c r="D3685" s="1" t="s">
        <v>27</v>
      </c>
      <c r="E3685" s="1" t="s">
        <v>28</v>
      </c>
      <c r="F3685" s="2">
        <v>250000.0</v>
      </c>
      <c r="G3685" s="1" t="s">
        <v>3883</v>
      </c>
      <c r="H3685" s="4">
        <f>IFERROR(__xludf.DUMMYFUNCTION("DATE(INDEX(SPLIT(G3685,""/""),,3),INDEX(SPLIT(G3685,""/""),,2),INDEX(SPLIT(G3685,""/""),,1))"),44666.0)</f>
        <v>44666</v>
      </c>
      <c r="I3685" s="4">
        <v>44813.0</v>
      </c>
      <c r="J3685" s="4">
        <f>IFERROR(__xludf.DUMMYFUNCTION("DATE(INDEX(SPLIT(I3685,""/""),,3),INDEX(SPLIT(I3685,""/""),,2),INDEX(SPLIT(I3685,""/""),,1))"),44813.0)</f>
        <v>44813</v>
      </c>
      <c r="L3685" s="1">
        <v>0.0</v>
      </c>
      <c r="M3685" s="1" t="s">
        <v>180</v>
      </c>
      <c r="N3685" s="1"/>
      <c r="O3685" s="1" t="s">
        <v>30</v>
      </c>
      <c r="P3685" s="1" t="s">
        <v>31</v>
      </c>
      <c r="Q3685" s="1" t="s">
        <v>53</v>
      </c>
      <c r="R3685" s="1" t="s">
        <v>53</v>
      </c>
      <c r="S3685" s="1" t="s">
        <v>54</v>
      </c>
      <c r="U3685" s="1">
        <v>1.00650619E8</v>
      </c>
      <c r="X3685" s="1" t="s">
        <v>74</v>
      </c>
      <c r="Y3685" s="1" t="s">
        <v>180</v>
      </c>
      <c r="Z3685" s="1" t="s">
        <v>37</v>
      </c>
    </row>
    <row r="3686" hidden="1">
      <c r="A3686" s="1" t="s">
        <v>10695</v>
      </c>
      <c r="B3686" s="1" t="s">
        <v>301</v>
      </c>
      <c r="C3686" s="1" t="s">
        <v>10696</v>
      </c>
      <c r="D3686" s="1" t="s">
        <v>27</v>
      </c>
      <c r="E3686" s="1" t="s">
        <v>28</v>
      </c>
      <c r="F3686" s="2">
        <v>250000.0</v>
      </c>
      <c r="G3686" s="4">
        <v>44717.0</v>
      </c>
      <c r="H3686" s="4">
        <f>IFERROR(__xludf.DUMMYFUNCTION("DATE(INDEX(SPLIT(G3686,""/""),,3),INDEX(SPLIT(G3686,""/""),,2),INDEX(SPLIT(G3686,""/""),,1))"),44687.0)</f>
        <v>44687</v>
      </c>
      <c r="I3686" s="1" t="s">
        <v>130</v>
      </c>
      <c r="J3686" s="4">
        <f>IFERROR(__xludf.DUMMYFUNCTION("DATE(INDEX(SPLIT(I3686,""/""),,3),INDEX(SPLIT(I3686,""/""),,2),INDEX(SPLIT(I3686,""/""),,1))"),44804.0)</f>
        <v>44804</v>
      </c>
      <c r="L3686" s="1">
        <v>0.0</v>
      </c>
      <c r="M3686" s="1" t="s">
        <v>10697</v>
      </c>
      <c r="N3686" s="1"/>
      <c r="O3686" s="1" t="s">
        <v>30</v>
      </c>
      <c r="P3686" s="1" t="s">
        <v>31</v>
      </c>
      <c r="Q3686" s="1" t="s">
        <v>228</v>
      </c>
      <c r="R3686" s="1" t="s">
        <v>228</v>
      </c>
      <c r="S3686" s="1" t="s">
        <v>229</v>
      </c>
      <c r="U3686" s="1">
        <v>1.00612201E8</v>
      </c>
      <c r="X3686" s="1" t="s">
        <v>305</v>
      </c>
      <c r="Y3686" s="1" t="s">
        <v>5031</v>
      </c>
      <c r="Z3686" s="1" t="s">
        <v>37</v>
      </c>
    </row>
    <row r="3687" hidden="1">
      <c r="A3687" s="1" t="s">
        <v>10698</v>
      </c>
      <c r="B3687" s="1" t="s">
        <v>889</v>
      </c>
      <c r="C3687" s="1" t="s">
        <v>10699</v>
      </c>
      <c r="D3687" s="1" t="s">
        <v>27</v>
      </c>
      <c r="E3687" s="1" t="s">
        <v>28</v>
      </c>
      <c r="F3687" s="2">
        <v>250000.0</v>
      </c>
      <c r="G3687" s="1" t="s">
        <v>1647</v>
      </c>
      <c r="H3687" s="4">
        <f>IFERROR(__xludf.DUMMYFUNCTION("DATE(INDEX(SPLIT(G3687,""/""),,3),INDEX(SPLIT(G3687,""/""),,2),INDEX(SPLIT(G3687,""/""),,1))"),44004.0)</f>
        <v>44004</v>
      </c>
      <c r="I3687" s="1" t="s">
        <v>130</v>
      </c>
      <c r="J3687" s="4">
        <f>IFERROR(__xludf.DUMMYFUNCTION("DATE(INDEX(SPLIT(I3687,""/""),,3),INDEX(SPLIT(I3687,""/""),,2),INDEX(SPLIT(I3687,""/""),,1))"),44804.0)</f>
        <v>44804</v>
      </c>
      <c r="L3687" s="1">
        <v>0.0</v>
      </c>
      <c r="M3687" s="1" t="s">
        <v>2510</v>
      </c>
      <c r="N3687" s="1"/>
      <c r="O3687" s="1" t="s">
        <v>30</v>
      </c>
      <c r="P3687" s="1" t="s">
        <v>31</v>
      </c>
      <c r="Q3687" s="1" t="s">
        <v>157</v>
      </c>
      <c r="R3687" s="1" t="s">
        <v>157</v>
      </c>
      <c r="S3687" s="1" t="s">
        <v>158</v>
      </c>
      <c r="T3687" s="1" t="s">
        <v>442</v>
      </c>
      <c r="U3687" s="1">
        <v>1.00634919E8</v>
      </c>
      <c r="X3687" s="1" t="s">
        <v>125</v>
      </c>
      <c r="Y3687" s="1" t="s">
        <v>10700</v>
      </c>
      <c r="Z3687" s="1" t="s">
        <v>37</v>
      </c>
    </row>
    <row r="3688" hidden="1">
      <c r="A3688" s="1" t="s">
        <v>10701</v>
      </c>
      <c r="B3688" s="1" t="s">
        <v>666</v>
      </c>
      <c r="C3688" s="1" t="s">
        <v>10552</v>
      </c>
      <c r="D3688" s="1" t="s">
        <v>27</v>
      </c>
      <c r="E3688" s="1" t="s">
        <v>28</v>
      </c>
      <c r="F3688" s="2">
        <v>250000.0</v>
      </c>
      <c r="G3688" s="4">
        <v>44867.0</v>
      </c>
      <c r="H3688" s="4">
        <f>IFERROR(__xludf.DUMMYFUNCTION("DATE(INDEX(SPLIT(G3688,""/""),,3),INDEX(SPLIT(G3688,""/""),,2),INDEX(SPLIT(G3688,""/""),,1))"),44603.0)</f>
        <v>44603</v>
      </c>
      <c r="I3688" s="1" t="s">
        <v>130</v>
      </c>
      <c r="J3688" s="4">
        <f>IFERROR(__xludf.DUMMYFUNCTION("DATE(INDEX(SPLIT(I3688,""/""),,3),INDEX(SPLIT(I3688,""/""),,2),INDEX(SPLIT(I3688,""/""),,1))"),44804.0)</f>
        <v>44804</v>
      </c>
      <c r="L3688" s="1">
        <v>0.0</v>
      </c>
      <c r="M3688" s="1" t="s">
        <v>3411</v>
      </c>
      <c r="N3688" s="1"/>
      <c r="O3688" s="1" t="s">
        <v>30</v>
      </c>
      <c r="P3688" s="1" t="s">
        <v>31</v>
      </c>
      <c r="Q3688" s="1" t="s">
        <v>53</v>
      </c>
      <c r="R3688" s="1" t="s">
        <v>53</v>
      </c>
      <c r="S3688" s="1" t="s">
        <v>54</v>
      </c>
      <c r="T3688" s="1" t="s">
        <v>1386</v>
      </c>
      <c r="U3688" s="1">
        <v>1.00649472E8</v>
      </c>
      <c r="X3688" s="1" t="s">
        <v>35</v>
      </c>
      <c r="Y3688" s="1" t="s">
        <v>1387</v>
      </c>
      <c r="Z3688" s="1" t="s">
        <v>37</v>
      </c>
    </row>
    <row r="3689">
      <c r="A3689" s="1" t="s">
        <v>10702</v>
      </c>
      <c r="B3689" s="1" t="s">
        <v>10703</v>
      </c>
      <c r="C3689" s="1" t="s">
        <v>10704</v>
      </c>
      <c r="D3689" s="1" t="s">
        <v>78</v>
      </c>
      <c r="E3689" s="1" t="s">
        <v>28</v>
      </c>
      <c r="F3689" s="2">
        <v>250000.0</v>
      </c>
      <c r="G3689" s="1" t="s">
        <v>354</v>
      </c>
      <c r="H3689" s="4">
        <f>IFERROR(__xludf.DUMMYFUNCTION("DATE(INDEX(SPLIT(G3689,""/""),,3),INDEX(SPLIT(G3689,""/""),,2),INDEX(SPLIT(G3689,""/""),,1))"),44673.0)</f>
        <v>44673</v>
      </c>
      <c r="I3689" s="1" t="s">
        <v>2300</v>
      </c>
      <c r="J3689" s="4">
        <f>IFERROR(__xludf.DUMMYFUNCTION("DATE(INDEX(SPLIT(I3689,""/""),,3),INDEX(SPLIT(I3689,""/""),,2),INDEX(SPLIT(I3689,""/""),,1))"),44712.0)</f>
        <v>44712</v>
      </c>
      <c r="L3689" s="1">
        <v>0.0</v>
      </c>
      <c r="M3689" s="1" t="s">
        <v>808</v>
      </c>
      <c r="N3689" s="1"/>
      <c r="O3689" s="1" t="s">
        <v>30</v>
      </c>
      <c r="P3689" s="1" t="s">
        <v>31</v>
      </c>
      <c r="Q3689" s="1" t="s">
        <v>228</v>
      </c>
      <c r="R3689" s="1" t="s">
        <v>228</v>
      </c>
      <c r="S3689" s="1" t="s">
        <v>229</v>
      </c>
      <c r="T3689" s="1" t="s">
        <v>505</v>
      </c>
      <c r="U3689" s="1">
        <v>1.00609871E8</v>
      </c>
      <c r="X3689" s="1" t="s">
        <v>98</v>
      </c>
      <c r="Y3689" s="1" t="s">
        <v>808</v>
      </c>
      <c r="Z3689" s="1" t="s">
        <v>37</v>
      </c>
    </row>
    <row r="3690" hidden="1">
      <c r="A3690" s="1" t="s">
        <v>10705</v>
      </c>
      <c r="B3690" s="1" t="s">
        <v>5675</v>
      </c>
      <c r="C3690" s="1" t="s">
        <v>10706</v>
      </c>
      <c r="D3690" s="1" t="s">
        <v>122</v>
      </c>
      <c r="E3690" s="1" t="s">
        <v>28</v>
      </c>
      <c r="F3690" s="2">
        <v>250000.0</v>
      </c>
      <c r="G3690" s="4">
        <v>44567.0</v>
      </c>
      <c r="H3690" s="4">
        <f>IFERROR(__xludf.DUMMYFUNCTION("DATE(INDEX(SPLIT(G3690,""/""),,3),INDEX(SPLIT(G3690,""/""),,2),INDEX(SPLIT(G3690,""/""),,1))"),44713.0)</f>
        <v>44713</v>
      </c>
      <c r="I3690" s="1" t="s">
        <v>85</v>
      </c>
      <c r="J3690" s="4">
        <f>IFERROR(__xludf.DUMMYFUNCTION("DATE(INDEX(SPLIT(I3690,""/""),,3),INDEX(SPLIT(I3690,""/""),,2),INDEX(SPLIT(I3690,""/""),,1))"),44799.0)</f>
        <v>44799</v>
      </c>
      <c r="L3690" s="1">
        <v>0.0</v>
      </c>
      <c r="M3690" s="1" t="s">
        <v>4016</v>
      </c>
      <c r="N3690" s="1"/>
      <c r="O3690" s="1" t="s">
        <v>30</v>
      </c>
      <c r="P3690" s="1" t="s">
        <v>31</v>
      </c>
      <c r="Q3690" s="1" t="s">
        <v>95</v>
      </c>
      <c r="R3690" s="1" t="s">
        <v>95</v>
      </c>
      <c r="S3690" s="1" t="s">
        <v>96</v>
      </c>
      <c r="T3690" s="1" t="s">
        <v>111</v>
      </c>
      <c r="U3690" s="1">
        <v>1.00628223E8</v>
      </c>
      <c r="X3690" s="1" t="s">
        <v>305</v>
      </c>
      <c r="Y3690" s="1" t="s">
        <v>10559</v>
      </c>
      <c r="Z3690" s="1" t="s">
        <v>206</v>
      </c>
    </row>
    <row r="3691" hidden="1">
      <c r="A3691" s="1" t="s">
        <v>10707</v>
      </c>
      <c r="B3691" s="1" t="s">
        <v>10708</v>
      </c>
      <c r="C3691" s="1" t="s">
        <v>10709</v>
      </c>
      <c r="D3691" s="1" t="s">
        <v>122</v>
      </c>
      <c r="E3691" s="1" t="s">
        <v>28</v>
      </c>
      <c r="F3691" s="2">
        <v>250000.0</v>
      </c>
      <c r="G3691" s="4">
        <v>44567.0</v>
      </c>
      <c r="H3691" s="4">
        <f>IFERROR(__xludf.DUMMYFUNCTION("DATE(INDEX(SPLIT(G3691,""/""),,3),INDEX(SPLIT(G3691,""/""),,2),INDEX(SPLIT(G3691,""/""),,1))"),44713.0)</f>
        <v>44713</v>
      </c>
      <c r="I3691" s="4">
        <v>44689.0</v>
      </c>
      <c r="J3691" s="4">
        <f>IFERROR(__xludf.DUMMYFUNCTION("DATE(INDEX(SPLIT(I3691,""/""),,3),INDEX(SPLIT(I3691,""/""),,2),INDEX(SPLIT(I3691,""/""),,1))"),44778.0)</f>
        <v>44778</v>
      </c>
      <c r="L3691" s="1">
        <v>0.0</v>
      </c>
      <c r="M3691" s="1" t="s">
        <v>1548</v>
      </c>
      <c r="N3691" s="1"/>
      <c r="O3691" s="1" t="s">
        <v>30</v>
      </c>
      <c r="P3691" s="1" t="s">
        <v>31</v>
      </c>
      <c r="Q3691" s="1" t="s">
        <v>32</v>
      </c>
      <c r="R3691" s="1" t="s">
        <v>32</v>
      </c>
      <c r="S3691" s="1" t="s">
        <v>33</v>
      </c>
      <c r="U3691" s="1">
        <v>1.01215106E8</v>
      </c>
      <c r="X3691" s="1" t="s">
        <v>63</v>
      </c>
      <c r="Y3691" s="1" t="s">
        <v>1548</v>
      </c>
      <c r="Z3691" s="1" t="s">
        <v>37</v>
      </c>
    </row>
    <row r="3692" hidden="1">
      <c r="A3692" s="1" t="s">
        <v>10710</v>
      </c>
      <c r="B3692" s="1" t="s">
        <v>516</v>
      </c>
      <c r="C3692" s="1" t="s">
        <v>10711</v>
      </c>
      <c r="D3692" s="1" t="s">
        <v>78</v>
      </c>
      <c r="E3692" s="1" t="s">
        <v>28</v>
      </c>
      <c r="F3692" s="2">
        <v>250000.0</v>
      </c>
      <c r="G3692" s="1" t="s">
        <v>2064</v>
      </c>
      <c r="H3692" s="4">
        <f>IFERROR(__xludf.DUMMYFUNCTION("DATE(INDEX(SPLIT(G3692,""/""),,3),INDEX(SPLIT(G3692,""/""),,2),INDEX(SPLIT(G3692,""/""),,1))"),44616.0)</f>
        <v>44616</v>
      </c>
      <c r="I3692" s="1" t="s">
        <v>130</v>
      </c>
      <c r="J3692" s="4">
        <f>IFERROR(__xludf.DUMMYFUNCTION("DATE(INDEX(SPLIT(I3692,""/""),,3),INDEX(SPLIT(I3692,""/""),,2),INDEX(SPLIT(I3692,""/""),,1))"),44804.0)</f>
        <v>44804</v>
      </c>
      <c r="L3692" s="1">
        <v>0.0</v>
      </c>
      <c r="M3692" s="1" t="s">
        <v>482</v>
      </c>
      <c r="N3692" s="1"/>
      <c r="O3692" s="1" t="s">
        <v>30</v>
      </c>
      <c r="P3692" s="1" t="s">
        <v>31</v>
      </c>
      <c r="Q3692" s="1" t="s">
        <v>95</v>
      </c>
      <c r="R3692" s="1" t="s">
        <v>95</v>
      </c>
      <c r="S3692" s="1" t="s">
        <v>96</v>
      </c>
      <c r="T3692" s="1" t="s">
        <v>311</v>
      </c>
      <c r="U3692" s="1">
        <v>1.00657929E8</v>
      </c>
      <c r="X3692" s="1" t="s">
        <v>46</v>
      </c>
      <c r="Y3692" s="1" t="s">
        <v>7649</v>
      </c>
      <c r="Z3692" s="1" t="s">
        <v>37</v>
      </c>
    </row>
    <row r="3693" hidden="1">
      <c r="A3693" s="1" t="s">
        <v>10712</v>
      </c>
      <c r="B3693" s="1" t="s">
        <v>1417</v>
      </c>
      <c r="C3693" s="1" t="s">
        <v>10713</v>
      </c>
      <c r="D3693" s="1" t="s">
        <v>27</v>
      </c>
      <c r="E3693" s="1" t="s">
        <v>28</v>
      </c>
      <c r="F3693" s="2">
        <v>250000.0</v>
      </c>
      <c r="G3693" s="1" t="s">
        <v>1058</v>
      </c>
      <c r="H3693" s="4">
        <f>IFERROR(__xludf.DUMMYFUNCTION("DATE(INDEX(SPLIT(G3693,""/""),,3),INDEX(SPLIT(G3693,""/""),,2),INDEX(SPLIT(G3693,""/""),,1))"),44733.0)</f>
        <v>44733</v>
      </c>
      <c r="I3693" s="4">
        <v>44572.0</v>
      </c>
      <c r="J3693" s="4">
        <f>IFERROR(__xludf.DUMMYFUNCTION("DATE(INDEX(SPLIT(I3693,""/""),,3),INDEX(SPLIT(I3693,""/""),,2),INDEX(SPLIT(I3693,""/""),,1))"),44866.0)</f>
        <v>44866</v>
      </c>
      <c r="L3693" s="1">
        <v>0.0</v>
      </c>
      <c r="M3693" s="1" t="s">
        <v>3286</v>
      </c>
      <c r="N3693" s="1"/>
      <c r="O3693" s="1" t="s">
        <v>30</v>
      </c>
      <c r="P3693" s="1" t="s">
        <v>31</v>
      </c>
      <c r="Q3693" s="1" t="s">
        <v>53</v>
      </c>
      <c r="R3693" s="1" t="s">
        <v>53</v>
      </c>
      <c r="S3693" s="1" t="s">
        <v>54</v>
      </c>
      <c r="T3693" s="1" t="s">
        <v>136</v>
      </c>
      <c r="U3693" s="1">
        <v>1.00648136E8</v>
      </c>
      <c r="X3693" s="1" t="s">
        <v>74</v>
      </c>
      <c r="Y3693" s="1" t="s">
        <v>3286</v>
      </c>
      <c r="Z3693" s="1" t="s">
        <v>37</v>
      </c>
    </row>
    <row r="3694">
      <c r="A3694" s="1" t="s">
        <v>10714</v>
      </c>
      <c r="B3694" s="1" t="s">
        <v>3044</v>
      </c>
      <c r="C3694" s="1" t="s">
        <v>10715</v>
      </c>
      <c r="D3694" s="1" t="s">
        <v>78</v>
      </c>
      <c r="E3694" s="1" t="s">
        <v>28</v>
      </c>
      <c r="F3694" s="2">
        <v>250000.0</v>
      </c>
      <c r="G3694" s="1" t="s">
        <v>4036</v>
      </c>
      <c r="H3694" s="4">
        <f>IFERROR(__xludf.DUMMYFUNCTION("DATE(INDEX(SPLIT(G3694,""/""),,3),INDEX(SPLIT(G3694,""/""),,2),INDEX(SPLIT(G3694,""/""),,1))"),44592.0)</f>
        <v>44592</v>
      </c>
      <c r="I3694" s="1" t="s">
        <v>226</v>
      </c>
      <c r="J3694" s="4">
        <f>IFERROR(__xludf.DUMMYFUNCTION("DATE(INDEX(SPLIT(I3694,""/""),,3),INDEX(SPLIT(I3694,""/""),,2),INDEX(SPLIT(I3694,""/""),,1))"),44771.0)</f>
        <v>44771</v>
      </c>
      <c r="L3694" s="1">
        <v>0.0</v>
      </c>
      <c r="M3694" s="1" t="s">
        <v>4807</v>
      </c>
      <c r="N3694" s="1"/>
      <c r="O3694" s="1" t="s">
        <v>30</v>
      </c>
      <c r="P3694" s="1" t="s">
        <v>31</v>
      </c>
      <c r="Q3694" s="1" t="s">
        <v>95</v>
      </c>
      <c r="R3694" s="1" t="s">
        <v>95</v>
      </c>
      <c r="S3694" s="1" t="s">
        <v>96</v>
      </c>
      <c r="U3694" s="1">
        <v>1.00569225E8</v>
      </c>
      <c r="X3694" s="1" t="s">
        <v>63</v>
      </c>
      <c r="Y3694" s="1" t="s">
        <v>1864</v>
      </c>
      <c r="Z3694" s="1" t="s">
        <v>37</v>
      </c>
    </row>
    <row r="3695">
      <c r="A3695" s="1" t="s">
        <v>10716</v>
      </c>
      <c r="B3695" s="1" t="s">
        <v>1144</v>
      </c>
      <c r="C3695" s="1" t="s">
        <v>10717</v>
      </c>
      <c r="D3695" s="1" t="s">
        <v>78</v>
      </c>
      <c r="E3695" s="1" t="s">
        <v>28</v>
      </c>
      <c r="F3695" s="2">
        <v>250000.0</v>
      </c>
      <c r="G3695" s="1" t="s">
        <v>5039</v>
      </c>
      <c r="H3695" s="4">
        <f>IFERROR(__xludf.DUMMYFUNCTION("DATE(INDEX(SPLIT(G3695,""/""),,3),INDEX(SPLIT(G3695,""/""),,2),INDEX(SPLIT(G3695,""/""),,1))"),44674.0)</f>
        <v>44674</v>
      </c>
      <c r="I3695" s="1" t="s">
        <v>2300</v>
      </c>
      <c r="J3695" s="4">
        <f>IFERROR(__xludf.DUMMYFUNCTION("DATE(INDEX(SPLIT(I3695,""/""),,3),INDEX(SPLIT(I3695,""/""),,2),INDEX(SPLIT(I3695,""/""),,1))"),44712.0)</f>
        <v>44712</v>
      </c>
      <c r="L3695" s="1">
        <v>0.0</v>
      </c>
      <c r="M3695" s="1" t="s">
        <v>1976</v>
      </c>
      <c r="N3695" s="1"/>
      <c r="O3695" s="1" t="s">
        <v>30</v>
      </c>
      <c r="P3695" s="1" t="s">
        <v>31</v>
      </c>
      <c r="Q3695" s="1" t="s">
        <v>157</v>
      </c>
      <c r="R3695" s="1" t="s">
        <v>157</v>
      </c>
      <c r="S3695" s="1" t="s">
        <v>158</v>
      </c>
      <c r="U3695" s="1">
        <v>1.00483178E8</v>
      </c>
      <c r="X3695" s="1" t="s">
        <v>63</v>
      </c>
      <c r="Y3695" s="1" t="s">
        <v>8061</v>
      </c>
      <c r="Z3695" s="1" t="s">
        <v>527</v>
      </c>
    </row>
    <row r="3696">
      <c r="A3696" s="1" t="s">
        <v>10718</v>
      </c>
      <c r="B3696" s="1" t="s">
        <v>4823</v>
      </c>
      <c r="C3696" s="1" t="s">
        <v>10719</v>
      </c>
      <c r="D3696" s="1" t="s">
        <v>27</v>
      </c>
      <c r="E3696" s="1" t="s">
        <v>28</v>
      </c>
      <c r="F3696" s="2">
        <v>250000.0</v>
      </c>
      <c r="G3696" s="1" t="s">
        <v>7582</v>
      </c>
      <c r="H3696" s="4">
        <f>IFERROR(__xludf.DUMMYFUNCTION("DATE(INDEX(SPLIT(G3696,""/""),,3),INDEX(SPLIT(G3696,""/""),,2),INDEX(SPLIT(G3696,""/""),,1))"),44667.0)</f>
        <v>44667</v>
      </c>
      <c r="I3696" s="1" t="s">
        <v>1521</v>
      </c>
      <c r="J3696" s="4">
        <f>IFERROR(__xludf.DUMMYFUNCTION("DATE(INDEX(SPLIT(I3696,""/""),,3),INDEX(SPLIT(I3696,""/""),,2),INDEX(SPLIT(I3696,""/""),,1))"),44756.0)</f>
        <v>44756</v>
      </c>
      <c r="L3696" s="1">
        <v>0.0</v>
      </c>
      <c r="M3696" s="1" t="s">
        <v>4011</v>
      </c>
      <c r="N3696" s="1"/>
      <c r="O3696" s="1" t="s">
        <v>30</v>
      </c>
      <c r="P3696" s="1" t="s">
        <v>31</v>
      </c>
      <c r="Q3696" s="1" t="s">
        <v>95</v>
      </c>
      <c r="R3696" s="1" t="s">
        <v>95</v>
      </c>
      <c r="S3696" s="1" t="s">
        <v>96</v>
      </c>
      <c r="T3696" s="1" t="s">
        <v>97</v>
      </c>
      <c r="U3696" s="1">
        <v>1.00702554E8</v>
      </c>
      <c r="X3696" s="1" t="s">
        <v>781</v>
      </c>
      <c r="Y3696" s="1" t="s">
        <v>4011</v>
      </c>
      <c r="Z3696" s="1" t="s">
        <v>206</v>
      </c>
    </row>
    <row r="3697">
      <c r="A3697" s="1" t="s">
        <v>10720</v>
      </c>
      <c r="B3697" s="1" t="s">
        <v>4988</v>
      </c>
      <c r="C3697" s="1" t="s">
        <v>10721</v>
      </c>
      <c r="D3697" s="1" t="s">
        <v>122</v>
      </c>
      <c r="E3697" s="1" t="s">
        <v>28</v>
      </c>
      <c r="F3697" s="2">
        <v>250000.0</v>
      </c>
      <c r="G3697" s="1" t="s">
        <v>10722</v>
      </c>
      <c r="H3697" s="4">
        <f>IFERROR(__xludf.DUMMYFUNCTION("DATE(INDEX(SPLIT(G3697,""/""),,3),INDEX(SPLIT(G3697,""/""),,2),INDEX(SPLIT(G3697,""/""),,1))"),44027.0)</f>
        <v>44027</v>
      </c>
      <c r="I3697" s="1" t="s">
        <v>1141</v>
      </c>
      <c r="J3697" s="4">
        <f>IFERROR(__xludf.DUMMYFUNCTION("DATE(INDEX(SPLIT(I3697,""/""),,3),INDEX(SPLIT(I3697,""/""),,2),INDEX(SPLIT(I3697,""/""),,1))"),44767.0)</f>
        <v>44767</v>
      </c>
      <c r="L3697" s="1">
        <v>0.0</v>
      </c>
      <c r="M3697" s="1" t="s">
        <v>1904</v>
      </c>
      <c r="N3697" s="1"/>
      <c r="O3697" s="1" t="s">
        <v>30</v>
      </c>
      <c r="P3697" s="1" t="s">
        <v>31</v>
      </c>
      <c r="Q3697" s="1" t="s">
        <v>95</v>
      </c>
      <c r="R3697" s="1" t="s">
        <v>95</v>
      </c>
      <c r="S3697" s="1" t="s">
        <v>96</v>
      </c>
      <c r="T3697" s="1" t="s">
        <v>55</v>
      </c>
      <c r="U3697" s="1">
        <v>1.0059365E8</v>
      </c>
      <c r="X3697" s="1" t="s">
        <v>410</v>
      </c>
      <c r="Y3697" s="1" t="s">
        <v>2761</v>
      </c>
      <c r="Z3697" s="1" t="s">
        <v>37</v>
      </c>
    </row>
    <row r="3698" hidden="1">
      <c r="A3698" s="1" t="s">
        <v>10723</v>
      </c>
      <c r="B3698" s="1" t="s">
        <v>2257</v>
      </c>
      <c r="C3698" s="1" t="s">
        <v>10724</v>
      </c>
      <c r="D3698" s="1" t="s">
        <v>122</v>
      </c>
      <c r="E3698" s="1" t="s">
        <v>28</v>
      </c>
      <c r="F3698" s="2">
        <v>250000.0</v>
      </c>
      <c r="G3698" s="4">
        <v>44839.0</v>
      </c>
      <c r="H3698" s="4">
        <f>IFERROR(__xludf.DUMMYFUNCTION("DATE(INDEX(SPLIT(G3698,""/""),,3),INDEX(SPLIT(G3698,""/""),,2),INDEX(SPLIT(G3698,""/""),,1))"),44691.0)</f>
        <v>44691</v>
      </c>
      <c r="I3698" s="1" t="s">
        <v>85</v>
      </c>
      <c r="J3698" s="4">
        <f>IFERROR(__xludf.DUMMYFUNCTION("DATE(INDEX(SPLIT(I3698,""/""),,3),INDEX(SPLIT(I3698,""/""),,2),INDEX(SPLIT(I3698,""/""),,1))"),44799.0)</f>
        <v>44799</v>
      </c>
      <c r="L3698" s="1">
        <v>0.0</v>
      </c>
      <c r="M3698" s="1" t="s">
        <v>7598</v>
      </c>
      <c r="N3698" s="1"/>
      <c r="O3698" s="1" t="s">
        <v>30</v>
      </c>
      <c r="P3698" s="1" t="s">
        <v>31</v>
      </c>
      <c r="Q3698" s="1" t="s">
        <v>32</v>
      </c>
      <c r="R3698" s="1" t="s">
        <v>32</v>
      </c>
      <c r="S3698" s="1" t="s">
        <v>33</v>
      </c>
      <c r="T3698" s="1" t="s">
        <v>1386</v>
      </c>
      <c r="U3698" s="1">
        <v>1.00644939E8</v>
      </c>
      <c r="X3698" s="1" t="s">
        <v>88</v>
      </c>
      <c r="Y3698" s="1" t="s">
        <v>9855</v>
      </c>
      <c r="Z3698" s="1" t="s">
        <v>37</v>
      </c>
    </row>
    <row r="3699" hidden="1">
      <c r="A3699" s="1" t="s">
        <v>10725</v>
      </c>
      <c r="B3699" s="1" t="s">
        <v>10726</v>
      </c>
      <c r="C3699" s="1" t="s">
        <v>10727</v>
      </c>
      <c r="D3699" s="1" t="s">
        <v>122</v>
      </c>
      <c r="E3699" s="1" t="s">
        <v>28</v>
      </c>
      <c r="F3699" s="2">
        <v>250000.0</v>
      </c>
      <c r="G3699" s="1" t="s">
        <v>418</v>
      </c>
      <c r="H3699" s="4">
        <f>IFERROR(__xludf.DUMMYFUNCTION("DATE(INDEX(SPLIT(G3699,""/""),,3),INDEX(SPLIT(G3699,""/""),,2),INDEX(SPLIT(G3699,""/""),,1))"),44755.0)</f>
        <v>44755</v>
      </c>
      <c r="I3699" s="1" t="s">
        <v>130</v>
      </c>
      <c r="J3699" s="4">
        <f>IFERROR(__xludf.DUMMYFUNCTION("DATE(INDEX(SPLIT(I3699,""/""),,3),INDEX(SPLIT(I3699,""/""),,2),INDEX(SPLIT(I3699,""/""),,1))"),44804.0)</f>
        <v>44804</v>
      </c>
      <c r="L3699" s="1">
        <v>0.0</v>
      </c>
      <c r="M3699" s="1" t="s">
        <v>9409</v>
      </c>
      <c r="N3699" s="1"/>
      <c r="O3699" s="1" t="s">
        <v>30</v>
      </c>
      <c r="P3699" s="1" t="s">
        <v>31</v>
      </c>
      <c r="Q3699" s="1" t="s">
        <v>228</v>
      </c>
      <c r="R3699" s="1" t="s">
        <v>228</v>
      </c>
      <c r="S3699" s="1" t="s">
        <v>229</v>
      </c>
      <c r="U3699" s="1">
        <v>1.01064151E8</v>
      </c>
      <c r="X3699" s="1" t="s">
        <v>375</v>
      </c>
      <c r="Y3699" s="1" t="s">
        <v>9409</v>
      </c>
      <c r="Z3699" s="1" t="s">
        <v>37</v>
      </c>
    </row>
    <row r="3700" hidden="1">
      <c r="A3700" s="1" t="s">
        <v>10728</v>
      </c>
      <c r="B3700" s="1" t="s">
        <v>10729</v>
      </c>
      <c r="C3700" s="1" t="s">
        <v>10730</v>
      </c>
      <c r="D3700" s="1" t="s">
        <v>78</v>
      </c>
      <c r="E3700" s="1" t="s">
        <v>28</v>
      </c>
      <c r="F3700" s="2">
        <v>250000.0</v>
      </c>
      <c r="G3700" s="1" t="s">
        <v>365</v>
      </c>
      <c r="H3700" s="4">
        <f>IFERROR(__xludf.DUMMYFUNCTION("DATE(INDEX(SPLIT(G3700,""/""),,3),INDEX(SPLIT(G3700,""/""),,2),INDEX(SPLIT(G3700,""/""),,1))"),44431.0)</f>
        <v>44431</v>
      </c>
      <c r="I3700" s="4">
        <v>44813.0</v>
      </c>
      <c r="J3700" s="4">
        <f>IFERROR(__xludf.DUMMYFUNCTION("DATE(INDEX(SPLIT(I3700,""/""),,3),INDEX(SPLIT(I3700,""/""),,2),INDEX(SPLIT(I3700,""/""),,1))"),44813.0)</f>
        <v>44813</v>
      </c>
      <c r="L3700" s="1">
        <v>0.0</v>
      </c>
      <c r="M3700" s="1" t="s">
        <v>2573</v>
      </c>
      <c r="N3700" s="1"/>
      <c r="O3700" s="1" t="s">
        <v>30</v>
      </c>
      <c r="P3700" s="1" t="s">
        <v>31</v>
      </c>
      <c r="Q3700" s="1" t="s">
        <v>157</v>
      </c>
      <c r="R3700" s="1" t="s">
        <v>157</v>
      </c>
      <c r="S3700" s="1" t="s">
        <v>158</v>
      </c>
      <c r="T3700" s="1" t="s">
        <v>571</v>
      </c>
      <c r="U3700" s="1">
        <v>1.00690774E8</v>
      </c>
      <c r="X3700" s="1" t="s">
        <v>88</v>
      </c>
      <c r="Y3700" s="1" t="s">
        <v>3439</v>
      </c>
      <c r="Z3700" s="1" t="s">
        <v>37</v>
      </c>
    </row>
    <row r="3701" hidden="1">
      <c r="A3701" s="1" t="s">
        <v>10731</v>
      </c>
      <c r="B3701" s="1" t="s">
        <v>5433</v>
      </c>
      <c r="C3701" s="1" t="s">
        <v>10732</v>
      </c>
      <c r="D3701" s="1" t="s">
        <v>78</v>
      </c>
      <c r="E3701" s="1" t="s">
        <v>28</v>
      </c>
      <c r="F3701" s="2">
        <v>250000.0</v>
      </c>
      <c r="G3701" s="4">
        <v>44655.0</v>
      </c>
      <c r="H3701" s="4">
        <f>IFERROR(__xludf.DUMMYFUNCTION("DATE(INDEX(SPLIT(G3701,""/""),,3),INDEX(SPLIT(G3701,""/""),,2),INDEX(SPLIT(G3701,""/""),,1))"),44655.0)</f>
        <v>44655</v>
      </c>
      <c r="I3701" s="1" t="s">
        <v>109</v>
      </c>
      <c r="J3701" s="4">
        <f>IFERROR(__xludf.DUMMYFUNCTION("DATE(INDEX(SPLIT(I3701,""/""),,3),INDEX(SPLIT(I3701,""/""),,2),INDEX(SPLIT(I3701,""/""),,1))"),44834.0)</f>
        <v>44834</v>
      </c>
      <c r="L3701" s="1">
        <v>0.0</v>
      </c>
      <c r="M3701" s="1" t="s">
        <v>10733</v>
      </c>
      <c r="N3701" s="1"/>
      <c r="O3701" s="1" t="s">
        <v>30</v>
      </c>
      <c r="P3701" s="1" t="s">
        <v>31</v>
      </c>
      <c r="Q3701" s="1" t="s">
        <v>71</v>
      </c>
      <c r="R3701" s="1" t="s">
        <v>71</v>
      </c>
      <c r="S3701" s="1" t="s">
        <v>72</v>
      </c>
      <c r="U3701" s="1">
        <v>1.00588545E8</v>
      </c>
      <c r="X3701" s="1" t="s">
        <v>98</v>
      </c>
      <c r="Y3701" s="1" t="s">
        <v>10734</v>
      </c>
      <c r="Z3701" s="1" t="s">
        <v>527</v>
      </c>
    </row>
    <row r="3702" hidden="1">
      <c r="A3702" s="1" t="s">
        <v>10735</v>
      </c>
      <c r="B3702" s="1" t="s">
        <v>91</v>
      </c>
      <c r="C3702" s="1" t="s">
        <v>10736</v>
      </c>
      <c r="D3702" s="1" t="s">
        <v>78</v>
      </c>
      <c r="E3702" s="1" t="s">
        <v>28</v>
      </c>
      <c r="F3702" s="2">
        <v>250000.0</v>
      </c>
      <c r="G3702" s="4">
        <v>44655.0</v>
      </c>
      <c r="H3702" s="4">
        <f>IFERROR(__xludf.DUMMYFUNCTION("DATE(INDEX(SPLIT(G3702,""/""),,3),INDEX(SPLIT(G3702,""/""),,2),INDEX(SPLIT(G3702,""/""),,1))"),44655.0)</f>
        <v>44655</v>
      </c>
      <c r="I3702" s="4">
        <v>44813.0</v>
      </c>
      <c r="J3702" s="4">
        <f>IFERROR(__xludf.DUMMYFUNCTION("DATE(INDEX(SPLIT(I3702,""/""),,3),INDEX(SPLIT(I3702,""/""),,2),INDEX(SPLIT(I3702,""/""),,1))"),44813.0)</f>
        <v>44813</v>
      </c>
      <c r="L3702" s="1">
        <v>0.0</v>
      </c>
      <c r="M3702" s="1" t="s">
        <v>3625</v>
      </c>
      <c r="N3702" s="1"/>
      <c r="O3702" s="1" t="s">
        <v>30</v>
      </c>
      <c r="P3702" s="1" t="s">
        <v>31</v>
      </c>
      <c r="Q3702" s="1" t="s">
        <v>32</v>
      </c>
      <c r="R3702" s="1" t="s">
        <v>32</v>
      </c>
      <c r="S3702" s="1" t="s">
        <v>33</v>
      </c>
      <c r="T3702" s="1" t="s">
        <v>402</v>
      </c>
      <c r="U3702" s="1">
        <v>1.00642379E8</v>
      </c>
      <c r="X3702" s="1" t="s">
        <v>98</v>
      </c>
      <c r="Y3702" s="1" t="s">
        <v>3625</v>
      </c>
      <c r="Z3702" s="1" t="s">
        <v>37</v>
      </c>
    </row>
    <row r="3703">
      <c r="A3703" s="1" t="s">
        <v>10737</v>
      </c>
      <c r="B3703" s="1" t="s">
        <v>7944</v>
      </c>
      <c r="C3703" s="1" t="s">
        <v>10738</v>
      </c>
      <c r="D3703" s="1" t="s">
        <v>27</v>
      </c>
      <c r="E3703" s="1" t="s">
        <v>28</v>
      </c>
      <c r="F3703" s="2">
        <v>250000.0</v>
      </c>
      <c r="G3703" s="1" t="s">
        <v>2632</v>
      </c>
      <c r="H3703" s="4">
        <f>IFERROR(__xludf.DUMMYFUNCTION("DATE(INDEX(SPLIT(G3703,""/""),,3),INDEX(SPLIT(G3703,""/""),,2),INDEX(SPLIT(G3703,""/""),,1))"),44702.0)</f>
        <v>44702</v>
      </c>
      <c r="I3703" s="1" t="s">
        <v>69</v>
      </c>
      <c r="J3703" s="4">
        <f>IFERROR(__xludf.DUMMYFUNCTION("DATE(INDEX(SPLIT(I3703,""/""),,3),INDEX(SPLIT(I3703,""/""),,2),INDEX(SPLIT(I3703,""/""),,1))"),44773.0)</f>
        <v>44773</v>
      </c>
      <c r="L3703" s="1">
        <v>0.0</v>
      </c>
      <c r="M3703" s="1" t="s">
        <v>3112</v>
      </c>
      <c r="N3703" s="1"/>
      <c r="O3703" s="1" t="s">
        <v>30</v>
      </c>
      <c r="P3703" s="1" t="s">
        <v>31</v>
      </c>
      <c r="Q3703" s="1" t="s">
        <v>157</v>
      </c>
      <c r="R3703" s="1" t="s">
        <v>157</v>
      </c>
      <c r="S3703" s="1" t="s">
        <v>158</v>
      </c>
      <c r="T3703" s="1" t="s">
        <v>442</v>
      </c>
      <c r="U3703" s="1">
        <v>1.01141463E8</v>
      </c>
      <c r="X3703" s="1" t="s">
        <v>63</v>
      </c>
      <c r="Y3703" s="1" t="s">
        <v>8223</v>
      </c>
      <c r="Z3703" s="1" t="s">
        <v>37</v>
      </c>
    </row>
    <row r="3704" hidden="1">
      <c r="A3704" s="1" t="s">
        <v>10739</v>
      </c>
      <c r="B3704" s="1" t="s">
        <v>617</v>
      </c>
      <c r="C3704" s="1" t="s">
        <v>10552</v>
      </c>
      <c r="D3704" s="1" t="s">
        <v>27</v>
      </c>
      <c r="E3704" s="1" t="s">
        <v>28</v>
      </c>
      <c r="F3704" s="2">
        <v>250000.0</v>
      </c>
      <c r="G3704" s="4">
        <v>44563.0</v>
      </c>
      <c r="H3704" s="4">
        <f>IFERROR(__xludf.DUMMYFUNCTION("DATE(INDEX(SPLIT(G3704,""/""),,3),INDEX(SPLIT(G3704,""/""),,2),INDEX(SPLIT(G3704,""/""),,1))"),44593.0)</f>
        <v>44593</v>
      </c>
      <c r="I3704" s="4">
        <v>44844.0</v>
      </c>
      <c r="J3704" s="4">
        <f>IFERROR(__xludf.DUMMYFUNCTION("DATE(INDEX(SPLIT(I3704,""/""),,3),INDEX(SPLIT(I3704,""/""),,2),INDEX(SPLIT(I3704,""/""),,1))"),44844.0)</f>
        <v>44844</v>
      </c>
      <c r="L3704" s="1">
        <v>0.0</v>
      </c>
      <c r="M3704" s="1" t="s">
        <v>1496</v>
      </c>
      <c r="N3704" s="1"/>
      <c r="O3704" s="1" t="s">
        <v>30</v>
      </c>
      <c r="P3704" s="1" t="s">
        <v>31</v>
      </c>
      <c r="Q3704" s="1" t="s">
        <v>53</v>
      </c>
      <c r="R3704" s="1" t="s">
        <v>53</v>
      </c>
      <c r="S3704" s="1" t="s">
        <v>54</v>
      </c>
      <c r="T3704" s="1" t="s">
        <v>1386</v>
      </c>
      <c r="U3704" s="1">
        <v>1.00610014E8</v>
      </c>
      <c r="X3704" s="1" t="s">
        <v>81</v>
      </c>
      <c r="Y3704" s="1" t="s">
        <v>1387</v>
      </c>
      <c r="Z3704" s="1" t="s">
        <v>37</v>
      </c>
    </row>
    <row r="3705" hidden="1">
      <c r="A3705" s="1" t="s">
        <v>10740</v>
      </c>
      <c r="B3705" s="1" t="s">
        <v>4151</v>
      </c>
      <c r="C3705" s="1" t="s">
        <v>10741</v>
      </c>
      <c r="D3705" s="1" t="s">
        <v>27</v>
      </c>
      <c r="E3705" s="1" t="s">
        <v>28</v>
      </c>
      <c r="F3705" s="2">
        <v>250000.0</v>
      </c>
      <c r="G3705" s="1" t="s">
        <v>2251</v>
      </c>
      <c r="H3705" s="4">
        <f>IFERROR(__xludf.DUMMYFUNCTION("DATE(INDEX(SPLIT(G3705,""/""),,3),INDEX(SPLIT(G3705,""/""),,2),INDEX(SPLIT(G3705,""/""),,1))"),44498.0)</f>
        <v>44498</v>
      </c>
      <c r="I3705" s="1" t="s">
        <v>109</v>
      </c>
      <c r="J3705" s="4">
        <f>IFERROR(__xludf.DUMMYFUNCTION("DATE(INDEX(SPLIT(I3705,""/""),,3),INDEX(SPLIT(I3705,""/""),,2),INDEX(SPLIT(I3705,""/""),,1))"),44834.0)</f>
        <v>44834</v>
      </c>
      <c r="L3705" s="1">
        <v>0.0</v>
      </c>
      <c r="M3705" s="1" t="s">
        <v>2989</v>
      </c>
      <c r="N3705" s="1"/>
      <c r="O3705" s="1" t="s">
        <v>30</v>
      </c>
      <c r="P3705" s="1" t="s">
        <v>31</v>
      </c>
      <c r="Q3705" s="1" t="s">
        <v>235</v>
      </c>
      <c r="R3705" s="1" t="s">
        <v>235</v>
      </c>
      <c r="S3705" s="1" t="s">
        <v>236</v>
      </c>
      <c r="T3705" s="1" t="s">
        <v>438</v>
      </c>
      <c r="U3705" s="1">
        <v>1.00647463E8</v>
      </c>
      <c r="X3705" s="1" t="s">
        <v>88</v>
      </c>
      <c r="Y3705" s="1" t="s">
        <v>2989</v>
      </c>
      <c r="Z3705" s="1" t="s">
        <v>37</v>
      </c>
    </row>
    <row r="3706" hidden="1">
      <c r="A3706" s="1" t="s">
        <v>10742</v>
      </c>
      <c r="B3706" s="1" t="s">
        <v>6356</v>
      </c>
      <c r="C3706" s="1" t="s">
        <v>10743</v>
      </c>
      <c r="D3706" s="1" t="s">
        <v>78</v>
      </c>
      <c r="E3706" s="1" t="s">
        <v>28</v>
      </c>
      <c r="F3706" s="2">
        <v>250000.0</v>
      </c>
      <c r="G3706" s="4">
        <v>44511.0</v>
      </c>
      <c r="H3706" s="4">
        <f>IFERROR(__xludf.DUMMYFUNCTION("DATE(INDEX(SPLIT(G3706,""/""),,3),INDEX(SPLIT(G3706,""/""),,2),INDEX(SPLIT(G3706,""/""),,1))"),44511.0)</f>
        <v>44511</v>
      </c>
      <c r="I3706" s="1" t="s">
        <v>109</v>
      </c>
      <c r="J3706" s="4">
        <f>IFERROR(__xludf.DUMMYFUNCTION("DATE(INDEX(SPLIT(I3706,""/""),,3),INDEX(SPLIT(I3706,""/""),,2),INDEX(SPLIT(I3706,""/""),,1))"),44834.0)</f>
        <v>44834</v>
      </c>
      <c r="L3706" s="1">
        <v>0.0</v>
      </c>
      <c r="M3706" s="1" t="s">
        <v>52</v>
      </c>
      <c r="N3706" s="1"/>
      <c r="O3706" s="1" t="s">
        <v>30</v>
      </c>
      <c r="P3706" s="1" t="s">
        <v>31</v>
      </c>
      <c r="Q3706" s="1" t="s">
        <v>53</v>
      </c>
      <c r="R3706" s="1" t="s">
        <v>53</v>
      </c>
      <c r="S3706" s="1" t="s">
        <v>54</v>
      </c>
      <c r="T3706" s="1" t="s">
        <v>103</v>
      </c>
      <c r="U3706" s="1">
        <v>1.01059432E8</v>
      </c>
      <c r="X3706" s="1" t="s">
        <v>312</v>
      </c>
      <c r="Y3706" s="1" t="s">
        <v>2367</v>
      </c>
      <c r="Z3706" s="1" t="s">
        <v>37</v>
      </c>
    </row>
    <row r="3707" hidden="1">
      <c r="A3707" s="1" t="s">
        <v>10744</v>
      </c>
      <c r="B3707" s="1" t="s">
        <v>8254</v>
      </c>
      <c r="C3707" s="1" t="s">
        <v>10745</v>
      </c>
      <c r="D3707" s="1" t="s">
        <v>27</v>
      </c>
      <c r="E3707" s="1" t="s">
        <v>28</v>
      </c>
      <c r="F3707" s="2">
        <v>250000.0</v>
      </c>
      <c r="G3707" s="4">
        <v>44478.0</v>
      </c>
      <c r="H3707" s="4">
        <f>IFERROR(__xludf.DUMMYFUNCTION("DATE(INDEX(SPLIT(G3707,""/""),,3),INDEX(SPLIT(G3707,""/""),,2),INDEX(SPLIT(G3707,""/""),,1))"),44449.0)</f>
        <v>44449</v>
      </c>
      <c r="I3707" s="1" t="s">
        <v>130</v>
      </c>
      <c r="J3707" s="4">
        <f>IFERROR(__xludf.DUMMYFUNCTION("DATE(INDEX(SPLIT(I3707,""/""),,3),INDEX(SPLIT(I3707,""/""),,2),INDEX(SPLIT(I3707,""/""),,1))"),44804.0)</f>
        <v>44804</v>
      </c>
      <c r="L3707" s="1">
        <v>0.0</v>
      </c>
      <c r="M3707" s="1" t="s">
        <v>2312</v>
      </c>
      <c r="N3707" s="1"/>
      <c r="O3707" s="1" t="s">
        <v>30</v>
      </c>
      <c r="P3707" s="1" t="s">
        <v>31</v>
      </c>
      <c r="Q3707" s="1" t="s">
        <v>32</v>
      </c>
      <c r="R3707" s="1" t="s">
        <v>32</v>
      </c>
      <c r="S3707" s="1" t="s">
        <v>33</v>
      </c>
      <c r="T3707" s="1" t="s">
        <v>103</v>
      </c>
      <c r="U3707" s="1">
        <v>1.00610903E8</v>
      </c>
      <c r="X3707" s="1" t="s">
        <v>468</v>
      </c>
      <c r="Y3707" s="1" t="s">
        <v>10746</v>
      </c>
      <c r="Z3707" s="1" t="s">
        <v>37</v>
      </c>
    </row>
    <row r="3708">
      <c r="A3708" s="1" t="s">
        <v>10747</v>
      </c>
      <c r="B3708" s="1" t="s">
        <v>4268</v>
      </c>
      <c r="C3708" s="1" t="s">
        <v>10748</v>
      </c>
      <c r="D3708" s="1" t="s">
        <v>78</v>
      </c>
      <c r="E3708" s="1" t="s">
        <v>28</v>
      </c>
      <c r="F3708" s="2">
        <v>250000.0</v>
      </c>
      <c r="G3708" s="1" t="s">
        <v>2110</v>
      </c>
      <c r="H3708" s="4">
        <f>IFERROR(__xludf.DUMMYFUNCTION("DATE(INDEX(SPLIT(G3708,""/""),,3),INDEX(SPLIT(G3708,""/""),,2),INDEX(SPLIT(G3708,""/""),,1))"),44650.0)</f>
        <v>44650</v>
      </c>
      <c r="I3708" s="1" t="s">
        <v>226</v>
      </c>
      <c r="J3708" s="4">
        <f>IFERROR(__xludf.DUMMYFUNCTION("DATE(INDEX(SPLIT(I3708,""/""),,3),INDEX(SPLIT(I3708,""/""),,2),INDEX(SPLIT(I3708,""/""),,1))"),44771.0)</f>
        <v>44771</v>
      </c>
      <c r="L3708" s="1">
        <v>0.0</v>
      </c>
      <c r="M3708" s="1" t="s">
        <v>1741</v>
      </c>
      <c r="N3708" s="1"/>
      <c r="O3708" s="1" t="s">
        <v>30</v>
      </c>
      <c r="P3708" s="1" t="s">
        <v>31</v>
      </c>
      <c r="Q3708" s="1" t="s">
        <v>32</v>
      </c>
      <c r="R3708" s="1" t="s">
        <v>32</v>
      </c>
      <c r="S3708" s="1" t="s">
        <v>33</v>
      </c>
      <c r="T3708" s="1" t="s">
        <v>103</v>
      </c>
      <c r="U3708" s="1">
        <v>1.00645852E8</v>
      </c>
      <c r="X3708" s="1" t="s">
        <v>361</v>
      </c>
      <c r="Y3708" s="1" t="s">
        <v>7271</v>
      </c>
      <c r="Z3708" s="1" t="s">
        <v>37</v>
      </c>
    </row>
    <row r="3709" hidden="1">
      <c r="A3709" s="1" t="s">
        <v>10749</v>
      </c>
      <c r="B3709" s="1" t="s">
        <v>3977</v>
      </c>
      <c r="C3709" s="1" t="s">
        <v>10750</v>
      </c>
      <c r="D3709" s="1" t="s">
        <v>27</v>
      </c>
      <c r="E3709" s="1" t="s">
        <v>28</v>
      </c>
      <c r="F3709" s="2">
        <v>250000.0</v>
      </c>
      <c r="G3709" s="1" t="s">
        <v>93</v>
      </c>
      <c r="H3709" s="4">
        <f>IFERROR(__xludf.DUMMYFUNCTION("DATE(INDEX(SPLIT(G3709,""/""),,3),INDEX(SPLIT(G3709,""/""),,2),INDEX(SPLIT(G3709,""/""),,1))"),44671.0)</f>
        <v>44671</v>
      </c>
      <c r="I3709" s="4">
        <v>44662.0</v>
      </c>
      <c r="J3709" s="4">
        <f>IFERROR(__xludf.DUMMYFUNCTION("DATE(INDEX(SPLIT(I3709,""/""),,3),INDEX(SPLIT(I3709,""/""),,2),INDEX(SPLIT(I3709,""/""),,1))"),44869.0)</f>
        <v>44869</v>
      </c>
      <c r="L3709" s="1">
        <v>0.0</v>
      </c>
      <c r="M3709" s="1" t="s">
        <v>2905</v>
      </c>
      <c r="N3709" s="1"/>
      <c r="O3709" s="1" t="s">
        <v>30</v>
      </c>
      <c r="P3709" s="1" t="s">
        <v>31</v>
      </c>
      <c r="Q3709" s="1" t="s">
        <v>53</v>
      </c>
      <c r="R3709" s="1" t="s">
        <v>53</v>
      </c>
      <c r="S3709" s="1" t="s">
        <v>54</v>
      </c>
      <c r="U3709" s="1">
        <v>1.01074419E8</v>
      </c>
      <c r="X3709" s="1" t="s">
        <v>781</v>
      </c>
      <c r="Y3709" s="1" t="s">
        <v>2905</v>
      </c>
      <c r="Z3709" s="1" t="s">
        <v>527</v>
      </c>
    </row>
    <row r="3710">
      <c r="A3710" s="1" t="s">
        <v>10751</v>
      </c>
      <c r="B3710" s="1" t="s">
        <v>8254</v>
      </c>
      <c r="C3710" s="1" t="s">
        <v>10752</v>
      </c>
      <c r="D3710" s="1" t="s">
        <v>27</v>
      </c>
      <c r="E3710" s="1" t="s">
        <v>28</v>
      </c>
      <c r="F3710" s="2">
        <v>250000.0</v>
      </c>
      <c r="G3710" s="4">
        <v>44478.0</v>
      </c>
      <c r="H3710" s="4">
        <f>IFERROR(__xludf.DUMMYFUNCTION("DATE(INDEX(SPLIT(G3710,""/""),,3),INDEX(SPLIT(G3710,""/""),,2),INDEX(SPLIT(G3710,""/""),,1))"),44449.0)</f>
        <v>44449</v>
      </c>
      <c r="I3710" s="1" t="s">
        <v>226</v>
      </c>
      <c r="J3710" s="4">
        <f>IFERROR(__xludf.DUMMYFUNCTION("DATE(INDEX(SPLIT(I3710,""/""),,3),INDEX(SPLIT(I3710,""/""),,2),INDEX(SPLIT(I3710,""/""),,1))"),44771.0)</f>
        <v>44771</v>
      </c>
      <c r="L3710" s="1">
        <v>0.0</v>
      </c>
      <c r="M3710" s="1" t="s">
        <v>2312</v>
      </c>
      <c r="N3710" s="1"/>
      <c r="O3710" s="1" t="s">
        <v>30</v>
      </c>
      <c r="P3710" s="1" t="s">
        <v>31</v>
      </c>
      <c r="Q3710" s="1" t="s">
        <v>32</v>
      </c>
      <c r="R3710" s="1" t="s">
        <v>32</v>
      </c>
      <c r="S3710" s="1" t="s">
        <v>33</v>
      </c>
      <c r="T3710" s="1" t="s">
        <v>97</v>
      </c>
      <c r="U3710" s="1">
        <v>1.00610903E8</v>
      </c>
      <c r="X3710" s="1" t="s">
        <v>468</v>
      </c>
      <c r="Y3710" s="1" t="s">
        <v>10746</v>
      </c>
      <c r="Z3710" s="1" t="s">
        <v>37</v>
      </c>
    </row>
    <row r="3711" hidden="1">
      <c r="A3711" s="1" t="s">
        <v>10753</v>
      </c>
      <c r="B3711" s="1" t="s">
        <v>5989</v>
      </c>
      <c r="C3711" s="1" t="s">
        <v>10754</v>
      </c>
      <c r="D3711" s="1" t="s">
        <v>27</v>
      </c>
      <c r="E3711" s="1" t="s">
        <v>28</v>
      </c>
      <c r="F3711" s="2">
        <v>250000.0</v>
      </c>
      <c r="G3711" s="1" t="s">
        <v>6746</v>
      </c>
      <c r="H3711" s="4">
        <f>IFERROR(__xludf.DUMMYFUNCTION("DATE(INDEX(SPLIT(G3711,""/""),,3),INDEX(SPLIT(G3711,""/""),,2),INDEX(SPLIT(G3711,""/""),,1))"),44309.0)</f>
        <v>44309</v>
      </c>
      <c r="I3711" s="1" t="s">
        <v>42</v>
      </c>
      <c r="J3711" s="4">
        <f>IFERROR(__xludf.DUMMYFUNCTION("DATE(INDEX(SPLIT(I3711,""/""),,3),INDEX(SPLIT(I3711,""/""),,2),INDEX(SPLIT(I3711,""/""),,1))"),44926.0)</f>
        <v>44926</v>
      </c>
      <c r="L3711" s="1">
        <v>0.0</v>
      </c>
      <c r="M3711" s="1" t="s">
        <v>1376</v>
      </c>
      <c r="N3711" s="1"/>
      <c r="O3711" s="1" t="s">
        <v>30</v>
      </c>
      <c r="P3711" s="1" t="s">
        <v>31</v>
      </c>
      <c r="Q3711" s="1" t="s">
        <v>32</v>
      </c>
      <c r="R3711" s="1" t="s">
        <v>32</v>
      </c>
      <c r="S3711" s="1" t="s">
        <v>33</v>
      </c>
      <c r="T3711" s="1" t="s">
        <v>1195</v>
      </c>
      <c r="U3711" s="1">
        <v>1.006096E8</v>
      </c>
      <c r="X3711" s="1" t="s">
        <v>490</v>
      </c>
      <c r="Y3711" s="1" t="s">
        <v>7653</v>
      </c>
      <c r="Z3711" s="1" t="s">
        <v>37</v>
      </c>
    </row>
    <row r="3712" hidden="1">
      <c r="A3712" s="1" t="s">
        <v>10755</v>
      </c>
      <c r="B3712" s="1" t="s">
        <v>10756</v>
      </c>
      <c r="C3712" s="1" t="s">
        <v>10757</v>
      </c>
      <c r="D3712" s="1" t="s">
        <v>122</v>
      </c>
      <c r="E3712" s="1" t="s">
        <v>28</v>
      </c>
      <c r="F3712" s="2">
        <v>250000.0</v>
      </c>
      <c r="G3712" s="4">
        <v>44622.0</v>
      </c>
      <c r="H3712" s="4">
        <f>IFERROR(__xludf.DUMMYFUNCTION("DATE(INDEX(SPLIT(G3712,""/""),,3),INDEX(SPLIT(G3712,""/""),,2),INDEX(SPLIT(G3712,""/""),,1))"),44595.0)</f>
        <v>44595</v>
      </c>
      <c r="I3712" s="1" t="s">
        <v>317</v>
      </c>
      <c r="J3712" s="4">
        <f>IFERROR(__xludf.DUMMYFUNCTION("DATE(INDEX(SPLIT(I3712,""/""),,3),INDEX(SPLIT(I3712,""/""),,2),INDEX(SPLIT(I3712,""/""),,1))"),44862.0)</f>
        <v>44862</v>
      </c>
      <c r="L3712" s="1">
        <v>0.0</v>
      </c>
      <c r="M3712" s="1" t="s">
        <v>3565</v>
      </c>
      <c r="N3712" s="1"/>
      <c r="O3712" s="1" t="s">
        <v>30</v>
      </c>
      <c r="P3712" s="1" t="s">
        <v>31</v>
      </c>
      <c r="Q3712" s="1" t="s">
        <v>32</v>
      </c>
      <c r="R3712" s="1" t="s">
        <v>32</v>
      </c>
      <c r="S3712" s="1" t="s">
        <v>33</v>
      </c>
      <c r="U3712" s="1">
        <v>1.01088701E8</v>
      </c>
      <c r="X3712" s="1" t="s">
        <v>88</v>
      </c>
      <c r="Y3712" s="1" t="s">
        <v>3626</v>
      </c>
      <c r="Z3712" s="1" t="s">
        <v>37</v>
      </c>
    </row>
    <row r="3713" hidden="1">
      <c r="A3713" s="1" t="s">
        <v>10758</v>
      </c>
      <c r="B3713" s="1" t="s">
        <v>8301</v>
      </c>
      <c r="C3713" s="1" t="s">
        <v>10759</v>
      </c>
      <c r="D3713" s="1" t="s">
        <v>27</v>
      </c>
      <c r="E3713" s="1" t="s">
        <v>28</v>
      </c>
      <c r="F3713" s="2">
        <v>250000.0</v>
      </c>
      <c r="G3713" s="1" t="s">
        <v>4036</v>
      </c>
      <c r="H3713" s="4">
        <f>IFERROR(__xludf.DUMMYFUNCTION("DATE(INDEX(SPLIT(G3713,""/""),,3),INDEX(SPLIT(G3713,""/""),,2),INDEX(SPLIT(G3713,""/""),,1))"),44592.0)</f>
        <v>44592</v>
      </c>
      <c r="I3713" s="1" t="s">
        <v>203</v>
      </c>
      <c r="J3713" s="4">
        <f>IFERROR(__xludf.DUMMYFUNCTION("DATE(INDEX(SPLIT(I3713,""/""),,3),INDEX(SPLIT(I3713,""/""),,2),INDEX(SPLIT(I3713,""/""),,1))"),44925.0)</f>
        <v>44925</v>
      </c>
      <c r="L3713" s="1">
        <v>0.0</v>
      </c>
      <c r="M3713" s="1" t="s">
        <v>211</v>
      </c>
      <c r="N3713" s="1"/>
      <c r="O3713" s="1" t="s">
        <v>30</v>
      </c>
      <c r="P3713" s="1" t="s">
        <v>31</v>
      </c>
      <c r="Q3713" s="1" t="s">
        <v>71</v>
      </c>
      <c r="R3713" s="1" t="s">
        <v>71</v>
      </c>
      <c r="S3713" s="1" t="s">
        <v>72</v>
      </c>
      <c r="T3713" s="1" t="s">
        <v>136</v>
      </c>
      <c r="U3713" s="1">
        <v>1.00590896E8</v>
      </c>
      <c r="X3713" s="1" t="s">
        <v>74</v>
      </c>
      <c r="Y3713" s="1" t="s">
        <v>3280</v>
      </c>
      <c r="Z3713" s="1" t="s">
        <v>37</v>
      </c>
    </row>
    <row r="3714" hidden="1">
      <c r="A3714" s="1" t="s">
        <v>10760</v>
      </c>
      <c r="B3714" s="1" t="s">
        <v>1634</v>
      </c>
      <c r="C3714" s="1" t="s">
        <v>10761</v>
      </c>
      <c r="D3714" s="1" t="s">
        <v>27</v>
      </c>
      <c r="E3714" s="1" t="s">
        <v>28</v>
      </c>
      <c r="F3714" s="2">
        <v>250000.0</v>
      </c>
      <c r="G3714" s="1" t="s">
        <v>6746</v>
      </c>
      <c r="H3714" s="4">
        <f>IFERROR(__xludf.DUMMYFUNCTION("DATE(INDEX(SPLIT(G3714,""/""),,3),INDEX(SPLIT(G3714,""/""),,2),INDEX(SPLIT(G3714,""/""),,1))"),44309.0)</f>
        <v>44309</v>
      </c>
      <c r="I3714" s="1" t="s">
        <v>42</v>
      </c>
      <c r="J3714" s="4">
        <f>IFERROR(__xludf.DUMMYFUNCTION("DATE(INDEX(SPLIT(I3714,""/""),,3),INDEX(SPLIT(I3714,""/""),,2),INDEX(SPLIT(I3714,""/""),,1))"),44926.0)</f>
        <v>44926</v>
      </c>
      <c r="L3714" s="1">
        <v>0.0</v>
      </c>
      <c r="M3714" s="1" t="s">
        <v>1376</v>
      </c>
      <c r="N3714" s="1"/>
      <c r="O3714" s="1" t="s">
        <v>30</v>
      </c>
      <c r="P3714" s="1" t="s">
        <v>31</v>
      </c>
      <c r="Q3714" s="1" t="s">
        <v>32</v>
      </c>
      <c r="R3714" s="1" t="s">
        <v>32</v>
      </c>
      <c r="S3714" s="1" t="s">
        <v>33</v>
      </c>
      <c r="T3714" s="1" t="s">
        <v>1195</v>
      </c>
      <c r="U3714" s="1">
        <v>1.006096E8</v>
      </c>
      <c r="X3714" s="1" t="s">
        <v>490</v>
      </c>
      <c r="Y3714" s="1" t="s">
        <v>7653</v>
      </c>
      <c r="Z3714" s="1" t="s">
        <v>37</v>
      </c>
    </row>
    <row r="3715" hidden="1">
      <c r="A3715" s="1" t="s">
        <v>10762</v>
      </c>
      <c r="B3715" s="1" t="s">
        <v>1511</v>
      </c>
      <c r="C3715" s="1" t="s">
        <v>10763</v>
      </c>
      <c r="D3715" s="1" t="s">
        <v>27</v>
      </c>
      <c r="E3715" s="1" t="s">
        <v>28</v>
      </c>
      <c r="F3715" s="2">
        <v>250000.0</v>
      </c>
      <c r="G3715" s="1" t="s">
        <v>6746</v>
      </c>
      <c r="H3715" s="4">
        <f>IFERROR(__xludf.DUMMYFUNCTION("DATE(INDEX(SPLIT(G3715,""/""),,3),INDEX(SPLIT(G3715,""/""),,2),INDEX(SPLIT(G3715,""/""),,1))"),44309.0)</f>
        <v>44309</v>
      </c>
      <c r="I3715" s="1" t="s">
        <v>42</v>
      </c>
      <c r="J3715" s="4">
        <f>IFERROR(__xludf.DUMMYFUNCTION("DATE(INDEX(SPLIT(I3715,""/""),,3),INDEX(SPLIT(I3715,""/""),,2),INDEX(SPLIT(I3715,""/""),,1))"),44926.0)</f>
        <v>44926</v>
      </c>
      <c r="L3715" s="1">
        <v>0.0</v>
      </c>
      <c r="M3715" s="1" t="s">
        <v>1376</v>
      </c>
      <c r="N3715" s="1"/>
      <c r="O3715" s="1" t="s">
        <v>30</v>
      </c>
      <c r="P3715" s="1" t="s">
        <v>31</v>
      </c>
      <c r="Q3715" s="1" t="s">
        <v>32</v>
      </c>
      <c r="R3715" s="1" t="s">
        <v>32</v>
      </c>
      <c r="S3715" s="1" t="s">
        <v>33</v>
      </c>
      <c r="T3715" s="1" t="s">
        <v>1195</v>
      </c>
      <c r="U3715" s="1">
        <v>1.006096E8</v>
      </c>
      <c r="X3715" s="1" t="s">
        <v>490</v>
      </c>
      <c r="Y3715" s="1" t="s">
        <v>7653</v>
      </c>
      <c r="Z3715" s="1" t="s">
        <v>37</v>
      </c>
    </row>
    <row r="3716" hidden="1">
      <c r="A3716" s="1" t="s">
        <v>10764</v>
      </c>
      <c r="B3716" s="1" t="s">
        <v>7339</v>
      </c>
      <c r="C3716" s="1" t="s">
        <v>10765</v>
      </c>
      <c r="D3716" s="1" t="s">
        <v>27</v>
      </c>
      <c r="E3716" s="1" t="s">
        <v>28</v>
      </c>
      <c r="F3716" s="2">
        <v>250000.0</v>
      </c>
      <c r="G3716" s="1" t="s">
        <v>6746</v>
      </c>
      <c r="H3716" s="4">
        <f>IFERROR(__xludf.DUMMYFUNCTION("DATE(INDEX(SPLIT(G3716,""/""),,3),INDEX(SPLIT(G3716,""/""),,2),INDEX(SPLIT(G3716,""/""),,1))"),44309.0)</f>
        <v>44309</v>
      </c>
      <c r="I3716" s="1" t="s">
        <v>42</v>
      </c>
      <c r="J3716" s="4">
        <f>IFERROR(__xludf.DUMMYFUNCTION("DATE(INDEX(SPLIT(I3716,""/""),,3),INDEX(SPLIT(I3716,""/""),,2),INDEX(SPLIT(I3716,""/""),,1))"),44926.0)</f>
        <v>44926</v>
      </c>
      <c r="L3716" s="1">
        <v>0.0</v>
      </c>
      <c r="M3716" s="1" t="s">
        <v>1376</v>
      </c>
      <c r="N3716" s="1"/>
      <c r="O3716" s="1" t="s">
        <v>30</v>
      </c>
      <c r="P3716" s="1" t="s">
        <v>31</v>
      </c>
      <c r="Q3716" s="1" t="s">
        <v>32</v>
      </c>
      <c r="R3716" s="1" t="s">
        <v>32</v>
      </c>
      <c r="S3716" s="1" t="s">
        <v>33</v>
      </c>
      <c r="T3716" s="1" t="s">
        <v>1195</v>
      </c>
      <c r="U3716" s="1">
        <v>1.006096E8</v>
      </c>
      <c r="X3716" s="1" t="s">
        <v>361</v>
      </c>
      <c r="Y3716" s="1" t="s">
        <v>7653</v>
      </c>
      <c r="Z3716" s="1" t="s">
        <v>37</v>
      </c>
    </row>
    <row r="3717" hidden="1">
      <c r="A3717" s="1" t="s">
        <v>10766</v>
      </c>
      <c r="B3717" s="1" t="s">
        <v>2261</v>
      </c>
      <c r="C3717" s="1" t="s">
        <v>10767</v>
      </c>
      <c r="D3717" s="1" t="s">
        <v>27</v>
      </c>
      <c r="E3717" s="1" t="s">
        <v>28</v>
      </c>
      <c r="F3717" s="2">
        <v>250000.0</v>
      </c>
      <c r="G3717" s="4">
        <v>44478.0</v>
      </c>
      <c r="H3717" s="4">
        <f>IFERROR(__xludf.DUMMYFUNCTION("DATE(INDEX(SPLIT(G3717,""/""),,3),INDEX(SPLIT(G3717,""/""),,2),INDEX(SPLIT(G3717,""/""),,1))"),44449.0)</f>
        <v>44449</v>
      </c>
      <c r="I3717" s="4">
        <v>44752.0</v>
      </c>
      <c r="J3717" s="4">
        <f>IFERROR(__xludf.DUMMYFUNCTION("DATE(INDEX(SPLIT(I3717,""/""),,3),INDEX(SPLIT(I3717,""/""),,2),INDEX(SPLIT(I3717,""/""),,1))"),44841.0)</f>
        <v>44841</v>
      </c>
      <c r="L3717" s="1">
        <v>0.0</v>
      </c>
      <c r="M3717" s="1" t="s">
        <v>1239</v>
      </c>
      <c r="N3717" s="1"/>
      <c r="O3717" s="1" t="s">
        <v>30</v>
      </c>
      <c r="P3717" s="1" t="s">
        <v>31</v>
      </c>
      <c r="Q3717" s="1" t="s">
        <v>71</v>
      </c>
      <c r="R3717" s="1" t="s">
        <v>71</v>
      </c>
      <c r="S3717" s="1" t="s">
        <v>72</v>
      </c>
      <c r="T3717" s="1" t="s">
        <v>136</v>
      </c>
      <c r="U3717" s="1">
        <v>1.00943277E8</v>
      </c>
      <c r="X3717" s="1" t="s">
        <v>74</v>
      </c>
      <c r="Y3717" s="1" t="s">
        <v>1239</v>
      </c>
      <c r="Z3717" s="1" t="s">
        <v>37</v>
      </c>
    </row>
    <row r="3718" hidden="1">
      <c r="A3718" s="1" t="s">
        <v>10768</v>
      </c>
      <c r="B3718" s="1" t="s">
        <v>10769</v>
      </c>
      <c r="C3718" s="1" t="s">
        <v>10770</v>
      </c>
      <c r="D3718" s="1" t="s">
        <v>122</v>
      </c>
      <c r="E3718" s="1" t="s">
        <v>28</v>
      </c>
      <c r="F3718" s="2">
        <v>250000.0</v>
      </c>
      <c r="G3718" s="1" t="s">
        <v>1259</v>
      </c>
      <c r="H3718" s="4">
        <f>IFERROR(__xludf.DUMMYFUNCTION("DATE(INDEX(SPLIT(G3718,""/""),,3),INDEX(SPLIT(G3718,""/""),,2),INDEX(SPLIT(G3718,""/""),,1))"),44763.0)</f>
        <v>44763</v>
      </c>
      <c r="I3718" s="4">
        <v>44569.0</v>
      </c>
      <c r="J3718" s="4">
        <f>IFERROR(__xludf.DUMMYFUNCTION("DATE(INDEX(SPLIT(I3718,""/""),,3),INDEX(SPLIT(I3718,""/""),,2),INDEX(SPLIT(I3718,""/""),,1))"),44774.0)</f>
        <v>44774</v>
      </c>
      <c r="L3718" s="1">
        <v>0.0</v>
      </c>
      <c r="M3718" s="1" t="s">
        <v>1422</v>
      </c>
      <c r="N3718" s="1"/>
      <c r="O3718" s="1" t="s">
        <v>30</v>
      </c>
      <c r="P3718" s="1" t="s">
        <v>31</v>
      </c>
      <c r="Q3718" s="1" t="s">
        <v>157</v>
      </c>
      <c r="R3718" s="1" t="s">
        <v>157</v>
      </c>
      <c r="S3718" s="1" t="s">
        <v>158</v>
      </c>
      <c r="T3718" s="1" t="s">
        <v>159</v>
      </c>
      <c r="U3718" s="1">
        <v>1.00869794E8</v>
      </c>
      <c r="X3718" s="1" t="s">
        <v>63</v>
      </c>
      <c r="Y3718" s="1" t="s">
        <v>1422</v>
      </c>
      <c r="Z3718" s="1" t="s">
        <v>37</v>
      </c>
    </row>
    <row r="3719" hidden="1">
      <c r="A3719" s="1" t="s">
        <v>10771</v>
      </c>
      <c r="B3719" s="1" t="s">
        <v>5699</v>
      </c>
      <c r="C3719" s="1" t="s">
        <v>10772</v>
      </c>
      <c r="D3719" s="1" t="s">
        <v>27</v>
      </c>
      <c r="E3719" s="1" t="s">
        <v>28</v>
      </c>
      <c r="F3719" s="2">
        <v>250000.0</v>
      </c>
      <c r="G3719" s="1" t="s">
        <v>6746</v>
      </c>
      <c r="H3719" s="4">
        <f>IFERROR(__xludf.DUMMYFUNCTION("DATE(INDEX(SPLIT(G3719,""/""),,3),INDEX(SPLIT(G3719,""/""),,2),INDEX(SPLIT(G3719,""/""),,1))"),44309.0)</f>
        <v>44309</v>
      </c>
      <c r="I3719" s="1" t="s">
        <v>42</v>
      </c>
      <c r="J3719" s="4">
        <f>IFERROR(__xludf.DUMMYFUNCTION("DATE(INDEX(SPLIT(I3719,""/""),,3),INDEX(SPLIT(I3719,""/""),,2),INDEX(SPLIT(I3719,""/""),,1))"),44926.0)</f>
        <v>44926</v>
      </c>
      <c r="L3719" s="1">
        <v>0.0</v>
      </c>
      <c r="M3719" s="1" t="s">
        <v>1376</v>
      </c>
      <c r="N3719" s="1"/>
      <c r="O3719" s="1" t="s">
        <v>30</v>
      </c>
      <c r="P3719" s="1" t="s">
        <v>31</v>
      </c>
      <c r="Q3719" s="1" t="s">
        <v>32</v>
      </c>
      <c r="R3719" s="1" t="s">
        <v>32</v>
      </c>
      <c r="S3719" s="1" t="s">
        <v>33</v>
      </c>
      <c r="T3719" s="1" t="s">
        <v>1195</v>
      </c>
      <c r="U3719" s="1">
        <v>1.006096E8</v>
      </c>
      <c r="X3719" s="1" t="s">
        <v>490</v>
      </c>
      <c r="Y3719" s="1" t="s">
        <v>7653</v>
      </c>
      <c r="Z3719" s="1" t="s">
        <v>37</v>
      </c>
    </row>
    <row r="3720">
      <c r="A3720" s="1" t="s">
        <v>10773</v>
      </c>
      <c r="B3720" s="1" t="s">
        <v>10774</v>
      </c>
      <c r="C3720" s="1" t="s">
        <v>10775</v>
      </c>
      <c r="D3720" s="1" t="s">
        <v>122</v>
      </c>
      <c r="E3720" s="1" t="s">
        <v>28</v>
      </c>
      <c r="F3720" s="2">
        <v>250000.0</v>
      </c>
      <c r="G3720" s="4">
        <v>44746.0</v>
      </c>
      <c r="H3720" s="4">
        <f>IFERROR(__xludf.DUMMYFUNCTION("DATE(INDEX(SPLIT(G3720,""/""),,3),INDEX(SPLIT(G3720,""/""),,2),INDEX(SPLIT(G3720,""/""),,1))"),44658.0)</f>
        <v>44658</v>
      </c>
      <c r="I3720" s="1" t="s">
        <v>1244</v>
      </c>
      <c r="J3720" s="4">
        <f>IFERROR(__xludf.DUMMYFUNCTION("DATE(INDEX(SPLIT(I3720,""/""),,3),INDEX(SPLIT(I3720,""/""),,2),INDEX(SPLIT(I3720,""/""),,1))"),44742.0)</f>
        <v>44742</v>
      </c>
      <c r="L3720" s="1">
        <v>0.0</v>
      </c>
      <c r="M3720" s="1" t="s">
        <v>1200</v>
      </c>
      <c r="N3720" s="1"/>
      <c r="O3720" s="1" t="s">
        <v>30</v>
      </c>
      <c r="P3720" s="1" t="s">
        <v>31</v>
      </c>
      <c r="Q3720" s="1" t="s">
        <v>235</v>
      </c>
      <c r="R3720" s="1" t="s">
        <v>235</v>
      </c>
      <c r="S3720" s="1" t="s">
        <v>236</v>
      </c>
      <c r="T3720" s="1" t="s">
        <v>438</v>
      </c>
      <c r="U3720" s="1">
        <v>1.00586959E8</v>
      </c>
      <c r="X3720" s="1" t="s">
        <v>98</v>
      </c>
      <c r="Y3720" s="1" t="s">
        <v>1200</v>
      </c>
      <c r="Z3720" s="1" t="s">
        <v>37</v>
      </c>
    </row>
    <row r="3721" hidden="1">
      <c r="A3721" s="1" t="s">
        <v>10776</v>
      </c>
      <c r="B3721" s="1" t="s">
        <v>1991</v>
      </c>
      <c r="C3721" s="1" t="s">
        <v>10777</v>
      </c>
      <c r="D3721" s="1" t="s">
        <v>27</v>
      </c>
      <c r="E3721" s="1" t="s">
        <v>28</v>
      </c>
      <c r="F3721" s="2">
        <v>250000.0</v>
      </c>
      <c r="G3721" s="1" t="s">
        <v>6746</v>
      </c>
      <c r="H3721" s="4">
        <f>IFERROR(__xludf.DUMMYFUNCTION("DATE(INDEX(SPLIT(G3721,""/""),,3),INDEX(SPLIT(G3721,""/""),,2),INDEX(SPLIT(G3721,""/""),,1))"),44309.0)</f>
        <v>44309</v>
      </c>
      <c r="I3721" s="1" t="s">
        <v>42</v>
      </c>
      <c r="J3721" s="4">
        <f>IFERROR(__xludf.DUMMYFUNCTION("DATE(INDEX(SPLIT(I3721,""/""),,3),INDEX(SPLIT(I3721,""/""),,2),INDEX(SPLIT(I3721,""/""),,1))"),44926.0)</f>
        <v>44926</v>
      </c>
      <c r="L3721" s="1">
        <v>0.0</v>
      </c>
      <c r="M3721" s="1" t="s">
        <v>1376</v>
      </c>
      <c r="N3721" s="1"/>
      <c r="O3721" s="1" t="s">
        <v>30</v>
      </c>
      <c r="P3721" s="1" t="s">
        <v>31</v>
      </c>
      <c r="Q3721" s="1" t="s">
        <v>32</v>
      </c>
      <c r="R3721" s="1" t="s">
        <v>32</v>
      </c>
      <c r="S3721" s="1" t="s">
        <v>33</v>
      </c>
      <c r="T3721" s="1" t="s">
        <v>1195</v>
      </c>
      <c r="U3721" s="1">
        <v>1.006096E8</v>
      </c>
      <c r="X3721" s="1" t="s">
        <v>490</v>
      </c>
      <c r="Y3721" s="1" t="s">
        <v>7653</v>
      </c>
      <c r="Z3721" s="1" t="s">
        <v>37</v>
      </c>
    </row>
    <row r="3722" hidden="1">
      <c r="A3722" s="1" t="s">
        <v>10778</v>
      </c>
      <c r="B3722" s="1" t="s">
        <v>1535</v>
      </c>
      <c r="C3722" s="1" t="s">
        <v>10779</v>
      </c>
      <c r="D3722" s="1" t="s">
        <v>27</v>
      </c>
      <c r="E3722" s="1" t="s">
        <v>28</v>
      </c>
      <c r="F3722" s="2">
        <v>250000.0</v>
      </c>
      <c r="G3722" s="1" t="s">
        <v>6746</v>
      </c>
      <c r="H3722" s="4">
        <f>IFERROR(__xludf.DUMMYFUNCTION("DATE(INDEX(SPLIT(G3722,""/""),,3),INDEX(SPLIT(G3722,""/""),,2),INDEX(SPLIT(G3722,""/""),,1))"),44309.0)</f>
        <v>44309</v>
      </c>
      <c r="I3722" s="1" t="s">
        <v>42</v>
      </c>
      <c r="J3722" s="4">
        <f>IFERROR(__xludf.DUMMYFUNCTION("DATE(INDEX(SPLIT(I3722,""/""),,3),INDEX(SPLIT(I3722,""/""),,2),INDEX(SPLIT(I3722,""/""),,1))"),44926.0)</f>
        <v>44926</v>
      </c>
      <c r="L3722" s="1">
        <v>0.0</v>
      </c>
      <c r="M3722" s="1" t="s">
        <v>1376</v>
      </c>
      <c r="N3722" s="1"/>
      <c r="O3722" s="1" t="s">
        <v>30</v>
      </c>
      <c r="P3722" s="1" t="s">
        <v>31</v>
      </c>
      <c r="Q3722" s="1" t="s">
        <v>32</v>
      </c>
      <c r="R3722" s="1" t="s">
        <v>32</v>
      </c>
      <c r="S3722" s="1" t="s">
        <v>33</v>
      </c>
      <c r="T3722" s="1" t="s">
        <v>1195</v>
      </c>
      <c r="U3722" s="1">
        <v>1.006096E8</v>
      </c>
      <c r="X3722" s="1" t="s">
        <v>490</v>
      </c>
      <c r="Y3722" s="1" t="s">
        <v>7653</v>
      </c>
      <c r="Z3722" s="1" t="s">
        <v>37</v>
      </c>
    </row>
    <row r="3723" hidden="1">
      <c r="A3723" s="1" t="s">
        <v>10780</v>
      </c>
      <c r="B3723" s="1" t="s">
        <v>10781</v>
      </c>
      <c r="C3723" s="1" t="s">
        <v>10782</v>
      </c>
      <c r="D3723" s="1" t="s">
        <v>27</v>
      </c>
      <c r="E3723" s="1" t="s">
        <v>28</v>
      </c>
      <c r="F3723" s="2">
        <v>250000.0</v>
      </c>
      <c r="G3723" s="1" t="s">
        <v>1259</v>
      </c>
      <c r="H3723" s="4">
        <f>IFERROR(__xludf.DUMMYFUNCTION("DATE(INDEX(SPLIT(G3723,""/""),,3),INDEX(SPLIT(G3723,""/""),,2),INDEX(SPLIT(G3723,""/""),,1))"),44763.0)</f>
        <v>44763</v>
      </c>
      <c r="I3723" s="1" t="s">
        <v>317</v>
      </c>
      <c r="J3723" s="4">
        <f>IFERROR(__xludf.DUMMYFUNCTION("DATE(INDEX(SPLIT(I3723,""/""),,3),INDEX(SPLIT(I3723,""/""),,2),INDEX(SPLIT(I3723,""/""),,1))"),44862.0)</f>
        <v>44862</v>
      </c>
      <c r="L3723" s="1">
        <v>0.0</v>
      </c>
      <c r="M3723" s="1" t="s">
        <v>1326</v>
      </c>
      <c r="N3723" s="1"/>
      <c r="O3723" s="1" t="s">
        <v>30</v>
      </c>
      <c r="P3723" s="1" t="s">
        <v>31</v>
      </c>
      <c r="Q3723" s="1" t="s">
        <v>188</v>
      </c>
      <c r="R3723" s="1" t="s">
        <v>188</v>
      </c>
      <c r="S3723" s="1" t="s">
        <v>189</v>
      </c>
      <c r="U3723" s="1">
        <v>1.01198157E8</v>
      </c>
      <c r="X3723" s="1" t="s">
        <v>410</v>
      </c>
      <c r="Y3723" s="1" t="s">
        <v>10783</v>
      </c>
      <c r="Z3723" s="1" t="s">
        <v>527</v>
      </c>
    </row>
    <row r="3724" hidden="1">
      <c r="A3724" s="1" t="s">
        <v>10784</v>
      </c>
      <c r="B3724" s="1" t="s">
        <v>566</v>
      </c>
      <c r="C3724" s="1" t="s">
        <v>10785</v>
      </c>
      <c r="D3724" s="1" t="s">
        <v>27</v>
      </c>
      <c r="E3724" s="1" t="s">
        <v>28</v>
      </c>
      <c r="F3724" s="2">
        <v>250000.0</v>
      </c>
      <c r="G3724" s="1" t="s">
        <v>41</v>
      </c>
      <c r="H3724" s="4">
        <f>IFERROR(__xludf.DUMMYFUNCTION("DATE(INDEX(SPLIT(G3724,""/""),,3),INDEX(SPLIT(G3724,""/""),,2),INDEX(SPLIT(G3724,""/""),,1))"),44607.0)</f>
        <v>44607</v>
      </c>
      <c r="I3724" s="4">
        <v>44659.0</v>
      </c>
      <c r="J3724" s="4">
        <f>IFERROR(__xludf.DUMMYFUNCTION("DATE(INDEX(SPLIT(I3724,""/""),,3),INDEX(SPLIT(I3724,""/""),,2),INDEX(SPLIT(I3724,""/""),,1))"),44777.0)</f>
        <v>44777</v>
      </c>
      <c r="L3724" s="1">
        <v>0.0</v>
      </c>
      <c r="M3724" s="1" t="s">
        <v>5974</v>
      </c>
      <c r="N3724" s="1"/>
      <c r="O3724" s="1" t="s">
        <v>30</v>
      </c>
      <c r="P3724" s="1" t="s">
        <v>31</v>
      </c>
      <c r="Q3724" s="1" t="s">
        <v>235</v>
      </c>
      <c r="R3724" s="1" t="s">
        <v>235</v>
      </c>
      <c r="S3724" s="1" t="s">
        <v>236</v>
      </c>
      <c r="T3724" s="1" t="s">
        <v>438</v>
      </c>
      <c r="U3724" s="1">
        <v>1.00637651E8</v>
      </c>
      <c r="V3724" s="1" t="s">
        <v>10786</v>
      </c>
      <c r="W3724" s="1" t="s">
        <v>199</v>
      </c>
      <c r="X3724" s="1" t="s">
        <v>63</v>
      </c>
      <c r="Y3724" s="1" t="s">
        <v>767</v>
      </c>
      <c r="Z3724" s="1" t="s">
        <v>206</v>
      </c>
    </row>
    <row r="3725" hidden="1">
      <c r="A3725" s="1" t="s">
        <v>10787</v>
      </c>
      <c r="B3725" s="1" t="s">
        <v>532</v>
      </c>
      <c r="C3725" s="1" t="s">
        <v>10788</v>
      </c>
      <c r="D3725" s="1" t="s">
        <v>27</v>
      </c>
      <c r="E3725" s="1" t="s">
        <v>28</v>
      </c>
      <c r="F3725" s="2">
        <v>250000.0</v>
      </c>
      <c r="G3725" s="1" t="s">
        <v>6746</v>
      </c>
      <c r="H3725" s="4">
        <f>IFERROR(__xludf.DUMMYFUNCTION("DATE(INDEX(SPLIT(G3725,""/""),,3),INDEX(SPLIT(G3725,""/""),,2),INDEX(SPLIT(G3725,""/""),,1))"),44309.0)</f>
        <v>44309</v>
      </c>
      <c r="I3725" s="1" t="s">
        <v>42</v>
      </c>
      <c r="J3725" s="4">
        <f>IFERROR(__xludf.DUMMYFUNCTION("DATE(INDEX(SPLIT(I3725,""/""),,3),INDEX(SPLIT(I3725,""/""),,2),INDEX(SPLIT(I3725,""/""),,1))"),44926.0)</f>
        <v>44926</v>
      </c>
      <c r="L3725" s="1">
        <v>0.0</v>
      </c>
      <c r="M3725" s="1" t="s">
        <v>1376</v>
      </c>
      <c r="N3725" s="1"/>
      <c r="O3725" s="1" t="s">
        <v>30</v>
      </c>
      <c r="P3725" s="1" t="s">
        <v>31</v>
      </c>
      <c r="Q3725" s="1" t="s">
        <v>32</v>
      </c>
      <c r="R3725" s="1" t="s">
        <v>32</v>
      </c>
      <c r="S3725" s="1" t="s">
        <v>33</v>
      </c>
      <c r="T3725" s="1" t="s">
        <v>1195</v>
      </c>
      <c r="U3725" s="1">
        <v>1.006096E8</v>
      </c>
      <c r="X3725" s="1" t="s">
        <v>490</v>
      </c>
      <c r="Y3725" s="1" t="s">
        <v>7653</v>
      </c>
      <c r="Z3725" s="1" t="s">
        <v>37</v>
      </c>
    </row>
    <row r="3726" hidden="1">
      <c r="A3726" s="1" t="s">
        <v>10789</v>
      </c>
      <c r="B3726" s="1" t="s">
        <v>1655</v>
      </c>
      <c r="C3726" s="1" t="s">
        <v>10790</v>
      </c>
      <c r="D3726" s="1" t="s">
        <v>27</v>
      </c>
      <c r="E3726" s="1" t="s">
        <v>28</v>
      </c>
      <c r="F3726" s="2">
        <v>250000.0</v>
      </c>
      <c r="G3726" s="1" t="s">
        <v>6746</v>
      </c>
      <c r="H3726" s="4">
        <f>IFERROR(__xludf.DUMMYFUNCTION("DATE(INDEX(SPLIT(G3726,""/""),,3),INDEX(SPLIT(G3726,""/""),,2),INDEX(SPLIT(G3726,""/""),,1))"),44309.0)</f>
        <v>44309</v>
      </c>
      <c r="I3726" s="1" t="s">
        <v>42</v>
      </c>
      <c r="J3726" s="4">
        <f>IFERROR(__xludf.DUMMYFUNCTION("DATE(INDEX(SPLIT(I3726,""/""),,3),INDEX(SPLIT(I3726,""/""),,2),INDEX(SPLIT(I3726,""/""),,1))"),44926.0)</f>
        <v>44926</v>
      </c>
      <c r="L3726" s="1">
        <v>0.0</v>
      </c>
      <c r="M3726" s="1" t="s">
        <v>1376</v>
      </c>
      <c r="N3726" s="1"/>
      <c r="O3726" s="1" t="s">
        <v>30</v>
      </c>
      <c r="P3726" s="1" t="s">
        <v>31</v>
      </c>
      <c r="Q3726" s="1" t="s">
        <v>32</v>
      </c>
      <c r="R3726" s="1" t="s">
        <v>32</v>
      </c>
      <c r="S3726" s="1" t="s">
        <v>33</v>
      </c>
      <c r="T3726" s="1" t="s">
        <v>1195</v>
      </c>
      <c r="U3726" s="1">
        <v>1.006096E8</v>
      </c>
      <c r="X3726" s="1" t="s">
        <v>490</v>
      </c>
      <c r="Y3726" s="1" t="s">
        <v>7653</v>
      </c>
      <c r="Z3726" s="1" t="s">
        <v>37</v>
      </c>
    </row>
    <row r="3727">
      <c r="A3727" s="1" t="s">
        <v>10791</v>
      </c>
      <c r="B3727" s="1" t="s">
        <v>9720</v>
      </c>
      <c r="C3727" s="1" t="s">
        <v>10792</v>
      </c>
      <c r="D3727" s="1" t="s">
        <v>78</v>
      </c>
      <c r="E3727" s="1" t="s">
        <v>28</v>
      </c>
      <c r="F3727" s="2">
        <v>250000.0</v>
      </c>
      <c r="G3727" s="4">
        <v>44595.0</v>
      </c>
      <c r="H3727" s="4">
        <f>IFERROR(__xludf.DUMMYFUNCTION("DATE(INDEX(SPLIT(G3727,""/""),,3),INDEX(SPLIT(G3727,""/""),,2),INDEX(SPLIT(G3727,""/""),,1))"),44622.0)</f>
        <v>44622</v>
      </c>
      <c r="I3727" s="1" t="s">
        <v>330</v>
      </c>
      <c r="J3727" s="4">
        <f>IFERROR(__xludf.DUMMYFUNCTION("DATE(INDEX(SPLIT(I3727,""/""),,3),INDEX(SPLIT(I3727,""/""),,2),INDEX(SPLIT(I3727,""/""),,1))"),44728.0)</f>
        <v>44728</v>
      </c>
      <c r="L3727" s="1">
        <v>0.0</v>
      </c>
      <c r="M3727" s="1" t="s">
        <v>5974</v>
      </c>
      <c r="N3727" s="1"/>
      <c r="O3727" s="1" t="s">
        <v>30</v>
      </c>
      <c r="P3727" s="1" t="s">
        <v>31</v>
      </c>
      <c r="Q3727" s="1" t="s">
        <v>235</v>
      </c>
      <c r="R3727" s="1" t="s">
        <v>235</v>
      </c>
      <c r="S3727" s="1" t="s">
        <v>236</v>
      </c>
      <c r="T3727" s="1" t="s">
        <v>438</v>
      </c>
      <c r="U3727" s="1">
        <v>1.00637651E8</v>
      </c>
      <c r="X3727" s="1" t="s">
        <v>88</v>
      </c>
      <c r="Y3727" s="1" t="s">
        <v>5974</v>
      </c>
      <c r="Z3727" s="1" t="s">
        <v>206</v>
      </c>
    </row>
    <row r="3728" hidden="1">
      <c r="A3728" s="1" t="s">
        <v>10793</v>
      </c>
      <c r="B3728" s="1" t="s">
        <v>1050</v>
      </c>
      <c r="C3728" s="1" t="s">
        <v>10794</v>
      </c>
      <c r="D3728" s="1" t="s">
        <v>78</v>
      </c>
      <c r="E3728" s="1" t="s">
        <v>28</v>
      </c>
      <c r="F3728" s="2">
        <v>250000.0</v>
      </c>
      <c r="G3728" s="1" t="s">
        <v>10795</v>
      </c>
      <c r="H3728" s="4">
        <f>IFERROR(__xludf.DUMMYFUNCTION("DATE(INDEX(SPLIT(G3728,""/""),,3),INDEX(SPLIT(G3728,""/""),,2),INDEX(SPLIT(G3728,""/""),,1))"),44089.0)</f>
        <v>44089</v>
      </c>
      <c r="I3728" s="1" t="s">
        <v>109</v>
      </c>
      <c r="J3728" s="4">
        <f>IFERROR(__xludf.DUMMYFUNCTION("DATE(INDEX(SPLIT(I3728,""/""),,3),INDEX(SPLIT(I3728,""/""),,2),INDEX(SPLIT(I3728,""/""),,1))"),44834.0)</f>
        <v>44834</v>
      </c>
      <c r="L3728" s="1">
        <v>0.0</v>
      </c>
      <c r="M3728" s="1" t="s">
        <v>3123</v>
      </c>
      <c r="N3728" s="1"/>
      <c r="O3728" s="1" t="s">
        <v>30</v>
      </c>
      <c r="P3728" s="1" t="s">
        <v>31</v>
      </c>
      <c r="Q3728" s="1" t="s">
        <v>157</v>
      </c>
      <c r="R3728" s="1" t="s">
        <v>157</v>
      </c>
      <c r="S3728" s="1" t="s">
        <v>158</v>
      </c>
      <c r="T3728" s="1" t="s">
        <v>442</v>
      </c>
      <c r="U3728" s="1">
        <v>1.00875111E8</v>
      </c>
      <c r="X3728" s="1" t="s">
        <v>239</v>
      </c>
      <c r="Y3728" s="1" t="s">
        <v>6260</v>
      </c>
      <c r="Z3728" s="1" t="s">
        <v>37</v>
      </c>
    </row>
    <row r="3729" hidden="1">
      <c r="A3729" s="1" t="s">
        <v>10796</v>
      </c>
      <c r="B3729" s="1" t="s">
        <v>10797</v>
      </c>
      <c r="C3729" s="1" t="s">
        <v>10798</v>
      </c>
      <c r="D3729" s="1" t="s">
        <v>27</v>
      </c>
      <c r="E3729" s="1" t="s">
        <v>28</v>
      </c>
      <c r="F3729" s="2">
        <v>250000.0</v>
      </c>
      <c r="G3729" s="1" t="s">
        <v>6746</v>
      </c>
      <c r="H3729" s="4">
        <f>IFERROR(__xludf.DUMMYFUNCTION("DATE(INDEX(SPLIT(G3729,""/""),,3),INDEX(SPLIT(G3729,""/""),,2),INDEX(SPLIT(G3729,""/""),,1))"),44309.0)</f>
        <v>44309</v>
      </c>
      <c r="I3729" s="1" t="s">
        <v>42</v>
      </c>
      <c r="J3729" s="4">
        <f>IFERROR(__xludf.DUMMYFUNCTION("DATE(INDEX(SPLIT(I3729,""/""),,3),INDEX(SPLIT(I3729,""/""),,2),INDEX(SPLIT(I3729,""/""),,1))"),44926.0)</f>
        <v>44926</v>
      </c>
      <c r="L3729" s="1">
        <v>0.0</v>
      </c>
      <c r="M3729" s="1" t="s">
        <v>1376</v>
      </c>
      <c r="N3729" s="1"/>
      <c r="O3729" s="1" t="s">
        <v>30</v>
      </c>
      <c r="P3729" s="1" t="s">
        <v>31</v>
      </c>
      <c r="Q3729" s="1" t="s">
        <v>32</v>
      </c>
      <c r="R3729" s="1" t="s">
        <v>32</v>
      </c>
      <c r="S3729" s="1" t="s">
        <v>33</v>
      </c>
      <c r="T3729" s="1" t="s">
        <v>1195</v>
      </c>
      <c r="U3729" s="1">
        <v>1.006096E8</v>
      </c>
      <c r="X3729" s="1" t="s">
        <v>490</v>
      </c>
      <c r="Y3729" s="1" t="s">
        <v>7653</v>
      </c>
      <c r="Z3729" s="1" t="s">
        <v>37</v>
      </c>
    </row>
    <row r="3730" hidden="1">
      <c r="A3730" s="1" t="s">
        <v>10799</v>
      </c>
      <c r="B3730" s="1" t="s">
        <v>5976</v>
      </c>
      <c r="C3730" s="1" t="s">
        <v>10800</v>
      </c>
      <c r="D3730" s="1" t="s">
        <v>27</v>
      </c>
      <c r="E3730" s="1" t="s">
        <v>28</v>
      </c>
      <c r="F3730" s="2">
        <v>250000.0</v>
      </c>
      <c r="G3730" s="1" t="s">
        <v>324</v>
      </c>
      <c r="H3730" s="4">
        <f>IFERROR(__xludf.DUMMYFUNCTION("DATE(INDEX(SPLIT(G3730,""/""),,3),INDEX(SPLIT(G3730,""/""),,2),INDEX(SPLIT(G3730,""/""),,1))"),44636.0)</f>
        <v>44636</v>
      </c>
      <c r="I3730" s="1" t="s">
        <v>1312</v>
      </c>
      <c r="J3730" s="4">
        <f>IFERROR(__xludf.DUMMYFUNCTION("DATE(INDEX(SPLIT(I3730,""/""),,3),INDEX(SPLIT(I3730,""/""),,2),INDEX(SPLIT(I3730,""/""),,1))"),44791.0)</f>
        <v>44791</v>
      </c>
      <c r="L3730" s="1">
        <v>0.0</v>
      </c>
      <c r="M3730" s="1" t="s">
        <v>10601</v>
      </c>
      <c r="N3730" s="1"/>
      <c r="O3730" s="1" t="s">
        <v>30</v>
      </c>
      <c r="P3730" s="1" t="s">
        <v>31</v>
      </c>
      <c r="Q3730" s="1" t="s">
        <v>53</v>
      </c>
      <c r="R3730" s="1" t="s">
        <v>53</v>
      </c>
      <c r="S3730" s="1" t="s">
        <v>54</v>
      </c>
      <c r="U3730" s="1">
        <v>1.00892374E8</v>
      </c>
      <c r="X3730" s="1" t="s">
        <v>190</v>
      </c>
      <c r="Y3730" s="1" t="s">
        <v>5978</v>
      </c>
      <c r="Z3730" s="1" t="s">
        <v>37</v>
      </c>
    </row>
    <row r="3731">
      <c r="A3731" s="1" t="s">
        <v>10801</v>
      </c>
      <c r="B3731" s="1" t="s">
        <v>10802</v>
      </c>
      <c r="C3731" s="1" t="s">
        <v>10803</v>
      </c>
      <c r="D3731" s="1" t="s">
        <v>122</v>
      </c>
      <c r="E3731" s="1" t="s">
        <v>28</v>
      </c>
      <c r="F3731" s="2">
        <v>250000.0</v>
      </c>
      <c r="G3731" s="4">
        <v>44718.0</v>
      </c>
      <c r="H3731" s="4">
        <f>IFERROR(__xludf.DUMMYFUNCTION("DATE(INDEX(SPLIT(G3731,""/""),,3),INDEX(SPLIT(G3731,""/""),,2),INDEX(SPLIT(G3731,""/""),,1))"),44718.0)</f>
        <v>44718</v>
      </c>
      <c r="I3731" s="1" t="s">
        <v>935</v>
      </c>
      <c r="J3731" s="4">
        <f>IFERROR(__xludf.DUMMYFUNCTION("DATE(INDEX(SPLIT(I3731,""/""),,3),INDEX(SPLIT(I3731,""/""),,2),INDEX(SPLIT(I3731,""/""),,1))"),44764.0)</f>
        <v>44764</v>
      </c>
      <c r="L3731" s="1">
        <v>0.0</v>
      </c>
      <c r="M3731" s="1" t="s">
        <v>3507</v>
      </c>
      <c r="N3731" s="1"/>
      <c r="O3731" s="1" t="s">
        <v>30</v>
      </c>
      <c r="P3731" s="1" t="s">
        <v>31</v>
      </c>
      <c r="Q3731" s="1" t="s">
        <v>235</v>
      </c>
      <c r="R3731" s="1" t="s">
        <v>235</v>
      </c>
      <c r="S3731" s="1" t="s">
        <v>236</v>
      </c>
      <c r="T3731" s="1" t="s">
        <v>1349</v>
      </c>
      <c r="U3731" s="1">
        <v>1.00585834E8</v>
      </c>
      <c r="X3731" s="1" t="s">
        <v>375</v>
      </c>
      <c r="Y3731" s="1" t="s">
        <v>3508</v>
      </c>
      <c r="Z3731" s="1" t="s">
        <v>37</v>
      </c>
    </row>
    <row r="3732" hidden="1">
      <c r="A3732" s="1" t="s">
        <v>10804</v>
      </c>
      <c r="B3732" s="1" t="s">
        <v>7099</v>
      </c>
      <c r="C3732" s="1" t="s">
        <v>10805</v>
      </c>
      <c r="D3732" s="1" t="s">
        <v>27</v>
      </c>
      <c r="E3732" s="1" t="s">
        <v>28</v>
      </c>
      <c r="F3732" s="2">
        <v>250000.0</v>
      </c>
      <c r="G3732" s="1" t="s">
        <v>10806</v>
      </c>
      <c r="H3732" s="4">
        <f>IFERROR(__xludf.DUMMYFUNCTION("DATE(INDEX(SPLIT(G3732,""/""),,3),INDEX(SPLIT(G3732,""/""),,2),INDEX(SPLIT(G3732,""/""),,1))"),44165.0)</f>
        <v>44165</v>
      </c>
      <c r="I3732" s="1" t="s">
        <v>109</v>
      </c>
      <c r="J3732" s="4">
        <f>IFERROR(__xludf.DUMMYFUNCTION("DATE(INDEX(SPLIT(I3732,""/""),,3),INDEX(SPLIT(I3732,""/""),,2),INDEX(SPLIT(I3732,""/""),,1))"),44834.0)</f>
        <v>44834</v>
      </c>
      <c r="L3732" s="1">
        <v>0.0</v>
      </c>
      <c r="M3732" s="1" t="s">
        <v>5894</v>
      </c>
      <c r="N3732" s="1"/>
      <c r="O3732" s="1" t="s">
        <v>30</v>
      </c>
      <c r="P3732" s="1" t="s">
        <v>31</v>
      </c>
      <c r="Q3732" s="1" t="s">
        <v>32</v>
      </c>
      <c r="R3732" s="1" t="s">
        <v>32</v>
      </c>
      <c r="S3732" s="1" t="s">
        <v>33</v>
      </c>
      <c r="T3732" s="1" t="s">
        <v>1195</v>
      </c>
      <c r="U3732" s="1">
        <v>1.00580806E8</v>
      </c>
      <c r="X3732" s="1" t="s">
        <v>490</v>
      </c>
      <c r="Y3732" s="1" t="s">
        <v>5894</v>
      </c>
      <c r="Z3732" s="1" t="s">
        <v>37</v>
      </c>
    </row>
    <row r="3733">
      <c r="A3733" s="1" t="s">
        <v>10807</v>
      </c>
      <c r="B3733" s="1" t="s">
        <v>373</v>
      </c>
      <c r="C3733" s="1" t="s">
        <v>10808</v>
      </c>
      <c r="D3733" s="1" t="s">
        <v>122</v>
      </c>
      <c r="E3733" s="1" t="s">
        <v>28</v>
      </c>
      <c r="F3733" s="2">
        <v>250000.0</v>
      </c>
      <c r="G3733" s="1" t="s">
        <v>3149</v>
      </c>
      <c r="H3733" s="4">
        <f>IFERROR(__xludf.DUMMYFUNCTION("DATE(INDEX(SPLIT(G3733,""/""),,3),INDEX(SPLIT(G3733,""/""),,2),INDEX(SPLIT(G3733,""/""),,1))"),44301.0)</f>
        <v>44301</v>
      </c>
      <c r="I3733" s="1" t="s">
        <v>226</v>
      </c>
      <c r="J3733" s="4">
        <f>IFERROR(__xludf.DUMMYFUNCTION("DATE(INDEX(SPLIT(I3733,""/""),,3),INDEX(SPLIT(I3733,""/""),,2),INDEX(SPLIT(I3733,""/""),,1))"),44771.0)</f>
        <v>44771</v>
      </c>
      <c r="L3733" s="1">
        <v>0.0</v>
      </c>
      <c r="M3733" s="1" t="s">
        <v>2600</v>
      </c>
      <c r="N3733" s="1"/>
      <c r="O3733" s="1" t="s">
        <v>30</v>
      </c>
      <c r="P3733" s="1" t="s">
        <v>31</v>
      </c>
      <c r="Q3733" s="1" t="s">
        <v>32</v>
      </c>
      <c r="R3733" s="1" t="s">
        <v>32</v>
      </c>
      <c r="S3733" s="1" t="s">
        <v>33</v>
      </c>
      <c r="T3733" s="1" t="s">
        <v>402</v>
      </c>
      <c r="U3733" s="1">
        <v>1.00642238E8</v>
      </c>
      <c r="X3733" s="1" t="s">
        <v>125</v>
      </c>
      <c r="Y3733" s="1" t="s">
        <v>9923</v>
      </c>
      <c r="Z3733" s="1" t="s">
        <v>37</v>
      </c>
    </row>
    <row r="3734">
      <c r="A3734" s="1" t="s">
        <v>10809</v>
      </c>
      <c r="B3734" s="1" t="s">
        <v>516</v>
      </c>
      <c r="C3734" s="1" t="s">
        <v>10810</v>
      </c>
      <c r="D3734" s="1" t="s">
        <v>27</v>
      </c>
      <c r="E3734" s="1" t="s">
        <v>28</v>
      </c>
      <c r="F3734" s="2">
        <v>250000.0</v>
      </c>
      <c r="G3734" s="1" t="s">
        <v>2064</v>
      </c>
      <c r="H3734" s="4">
        <f>IFERROR(__xludf.DUMMYFUNCTION("DATE(INDEX(SPLIT(G3734,""/""),,3),INDEX(SPLIT(G3734,""/""),,2),INDEX(SPLIT(G3734,""/""),,1))"),44616.0)</f>
        <v>44616</v>
      </c>
      <c r="I3734" s="1" t="s">
        <v>1244</v>
      </c>
      <c r="J3734" s="4">
        <f>IFERROR(__xludf.DUMMYFUNCTION("DATE(INDEX(SPLIT(I3734,""/""),,3),INDEX(SPLIT(I3734,""/""),,2),INDEX(SPLIT(I3734,""/""),,1))"),44742.0)</f>
        <v>44742</v>
      </c>
      <c r="L3734" s="1">
        <v>0.0</v>
      </c>
      <c r="M3734" s="1" t="s">
        <v>1689</v>
      </c>
      <c r="N3734" s="1"/>
      <c r="O3734" s="1" t="s">
        <v>30</v>
      </c>
      <c r="P3734" s="1" t="s">
        <v>31</v>
      </c>
      <c r="Q3734" s="1" t="s">
        <v>53</v>
      </c>
      <c r="R3734" s="1" t="s">
        <v>53</v>
      </c>
      <c r="S3734" s="1" t="s">
        <v>54</v>
      </c>
      <c r="U3734" s="1">
        <v>1.00650657E8</v>
      </c>
      <c r="X3734" s="1" t="s">
        <v>46</v>
      </c>
      <c r="Y3734" s="1" t="s">
        <v>7649</v>
      </c>
      <c r="Z3734" s="1" t="s">
        <v>37</v>
      </c>
    </row>
    <row r="3735" hidden="1">
      <c r="A3735" s="1" t="s">
        <v>10811</v>
      </c>
      <c r="B3735" s="1" t="s">
        <v>484</v>
      </c>
      <c r="C3735" s="1" t="s">
        <v>10812</v>
      </c>
      <c r="D3735" s="1" t="s">
        <v>27</v>
      </c>
      <c r="E3735" s="1" t="s">
        <v>28</v>
      </c>
      <c r="F3735" s="2">
        <v>250000.0</v>
      </c>
      <c r="G3735" s="1" t="s">
        <v>6301</v>
      </c>
      <c r="H3735" s="4">
        <f>IFERROR(__xludf.DUMMYFUNCTION("DATE(INDEX(SPLIT(G3735,""/""),,3),INDEX(SPLIT(G3735,""/""),,2),INDEX(SPLIT(G3735,""/""),,1))"),44635.0)</f>
        <v>44635</v>
      </c>
      <c r="I3735" s="1" t="s">
        <v>130</v>
      </c>
      <c r="J3735" s="4">
        <f>IFERROR(__xludf.DUMMYFUNCTION("DATE(INDEX(SPLIT(I3735,""/""),,3),INDEX(SPLIT(I3735,""/""),,2),INDEX(SPLIT(I3735,""/""),,1))"),44804.0)</f>
        <v>44804</v>
      </c>
      <c r="L3735" s="1">
        <v>0.0</v>
      </c>
      <c r="M3735" s="1" t="s">
        <v>1649</v>
      </c>
      <c r="N3735" s="1"/>
      <c r="O3735" s="1" t="s">
        <v>30</v>
      </c>
      <c r="P3735" s="1" t="s">
        <v>31</v>
      </c>
      <c r="Q3735" s="1" t="s">
        <v>157</v>
      </c>
      <c r="R3735" s="1" t="s">
        <v>157</v>
      </c>
      <c r="S3735" s="1" t="s">
        <v>158</v>
      </c>
      <c r="U3735" s="1">
        <v>1.00643454E8</v>
      </c>
      <c r="X3735" s="1" t="s">
        <v>490</v>
      </c>
      <c r="Y3735" s="1" t="s">
        <v>2945</v>
      </c>
      <c r="Z3735" s="1" t="s">
        <v>37</v>
      </c>
    </row>
    <row r="3736" hidden="1">
      <c r="A3736" s="1" t="s">
        <v>10813</v>
      </c>
      <c r="B3736" s="1" t="s">
        <v>1371</v>
      </c>
      <c r="C3736" s="1" t="s">
        <v>10814</v>
      </c>
      <c r="D3736" s="1" t="s">
        <v>27</v>
      </c>
      <c r="E3736" s="1" t="s">
        <v>28</v>
      </c>
      <c r="F3736" s="2">
        <v>250000.0</v>
      </c>
      <c r="G3736" s="1" t="s">
        <v>382</v>
      </c>
      <c r="H3736" s="4">
        <f>IFERROR(__xludf.DUMMYFUNCTION("DATE(INDEX(SPLIT(G3736,""/""),,3),INDEX(SPLIT(G3736,""/""),,2),INDEX(SPLIT(G3736,""/""),,1))"),44758.0)</f>
        <v>44758</v>
      </c>
      <c r="I3736" s="1" t="s">
        <v>109</v>
      </c>
      <c r="J3736" s="4">
        <f>IFERROR(__xludf.DUMMYFUNCTION("DATE(INDEX(SPLIT(I3736,""/""),,3),INDEX(SPLIT(I3736,""/""),,2),INDEX(SPLIT(I3736,""/""),,1))"),44834.0)</f>
        <v>44834</v>
      </c>
      <c r="L3736" s="1">
        <v>0.0</v>
      </c>
      <c r="M3736" s="1" t="s">
        <v>1484</v>
      </c>
      <c r="N3736" s="1"/>
      <c r="O3736" s="1" t="s">
        <v>30</v>
      </c>
      <c r="P3736" s="1" t="s">
        <v>31</v>
      </c>
      <c r="Q3736" s="1" t="s">
        <v>95</v>
      </c>
      <c r="R3736" s="1" t="s">
        <v>95</v>
      </c>
      <c r="S3736" s="1" t="s">
        <v>96</v>
      </c>
      <c r="T3736" s="1" t="s">
        <v>111</v>
      </c>
      <c r="U3736" s="1">
        <v>1.00585718E8</v>
      </c>
      <c r="X3736" s="1" t="s">
        <v>63</v>
      </c>
      <c r="Y3736" s="1" t="s">
        <v>9354</v>
      </c>
      <c r="Z3736" s="1" t="s">
        <v>37</v>
      </c>
    </row>
    <row r="3737" hidden="1">
      <c r="A3737" s="1" t="s">
        <v>10815</v>
      </c>
      <c r="B3737" s="1" t="s">
        <v>76</v>
      </c>
      <c r="C3737" s="1" t="s">
        <v>10816</v>
      </c>
      <c r="D3737" s="1" t="s">
        <v>27</v>
      </c>
      <c r="E3737" s="1" t="s">
        <v>28</v>
      </c>
      <c r="F3737" s="2">
        <v>250000.0</v>
      </c>
      <c r="G3737" s="4">
        <v>44653.0</v>
      </c>
      <c r="H3737" s="4">
        <f>IFERROR(__xludf.DUMMYFUNCTION("DATE(INDEX(SPLIT(G3737,""/""),,3),INDEX(SPLIT(G3737,""/""),,2),INDEX(SPLIT(G3737,""/""),,1))"),44596.0)</f>
        <v>44596</v>
      </c>
      <c r="I3737" s="1" t="s">
        <v>134</v>
      </c>
      <c r="J3737" s="4">
        <f>IFERROR(__xludf.DUMMYFUNCTION("DATE(INDEX(SPLIT(I3737,""/""),,3),INDEX(SPLIT(I3737,""/""),,2),INDEX(SPLIT(I3737,""/""),,1))"),44792.0)</f>
        <v>44792</v>
      </c>
      <c r="L3737" s="1">
        <v>0.0</v>
      </c>
      <c r="M3737" s="1" t="s">
        <v>1084</v>
      </c>
      <c r="N3737" s="1"/>
      <c r="O3737" s="1" t="s">
        <v>30</v>
      </c>
      <c r="P3737" s="1" t="s">
        <v>31</v>
      </c>
      <c r="Q3737" s="1" t="s">
        <v>32</v>
      </c>
      <c r="R3737" s="1" t="s">
        <v>32</v>
      </c>
      <c r="S3737" s="1" t="s">
        <v>33</v>
      </c>
      <c r="U3737" s="1">
        <v>1.00601386E8</v>
      </c>
      <c r="X3737" s="1" t="s">
        <v>81</v>
      </c>
      <c r="Y3737" s="1" t="s">
        <v>142</v>
      </c>
      <c r="Z3737" s="1" t="s">
        <v>37</v>
      </c>
    </row>
    <row r="3738" hidden="1">
      <c r="A3738" s="1" t="s">
        <v>10817</v>
      </c>
      <c r="B3738" s="1" t="s">
        <v>1748</v>
      </c>
      <c r="C3738" s="1" t="s">
        <v>10818</v>
      </c>
      <c r="D3738" s="1" t="s">
        <v>78</v>
      </c>
      <c r="E3738" s="1" t="s">
        <v>28</v>
      </c>
      <c r="F3738" s="2">
        <v>250000.0</v>
      </c>
      <c r="G3738" s="1" t="s">
        <v>1136</v>
      </c>
      <c r="H3738" s="4">
        <f>IFERROR(__xludf.DUMMYFUNCTION("DATE(INDEX(SPLIT(G3738,""/""),,3),INDEX(SPLIT(G3738,""/""),,2),INDEX(SPLIT(G3738,""/""),,1))"),44608.0)</f>
        <v>44608</v>
      </c>
      <c r="I3738" s="1" t="s">
        <v>3202</v>
      </c>
      <c r="J3738" s="4">
        <f>IFERROR(__xludf.DUMMYFUNCTION("DATE(INDEX(SPLIT(I3738,""/""),,3),INDEX(SPLIT(I3738,""/""),,2),INDEX(SPLIT(I3738,""/""),,1))"),44830.0)</f>
        <v>44830</v>
      </c>
      <c r="L3738" s="1">
        <v>0.0</v>
      </c>
      <c r="M3738" s="1" t="s">
        <v>6003</v>
      </c>
      <c r="N3738" s="1"/>
      <c r="O3738" s="1" t="s">
        <v>30</v>
      </c>
      <c r="P3738" s="1" t="s">
        <v>31</v>
      </c>
      <c r="Q3738" s="1" t="s">
        <v>235</v>
      </c>
      <c r="R3738" s="1" t="s">
        <v>235</v>
      </c>
      <c r="S3738" s="1" t="s">
        <v>236</v>
      </c>
      <c r="T3738" s="1" t="s">
        <v>753</v>
      </c>
      <c r="U3738" s="1">
        <v>1.00623535E8</v>
      </c>
      <c r="X3738" s="1" t="s">
        <v>88</v>
      </c>
      <c r="Y3738" s="1" t="s">
        <v>6003</v>
      </c>
      <c r="Z3738" s="1" t="s">
        <v>37</v>
      </c>
    </row>
    <row r="3739" hidden="1">
      <c r="A3739" s="1" t="s">
        <v>10819</v>
      </c>
      <c r="B3739" s="1" t="s">
        <v>4884</v>
      </c>
      <c r="C3739" s="1" t="s">
        <v>10820</v>
      </c>
      <c r="D3739" s="1" t="s">
        <v>78</v>
      </c>
      <c r="E3739" s="1" t="s">
        <v>28</v>
      </c>
      <c r="F3739" s="2">
        <v>250000.0</v>
      </c>
      <c r="G3739" s="1" t="s">
        <v>424</v>
      </c>
      <c r="H3739" s="4">
        <f>IFERROR(__xludf.DUMMYFUNCTION("DATE(INDEX(SPLIT(G3739,""/""),,3),INDEX(SPLIT(G3739,""/""),,2),INDEX(SPLIT(G3739,""/""),,1))"),44405.0)</f>
        <v>44405</v>
      </c>
      <c r="I3739" s="1" t="s">
        <v>6544</v>
      </c>
      <c r="J3739" s="4">
        <f>IFERROR(__xludf.DUMMYFUNCTION("DATE(INDEX(SPLIT(I3739,""/""),,3),INDEX(SPLIT(I3739,""/""),,2),INDEX(SPLIT(I3739,""/""),,1))"),44939.0)</f>
        <v>44939</v>
      </c>
      <c r="L3739" s="1">
        <v>0.0</v>
      </c>
      <c r="M3739" s="1" t="s">
        <v>1208</v>
      </c>
      <c r="N3739" s="1"/>
      <c r="O3739" s="1" t="s">
        <v>30</v>
      </c>
      <c r="P3739" s="1" t="s">
        <v>31</v>
      </c>
      <c r="Q3739" s="1" t="s">
        <v>71</v>
      </c>
      <c r="R3739" s="1" t="s">
        <v>71</v>
      </c>
      <c r="S3739" s="1" t="s">
        <v>72</v>
      </c>
      <c r="T3739" s="1" t="s">
        <v>73</v>
      </c>
      <c r="U3739" s="1">
        <v>1.00611771E8</v>
      </c>
      <c r="X3739" s="1" t="s">
        <v>74</v>
      </c>
      <c r="Y3739" s="1" t="s">
        <v>1028</v>
      </c>
      <c r="Z3739" s="1" t="s">
        <v>527</v>
      </c>
    </row>
    <row r="3740" hidden="1">
      <c r="A3740" s="1" t="s">
        <v>10821</v>
      </c>
      <c r="B3740" s="1" t="s">
        <v>5483</v>
      </c>
      <c r="C3740" s="1" t="s">
        <v>10822</v>
      </c>
      <c r="D3740" s="1" t="s">
        <v>27</v>
      </c>
      <c r="E3740" s="1" t="s">
        <v>28</v>
      </c>
      <c r="F3740" s="2">
        <v>250000.0</v>
      </c>
      <c r="G3740" s="1" t="s">
        <v>619</v>
      </c>
      <c r="H3740" s="4">
        <f>IFERROR(__xludf.DUMMYFUNCTION("DATE(INDEX(SPLIT(G3740,""/""),,3),INDEX(SPLIT(G3740,""/""),,2),INDEX(SPLIT(G3740,""/""),,1))"),44490.0)</f>
        <v>44490</v>
      </c>
      <c r="I3740" s="1" t="s">
        <v>130</v>
      </c>
      <c r="J3740" s="4">
        <f>IFERROR(__xludf.DUMMYFUNCTION("DATE(INDEX(SPLIT(I3740,""/""),,3),INDEX(SPLIT(I3740,""/""),,2),INDEX(SPLIT(I3740,""/""),,1))"),44804.0)</f>
        <v>44804</v>
      </c>
      <c r="L3740" s="1">
        <v>0.0</v>
      </c>
      <c r="M3740" s="1" t="s">
        <v>524</v>
      </c>
      <c r="N3740" s="1"/>
      <c r="O3740" s="1" t="s">
        <v>30</v>
      </c>
      <c r="P3740" s="1" t="s">
        <v>31</v>
      </c>
      <c r="Q3740" s="1" t="s">
        <v>32</v>
      </c>
      <c r="R3740" s="1" t="s">
        <v>32</v>
      </c>
      <c r="S3740" s="1" t="s">
        <v>33</v>
      </c>
      <c r="T3740" s="1" t="s">
        <v>159</v>
      </c>
      <c r="U3740" s="1">
        <v>1.00627768E8</v>
      </c>
      <c r="X3740" s="1" t="s">
        <v>190</v>
      </c>
      <c r="Y3740" s="1" t="s">
        <v>524</v>
      </c>
      <c r="Z3740" s="1" t="s">
        <v>527</v>
      </c>
    </row>
    <row r="3741" hidden="1">
      <c r="A3741" s="1" t="s">
        <v>10823</v>
      </c>
      <c r="B3741" s="1" t="s">
        <v>10824</v>
      </c>
      <c r="C3741" s="1" t="s">
        <v>10825</v>
      </c>
      <c r="D3741" s="1" t="s">
        <v>27</v>
      </c>
      <c r="E3741" s="1" t="s">
        <v>28</v>
      </c>
      <c r="F3741" s="2">
        <v>250000.0</v>
      </c>
      <c r="G3741" s="1" t="s">
        <v>10667</v>
      </c>
      <c r="H3741" s="4">
        <f>IFERROR(__xludf.DUMMYFUNCTION("DATE(INDEX(SPLIT(G3741,""/""),,3),INDEX(SPLIT(G3741,""/""),,2),INDEX(SPLIT(G3741,""/""),,1))"),44270.0)</f>
        <v>44270</v>
      </c>
      <c r="I3741" s="1" t="s">
        <v>42</v>
      </c>
      <c r="J3741" s="4">
        <f>IFERROR(__xludf.DUMMYFUNCTION("DATE(INDEX(SPLIT(I3741,""/""),,3),INDEX(SPLIT(I3741,""/""),,2),INDEX(SPLIT(I3741,""/""),,1))"),44926.0)</f>
        <v>44926</v>
      </c>
      <c r="L3741" s="1">
        <v>0.0</v>
      </c>
      <c r="M3741" s="1" t="s">
        <v>1376</v>
      </c>
      <c r="N3741" s="1"/>
      <c r="O3741" s="1" t="s">
        <v>30</v>
      </c>
      <c r="P3741" s="1" t="s">
        <v>31</v>
      </c>
      <c r="Q3741" s="1" t="s">
        <v>32</v>
      </c>
      <c r="R3741" s="1" t="s">
        <v>32</v>
      </c>
      <c r="S3741" s="1" t="s">
        <v>33</v>
      </c>
      <c r="T3741" s="1" t="s">
        <v>1195</v>
      </c>
      <c r="U3741" s="1">
        <v>1.006096E8</v>
      </c>
      <c r="X3741" s="1" t="s">
        <v>490</v>
      </c>
      <c r="Y3741" s="1" t="s">
        <v>7653</v>
      </c>
      <c r="Z3741" s="1" t="s">
        <v>37</v>
      </c>
    </row>
    <row r="3742" hidden="1">
      <c r="A3742" s="1" t="s">
        <v>10826</v>
      </c>
      <c r="B3742" s="1" t="s">
        <v>5851</v>
      </c>
      <c r="C3742" s="1" t="s">
        <v>10827</v>
      </c>
      <c r="D3742" s="1" t="s">
        <v>27</v>
      </c>
      <c r="E3742" s="1" t="s">
        <v>28</v>
      </c>
      <c r="F3742" s="2">
        <v>250000.0</v>
      </c>
      <c r="G3742" s="4">
        <v>44839.0</v>
      </c>
      <c r="H3742" s="4">
        <f>IFERROR(__xludf.DUMMYFUNCTION("DATE(INDEX(SPLIT(G3742,""/""),,3),INDEX(SPLIT(G3742,""/""),,2),INDEX(SPLIT(G3742,""/""),,1))"),44691.0)</f>
        <v>44691</v>
      </c>
      <c r="I3742" s="1" t="s">
        <v>130</v>
      </c>
      <c r="J3742" s="4">
        <f>IFERROR(__xludf.DUMMYFUNCTION("DATE(INDEX(SPLIT(I3742,""/""),,3),INDEX(SPLIT(I3742,""/""),,2),INDEX(SPLIT(I3742,""/""),,1))"),44804.0)</f>
        <v>44804</v>
      </c>
      <c r="L3742" s="1">
        <v>0.0</v>
      </c>
      <c r="M3742" s="1" t="s">
        <v>1088</v>
      </c>
      <c r="N3742" s="1"/>
      <c r="O3742" s="1" t="s">
        <v>30</v>
      </c>
      <c r="P3742" s="1" t="s">
        <v>31</v>
      </c>
      <c r="Q3742" s="1" t="s">
        <v>71</v>
      </c>
      <c r="R3742" s="1" t="s">
        <v>71</v>
      </c>
      <c r="S3742" s="1" t="s">
        <v>72</v>
      </c>
      <c r="T3742" s="1" t="s">
        <v>136</v>
      </c>
      <c r="U3742" s="1">
        <v>1.0090037E8</v>
      </c>
      <c r="X3742" s="1" t="s">
        <v>74</v>
      </c>
      <c r="Y3742" s="1" t="s">
        <v>1088</v>
      </c>
      <c r="Z3742" s="1" t="s">
        <v>37</v>
      </c>
    </row>
    <row r="3743">
      <c r="A3743" s="1" t="s">
        <v>10828</v>
      </c>
      <c r="B3743" s="1" t="s">
        <v>10829</v>
      </c>
      <c r="C3743" s="1" t="s">
        <v>10830</v>
      </c>
      <c r="D3743" s="1" t="s">
        <v>27</v>
      </c>
      <c r="E3743" s="1" t="s">
        <v>28</v>
      </c>
      <c r="F3743" s="2">
        <v>250000.0</v>
      </c>
      <c r="G3743" s="1" t="s">
        <v>2900</v>
      </c>
      <c r="H3743" s="4">
        <f>IFERROR(__xludf.DUMMYFUNCTION("DATE(INDEX(SPLIT(G3743,""/""),,3),INDEX(SPLIT(G3743,""/""),,2),INDEX(SPLIT(G3743,""/""),,1))"),44678.0)</f>
        <v>44678</v>
      </c>
      <c r="I3743" s="1" t="s">
        <v>226</v>
      </c>
      <c r="J3743" s="4">
        <f>IFERROR(__xludf.DUMMYFUNCTION("DATE(INDEX(SPLIT(I3743,""/""),,3),INDEX(SPLIT(I3743,""/""),,2),INDEX(SPLIT(I3743,""/""),,1))"),44771.0)</f>
        <v>44771</v>
      </c>
      <c r="L3743" s="1">
        <v>0.0</v>
      </c>
      <c r="M3743" s="1" t="s">
        <v>1137</v>
      </c>
      <c r="N3743" s="1"/>
      <c r="O3743" s="1" t="s">
        <v>30</v>
      </c>
      <c r="P3743" s="1" t="s">
        <v>31</v>
      </c>
      <c r="Q3743" s="1" t="s">
        <v>71</v>
      </c>
      <c r="R3743" s="1" t="s">
        <v>71</v>
      </c>
      <c r="S3743" s="1" t="s">
        <v>72</v>
      </c>
      <c r="T3743" s="1" t="s">
        <v>73</v>
      </c>
      <c r="U3743" s="1">
        <v>1.00589728E8</v>
      </c>
      <c r="X3743" s="1" t="s">
        <v>74</v>
      </c>
      <c r="Y3743" s="1" t="s">
        <v>6982</v>
      </c>
      <c r="Z3743" s="1" t="s">
        <v>37</v>
      </c>
    </row>
    <row r="3744">
      <c r="A3744" s="1" t="s">
        <v>10831</v>
      </c>
      <c r="B3744" s="1" t="s">
        <v>756</v>
      </c>
      <c r="C3744" s="1" t="s">
        <v>10832</v>
      </c>
      <c r="D3744" s="1" t="s">
        <v>27</v>
      </c>
      <c r="E3744" s="1" t="s">
        <v>28</v>
      </c>
      <c r="F3744" s="2">
        <v>250000.0</v>
      </c>
      <c r="G3744" s="1" t="s">
        <v>551</v>
      </c>
      <c r="H3744" s="4">
        <f>IFERROR(__xludf.DUMMYFUNCTION("DATE(INDEX(SPLIT(G3744,""/""),,3),INDEX(SPLIT(G3744,""/""),,2),INDEX(SPLIT(G3744,""/""),,1))"),44701.0)</f>
        <v>44701</v>
      </c>
      <c r="I3744" s="1" t="s">
        <v>226</v>
      </c>
      <c r="J3744" s="4">
        <f>IFERROR(__xludf.DUMMYFUNCTION("DATE(INDEX(SPLIT(I3744,""/""),,3),INDEX(SPLIT(I3744,""/""),,2),INDEX(SPLIT(I3744,""/""),,1))"),44771.0)</f>
        <v>44771</v>
      </c>
      <c r="L3744" s="1">
        <v>0.0</v>
      </c>
      <c r="M3744" s="1" t="s">
        <v>459</v>
      </c>
      <c r="N3744" s="1"/>
      <c r="O3744" s="1" t="s">
        <v>30</v>
      </c>
      <c r="P3744" s="1" t="s">
        <v>31</v>
      </c>
      <c r="Q3744" s="1" t="s">
        <v>53</v>
      </c>
      <c r="R3744" s="1" t="s">
        <v>53</v>
      </c>
      <c r="S3744" s="1" t="s">
        <v>54</v>
      </c>
      <c r="T3744" s="1" t="s">
        <v>87</v>
      </c>
      <c r="U3744" s="1">
        <v>1.00653756E8</v>
      </c>
      <c r="X3744" s="1" t="s">
        <v>88</v>
      </c>
      <c r="Y3744" s="1" t="s">
        <v>459</v>
      </c>
      <c r="Z3744" s="1" t="s">
        <v>37</v>
      </c>
    </row>
    <row r="3745" hidden="1">
      <c r="A3745" s="1" t="s">
        <v>10833</v>
      </c>
      <c r="B3745" s="1" t="s">
        <v>1095</v>
      </c>
      <c r="C3745" s="1" t="s">
        <v>10834</v>
      </c>
      <c r="D3745" s="1" t="s">
        <v>78</v>
      </c>
      <c r="E3745" s="1" t="s">
        <v>28</v>
      </c>
      <c r="F3745" s="2">
        <v>250000.0</v>
      </c>
      <c r="G3745" s="1" t="s">
        <v>518</v>
      </c>
      <c r="H3745" s="4">
        <f>IFERROR(__xludf.DUMMYFUNCTION("DATE(INDEX(SPLIT(G3745,""/""),,3),INDEX(SPLIT(G3745,""/""),,2),INDEX(SPLIT(G3745,""/""),,1))"),44757.0)</f>
        <v>44757</v>
      </c>
      <c r="I3745" s="1" t="s">
        <v>625</v>
      </c>
      <c r="J3745" s="4">
        <f>IFERROR(__xludf.DUMMYFUNCTION("DATE(INDEX(SPLIT(I3745,""/""),,3),INDEX(SPLIT(I3745,""/""),,2),INDEX(SPLIT(I3745,""/""),,1))"),44848.0)</f>
        <v>44848</v>
      </c>
      <c r="L3745" s="1">
        <v>0.0</v>
      </c>
      <c r="M3745" s="1" t="s">
        <v>852</v>
      </c>
      <c r="N3745" s="1"/>
      <c r="O3745" s="1" t="s">
        <v>30</v>
      </c>
      <c r="P3745" s="1" t="s">
        <v>31</v>
      </c>
      <c r="Q3745" s="1" t="s">
        <v>157</v>
      </c>
      <c r="R3745" s="1" t="s">
        <v>157</v>
      </c>
      <c r="S3745" s="1" t="s">
        <v>158</v>
      </c>
      <c r="U3745" s="1">
        <v>1.00648457E8</v>
      </c>
      <c r="X3745" s="1" t="s">
        <v>312</v>
      </c>
      <c r="Y3745" s="1" t="s">
        <v>4868</v>
      </c>
      <c r="Z3745" s="1" t="s">
        <v>37</v>
      </c>
    </row>
    <row r="3746" hidden="1">
      <c r="A3746" s="1" t="s">
        <v>10835</v>
      </c>
      <c r="B3746" s="1" t="s">
        <v>981</v>
      </c>
      <c r="C3746" s="1" t="s">
        <v>10836</v>
      </c>
      <c r="D3746" s="1" t="s">
        <v>78</v>
      </c>
      <c r="E3746" s="1" t="s">
        <v>28</v>
      </c>
      <c r="F3746" s="2">
        <v>250000.0</v>
      </c>
      <c r="G3746" s="4">
        <v>44682.0</v>
      </c>
      <c r="H3746" s="4">
        <f>IFERROR(__xludf.DUMMYFUNCTION("DATE(INDEX(SPLIT(G3746,""/""),,3),INDEX(SPLIT(G3746,""/""),,2),INDEX(SPLIT(G3746,""/""),,1))"),44566.0)</f>
        <v>44566</v>
      </c>
      <c r="I3746" s="1" t="s">
        <v>476</v>
      </c>
      <c r="J3746" s="4">
        <f>IFERROR(__xludf.DUMMYFUNCTION("DATE(INDEX(SPLIT(I3746,""/""),,3),INDEX(SPLIT(I3746,""/""),,2),INDEX(SPLIT(I3746,""/""),,1))"),44833.0)</f>
        <v>44833</v>
      </c>
      <c r="L3746" s="1">
        <v>0.0</v>
      </c>
      <c r="M3746" s="1" t="s">
        <v>4039</v>
      </c>
      <c r="N3746" s="1"/>
      <c r="O3746" s="1" t="s">
        <v>30</v>
      </c>
      <c r="P3746" s="1" t="s">
        <v>31</v>
      </c>
      <c r="Q3746" s="1" t="s">
        <v>228</v>
      </c>
      <c r="R3746" s="1" t="s">
        <v>228</v>
      </c>
      <c r="S3746" s="1" t="s">
        <v>229</v>
      </c>
      <c r="T3746" s="1" t="s">
        <v>505</v>
      </c>
      <c r="U3746" s="1">
        <v>1.00662113E8</v>
      </c>
      <c r="X3746" s="1" t="s">
        <v>490</v>
      </c>
      <c r="Y3746" s="1" t="s">
        <v>4039</v>
      </c>
      <c r="Z3746" s="1" t="s">
        <v>37</v>
      </c>
    </row>
    <row r="3747">
      <c r="A3747" s="1" t="s">
        <v>10837</v>
      </c>
      <c r="B3747" s="1" t="s">
        <v>1233</v>
      </c>
      <c r="C3747" s="1" t="s">
        <v>10838</v>
      </c>
      <c r="D3747" s="1" t="s">
        <v>27</v>
      </c>
      <c r="E3747" s="1" t="s">
        <v>28</v>
      </c>
      <c r="F3747" s="2">
        <v>250000.0</v>
      </c>
      <c r="G3747" s="1" t="s">
        <v>3178</v>
      </c>
      <c r="H3747" s="4">
        <f>IFERROR(__xludf.DUMMYFUNCTION("DATE(INDEX(SPLIT(G3747,""/""),,3),INDEX(SPLIT(G3747,""/""),,2),INDEX(SPLIT(G3747,""/""),,1))"),44644.0)</f>
        <v>44644</v>
      </c>
      <c r="I3747" s="4">
        <v>44780.0</v>
      </c>
      <c r="J3747" s="4">
        <f>IFERROR(__xludf.DUMMYFUNCTION("DATE(INDEX(SPLIT(I3747,""/""),,3),INDEX(SPLIT(I3747,""/""),,2),INDEX(SPLIT(I3747,""/""),,1))"),44750.0)</f>
        <v>44750</v>
      </c>
      <c r="L3747" s="1">
        <v>0.0</v>
      </c>
      <c r="M3747" s="1" t="s">
        <v>2592</v>
      </c>
      <c r="N3747" s="1"/>
      <c r="O3747" s="1" t="s">
        <v>30</v>
      </c>
      <c r="P3747" s="1" t="s">
        <v>31</v>
      </c>
      <c r="Q3747" s="1" t="s">
        <v>71</v>
      </c>
      <c r="R3747" s="1" t="s">
        <v>71</v>
      </c>
      <c r="S3747" s="1" t="s">
        <v>72</v>
      </c>
      <c r="T3747" s="1" t="s">
        <v>136</v>
      </c>
      <c r="U3747" s="1">
        <v>1.00586452E8</v>
      </c>
      <c r="X3747" s="1" t="s">
        <v>74</v>
      </c>
      <c r="Y3747" s="1" t="s">
        <v>4864</v>
      </c>
      <c r="Z3747" s="1" t="s">
        <v>37</v>
      </c>
    </row>
    <row r="3748" hidden="1">
      <c r="A3748" s="1" t="s">
        <v>10839</v>
      </c>
      <c r="B3748" s="1" t="s">
        <v>8480</v>
      </c>
      <c r="C3748" s="1" t="s">
        <v>10840</v>
      </c>
      <c r="D3748" s="1" t="s">
        <v>27</v>
      </c>
      <c r="E3748" s="1" t="s">
        <v>28</v>
      </c>
      <c r="F3748" s="2">
        <v>250000.0</v>
      </c>
      <c r="G3748" s="1" t="s">
        <v>359</v>
      </c>
      <c r="H3748" s="4">
        <f>IFERROR(__xludf.DUMMYFUNCTION("DATE(INDEX(SPLIT(G3748,""/""),,3),INDEX(SPLIT(G3748,""/""),,2),INDEX(SPLIT(G3748,""/""),,1))"),44740.0)</f>
        <v>44740</v>
      </c>
      <c r="I3748" s="1" t="s">
        <v>203</v>
      </c>
      <c r="J3748" s="4">
        <f>IFERROR(__xludf.DUMMYFUNCTION("DATE(INDEX(SPLIT(I3748,""/""),,3),INDEX(SPLIT(I3748,""/""),,2),INDEX(SPLIT(I3748,""/""),,1))"),44925.0)</f>
        <v>44925</v>
      </c>
      <c r="L3748" s="1">
        <v>0.0</v>
      </c>
      <c r="M3748" s="1" t="s">
        <v>10841</v>
      </c>
      <c r="N3748" s="1"/>
      <c r="O3748" s="1" t="s">
        <v>30</v>
      </c>
      <c r="P3748" s="1" t="s">
        <v>31</v>
      </c>
      <c r="Q3748" s="1" t="s">
        <v>235</v>
      </c>
      <c r="R3748" s="1" t="s">
        <v>235</v>
      </c>
      <c r="S3748" s="1" t="s">
        <v>236</v>
      </c>
      <c r="T3748" s="1" t="s">
        <v>438</v>
      </c>
      <c r="U3748" s="1">
        <v>1.00971697E8</v>
      </c>
      <c r="X3748" s="1" t="s">
        <v>312</v>
      </c>
      <c r="Y3748" s="1" t="s">
        <v>10841</v>
      </c>
      <c r="Z3748" s="1" t="s">
        <v>1783</v>
      </c>
    </row>
    <row r="3749" hidden="1">
      <c r="A3749" s="1" t="s">
        <v>10842</v>
      </c>
      <c r="B3749" s="1" t="s">
        <v>5128</v>
      </c>
      <c r="C3749" s="1" t="s">
        <v>10843</v>
      </c>
      <c r="D3749" s="1" t="s">
        <v>122</v>
      </c>
      <c r="E3749" s="1" t="s">
        <v>28</v>
      </c>
      <c r="F3749" s="2">
        <v>250000.0</v>
      </c>
      <c r="G3749" s="1" t="s">
        <v>324</v>
      </c>
      <c r="H3749" s="4">
        <f>IFERROR(__xludf.DUMMYFUNCTION("DATE(INDEX(SPLIT(G3749,""/""),,3),INDEX(SPLIT(G3749,""/""),,2),INDEX(SPLIT(G3749,""/""),,1))"),44636.0)</f>
        <v>44636</v>
      </c>
      <c r="I3749" s="1" t="s">
        <v>1171</v>
      </c>
      <c r="J3749" s="4">
        <f>IFERROR(__xludf.DUMMYFUNCTION("DATE(INDEX(SPLIT(I3749,""/""),,3),INDEX(SPLIT(I3749,""/""),,2),INDEX(SPLIT(I3749,""/""),,1))"),44789.0)</f>
        <v>44789</v>
      </c>
      <c r="L3749" s="1">
        <v>0.0</v>
      </c>
      <c r="M3749" s="1" t="s">
        <v>211</v>
      </c>
      <c r="N3749" s="1"/>
      <c r="O3749" s="1" t="s">
        <v>30</v>
      </c>
      <c r="P3749" s="1" t="s">
        <v>31</v>
      </c>
      <c r="Q3749" s="1" t="s">
        <v>71</v>
      </c>
      <c r="R3749" s="1" t="s">
        <v>71</v>
      </c>
      <c r="S3749" s="1" t="s">
        <v>72</v>
      </c>
      <c r="T3749" s="1" t="s">
        <v>136</v>
      </c>
      <c r="U3749" s="1">
        <v>1.00590896E8</v>
      </c>
      <c r="X3749" s="1" t="s">
        <v>2028</v>
      </c>
      <c r="Y3749" s="1" t="s">
        <v>1235</v>
      </c>
      <c r="Z3749" s="1" t="s">
        <v>37</v>
      </c>
    </row>
    <row r="3750">
      <c r="A3750" s="1" t="s">
        <v>10844</v>
      </c>
      <c r="B3750" s="1" t="s">
        <v>5586</v>
      </c>
      <c r="C3750" s="1" t="s">
        <v>10845</v>
      </c>
      <c r="D3750" s="1" t="s">
        <v>122</v>
      </c>
      <c r="E3750" s="1" t="s">
        <v>28</v>
      </c>
      <c r="F3750" s="2">
        <v>250000.0</v>
      </c>
      <c r="G3750" s="1" t="s">
        <v>600</v>
      </c>
      <c r="H3750" s="4">
        <f>IFERROR(__xludf.DUMMYFUNCTION("DATE(INDEX(SPLIT(G3750,""/""),,3),INDEX(SPLIT(G3750,""/""),,2),INDEX(SPLIT(G3750,""/""),,1))"),44665.0)</f>
        <v>44665</v>
      </c>
      <c r="I3750" s="1" t="s">
        <v>1244</v>
      </c>
      <c r="J3750" s="4">
        <f>IFERROR(__xludf.DUMMYFUNCTION("DATE(INDEX(SPLIT(I3750,""/""),,3),INDEX(SPLIT(I3750,""/""),,2),INDEX(SPLIT(I3750,""/""),,1))"),44742.0)</f>
        <v>44742</v>
      </c>
      <c r="L3750" s="1">
        <v>0.0</v>
      </c>
      <c r="M3750" s="1" t="s">
        <v>5588</v>
      </c>
      <c r="N3750" s="1"/>
      <c r="O3750" s="1" t="s">
        <v>30</v>
      </c>
      <c r="P3750" s="1" t="s">
        <v>31</v>
      </c>
      <c r="Q3750" s="1" t="s">
        <v>1320</v>
      </c>
      <c r="R3750" s="1" t="s">
        <v>1320</v>
      </c>
      <c r="S3750" s="1" t="s">
        <v>54</v>
      </c>
      <c r="U3750" s="1">
        <v>1.00625588E8</v>
      </c>
      <c r="X3750" s="1" t="s">
        <v>289</v>
      </c>
      <c r="Y3750" s="1" t="s">
        <v>5588</v>
      </c>
      <c r="Z3750" s="1" t="s">
        <v>37</v>
      </c>
    </row>
    <row r="3751" hidden="1">
      <c r="A3751" s="1" t="s">
        <v>10846</v>
      </c>
      <c r="B3751" s="1" t="s">
        <v>9103</v>
      </c>
      <c r="C3751" s="1" t="s">
        <v>10847</v>
      </c>
      <c r="D3751" s="1" t="s">
        <v>78</v>
      </c>
      <c r="E3751" s="1" t="s">
        <v>28</v>
      </c>
      <c r="F3751" s="2">
        <v>250000.0</v>
      </c>
      <c r="G3751" s="4">
        <v>44656.0</v>
      </c>
      <c r="H3751" s="4">
        <f>IFERROR(__xludf.DUMMYFUNCTION("DATE(INDEX(SPLIT(G3751,""/""),,3),INDEX(SPLIT(G3751,""/""),,2),INDEX(SPLIT(G3751,""/""),,1))"),44685.0)</f>
        <v>44685</v>
      </c>
      <c r="I3751" s="4">
        <v>44569.0</v>
      </c>
      <c r="J3751" s="4">
        <f>IFERROR(__xludf.DUMMYFUNCTION("DATE(INDEX(SPLIT(I3751,""/""),,3),INDEX(SPLIT(I3751,""/""),,2),INDEX(SPLIT(I3751,""/""),,1))"),44774.0)</f>
        <v>44774</v>
      </c>
      <c r="L3751" s="1">
        <v>0.0</v>
      </c>
      <c r="M3751" s="1" t="s">
        <v>10848</v>
      </c>
      <c r="N3751" s="1"/>
      <c r="O3751" s="1" t="s">
        <v>30</v>
      </c>
      <c r="P3751" s="1" t="s">
        <v>31</v>
      </c>
      <c r="Q3751" s="1" t="s">
        <v>53</v>
      </c>
      <c r="R3751" s="1" t="s">
        <v>53</v>
      </c>
      <c r="S3751" s="1" t="s">
        <v>54</v>
      </c>
      <c r="U3751" s="1">
        <v>1.00649481E8</v>
      </c>
      <c r="X3751" s="1" t="s">
        <v>74</v>
      </c>
      <c r="Y3751" s="1" t="s">
        <v>10848</v>
      </c>
      <c r="Z3751" s="1" t="s">
        <v>37</v>
      </c>
    </row>
    <row r="3752">
      <c r="A3752" s="1" t="s">
        <v>10849</v>
      </c>
      <c r="B3752" s="1" t="s">
        <v>10850</v>
      </c>
      <c r="C3752" s="1" t="s">
        <v>10851</v>
      </c>
      <c r="D3752" s="1" t="s">
        <v>78</v>
      </c>
      <c r="E3752" s="1" t="s">
        <v>28</v>
      </c>
      <c r="F3752" s="2">
        <v>250000.0</v>
      </c>
      <c r="G3752" s="1" t="s">
        <v>2077</v>
      </c>
      <c r="H3752" s="4">
        <f>IFERROR(__xludf.DUMMYFUNCTION("DATE(INDEX(SPLIT(G3752,""/""),,3),INDEX(SPLIT(G3752,""/""),,2),INDEX(SPLIT(G3752,""/""),,1))"),44700.0)</f>
        <v>44700</v>
      </c>
      <c r="I3752" s="1" t="s">
        <v>226</v>
      </c>
      <c r="J3752" s="4">
        <f>IFERROR(__xludf.DUMMYFUNCTION("DATE(INDEX(SPLIT(I3752,""/""),,3),INDEX(SPLIT(I3752,""/""),,2),INDEX(SPLIT(I3752,""/""),,1))"),44771.0)</f>
        <v>44771</v>
      </c>
      <c r="L3752" s="1">
        <v>0.0</v>
      </c>
      <c r="M3752" s="1" t="s">
        <v>5135</v>
      </c>
      <c r="N3752" s="1"/>
      <c r="O3752" s="1" t="s">
        <v>30</v>
      </c>
      <c r="P3752" s="1" t="s">
        <v>31</v>
      </c>
      <c r="Q3752" s="1" t="s">
        <v>228</v>
      </c>
      <c r="R3752" s="1" t="s">
        <v>228</v>
      </c>
      <c r="S3752" s="1" t="s">
        <v>229</v>
      </c>
      <c r="T3752" s="1" t="s">
        <v>640</v>
      </c>
      <c r="U3752" s="1">
        <v>1.0064195E8</v>
      </c>
      <c r="X3752" s="1" t="s">
        <v>63</v>
      </c>
      <c r="Y3752" s="1" t="s">
        <v>5135</v>
      </c>
      <c r="Z3752" s="1" t="s">
        <v>37</v>
      </c>
    </row>
    <row r="3753" hidden="1">
      <c r="A3753" s="1" t="s">
        <v>10852</v>
      </c>
      <c r="B3753" s="1" t="s">
        <v>7635</v>
      </c>
      <c r="C3753" s="1" t="s">
        <v>10853</v>
      </c>
      <c r="D3753" s="1" t="s">
        <v>122</v>
      </c>
      <c r="E3753" s="1" t="s">
        <v>28</v>
      </c>
      <c r="F3753" s="2">
        <v>250000.0</v>
      </c>
      <c r="G3753" s="1" t="s">
        <v>1288</v>
      </c>
      <c r="H3753" s="4">
        <f>IFERROR(__xludf.DUMMYFUNCTION("DATE(INDEX(SPLIT(G3753,""/""),,3),INDEX(SPLIT(G3753,""/""),,2),INDEX(SPLIT(G3753,""/""),,1))"),44707.0)</f>
        <v>44707</v>
      </c>
      <c r="I3753" s="1" t="s">
        <v>130</v>
      </c>
      <c r="J3753" s="4">
        <f>IFERROR(__xludf.DUMMYFUNCTION("DATE(INDEX(SPLIT(I3753,""/""),,3),INDEX(SPLIT(I3753,""/""),,2),INDEX(SPLIT(I3753,""/""),,1))"),44804.0)</f>
        <v>44804</v>
      </c>
      <c r="L3753" s="1">
        <v>0.0</v>
      </c>
      <c r="M3753" s="1" t="s">
        <v>504</v>
      </c>
      <c r="N3753" s="1"/>
      <c r="O3753" s="1" t="s">
        <v>30</v>
      </c>
      <c r="P3753" s="1" t="s">
        <v>31</v>
      </c>
      <c r="Q3753" s="1" t="s">
        <v>228</v>
      </c>
      <c r="R3753" s="1" t="s">
        <v>228</v>
      </c>
      <c r="S3753" s="1" t="s">
        <v>229</v>
      </c>
      <c r="T3753" s="1" t="s">
        <v>640</v>
      </c>
      <c r="U3753" s="1">
        <v>1.00901211E8</v>
      </c>
      <c r="X3753" s="1" t="s">
        <v>410</v>
      </c>
      <c r="Y3753" s="1" t="s">
        <v>10854</v>
      </c>
      <c r="Z3753" s="1" t="s">
        <v>37</v>
      </c>
    </row>
    <row r="3754" hidden="1">
      <c r="A3754" s="1" t="s">
        <v>10855</v>
      </c>
      <c r="B3754" s="1" t="s">
        <v>1192</v>
      </c>
      <c r="C3754" s="1" t="s">
        <v>10856</v>
      </c>
      <c r="D3754" s="1" t="s">
        <v>27</v>
      </c>
      <c r="E3754" s="1" t="s">
        <v>28</v>
      </c>
      <c r="F3754" s="2">
        <v>250000.0</v>
      </c>
      <c r="G3754" s="4">
        <v>44653.0</v>
      </c>
      <c r="H3754" s="4">
        <f>IFERROR(__xludf.DUMMYFUNCTION("DATE(INDEX(SPLIT(G3754,""/""),,3),INDEX(SPLIT(G3754,""/""),,2),INDEX(SPLIT(G3754,""/""),,1))"),44596.0)</f>
        <v>44596</v>
      </c>
      <c r="I3754" s="1" t="s">
        <v>1678</v>
      </c>
      <c r="J3754" s="4">
        <f>IFERROR(__xludf.DUMMYFUNCTION("DATE(INDEX(SPLIT(I3754,""/""),,3),INDEX(SPLIT(I3754,""/""),,2),INDEX(SPLIT(I3754,""/""),,1))"),44819.0)</f>
        <v>44819</v>
      </c>
      <c r="L3754" s="1">
        <v>0.0</v>
      </c>
      <c r="M3754" s="1" t="s">
        <v>7887</v>
      </c>
      <c r="N3754" s="1"/>
      <c r="O3754" s="1" t="s">
        <v>30</v>
      </c>
      <c r="P3754" s="1" t="s">
        <v>31</v>
      </c>
      <c r="Q3754" s="1" t="s">
        <v>53</v>
      </c>
      <c r="R3754" s="1" t="s">
        <v>53</v>
      </c>
      <c r="S3754" s="1" t="s">
        <v>54</v>
      </c>
      <c r="T3754" s="1" t="s">
        <v>1386</v>
      </c>
      <c r="U3754" s="1">
        <v>1.00587219E8</v>
      </c>
      <c r="X3754" s="1" t="s">
        <v>125</v>
      </c>
      <c r="Y3754" s="1" t="s">
        <v>2576</v>
      </c>
      <c r="Z3754" s="1" t="s">
        <v>37</v>
      </c>
    </row>
    <row r="3755" hidden="1">
      <c r="A3755" s="1" t="s">
        <v>10857</v>
      </c>
      <c r="B3755" s="1" t="s">
        <v>5763</v>
      </c>
      <c r="C3755" s="1" t="s">
        <v>10858</v>
      </c>
      <c r="D3755" s="1" t="s">
        <v>78</v>
      </c>
      <c r="E3755" s="1" t="s">
        <v>28</v>
      </c>
      <c r="F3755" s="2">
        <v>250000.0</v>
      </c>
      <c r="G3755" s="1" t="s">
        <v>1381</v>
      </c>
      <c r="H3755" s="4">
        <f>IFERROR(__xludf.DUMMYFUNCTION("DATE(INDEX(SPLIT(G3755,""/""),,3),INDEX(SPLIT(G3755,""/""),,2),INDEX(SPLIT(G3755,""/""),,1))"),44643.0)</f>
        <v>44643</v>
      </c>
      <c r="I3755" s="1" t="s">
        <v>625</v>
      </c>
      <c r="J3755" s="4">
        <f>IFERROR(__xludf.DUMMYFUNCTION("DATE(INDEX(SPLIT(I3755,""/""),,3),INDEX(SPLIT(I3755,""/""),,2),INDEX(SPLIT(I3755,""/""),,1))"),44848.0)</f>
        <v>44848</v>
      </c>
      <c r="L3755" s="1">
        <v>0.0</v>
      </c>
      <c r="M3755" s="1" t="s">
        <v>1704</v>
      </c>
      <c r="N3755" s="1"/>
      <c r="O3755" s="1" t="s">
        <v>30</v>
      </c>
      <c r="P3755" s="1" t="s">
        <v>31</v>
      </c>
      <c r="Q3755" s="1" t="s">
        <v>157</v>
      </c>
      <c r="R3755" s="1" t="s">
        <v>157</v>
      </c>
      <c r="S3755" s="1" t="s">
        <v>158</v>
      </c>
      <c r="T3755" s="1" t="s">
        <v>442</v>
      </c>
      <c r="U3755" s="1">
        <v>1.00654991E8</v>
      </c>
      <c r="X3755" s="1" t="s">
        <v>63</v>
      </c>
      <c r="Y3755" s="1" t="s">
        <v>5500</v>
      </c>
      <c r="Z3755" s="1" t="s">
        <v>37</v>
      </c>
    </row>
    <row r="3756" hidden="1">
      <c r="A3756" s="1" t="s">
        <v>10859</v>
      </c>
      <c r="B3756" s="1" t="s">
        <v>10860</v>
      </c>
      <c r="C3756" s="1" t="s">
        <v>10522</v>
      </c>
      <c r="D3756" s="1" t="s">
        <v>78</v>
      </c>
      <c r="E3756" s="1" t="s">
        <v>28</v>
      </c>
      <c r="F3756" s="2">
        <v>250000.0</v>
      </c>
      <c r="G3756" s="1" t="s">
        <v>298</v>
      </c>
      <c r="H3756" s="4">
        <f>IFERROR(__xludf.DUMMYFUNCTION("DATE(INDEX(SPLIT(G3756,""/""),,3),INDEX(SPLIT(G3756,""/""),,2),INDEX(SPLIT(G3756,""/""),,1))"),44762.0)</f>
        <v>44762</v>
      </c>
      <c r="I3756" s="1" t="s">
        <v>109</v>
      </c>
      <c r="J3756" s="4">
        <f>IFERROR(__xludf.DUMMYFUNCTION("DATE(INDEX(SPLIT(I3756,""/""),,3),INDEX(SPLIT(I3756,""/""),,2),INDEX(SPLIT(I3756,""/""),,1))"),44834.0)</f>
        <v>44834</v>
      </c>
      <c r="L3756" s="1">
        <v>0.0</v>
      </c>
      <c r="M3756" s="1" t="s">
        <v>1548</v>
      </c>
      <c r="N3756" s="1"/>
      <c r="O3756" s="1" t="s">
        <v>30</v>
      </c>
      <c r="P3756" s="1" t="s">
        <v>31</v>
      </c>
      <c r="Q3756" s="1" t="s">
        <v>32</v>
      </c>
      <c r="R3756" s="1" t="s">
        <v>32</v>
      </c>
      <c r="S3756" s="1" t="s">
        <v>33</v>
      </c>
      <c r="U3756" s="1">
        <v>1.01215106E8</v>
      </c>
      <c r="X3756" s="1" t="s">
        <v>190</v>
      </c>
      <c r="Y3756" s="1" t="s">
        <v>1548</v>
      </c>
      <c r="Z3756" s="1" t="s">
        <v>37</v>
      </c>
    </row>
    <row r="3757" hidden="1">
      <c r="A3757" s="1" t="s">
        <v>10861</v>
      </c>
      <c r="B3757" s="1" t="s">
        <v>10862</v>
      </c>
      <c r="C3757" s="1" t="s">
        <v>10863</v>
      </c>
      <c r="D3757" s="1" t="s">
        <v>122</v>
      </c>
      <c r="E3757" s="1" t="s">
        <v>28</v>
      </c>
      <c r="F3757" s="2">
        <v>250000.0</v>
      </c>
      <c r="G3757" s="4">
        <v>44478.0</v>
      </c>
      <c r="H3757" s="4">
        <f>IFERROR(__xludf.DUMMYFUNCTION("DATE(INDEX(SPLIT(G3757,""/""),,3),INDEX(SPLIT(G3757,""/""),,2),INDEX(SPLIT(G3757,""/""),,1))"),44449.0)</f>
        <v>44449</v>
      </c>
      <c r="I3757" s="1" t="s">
        <v>130</v>
      </c>
      <c r="J3757" s="4">
        <f>IFERROR(__xludf.DUMMYFUNCTION("DATE(INDEX(SPLIT(I3757,""/""),,3),INDEX(SPLIT(I3757,""/""),,2),INDEX(SPLIT(I3757,""/""),,1))"),44804.0)</f>
        <v>44804</v>
      </c>
      <c r="L3757" s="1">
        <v>0.0</v>
      </c>
      <c r="M3757" s="1" t="s">
        <v>2281</v>
      </c>
      <c r="N3757" s="1"/>
      <c r="O3757" s="1" t="s">
        <v>30</v>
      </c>
      <c r="P3757" s="1" t="s">
        <v>31</v>
      </c>
      <c r="Q3757" s="1" t="s">
        <v>95</v>
      </c>
      <c r="R3757" s="1" t="s">
        <v>95</v>
      </c>
      <c r="S3757" s="1" t="s">
        <v>96</v>
      </c>
      <c r="T3757" s="1" t="s">
        <v>97</v>
      </c>
      <c r="U3757" s="1">
        <v>1.00646427E8</v>
      </c>
      <c r="X3757" s="1" t="s">
        <v>125</v>
      </c>
      <c r="Y3757" s="1" t="s">
        <v>2281</v>
      </c>
      <c r="Z3757" s="1" t="s">
        <v>37</v>
      </c>
    </row>
    <row r="3758" hidden="1">
      <c r="A3758" s="1" t="s">
        <v>10864</v>
      </c>
      <c r="B3758" s="1" t="s">
        <v>2074</v>
      </c>
      <c r="C3758" s="1" t="s">
        <v>10552</v>
      </c>
      <c r="D3758" s="1" t="s">
        <v>27</v>
      </c>
      <c r="E3758" s="1" t="s">
        <v>28</v>
      </c>
      <c r="F3758" s="2">
        <v>250000.0</v>
      </c>
      <c r="G3758" s="4">
        <v>44867.0</v>
      </c>
      <c r="H3758" s="4">
        <f>IFERROR(__xludf.DUMMYFUNCTION("DATE(INDEX(SPLIT(G3758,""/""),,3),INDEX(SPLIT(G3758,""/""),,2),INDEX(SPLIT(G3758,""/""),,1))"),44603.0)</f>
        <v>44603</v>
      </c>
      <c r="I3758" s="1" t="s">
        <v>476</v>
      </c>
      <c r="J3758" s="4">
        <f>IFERROR(__xludf.DUMMYFUNCTION("DATE(INDEX(SPLIT(I3758,""/""),,3),INDEX(SPLIT(I3758,""/""),,2),INDEX(SPLIT(I3758,""/""),,1))"),44833.0)</f>
        <v>44833</v>
      </c>
      <c r="L3758" s="1">
        <v>0.0</v>
      </c>
      <c r="M3758" s="1" t="s">
        <v>3873</v>
      </c>
      <c r="N3758" s="1"/>
      <c r="O3758" s="1" t="s">
        <v>30</v>
      </c>
      <c r="P3758" s="1" t="s">
        <v>31</v>
      </c>
      <c r="Q3758" s="1" t="s">
        <v>53</v>
      </c>
      <c r="R3758" s="1" t="s">
        <v>53</v>
      </c>
      <c r="S3758" s="1" t="s">
        <v>54</v>
      </c>
      <c r="T3758" s="1" t="s">
        <v>1386</v>
      </c>
      <c r="U3758" s="1">
        <v>1.01213659E8</v>
      </c>
      <c r="X3758" s="1" t="s">
        <v>81</v>
      </c>
      <c r="Y3758" s="1" t="s">
        <v>1387</v>
      </c>
      <c r="Z3758" s="1" t="s">
        <v>206</v>
      </c>
    </row>
    <row r="3759">
      <c r="A3759" s="1" t="s">
        <v>10865</v>
      </c>
      <c r="B3759" s="1" t="s">
        <v>1113</v>
      </c>
      <c r="C3759" s="1" t="s">
        <v>10866</v>
      </c>
      <c r="D3759" s="1" t="s">
        <v>27</v>
      </c>
      <c r="E3759" s="1" t="s">
        <v>28</v>
      </c>
      <c r="F3759" s="2">
        <v>250000.0</v>
      </c>
      <c r="G3759" s="1" t="s">
        <v>6301</v>
      </c>
      <c r="H3759" s="4">
        <f>IFERROR(__xludf.DUMMYFUNCTION("DATE(INDEX(SPLIT(G3759,""/""),,3),INDEX(SPLIT(G3759,""/""),,2),INDEX(SPLIT(G3759,""/""),,1))"),44635.0)</f>
        <v>44635</v>
      </c>
      <c r="I3759" s="1" t="s">
        <v>69</v>
      </c>
      <c r="J3759" s="4">
        <f>IFERROR(__xludf.DUMMYFUNCTION("DATE(INDEX(SPLIT(I3759,""/""),,3),INDEX(SPLIT(I3759,""/""),,2),INDEX(SPLIT(I3759,""/""),,1))"),44773.0)</f>
        <v>44773</v>
      </c>
      <c r="L3759" s="1">
        <v>0.0</v>
      </c>
      <c r="M3759" s="1" t="s">
        <v>1649</v>
      </c>
      <c r="N3759" s="1"/>
      <c r="O3759" s="1" t="s">
        <v>30</v>
      </c>
      <c r="P3759" s="1" t="s">
        <v>31</v>
      </c>
      <c r="Q3759" s="1" t="s">
        <v>157</v>
      </c>
      <c r="R3759" s="1" t="s">
        <v>157</v>
      </c>
      <c r="S3759" s="1" t="s">
        <v>158</v>
      </c>
      <c r="U3759" s="1">
        <v>1.00643454E8</v>
      </c>
      <c r="X3759" s="1" t="s">
        <v>490</v>
      </c>
      <c r="Y3759" s="1" t="s">
        <v>2945</v>
      </c>
      <c r="Z3759" s="1" t="s">
        <v>37</v>
      </c>
    </row>
    <row r="3760" hidden="1">
      <c r="A3760" s="1" t="s">
        <v>10867</v>
      </c>
      <c r="B3760" s="1" t="s">
        <v>10868</v>
      </c>
      <c r="C3760" s="1" t="s">
        <v>10869</v>
      </c>
      <c r="D3760" s="1" t="s">
        <v>27</v>
      </c>
      <c r="E3760" s="1" t="s">
        <v>28</v>
      </c>
      <c r="F3760" s="2">
        <v>250000.0</v>
      </c>
      <c r="G3760" s="1" t="s">
        <v>359</v>
      </c>
      <c r="H3760" s="4">
        <f>IFERROR(__xludf.DUMMYFUNCTION("DATE(INDEX(SPLIT(G3760,""/""),,3),INDEX(SPLIT(G3760,""/""),,2),INDEX(SPLIT(G3760,""/""),,1))"),44740.0)</f>
        <v>44740</v>
      </c>
      <c r="I3760" s="1" t="s">
        <v>317</v>
      </c>
      <c r="J3760" s="4">
        <f>IFERROR(__xludf.DUMMYFUNCTION("DATE(INDEX(SPLIT(I3760,""/""),,3),INDEX(SPLIT(I3760,""/""),,2),INDEX(SPLIT(I3760,""/""),,1))"),44862.0)</f>
        <v>44862</v>
      </c>
      <c r="L3760" s="1">
        <v>0.0</v>
      </c>
      <c r="M3760" s="1" t="s">
        <v>2312</v>
      </c>
      <c r="N3760" s="1"/>
      <c r="O3760" s="1" t="s">
        <v>30</v>
      </c>
      <c r="P3760" s="1" t="s">
        <v>31</v>
      </c>
      <c r="Q3760" s="1" t="s">
        <v>32</v>
      </c>
      <c r="R3760" s="1" t="s">
        <v>32</v>
      </c>
      <c r="S3760" s="1" t="s">
        <v>33</v>
      </c>
      <c r="T3760" s="1" t="s">
        <v>103</v>
      </c>
      <c r="U3760" s="1">
        <v>1.00610903E8</v>
      </c>
      <c r="X3760" s="1" t="s">
        <v>46</v>
      </c>
      <c r="Y3760" s="1" t="s">
        <v>2312</v>
      </c>
      <c r="Z3760" s="1" t="s">
        <v>37</v>
      </c>
    </row>
    <row r="3761" hidden="1">
      <c r="A3761" s="1" t="s">
        <v>10870</v>
      </c>
      <c r="B3761" s="1" t="s">
        <v>8334</v>
      </c>
      <c r="C3761" s="1" t="s">
        <v>10871</v>
      </c>
      <c r="D3761" s="1" t="s">
        <v>78</v>
      </c>
      <c r="E3761" s="1" t="s">
        <v>28</v>
      </c>
      <c r="F3761" s="2">
        <v>250000.0</v>
      </c>
      <c r="G3761" s="4">
        <v>44902.0</v>
      </c>
      <c r="H3761" s="4">
        <f>IFERROR(__xludf.DUMMYFUNCTION("DATE(INDEX(SPLIT(G3761,""/""),,3),INDEX(SPLIT(G3761,""/""),,2),INDEX(SPLIT(G3761,""/""),,1))"),44754.0)</f>
        <v>44754</v>
      </c>
      <c r="I3761" s="1" t="s">
        <v>130</v>
      </c>
      <c r="J3761" s="4">
        <f>IFERROR(__xludf.DUMMYFUNCTION("DATE(INDEX(SPLIT(I3761,""/""),,3),INDEX(SPLIT(I3761,""/""),,2),INDEX(SPLIT(I3761,""/""),,1))"),44804.0)</f>
        <v>44804</v>
      </c>
      <c r="L3761" s="1">
        <v>0.0</v>
      </c>
      <c r="M3761" s="1" t="s">
        <v>3617</v>
      </c>
      <c r="N3761" s="1"/>
      <c r="O3761" s="1" t="s">
        <v>30</v>
      </c>
      <c r="P3761" s="1" t="s">
        <v>31</v>
      </c>
      <c r="Q3761" s="1" t="s">
        <v>53</v>
      </c>
      <c r="R3761" s="1" t="s">
        <v>53</v>
      </c>
      <c r="S3761" s="1" t="s">
        <v>54</v>
      </c>
      <c r="U3761" s="1">
        <v>1.00568413E8</v>
      </c>
      <c r="X3761" s="1" t="s">
        <v>63</v>
      </c>
      <c r="Y3761" s="1" t="s">
        <v>8432</v>
      </c>
      <c r="Z3761" s="1" t="s">
        <v>37</v>
      </c>
    </row>
    <row r="3762" hidden="1">
      <c r="A3762" s="1" t="s">
        <v>10872</v>
      </c>
      <c r="B3762" s="1" t="s">
        <v>2501</v>
      </c>
      <c r="C3762" s="1" t="s">
        <v>10873</v>
      </c>
      <c r="D3762" s="1" t="s">
        <v>27</v>
      </c>
      <c r="E3762" s="1" t="s">
        <v>28</v>
      </c>
      <c r="F3762" s="2">
        <v>250000.0</v>
      </c>
      <c r="G3762" s="1" t="s">
        <v>6301</v>
      </c>
      <c r="H3762" s="4">
        <f>IFERROR(__xludf.DUMMYFUNCTION("DATE(INDEX(SPLIT(G3762,""/""),,3),INDEX(SPLIT(G3762,""/""),,2),INDEX(SPLIT(G3762,""/""),,1))"),44635.0)</f>
        <v>44635</v>
      </c>
      <c r="I3762" s="1" t="s">
        <v>130</v>
      </c>
      <c r="J3762" s="4">
        <f>IFERROR(__xludf.DUMMYFUNCTION("DATE(INDEX(SPLIT(I3762,""/""),,3),INDEX(SPLIT(I3762,""/""),,2),INDEX(SPLIT(I3762,""/""),,1))"),44804.0)</f>
        <v>44804</v>
      </c>
      <c r="L3762" s="1">
        <v>0.0</v>
      </c>
      <c r="M3762" s="1" t="s">
        <v>2945</v>
      </c>
      <c r="N3762" s="1"/>
      <c r="O3762" s="1" t="s">
        <v>30</v>
      </c>
      <c r="P3762" s="1" t="s">
        <v>31</v>
      </c>
      <c r="Q3762" s="1" t="s">
        <v>157</v>
      </c>
      <c r="R3762" s="1" t="s">
        <v>157</v>
      </c>
      <c r="S3762" s="1" t="s">
        <v>158</v>
      </c>
      <c r="U3762" s="1">
        <v>1.01138319E8</v>
      </c>
      <c r="X3762" s="1" t="s">
        <v>490</v>
      </c>
      <c r="Y3762" s="1" t="s">
        <v>2945</v>
      </c>
      <c r="Z3762" s="1" t="s">
        <v>206</v>
      </c>
    </row>
    <row r="3763" hidden="1">
      <c r="A3763" s="1" t="s">
        <v>10874</v>
      </c>
      <c r="B3763" s="1" t="s">
        <v>3367</v>
      </c>
      <c r="C3763" s="1" t="s">
        <v>10875</v>
      </c>
      <c r="D3763" s="1" t="s">
        <v>78</v>
      </c>
      <c r="E3763" s="1" t="s">
        <v>28</v>
      </c>
      <c r="F3763" s="2">
        <v>250000.0</v>
      </c>
      <c r="G3763" s="1" t="s">
        <v>9588</v>
      </c>
      <c r="H3763" s="4">
        <f>IFERROR(__xludf.DUMMYFUNCTION("DATE(INDEX(SPLIT(G3763,""/""),,3),INDEX(SPLIT(G3763,""/""),,2),INDEX(SPLIT(G3763,""/""),,1))"),44056.0)</f>
        <v>44056</v>
      </c>
      <c r="I3763" s="1" t="s">
        <v>3407</v>
      </c>
      <c r="J3763" s="4">
        <f>IFERROR(__xludf.DUMMYFUNCTION("DATE(INDEX(SPLIT(I3763,""/""),,3),INDEX(SPLIT(I3763,""/""),,2),INDEX(SPLIT(I3763,""/""),,1))"),45059.0)</f>
        <v>45059</v>
      </c>
      <c r="L3763" s="1">
        <v>0.0</v>
      </c>
      <c r="M3763" s="1" t="s">
        <v>799</v>
      </c>
      <c r="N3763" s="1"/>
      <c r="O3763" s="1" t="s">
        <v>30</v>
      </c>
      <c r="P3763" s="1" t="s">
        <v>31</v>
      </c>
      <c r="Q3763" s="1" t="s">
        <v>71</v>
      </c>
      <c r="R3763" s="1" t="s">
        <v>71</v>
      </c>
      <c r="S3763" s="1" t="s">
        <v>72</v>
      </c>
      <c r="T3763" s="1" t="s">
        <v>136</v>
      </c>
      <c r="U3763" s="1">
        <v>1.00634752E8</v>
      </c>
      <c r="X3763" s="1" t="s">
        <v>74</v>
      </c>
      <c r="Y3763" s="1" t="s">
        <v>419</v>
      </c>
      <c r="Z3763" s="1" t="s">
        <v>37</v>
      </c>
    </row>
    <row r="3764">
      <c r="A3764" s="1" t="s">
        <v>10876</v>
      </c>
      <c r="B3764" s="1" t="s">
        <v>546</v>
      </c>
      <c r="C3764" s="1" t="s">
        <v>10877</v>
      </c>
      <c r="D3764" s="1" t="s">
        <v>78</v>
      </c>
      <c r="E3764" s="1" t="s">
        <v>28</v>
      </c>
      <c r="F3764" s="2">
        <v>250000.0</v>
      </c>
      <c r="G3764" s="1" t="s">
        <v>1703</v>
      </c>
      <c r="H3764" s="4">
        <f>IFERROR(__xludf.DUMMYFUNCTION("DATE(INDEX(SPLIT(G3764,""/""),,3),INDEX(SPLIT(G3764,""/""),,2),INDEX(SPLIT(G3764,""/""),,1))"),44576.0)</f>
        <v>44576</v>
      </c>
      <c r="I3764" s="4">
        <v>44779.0</v>
      </c>
      <c r="J3764" s="4">
        <f>IFERROR(__xludf.DUMMYFUNCTION("DATE(INDEX(SPLIT(I3764,""/""),,3),INDEX(SPLIT(I3764,""/""),,2),INDEX(SPLIT(I3764,""/""),,1))"),44720.0)</f>
        <v>44720</v>
      </c>
      <c r="L3764" s="1">
        <v>0.0</v>
      </c>
      <c r="M3764" s="1" t="s">
        <v>2336</v>
      </c>
      <c r="N3764" s="1"/>
      <c r="O3764" s="1" t="s">
        <v>30</v>
      </c>
      <c r="P3764" s="1" t="s">
        <v>31</v>
      </c>
      <c r="Q3764" s="1" t="s">
        <v>235</v>
      </c>
      <c r="R3764" s="1" t="s">
        <v>235</v>
      </c>
      <c r="S3764" s="1" t="s">
        <v>236</v>
      </c>
      <c r="T3764" s="1" t="s">
        <v>237</v>
      </c>
      <c r="U3764" s="1">
        <v>1.00608366E8</v>
      </c>
      <c r="X3764" s="1" t="s">
        <v>490</v>
      </c>
      <c r="Y3764" s="1" t="s">
        <v>2336</v>
      </c>
      <c r="Z3764" s="1" t="s">
        <v>37</v>
      </c>
    </row>
    <row r="3765" hidden="1">
      <c r="A3765" s="1" t="s">
        <v>10878</v>
      </c>
      <c r="B3765" s="1" t="s">
        <v>7651</v>
      </c>
      <c r="C3765" s="1" t="s">
        <v>10879</v>
      </c>
      <c r="D3765" s="1" t="s">
        <v>27</v>
      </c>
      <c r="E3765" s="1" t="s">
        <v>28</v>
      </c>
      <c r="F3765" s="2">
        <v>250000.0</v>
      </c>
      <c r="G3765" s="1" t="s">
        <v>518</v>
      </c>
      <c r="H3765" s="4">
        <f>IFERROR(__xludf.DUMMYFUNCTION("DATE(INDEX(SPLIT(G3765,""/""),,3),INDEX(SPLIT(G3765,""/""),,2),INDEX(SPLIT(G3765,""/""),,1))"),44757.0)</f>
        <v>44757</v>
      </c>
      <c r="I3765" s="1" t="s">
        <v>109</v>
      </c>
      <c r="J3765" s="4">
        <f>IFERROR(__xludf.DUMMYFUNCTION("DATE(INDEX(SPLIT(I3765,""/""),,3),INDEX(SPLIT(I3765,""/""),,2),INDEX(SPLIT(I3765,""/""),,1))"),44834.0)</f>
        <v>44834</v>
      </c>
      <c r="L3765" s="1">
        <v>0.0</v>
      </c>
      <c r="M3765" s="1" t="s">
        <v>780</v>
      </c>
      <c r="N3765" s="1"/>
      <c r="O3765" s="1" t="s">
        <v>30</v>
      </c>
      <c r="P3765" s="1" t="s">
        <v>31</v>
      </c>
      <c r="Q3765" s="1" t="s">
        <v>157</v>
      </c>
      <c r="R3765" s="1" t="s">
        <v>157</v>
      </c>
      <c r="S3765" s="1" t="s">
        <v>158</v>
      </c>
      <c r="T3765" s="1" t="s">
        <v>442</v>
      </c>
      <c r="U3765" s="1">
        <v>1.00654914E8</v>
      </c>
      <c r="X3765" s="1" t="s">
        <v>63</v>
      </c>
      <c r="Y3765" s="1" t="s">
        <v>3520</v>
      </c>
      <c r="Z3765" s="1" t="s">
        <v>37</v>
      </c>
    </row>
    <row r="3766">
      <c r="A3766" s="1" t="s">
        <v>10880</v>
      </c>
      <c r="B3766" s="1" t="s">
        <v>5433</v>
      </c>
      <c r="C3766" s="1" t="s">
        <v>10881</v>
      </c>
      <c r="D3766" s="1" t="s">
        <v>27</v>
      </c>
      <c r="E3766" s="1" t="s">
        <v>28</v>
      </c>
      <c r="F3766" s="2">
        <v>250000.0</v>
      </c>
      <c r="G3766" s="1" t="s">
        <v>330</v>
      </c>
      <c r="H3766" s="4">
        <f>IFERROR(__xludf.DUMMYFUNCTION("DATE(INDEX(SPLIT(G3766,""/""),,3),INDEX(SPLIT(G3766,""/""),,2),INDEX(SPLIT(G3766,""/""),,1))"),44728.0)</f>
        <v>44728</v>
      </c>
      <c r="I3766" s="1" t="s">
        <v>226</v>
      </c>
      <c r="J3766" s="4">
        <f>IFERROR(__xludf.DUMMYFUNCTION("DATE(INDEX(SPLIT(I3766,""/""),,3),INDEX(SPLIT(I3766,""/""),,2),INDEX(SPLIT(I3766,""/""),,1))"),44771.0)</f>
        <v>44771</v>
      </c>
      <c r="L3766" s="1">
        <v>0.0</v>
      </c>
      <c r="M3766" s="1" t="s">
        <v>2623</v>
      </c>
      <c r="N3766" s="1"/>
      <c r="O3766" s="1" t="s">
        <v>30</v>
      </c>
      <c r="P3766" s="1" t="s">
        <v>31</v>
      </c>
      <c r="Q3766" s="1" t="s">
        <v>71</v>
      </c>
      <c r="R3766" s="1" t="s">
        <v>71</v>
      </c>
      <c r="S3766" s="1" t="s">
        <v>72</v>
      </c>
      <c r="U3766" s="1">
        <v>1.00618842E8</v>
      </c>
      <c r="X3766" s="1" t="s">
        <v>98</v>
      </c>
      <c r="Y3766" s="1" t="s">
        <v>10882</v>
      </c>
      <c r="Z3766" s="1" t="s">
        <v>37</v>
      </c>
    </row>
    <row r="3767" hidden="1">
      <c r="A3767" s="1" t="s">
        <v>10883</v>
      </c>
      <c r="B3767" s="1" t="s">
        <v>10884</v>
      </c>
      <c r="C3767" s="1" t="s">
        <v>10885</v>
      </c>
      <c r="D3767" s="1" t="s">
        <v>122</v>
      </c>
      <c r="E3767" s="1" t="s">
        <v>28</v>
      </c>
      <c r="F3767" s="2">
        <v>250000.0</v>
      </c>
      <c r="G3767" s="1" t="s">
        <v>1288</v>
      </c>
      <c r="H3767" s="4">
        <f>IFERROR(__xludf.DUMMYFUNCTION("DATE(INDEX(SPLIT(G3767,""/""),,3),INDEX(SPLIT(G3767,""/""),,2),INDEX(SPLIT(G3767,""/""),,1))"),44707.0)</f>
        <v>44707</v>
      </c>
      <c r="I3767" s="1" t="s">
        <v>42</v>
      </c>
      <c r="J3767" s="4">
        <f>IFERROR(__xludf.DUMMYFUNCTION("DATE(INDEX(SPLIT(I3767,""/""),,3),INDEX(SPLIT(I3767,""/""),,2),INDEX(SPLIT(I3767,""/""),,1))"),44926.0)</f>
        <v>44926</v>
      </c>
      <c r="L3767" s="1">
        <v>0.0</v>
      </c>
      <c r="M3767" s="1" t="s">
        <v>979</v>
      </c>
      <c r="N3767" s="1"/>
      <c r="O3767" s="1" t="s">
        <v>30</v>
      </c>
      <c r="P3767" s="1" t="s">
        <v>31</v>
      </c>
      <c r="Q3767" s="1" t="s">
        <v>235</v>
      </c>
      <c r="R3767" s="1" t="s">
        <v>235</v>
      </c>
      <c r="S3767" s="1" t="s">
        <v>236</v>
      </c>
      <c r="U3767" s="1">
        <v>1.00647262E8</v>
      </c>
      <c r="X3767" s="1" t="s">
        <v>88</v>
      </c>
      <c r="Y3767" s="1" t="s">
        <v>1582</v>
      </c>
      <c r="Z3767" s="1" t="s">
        <v>37</v>
      </c>
    </row>
    <row r="3768" hidden="1">
      <c r="A3768" s="1" t="s">
        <v>10886</v>
      </c>
      <c r="B3768" s="1" t="s">
        <v>10887</v>
      </c>
      <c r="C3768" s="1" t="s">
        <v>10888</v>
      </c>
      <c r="D3768" s="1" t="s">
        <v>122</v>
      </c>
      <c r="E3768" s="1" t="s">
        <v>28</v>
      </c>
      <c r="F3768" s="2">
        <v>250000.0</v>
      </c>
      <c r="G3768" s="1" t="s">
        <v>8338</v>
      </c>
      <c r="H3768" s="4">
        <f>IFERROR(__xludf.DUMMYFUNCTION("DATE(INDEX(SPLIT(G3768,""/""),,3),INDEX(SPLIT(G3768,""/""),,2),INDEX(SPLIT(G3768,""/""),,1))"),44099.0)</f>
        <v>44099</v>
      </c>
      <c r="I3768" s="1" t="s">
        <v>42</v>
      </c>
      <c r="J3768" s="4">
        <f>IFERROR(__xludf.DUMMYFUNCTION("DATE(INDEX(SPLIT(I3768,""/""),,3),INDEX(SPLIT(I3768,""/""),,2),INDEX(SPLIT(I3768,""/""),,1))"),44926.0)</f>
        <v>44926</v>
      </c>
      <c r="L3768" s="1">
        <v>0.0</v>
      </c>
      <c r="M3768" s="1" t="s">
        <v>9406</v>
      </c>
      <c r="N3768" s="1"/>
      <c r="O3768" s="1" t="s">
        <v>30</v>
      </c>
      <c r="P3768" s="1" t="s">
        <v>31</v>
      </c>
      <c r="Q3768" s="1" t="s">
        <v>228</v>
      </c>
      <c r="R3768" s="1" t="s">
        <v>228</v>
      </c>
      <c r="S3768" s="1" t="s">
        <v>229</v>
      </c>
      <c r="T3768" s="1" t="s">
        <v>513</v>
      </c>
      <c r="U3768" s="1">
        <v>1.01000708E8</v>
      </c>
      <c r="X3768" s="1" t="s">
        <v>2769</v>
      </c>
      <c r="Y3768" s="1" t="s">
        <v>4549</v>
      </c>
      <c r="Z3768" s="1" t="s">
        <v>37</v>
      </c>
    </row>
    <row r="3769" hidden="1">
      <c r="A3769" s="1" t="s">
        <v>10889</v>
      </c>
      <c r="B3769" s="1" t="s">
        <v>315</v>
      </c>
      <c r="C3769" s="1" t="s">
        <v>10890</v>
      </c>
      <c r="D3769" s="1" t="s">
        <v>27</v>
      </c>
      <c r="E3769" s="1" t="s">
        <v>28</v>
      </c>
      <c r="F3769" s="2">
        <v>250000.0</v>
      </c>
      <c r="G3769" s="1" t="s">
        <v>41</v>
      </c>
      <c r="H3769" s="4">
        <f>IFERROR(__xludf.DUMMYFUNCTION("DATE(INDEX(SPLIT(G3769,""/""),,3),INDEX(SPLIT(G3769,""/""),,2),INDEX(SPLIT(G3769,""/""),,1))"),44607.0)</f>
        <v>44607</v>
      </c>
      <c r="I3769" s="1" t="s">
        <v>42</v>
      </c>
      <c r="J3769" s="4">
        <f>IFERROR(__xludf.DUMMYFUNCTION("DATE(INDEX(SPLIT(I3769,""/""),,3),INDEX(SPLIT(I3769,""/""),,2),INDEX(SPLIT(I3769,""/""),,1))"),44926.0)</f>
        <v>44926</v>
      </c>
      <c r="L3769" s="1">
        <v>0.0</v>
      </c>
      <c r="M3769" s="1" t="s">
        <v>936</v>
      </c>
      <c r="N3769" s="1"/>
      <c r="O3769" s="1" t="s">
        <v>30</v>
      </c>
      <c r="P3769" s="1" t="s">
        <v>31</v>
      </c>
      <c r="Q3769" s="1" t="s">
        <v>71</v>
      </c>
      <c r="R3769" s="1" t="s">
        <v>71</v>
      </c>
      <c r="S3769" s="1" t="s">
        <v>72</v>
      </c>
      <c r="T3769" s="1" t="s">
        <v>73</v>
      </c>
      <c r="U3769" s="1">
        <v>1.00941744E8</v>
      </c>
      <c r="X3769" s="1" t="s">
        <v>74</v>
      </c>
      <c r="Y3769" s="1" t="s">
        <v>9580</v>
      </c>
      <c r="Z3769" s="1" t="s">
        <v>37</v>
      </c>
    </row>
    <row r="3770" hidden="1">
      <c r="A3770" s="1" t="s">
        <v>10891</v>
      </c>
      <c r="B3770" s="1" t="s">
        <v>10892</v>
      </c>
      <c r="C3770" s="1" t="s">
        <v>10893</v>
      </c>
      <c r="D3770" s="1" t="s">
        <v>78</v>
      </c>
      <c r="E3770" s="1" t="s">
        <v>28</v>
      </c>
      <c r="F3770" s="2">
        <v>250000.0</v>
      </c>
      <c r="G3770" s="4">
        <v>43199.0</v>
      </c>
      <c r="H3770" s="4">
        <f>IFERROR(__xludf.DUMMYFUNCTION("DATE(INDEX(SPLIT(G3770,""/""),,3),INDEX(SPLIT(G3770,""/""),,2),INDEX(SPLIT(G3770,""/""),,1))"),43347.0)</f>
        <v>43347</v>
      </c>
      <c r="I3770" s="1" t="s">
        <v>1097</v>
      </c>
      <c r="J3770" s="4">
        <f>IFERROR(__xludf.DUMMYFUNCTION("DATE(INDEX(SPLIT(I3770,""/""),,3),INDEX(SPLIT(I3770,""/""),,2),INDEX(SPLIT(I3770,""/""),,1))"),45107.0)</f>
        <v>45107</v>
      </c>
      <c r="L3770" s="1">
        <v>0.0</v>
      </c>
      <c r="M3770" s="1" t="s">
        <v>5120</v>
      </c>
      <c r="N3770" s="1"/>
      <c r="O3770" s="1" t="s">
        <v>30</v>
      </c>
      <c r="P3770" s="1" t="s">
        <v>31</v>
      </c>
      <c r="Q3770" s="1" t="s">
        <v>71</v>
      </c>
      <c r="R3770" s="1" t="s">
        <v>71</v>
      </c>
      <c r="S3770" s="1" t="s">
        <v>72</v>
      </c>
      <c r="T3770" s="1" t="s">
        <v>136</v>
      </c>
      <c r="U3770" s="1">
        <v>1.0059101E8</v>
      </c>
      <c r="X3770" s="1" t="s">
        <v>74</v>
      </c>
      <c r="Y3770" s="1" t="s">
        <v>4735</v>
      </c>
      <c r="Z3770" s="1" t="s">
        <v>37</v>
      </c>
    </row>
    <row r="3771" hidden="1">
      <c r="A3771" s="1" t="s">
        <v>10894</v>
      </c>
      <c r="B3771" s="1" t="s">
        <v>10895</v>
      </c>
      <c r="C3771" s="1" t="s">
        <v>10896</v>
      </c>
      <c r="D3771" s="1" t="s">
        <v>27</v>
      </c>
      <c r="E3771" s="1" t="s">
        <v>28</v>
      </c>
      <c r="F3771" s="2">
        <v>250000.0</v>
      </c>
      <c r="G3771" s="4">
        <v>44652.0</v>
      </c>
      <c r="H3771" s="4">
        <f>IFERROR(__xludf.DUMMYFUNCTION("DATE(INDEX(SPLIT(G3771,""/""),,3),INDEX(SPLIT(G3771,""/""),,2),INDEX(SPLIT(G3771,""/""),,1))"),44565.0)</f>
        <v>44565</v>
      </c>
      <c r="I3771" s="1" t="s">
        <v>130</v>
      </c>
      <c r="J3771" s="4">
        <f>IFERROR(__xludf.DUMMYFUNCTION("DATE(INDEX(SPLIT(I3771,""/""),,3),INDEX(SPLIT(I3771,""/""),,2),INDEX(SPLIT(I3771,""/""),,1))"),44804.0)</f>
        <v>44804</v>
      </c>
      <c r="L3771" s="1">
        <v>0.0</v>
      </c>
      <c r="M3771" s="1" t="s">
        <v>2945</v>
      </c>
      <c r="N3771" s="1"/>
      <c r="O3771" s="1" t="s">
        <v>30</v>
      </c>
      <c r="P3771" s="1" t="s">
        <v>31</v>
      </c>
      <c r="Q3771" s="1" t="s">
        <v>157</v>
      </c>
      <c r="R3771" s="1" t="s">
        <v>157</v>
      </c>
      <c r="S3771" s="1" t="s">
        <v>158</v>
      </c>
      <c r="U3771" s="1">
        <v>1.01138319E8</v>
      </c>
      <c r="X3771" s="1" t="s">
        <v>490</v>
      </c>
      <c r="Y3771" s="1" t="s">
        <v>2945</v>
      </c>
      <c r="Z3771" s="1" t="s">
        <v>206</v>
      </c>
    </row>
    <row r="3772" hidden="1">
      <c r="A3772" s="1" t="s">
        <v>10897</v>
      </c>
      <c r="B3772" s="1" t="s">
        <v>6880</v>
      </c>
      <c r="C3772" s="1" t="s">
        <v>10898</v>
      </c>
      <c r="D3772" s="1" t="s">
        <v>27</v>
      </c>
      <c r="E3772" s="1" t="s">
        <v>28</v>
      </c>
      <c r="F3772" s="2">
        <v>250000.0</v>
      </c>
      <c r="G3772" s="4">
        <v>44564.0</v>
      </c>
      <c r="H3772" s="4">
        <f>IFERROR(__xludf.DUMMYFUNCTION("DATE(INDEX(SPLIT(G3772,""/""),,3),INDEX(SPLIT(G3772,""/""),,2),INDEX(SPLIT(G3772,""/""),,1))"),44621.0)</f>
        <v>44621</v>
      </c>
      <c r="I3772" s="1" t="s">
        <v>281</v>
      </c>
      <c r="J3772" s="4">
        <f>IFERROR(__xludf.DUMMYFUNCTION("DATE(INDEX(SPLIT(I3772,""/""),,3),INDEX(SPLIT(I3772,""/""),,2),INDEX(SPLIT(I3772,""/""),,1))"),44865.0)</f>
        <v>44865</v>
      </c>
      <c r="L3772" s="1">
        <v>0.0</v>
      </c>
      <c r="M3772" s="1" t="s">
        <v>1649</v>
      </c>
      <c r="N3772" s="1"/>
      <c r="O3772" s="1" t="s">
        <v>30</v>
      </c>
      <c r="P3772" s="1" t="s">
        <v>31</v>
      </c>
      <c r="Q3772" s="1" t="s">
        <v>157</v>
      </c>
      <c r="R3772" s="1" t="s">
        <v>157</v>
      </c>
      <c r="S3772" s="1" t="s">
        <v>158</v>
      </c>
      <c r="U3772" s="1">
        <v>1.00643454E8</v>
      </c>
      <c r="X3772" s="1" t="s">
        <v>490</v>
      </c>
      <c r="Y3772" s="1" t="s">
        <v>1649</v>
      </c>
      <c r="Z3772" s="1" t="s">
        <v>37</v>
      </c>
    </row>
    <row r="3773">
      <c r="A3773" s="1" t="s">
        <v>10899</v>
      </c>
      <c r="B3773" s="1" t="s">
        <v>6923</v>
      </c>
      <c r="C3773" s="1" t="s">
        <v>10900</v>
      </c>
      <c r="D3773" s="1" t="s">
        <v>27</v>
      </c>
      <c r="E3773" s="1" t="s">
        <v>28</v>
      </c>
      <c r="F3773" s="2">
        <v>250000.0</v>
      </c>
      <c r="G3773" s="4">
        <v>44471.0</v>
      </c>
      <c r="H3773" s="4">
        <f>IFERROR(__xludf.DUMMYFUNCTION("DATE(INDEX(SPLIT(G3773,""/""),,3),INDEX(SPLIT(G3773,""/""),,2),INDEX(SPLIT(G3773,""/""),,1))"),44237.0)</f>
        <v>44237</v>
      </c>
      <c r="I3773" s="1" t="s">
        <v>69</v>
      </c>
      <c r="J3773" s="4">
        <f>IFERROR(__xludf.DUMMYFUNCTION("DATE(INDEX(SPLIT(I3773,""/""),,3),INDEX(SPLIT(I3773,""/""),,2),INDEX(SPLIT(I3773,""/""),,1))"),44773.0)</f>
        <v>44773</v>
      </c>
      <c r="L3773" s="1">
        <v>0.0</v>
      </c>
      <c r="M3773" s="1" t="s">
        <v>1088</v>
      </c>
      <c r="N3773" s="1"/>
      <c r="O3773" s="1" t="s">
        <v>30</v>
      </c>
      <c r="P3773" s="1" t="s">
        <v>31</v>
      </c>
      <c r="Q3773" s="1" t="s">
        <v>71</v>
      </c>
      <c r="R3773" s="1" t="s">
        <v>71</v>
      </c>
      <c r="S3773" s="1" t="s">
        <v>72</v>
      </c>
      <c r="T3773" s="1" t="s">
        <v>136</v>
      </c>
      <c r="U3773" s="1">
        <v>1.0090037E8</v>
      </c>
      <c r="X3773" s="1" t="s">
        <v>74</v>
      </c>
      <c r="Y3773" s="1" t="s">
        <v>6290</v>
      </c>
      <c r="Z3773" s="1" t="s">
        <v>37</v>
      </c>
    </row>
    <row r="3774" hidden="1">
      <c r="A3774" s="1" t="s">
        <v>10901</v>
      </c>
      <c r="B3774" s="1" t="s">
        <v>5158</v>
      </c>
      <c r="C3774" s="1" t="s">
        <v>10902</v>
      </c>
      <c r="D3774" s="1" t="s">
        <v>27</v>
      </c>
      <c r="E3774" s="1" t="s">
        <v>28</v>
      </c>
      <c r="F3774" s="2">
        <v>250000.0</v>
      </c>
      <c r="G3774" s="1" t="s">
        <v>568</v>
      </c>
      <c r="H3774" s="4">
        <f>IFERROR(__xludf.DUMMYFUNCTION("DATE(INDEX(SPLIT(G3774,""/""),,3),INDEX(SPLIT(G3774,""/""),,2),INDEX(SPLIT(G3774,""/""),,1))"),44587.0)</f>
        <v>44587</v>
      </c>
      <c r="I3774" s="1" t="s">
        <v>42</v>
      </c>
      <c r="J3774" s="4">
        <f>IFERROR(__xludf.DUMMYFUNCTION("DATE(INDEX(SPLIT(I3774,""/""),,3),INDEX(SPLIT(I3774,""/""),,2),INDEX(SPLIT(I3774,""/""),,1))"),44926.0)</f>
        <v>44926</v>
      </c>
      <c r="L3774" s="1">
        <v>0.0</v>
      </c>
      <c r="M3774" s="1" t="s">
        <v>936</v>
      </c>
      <c r="N3774" s="1"/>
      <c r="O3774" s="1" t="s">
        <v>30</v>
      </c>
      <c r="P3774" s="1" t="s">
        <v>31</v>
      </c>
      <c r="Q3774" s="1" t="s">
        <v>71</v>
      </c>
      <c r="R3774" s="1" t="s">
        <v>71</v>
      </c>
      <c r="S3774" s="1" t="s">
        <v>72</v>
      </c>
      <c r="T3774" s="1" t="s">
        <v>73</v>
      </c>
      <c r="U3774" s="1">
        <v>1.00941744E8</v>
      </c>
      <c r="X3774" s="1" t="s">
        <v>74</v>
      </c>
      <c r="Y3774" s="1" t="s">
        <v>2622</v>
      </c>
      <c r="Z3774" s="1" t="s">
        <v>37</v>
      </c>
    </row>
    <row r="3775" hidden="1">
      <c r="A3775" s="1" t="s">
        <v>10903</v>
      </c>
      <c r="B3775" s="1" t="s">
        <v>10904</v>
      </c>
      <c r="C3775" s="1" t="s">
        <v>10896</v>
      </c>
      <c r="D3775" s="1" t="s">
        <v>27</v>
      </c>
      <c r="E3775" s="1" t="s">
        <v>28</v>
      </c>
      <c r="F3775" s="2">
        <v>250000.0</v>
      </c>
      <c r="G3775" s="4">
        <v>44652.0</v>
      </c>
      <c r="H3775" s="4">
        <f>IFERROR(__xludf.DUMMYFUNCTION("DATE(INDEX(SPLIT(G3775,""/""),,3),INDEX(SPLIT(G3775,""/""),,2),INDEX(SPLIT(G3775,""/""),,1))"),44565.0)</f>
        <v>44565</v>
      </c>
      <c r="I3775" s="1" t="s">
        <v>130</v>
      </c>
      <c r="J3775" s="4">
        <f>IFERROR(__xludf.DUMMYFUNCTION("DATE(INDEX(SPLIT(I3775,""/""),,3),INDEX(SPLIT(I3775,""/""),,2),INDEX(SPLIT(I3775,""/""),,1))"),44804.0)</f>
        <v>44804</v>
      </c>
      <c r="L3775" s="1">
        <v>0.0</v>
      </c>
      <c r="M3775" s="1" t="s">
        <v>2945</v>
      </c>
      <c r="N3775" s="1"/>
      <c r="O3775" s="1" t="s">
        <v>30</v>
      </c>
      <c r="P3775" s="1" t="s">
        <v>31</v>
      </c>
      <c r="Q3775" s="1" t="s">
        <v>157</v>
      </c>
      <c r="R3775" s="1" t="s">
        <v>157</v>
      </c>
      <c r="S3775" s="1" t="s">
        <v>158</v>
      </c>
      <c r="U3775" s="1">
        <v>1.01138319E8</v>
      </c>
      <c r="X3775" s="1" t="s">
        <v>117</v>
      </c>
      <c r="Y3775" s="1" t="s">
        <v>2945</v>
      </c>
      <c r="Z3775" s="1" t="s">
        <v>206</v>
      </c>
    </row>
    <row r="3776" hidden="1">
      <c r="A3776" s="1" t="s">
        <v>10905</v>
      </c>
      <c r="B3776" s="1" t="s">
        <v>39</v>
      </c>
      <c r="C3776" s="1" t="s">
        <v>10906</v>
      </c>
      <c r="D3776" s="1" t="s">
        <v>78</v>
      </c>
      <c r="E3776" s="1" t="s">
        <v>28</v>
      </c>
      <c r="F3776" s="2">
        <v>250000.0</v>
      </c>
      <c r="G3776" s="4">
        <v>44718.0</v>
      </c>
      <c r="H3776" s="4">
        <f>IFERROR(__xludf.DUMMYFUNCTION("DATE(INDEX(SPLIT(G3776,""/""),,3),INDEX(SPLIT(G3776,""/""),,2),INDEX(SPLIT(G3776,""/""),,1))"),44718.0)</f>
        <v>44718</v>
      </c>
      <c r="I3776" s="1" t="s">
        <v>85</v>
      </c>
      <c r="J3776" s="4">
        <f>IFERROR(__xludf.DUMMYFUNCTION("DATE(INDEX(SPLIT(I3776,""/""),,3),INDEX(SPLIT(I3776,""/""),,2),INDEX(SPLIT(I3776,""/""),,1))"),44799.0)</f>
        <v>44799</v>
      </c>
      <c r="L3776" s="1">
        <v>0.0</v>
      </c>
      <c r="M3776" s="1" t="s">
        <v>1084</v>
      </c>
      <c r="N3776" s="1"/>
      <c r="O3776" s="1" t="s">
        <v>30</v>
      </c>
      <c r="P3776" s="1" t="s">
        <v>31</v>
      </c>
      <c r="Q3776" s="1" t="s">
        <v>32</v>
      </c>
      <c r="R3776" s="1" t="s">
        <v>32</v>
      </c>
      <c r="S3776" s="1" t="s">
        <v>33</v>
      </c>
      <c r="U3776" s="1">
        <v>1.00601386E8</v>
      </c>
      <c r="X3776" s="1" t="s">
        <v>46</v>
      </c>
      <c r="Y3776" s="1" t="s">
        <v>1084</v>
      </c>
      <c r="Z3776" s="1" t="s">
        <v>37</v>
      </c>
    </row>
    <row r="3777" hidden="1">
      <c r="A3777" s="1" t="s">
        <v>10907</v>
      </c>
      <c r="B3777" s="1" t="s">
        <v>59</v>
      </c>
      <c r="C3777" s="1" t="s">
        <v>10908</v>
      </c>
      <c r="D3777" s="1" t="s">
        <v>78</v>
      </c>
      <c r="E3777" s="1" t="s">
        <v>28</v>
      </c>
      <c r="F3777" s="2">
        <v>250000.0</v>
      </c>
      <c r="G3777" s="4">
        <v>44718.0</v>
      </c>
      <c r="H3777" s="4">
        <f>IFERROR(__xludf.DUMMYFUNCTION("DATE(INDEX(SPLIT(G3777,""/""),,3),INDEX(SPLIT(G3777,""/""),,2),INDEX(SPLIT(G3777,""/""),,1))"),44718.0)</f>
        <v>44718</v>
      </c>
      <c r="I3777" s="1" t="s">
        <v>130</v>
      </c>
      <c r="J3777" s="4">
        <f>IFERROR(__xludf.DUMMYFUNCTION("DATE(INDEX(SPLIT(I3777,""/""),,3),INDEX(SPLIT(I3777,""/""),,2),INDEX(SPLIT(I3777,""/""),,1))"),44804.0)</f>
        <v>44804</v>
      </c>
      <c r="L3777" s="1">
        <v>0.0</v>
      </c>
      <c r="M3777" s="1" t="s">
        <v>5135</v>
      </c>
      <c r="N3777" s="1"/>
      <c r="O3777" s="1" t="s">
        <v>30</v>
      </c>
      <c r="P3777" s="1" t="s">
        <v>31</v>
      </c>
      <c r="Q3777" s="1" t="s">
        <v>228</v>
      </c>
      <c r="R3777" s="1" t="s">
        <v>228</v>
      </c>
      <c r="S3777" s="1" t="s">
        <v>229</v>
      </c>
      <c r="T3777" s="1" t="s">
        <v>640</v>
      </c>
      <c r="U3777" s="1">
        <v>1.0064195E8</v>
      </c>
      <c r="X3777" s="1" t="s">
        <v>63</v>
      </c>
      <c r="Y3777" s="1" t="s">
        <v>10909</v>
      </c>
      <c r="Z3777" s="1" t="s">
        <v>37</v>
      </c>
    </row>
    <row r="3778" hidden="1">
      <c r="A3778" s="1" t="s">
        <v>10910</v>
      </c>
      <c r="B3778" s="1" t="s">
        <v>6402</v>
      </c>
      <c r="C3778" s="1" t="s">
        <v>10911</v>
      </c>
      <c r="D3778" s="1" t="s">
        <v>27</v>
      </c>
      <c r="E3778" s="1" t="s">
        <v>28</v>
      </c>
      <c r="F3778" s="2">
        <v>250000.0</v>
      </c>
      <c r="G3778" s="1" t="s">
        <v>1674</v>
      </c>
      <c r="H3778" s="4">
        <f>IFERROR(__xludf.DUMMYFUNCTION("DATE(INDEX(SPLIT(G3778,""/""),,3),INDEX(SPLIT(G3778,""/""),,2),INDEX(SPLIT(G3778,""/""),,1))"),44617.0)</f>
        <v>44617</v>
      </c>
      <c r="I3778" s="1" t="s">
        <v>430</v>
      </c>
      <c r="J3778" s="4">
        <f>IFERROR(__xludf.DUMMYFUNCTION("DATE(INDEX(SPLIT(I3778,""/""),,3),INDEX(SPLIT(I3778,""/""),,2),INDEX(SPLIT(I3778,""/""),,1))"),44985.0)</f>
        <v>44985</v>
      </c>
      <c r="L3778" s="1">
        <v>0.0</v>
      </c>
      <c r="M3778" s="1" t="s">
        <v>234</v>
      </c>
      <c r="N3778" s="1"/>
      <c r="O3778" s="1" t="s">
        <v>30</v>
      </c>
      <c r="P3778" s="1" t="s">
        <v>31</v>
      </c>
      <c r="Q3778" s="1" t="s">
        <v>235</v>
      </c>
      <c r="R3778" s="1" t="s">
        <v>235</v>
      </c>
      <c r="S3778" s="1" t="s">
        <v>236</v>
      </c>
      <c r="T3778" s="1" t="s">
        <v>237</v>
      </c>
      <c r="U3778" s="1">
        <v>1.00658132E8</v>
      </c>
      <c r="X3778" s="1" t="s">
        <v>239</v>
      </c>
      <c r="Y3778" s="1" t="s">
        <v>4986</v>
      </c>
      <c r="Z3778" s="1" t="s">
        <v>37</v>
      </c>
    </row>
    <row r="3779">
      <c r="A3779" s="1" t="s">
        <v>10912</v>
      </c>
      <c r="B3779" s="1" t="s">
        <v>1748</v>
      </c>
      <c r="C3779" s="1" t="s">
        <v>10913</v>
      </c>
      <c r="D3779" s="1" t="s">
        <v>27</v>
      </c>
      <c r="E3779" s="1" t="s">
        <v>28</v>
      </c>
      <c r="F3779" s="2">
        <v>250000.0</v>
      </c>
      <c r="G3779" s="4">
        <v>44713.0</v>
      </c>
      <c r="H3779" s="4">
        <f>IFERROR(__xludf.DUMMYFUNCTION("DATE(INDEX(SPLIT(G3779,""/""),,3),INDEX(SPLIT(G3779,""/""),,2),INDEX(SPLIT(G3779,""/""),,1))"),44567.0)</f>
        <v>44567</v>
      </c>
      <c r="I3779" s="1" t="s">
        <v>472</v>
      </c>
      <c r="J3779" s="4">
        <f>IFERROR(__xludf.DUMMYFUNCTION("DATE(INDEX(SPLIT(I3779,""/""),,3),INDEX(SPLIT(I3779,""/""),,2),INDEX(SPLIT(I3779,""/""),,1))"),44760.0)</f>
        <v>44760</v>
      </c>
      <c r="L3779" s="1">
        <v>0.0</v>
      </c>
      <c r="M3779" s="1" t="s">
        <v>5684</v>
      </c>
      <c r="N3779" s="1"/>
      <c r="O3779" s="1" t="s">
        <v>30</v>
      </c>
      <c r="P3779" s="1" t="s">
        <v>31</v>
      </c>
      <c r="Q3779" s="1" t="s">
        <v>53</v>
      </c>
      <c r="R3779" s="1" t="s">
        <v>53</v>
      </c>
      <c r="S3779" s="1" t="s">
        <v>54</v>
      </c>
      <c r="T3779" s="1" t="s">
        <v>1349</v>
      </c>
      <c r="U3779" s="1">
        <v>1.00649463E8</v>
      </c>
      <c r="X3779" s="1" t="s">
        <v>88</v>
      </c>
      <c r="Y3779" s="1" t="s">
        <v>4920</v>
      </c>
      <c r="Z3779" s="1" t="s">
        <v>37</v>
      </c>
    </row>
    <row r="3780">
      <c r="A3780" s="1" t="s">
        <v>10914</v>
      </c>
      <c r="B3780" s="1" t="s">
        <v>2303</v>
      </c>
      <c r="C3780" s="1" t="s">
        <v>10915</v>
      </c>
      <c r="D3780" s="1" t="s">
        <v>78</v>
      </c>
      <c r="E3780" s="1" t="s">
        <v>28</v>
      </c>
      <c r="F3780" s="2">
        <v>250000.0</v>
      </c>
      <c r="G3780" s="1" t="s">
        <v>1851</v>
      </c>
      <c r="H3780" s="4">
        <f>IFERROR(__xludf.DUMMYFUNCTION("DATE(INDEX(SPLIT(G3780,""/""),,3),INDEX(SPLIT(G3780,""/""),,2),INDEX(SPLIT(G3780,""/""),,1))"),44646.0)</f>
        <v>44646</v>
      </c>
      <c r="I3780" s="1" t="s">
        <v>226</v>
      </c>
      <c r="J3780" s="4">
        <f>IFERROR(__xludf.DUMMYFUNCTION("DATE(INDEX(SPLIT(I3780,""/""),,3),INDEX(SPLIT(I3780,""/""),,2),INDEX(SPLIT(I3780,""/""),,1))"),44771.0)</f>
        <v>44771</v>
      </c>
      <c r="L3780" s="1">
        <v>0.0</v>
      </c>
      <c r="M3780" s="1" t="s">
        <v>1959</v>
      </c>
      <c r="N3780" s="1"/>
      <c r="O3780" s="1" t="s">
        <v>30</v>
      </c>
      <c r="P3780" s="1" t="s">
        <v>31</v>
      </c>
      <c r="Q3780" s="1" t="s">
        <v>228</v>
      </c>
      <c r="R3780" s="1" t="s">
        <v>228</v>
      </c>
      <c r="S3780" s="1" t="s">
        <v>229</v>
      </c>
      <c r="T3780" s="1" t="s">
        <v>640</v>
      </c>
      <c r="U3780" s="1">
        <v>1.00955805E8</v>
      </c>
      <c r="X3780" s="1" t="s">
        <v>375</v>
      </c>
      <c r="Y3780" s="1" t="s">
        <v>1959</v>
      </c>
      <c r="Z3780" s="1" t="s">
        <v>37</v>
      </c>
    </row>
    <row r="3781" hidden="1">
      <c r="A3781" s="1" t="s">
        <v>10916</v>
      </c>
      <c r="B3781" s="1" t="s">
        <v>645</v>
      </c>
      <c r="C3781" s="1" t="s">
        <v>10917</v>
      </c>
      <c r="D3781" s="1" t="s">
        <v>27</v>
      </c>
      <c r="E3781" s="1" t="s">
        <v>28</v>
      </c>
      <c r="F3781" s="2">
        <v>250000.0</v>
      </c>
      <c r="G3781" s="1" t="s">
        <v>2101</v>
      </c>
      <c r="H3781" s="4">
        <f>IFERROR(__xludf.DUMMYFUNCTION("DATE(INDEX(SPLIT(G3781,""/""),,3),INDEX(SPLIT(G3781,""/""),,2),INDEX(SPLIT(G3781,""/""),,1))"),44579.0)</f>
        <v>44579</v>
      </c>
      <c r="I3781" s="1" t="s">
        <v>652</v>
      </c>
      <c r="J3781" s="4">
        <f>IFERROR(__xludf.DUMMYFUNCTION("DATE(INDEX(SPLIT(I3781,""/""),,3),INDEX(SPLIT(I3781,""/""),,2),INDEX(SPLIT(I3781,""/""),,1))"),44863.0)</f>
        <v>44863</v>
      </c>
      <c r="L3781" s="1">
        <v>0.0</v>
      </c>
      <c r="M3781" s="1" t="s">
        <v>2067</v>
      </c>
      <c r="N3781" s="1"/>
      <c r="O3781" s="1" t="s">
        <v>30</v>
      </c>
      <c r="P3781" s="1" t="s">
        <v>31</v>
      </c>
      <c r="Q3781" s="1" t="s">
        <v>95</v>
      </c>
      <c r="R3781" s="1" t="s">
        <v>95</v>
      </c>
      <c r="S3781" s="1" t="s">
        <v>96</v>
      </c>
      <c r="T3781" s="1" t="s">
        <v>111</v>
      </c>
      <c r="U3781" s="1">
        <v>1.00631322E8</v>
      </c>
      <c r="X3781" s="1" t="s">
        <v>190</v>
      </c>
      <c r="Y3781" s="1" t="s">
        <v>7026</v>
      </c>
      <c r="Z3781" s="1" t="s">
        <v>37</v>
      </c>
    </row>
    <row r="3782" hidden="1">
      <c r="A3782" s="1" t="s">
        <v>10918</v>
      </c>
      <c r="B3782" s="1" t="s">
        <v>889</v>
      </c>
      <c r="C3782" s="1" t="s">
        <v>10919</v>
      </c>
      <c r="D3782" s="1" t="s">
        <v>78</v>
      </c>
      <c r="E3782" s="1" t="s">
        <v>28</v>
      </c>
      <c r="F3782" s="2">
        <v>250000.0</v>
      </c>
      <c r="G3782" s="4">
        <v>43658.0</v>
      </c>
      <c r="H3782" s="4">
        <f>IFERROR(__xludf.DUMMYFUNCTION("DATE(INDEX(SPLIT(G3782,""/""),,3),INDEX(SPLIT(G3782,""/""),,2),INDEX(SPLIT(G3782,""/""),,1))"),43806.0)</f>
        <v>43806</v>
      </c>
      <c r="I3782" s="1" t="s">
        <v>130</v>
      </c>
      <c r="J3782" s="4">
        <f>IFERROR(__xludf.DUMMYFUNCTION("DATE(INDEX(SPLIT(I3782,""/""),,3),INDEX(SPLIT(I3782,""/""),,2),INDEX(SPLIT(I3782,""/""),,1))"),44804.0)</f>
        <v>44804</v>
      </c>
      <c r="L3782" s="1">
        <v>0.0</v>
      </c>
      <c r="M3782" s="1" t="s">
        <v>2510</v>
      </c>
      <c r="N3782" s="1"/>
      <c r="O3782" s="1" t="s">
        <v>30</v>
      </c>
      <c r="P3782" s="1" t="s">
        <v>31</v>
      </c>
      <c r="Q3782" s="1" t="s">
        <v>157</v>
      </c>
      <c r="R3782" s="1" t="s">
        <v>157</v>
      </c>
      <c r="S3782" s="1" t="s">
        <v>158</v>
      </c>
      <c r="T3782" s="1" t="s">
        <v>505</v>
      </c>
      <c r="U3782" s="1">
        <v>1.00634919E8</v>
      </c>
      <c r="X3782" s="1" t="s">
        <v>125</v>
      </c>
      <c r="Y3782" s="1" t="s">
        <v>3047</v>
      </c>
      <c r="Z3782" s="1" t="s">
        <v>37</v>
      </c>
    </row>
    <row r="3783" hidden="1">
      <c r="A3783" s="1" t="s">
        <v>10920</v>
      </c>
      <c r="B3783" s="1" t="s">
        <v>10921</v>
      </c>
      <c r="C3783" s="1" t="s">
        <v>10896</v>
      </c>
      <c r="D3783" s="1" t="s">
        <v>27</v>
      </c>
      <c r="E3783" s="1" t="s">
        <v>28</v>
      </c>
      <c r="F3783" s="2">
        <v>250000.0</v>
      </c>
      <c r="G3783" s="4">
        <v>44652.0</v>
      </c>
      <c r="H3783" s="4">
        <f>IFERROR(__xludf.DUMMYFUNCTION("DATE(INDEX(SPLIT(G3783,""/""),,3),INDEX(SPLIT(G3783,""/""),,2),INDEX(SPLIT(G3783,""/""),,1))"),44565.0)</f>
        <v>44565</v>
      </c>
      <c r="I3783" s="1" t="s">
        <v>130</v>
      </c>
      <c r="J3783" s="4">
        <f>IFERROR(__xludf.DUMMYFUNCTION("DATE(INDEX(SPLIT(I3783,""/""),,3),INDEX(SPLIT(I3783,""/""),,2),INDEX(SPLIT(I3783,""/""),,1))"),44804.0)</f>
        <v>44804</v>
      </c>
      <c r="L3783" s="1">
        <v>0.0</v>
      </c>
      <c r="M3783" s="1" t="s">
        <v>2945</v>
      </c>
      <c r="N3783" s="1"/>
      <c r="O3783" s="1" t="s">
        <v>30</v>
      </c>
      <c r="P3783" s="1" t="s">
        <v>31</v>
      </c>
      <c r="Q3783" s="1" t="s">
        <v>157</v>
      </c>
      <c r="R3783" s="1" t="s">
        <v>157</v>
      </c>
      <c r="S3783" s="1" t="s">
        <v>158</v>
      </c>
      <c r="U3783" s="1">
        <v>1.01138319E8</v>
      </c>
      <c r="X3783" s="1" t="s">
        <v>74</v>
      </c>
      <c r="Y3783" s="1" t="s">
        <v>2945</v>
      </c>
      <c r="Z3783" s="1" t="s">
        <v>206</v>
      </c>
    </row>
    <row r="3784" hidden="1">
      <c r="A3784" s="1" t="s">
        <v>10922</v>
      </c>
      <c r="B3784" s="1" t="s">
        <v>1790</v>
      </c>
      <c r="C3784" s="1" t="s">
        <v>10923</v>
      </c>
      <c r="D3784" s="1" t="s">
        <v>27</v>
      </c>
      <c r="E3784" s="1" t="s">
        <v>28</v>
      </c>
      <c r="F3784" s="2">
        <v>250000.0</v>
      </c>
      <c r="G3784" s="1" t="s">
        <v>429</v>
      </c>
      <c r="H3784" s="4">
        <f>IFERROR(__xludf.DUMMYFUNCTION("DATE(INDEX(SPLIT(G3784,""/""),,3),INDEX(SPLIT(G3784,""/""),,2),INDEX(SPLIT(G3784,""/""),,1))"),44739.0)</f>
        <v>44739</v>
      </c>
      <c r="I3784" s="1" t="s">
        <v>109</v>
      </c>
      <c r="J3784" s="4">
        <f>IFERROR(__xludf.DUMMYFUNCTION("DATE(INDEX(SPLIT(I3784,""/""),,3),INDEX(SPLIT(I3784,""/""),,2),INDEX(SPLIT(I3784,""/""),,1))"),44834.0)</f>
        <v>44834</v>
      </c>
      <c r="L3784" s="1">
        <v>0.0</v>
      </c>
      <c r="M3784" s="1" t="s">
        <v>4639</v>
      </c>
      <c r="N3784" s="1"/>
      <c r="O3784" s="1" t="s">
        <v>30</v>
      </c>
      <c r="P3784" s="1" t="s">
        <v>31</v>
      </c>
      <c r="Q3784" s="1" t="s">
        <v>53</v>
      </c>
      <c r="R3784" s="1" t="s">
        <v>53</v>
      </c>
      <c r="S3784" s="1" t="s">
        <v>54</v>
      </c>
      <c r="U3784" s="1">
        <v>1.00660049E8</v>
      </c>
      <c r="X3784" s="1" t="s">
        <v>88</v>
      </c>
      <c r="Y3784" s="1" t="s">
        <v>10648</v>
      </c>
      <c r="Z3784" s="1" t="s">
        <v>37</v>
      </c>
    </row>
    <row r="3785" hidden="1">
      <c r="A3785" s="1" t="s">
        <v>10924</v>
      </c>
      <c r="B3785" s="1" t="s">
        <v>10925</v>
      </c>
      <c r="C3785" s="1" t="s">
        <v>10896</v>
      </c>
      <c r="D3785" s="1" t="s">
        <v>27</v>
      </c>
      <c r="E3785" s="1" t="s">
        <v>28</v>
      </c>
      <c r="F3785" s="2">
        <v>250000.0</v>
      </c>
      <c r="G3785" s="4">
        <v>44652.0</v>
      </c>
      <c r="H3785" s="4">
        <f>IFERROR(__xludf.DUMMYFUNCTION("DATE(INDEX(SPLIT(G3785,""/""),,3),INDEX(SPLIT(G3785,""/""),,2),INDEX(SPLIT(G3785,""/""),,1))"),44565.0)</f>
        <v>44565</v>
      </c>
      <c r="I3785" s="1" t="s">
        <v>130</v>
      </c>
      <c r="J3785" s="4">
        <f>IFERROR(__xludf.DUMMYFUNCTION("DATE(INDEX(SPLIT(I3785,""/""),,3),INDEX(SPLIT(I3785,""/""),,2),INDEX(SPLIT(I3785,""/""),,1))"),44804.0)</f>
        <v>44804</v>
      </c>
      <c r="L3785" s="1">
        <v>0.0</v>
      </c>
      <c r="M3785" s="1" t="s">
        <v>2945</v>
      </c>
      <c r="N3785" s="1"/>
      <c r="O3785" s="1" t="s">
        <v>30</v>
      </c>
      <c r="P3785" s="1" t="s">
        <v>31</v>
      </c>
      <c r="Q3785" s="1" t="s">
        <v>157</v>
      </c>
      <c r="R3785" s="1" t="s">
        <v>157</v>
      </c>
      <c r="S3785" s="1" t="s">
        <v>158</v>
      </c>
      <c r="U3785" s="1">
        <v>1.01138319E8</v>
      </c>
      <c r="X3785" s="1" t="s">
        <v>74</v>
      </c>
      <c r="Y3785" s="1" t="s">
        <v>2945</v>
      </c>
      <c r="Z3785" s="1" t="s">
        <v>206</v>
      </c>
    </row>
    <row r="3786" hidden="1">
      <c r="A3786" s="1" t="s">
        <v>10926</v>
      </c>
      <c r="B3786" s="1" t="s">
        <v>3404</v>
      </c>
      <c r="C3786" s="1" t="s">
        <v>10927</v>
      </c>
      <c r="D3786" s="1" t="s">
        <v>27</v>
      </c>
      <c r="E3786" s="1" t="s">
        <v>28</v>
      </c>
      <c r="F3786" s="2">
        <v>250000.0</v>
      </c>
      <c r="G3786" s="4">
        <v>44623.0</v>
      </c>
      <c r="H3786" s="4">
        <f>IFERROR(__xludf.DUMMYFUNCTION("DATE(INDEX(SPLIT(G3786,""/""),,3),INDEX(SPLIT(G3786,""/""),,2),INDEX(SPLIT(G3786,""/""),,1))"),44623.0)</f>
        <v>44623</v>
      </c>
      <c r="I3786" s="1" t="s">
        <v>535</v>
      </c>
      <c r="J3786" s="4">
        <f>IFERROR(__xludf.DUMMYFUNCTION("DATE(INDEX(SPLIT(I3786,""/""),,3),INDEX(SPLIT(I3786,""/""),,2),INDEX(SPLIT(I3786,""/""),,1))"),44957.0)</f>
        <v>44957</v>
      </c>
      <c r="L3786" s="1">
        <v>0.0</v>
      </c>
      <c r="M3786" s="1" t="s">
        <v>52</v>
      </c>
      <c r="N3786" s="1"/>
      <c r="O3786" s="1" t="s">
        <v>30</v>
      </c>
      <c r="P3786" s="1" t="s">
        <v>31</v>
      </c>
      <c r="Q3786" s="1" t="s">
        <v>53</v>
      </c>
      <c r="R3786" s="1" t="s">
        <v>53</v>
      </c>
      <c r="S3786" s="1" t="s">
        <v>54</v>
      </c>
      <c r="T3786" s="1" t="s">
        <v>103</v>
      </c>
      <c r="U3786" s="1">
        <v>1.01059432E8</v>
      </c>
      <c r="X3786" s="1" t="s">
        <v>312</v>
      </c>
      <c r="Y3786" s="1" t="s">
        <v>2367</v>
      </c>
      <c r="Z3786" s="1" t="s">
        <v>37</v>
      </c>
    </row>
    <row r="3787" hidden="1">
      <c r="A3787" s="1" t="s">
        <v>10928</v>
      </c>
      <c r="B3787" s="1" t="s">
        <v>948</v>
      </c>
      <c r="C3787" s="1" t="s">
        <v>10929</v>
      </c>
      <c r="D3787" s="1" t="s">
        <v>27</v>
      </c>
      <c r="E3787" s="1" t="s">
        <v>28</v>
      </c>
      <c r="F3787" s="2">
        <v>250000.0</v>
      </c>
      <c r="G3787" s="1" t="s">
        <v>3178</v>
      </c>
      <c r="H3787" s="4">
        <f>IFERROR(__xludf.DUMMYFUNCTION("DATE(INDEX(SPLIT(G3787,""/""),,3),INDEX(SPLIT(G3787,""/""),,2),INDEX(SPLIT(G3787,""/""),,1))"),44644.0)</f>
        <v>44644</v>
      </c>
      <c r="I3787" s="1" t="s">
        <v>109</v>
      </c>
      <c r="J3787" s="4">
        <f>IFERROR(__xludf.DUMMYFUNCTION("DATE(INDEX(SPLIT(I3787,""/""),,3),INDEX(SPLIT(I3787,""/""),,2),INDEX(SPLIT(I3787,""/""),,1))"),44834.0)</f>
        <v>44834</v>
      </c>
      <c r="L3787" s="1">
        <v>0.0</v>
      </c>
      <c r="M3787" s="1" t="s">
        <v>318</v>
      </c>
      <c r="N3787" s="1"/>
      <c r="O3787" s="1" t="s">
        <v>30</v>
      </c>
      <c r="P3787" s="1" t="s">
        <v>31</v>
      </c>
      <c r="Q3787" s="1" t="s">
        <v>71</v>
      </c>
      <c r="R3787" s="1" t="s">
        <v>71</v>
      </c>
      <c r="S3787" s="1" t="s">
        <v>72</v>
      </c>
      <c r="T3787" s="1" t="s">
        <v>73</v>
      </c>
      <c r="U3787" s="1">
        <v>1.00654705E8</v>
      </c>
      <c r="X3787" s="1" t="s">
        <v>74</v>
      </c>
      <c r="Y3787" s="1" t="s">
        <v>10930</v>
      </c>
      <c r="Z3787" s="1" t="s">
        <v>37</v>
      </c>
    </row>
    <row r="3788" hidden="1">
      <c r="A3788" s="1" t="s">
        <v>10931</v>
      </c>
      <c r="B3788" s="1" t="s">
        <v>434</v>
      </c>
      <c r="C3788" s="1" t="s">
        <v>10932</v>
      </c>
      <c r="D3788" s="1" t="s">
        <v>27</v>
      </c>
      <c r="E3788" s="1" t="s">
        <v>28</v>
      </c>
      <c r="F3788" s="2">
        <v>250000.0</v>
      </c>
      <c r="G3788" s="1" t="s">
        <v>41</v>
      </c>
      <c r="H3788" s="4">
        <f>IFERROR(__xludf.DUMMYFUNCTION("DATE(INDEX(SPLIT(G3788,""/""),,3),INDEX(SPLIT(G3788,""/""),,2),INDEX(SPLIT(G3788,""/""),,1))"),44607.0)</f>
        <v>44607</v>
      </c>
      <c r="I3788" s="4">
        <v>44573.0</v>
      </c>
      <c r="J3788" s="4">
        <f>IFERROR(__xludf.DUMMYFUNCTION("DATE(INDEX(SPLIT(I3788,""/""),,3),INDEX(SPLIT(I3788,""/""),,2),INDEX(SPLIT(I3788,""/""),,1))"),44896.0)</f>
        <v>44896</v>
      </c>
      <c r="L3788" s="1">
        <v>0.0</v>
      </c>
      <c r="M3788" s="1" t="s">
        <v>1737</v>
      </c>
      <c r="N3788" s="1"/>
      <c r="O3788" s="1" t="s">
        <v>30</v>
      </c>
      <c r="P3788" s="1" t="s">
        <v>31</v>
      </c>
      <c r="Q3788" s="1" t="s">
        <v>53</v>
      </c>
      <c r="R3788" s="1" t="s">
        <v>53</v>
      </c>
      <c r="S3788" s="1" t="s">
        <v>54</v>
      </c>
      <c r="T3788" s="1" t="s">
        <v>1386</v>
      </c>
      <c r="U3788" s="1">
        <v>1.00642067E8</v>
      </c>
      <c r="X3788" s="1" t="s">
        <v>88</v>
      </c>
      <c r="Y3788" s="1" t="s">
        <v>1387</v>
      </c>
      <c r="Z3788" s="1" t="s">
        <v>37</v>
      </c>
    </row>
    <row r="3789" hidden="1">
      <c r="A3789" s="1" t="s">
        <v>10933</v>
      </c>
      <c r="B3789" s="1" t="s">
        <v>1720</v>
      </c>
      <c r="C3789" s="1" t="s">
        <v>10934</v>
      </c>
      <c r="D3789" s="1" t="s">
        <v>122</v>
      </c>
      <c r="E3789" s="1" t="s">
        <v>28</v>
      </c>
      <c r="F3789" s="2">
        <v>250000.0</v>
      </c>
      <c r="G3789" s="1" t="s">
        <v>1442</v>
      </c>
      <c r="H3789" s="4">
        <f>IFERROR(__xludf.DUMMYFUNCTION("DATE(INDEX(SPLIT(G3789,""/""),,3),INDEX(SPLIT(G3789,""/""),,2),INDEX(SPLIT(G3789,""/""),,1))"),44727.0)</f>
        <v>44727</v>
      </c>
      <c r="I3789" s="1" t="s">
        <v>109</v>
      </c>
      <c r="J3789" s="4">
        <f>IFERROR(__xludf.DUMMYFUNCTION("DATE(INDEX(SPLIT(I3789,""/""),,3),INDEX(SPLIT(I3789,""/""),,2),INDEX(SPLIT(I3789,""/""),,1))"),44834.0)</f>
        <v>44834</v>
      </c>
      <c r="L3789" s="1">
        <v>0.0</v>
      </c>
      <c r="M3789" s="1" t="s">
        <v>1621</v>
      </c>
      <c r="N3789" s="1"/>
      <c r="O3789" s="1" t="s">
        <v>30</v>
      </c>
      <c r="P3789" s="1" t="s">
        <v>31</v>
      </c>
      <c r="Q3789" s="1" t="s">
        <v>157</v>
      </c>
      <c r="R3789" s="1" t="s">
        <v>157</v>
      </c>
      <c r="S3789" s="1" t="s">
        <v>158</v>
      </c>
      <c r="T3789" s="1" t="s">
        <v>10935</v>
      </c>
      <c r="U3789" s="1">
        <v>1.00650783E8</v>
      </c>
      <c r="X3789" s="1" t="s">
        <v>74</v>
      </c>
      <c r="Y3789" s="1" t="s">
        <v>6503</v>
      </c>
      <c r="Z3789" s="1" t="s">
        <v>37</v>
      </c>
    </row>
    <row r="3790">
      <c r="A3790" s="1" t="s">
        <v>10936</v>
      </c>
      <c r="B3790" s="1" t="s">
        <v>566</v>
      </c>
      <c r="C3790" s="1" t="s">
        <v>10937</v>
      </c>
      <c r="D3790" s="1" t="s">
        <v>27</v>
      </c>
      <c r="E3790" s="1" t="s">
        <v>28</v>
      </c>
      <c r="F3790" s="2">
        <v>250000.0</v>
      </c>
      <c r="G3790" s="1" t="s">
        <v>2077</v>
      </c>
      <c r="H3790" s="4">
        <f>IFERROR(__xludf.DUMMYFUNCTION("DATE(INDEX(SPLIT(G3790,""/""),,3),INDEX(SPLIT(G3790,""/""),,2),INDEX(SPLIT(G3790,""/""),,1))"),44700.0)</f>
        <v>44700</v>
      </c>
      <c r="I3790" s="1" t="s">
        <v>1244</v>
      </c>
      <c r="J3790" s="4">
        <f>IFERROR(__xludf.DUMMYFUNCTION("DATE(INDEX(SPLIT(I3790,""/""),,3),INDEX(SPLIT(I3790,""/""),,2),INDEX(SPLIT(I3790,""/""),,1))"),44742.0)</f>
        <v>44742</v>
      </c>
      <c r="L3790" s="1">
        <v>0.0</v>
      </c>
      <c r="M3790" s="1" t="s">
        <v>5974</v>
      </c>
      <c r="N3790" s="1"/>
      <c r="O3790" s="1" t="s">
        <v>30</v>
      </c>
      <c r="P3790" s="1" t="s">
        <v>31</v>
      </c>
      <c r="Q3790" s="1" t="s">
        <v>235</v>
      </c>
      <c r="R3790" s="1" t="s">
        <v>235</v>
      </c>
      <c r="S3790" s="1" t="s">
        <v>236</v>
      </c>
      <c r="U3790" s="1">
        <v>1.00637651E8</v>
      </c>
      <c r="X3790" s="1" t="s">
        <v>63</v>
      </c>
      <c r="Y3790" s="1" t="s">
        <v>767</v>
      </c>
      <c r="Z3790" s="1" t="s">
        <v>206</v>
      </c>
    </row>
    <row r="3791" hidden="1">
      <c r="A3791" s="1" t="s">
        <v>10938</v>
      </c>
      <c r="B3791" s="1" t="s">
        <v>954</v>
      </c>
      <c r="C3791" s="1" t="s">
        <v>10939</v>
      </c>
      <c r="D3791" s="1" t="s">
        <v>27</v>
      </c>
      <c r="E3791" s="1" t="s">
        <v>28</v>
      </c>
      <c r="F3791" s="2">
        <v>250000.0</v>
      </c>
      <c r="G3791" s="1" t="s">
        <v>4047</v>
      </c>
      <c r="H3791" s="4">
        <f>IFERROR(__xludf.DUMMYFUNCTION("DATE(INDEX(SPLIT(G3791,""/""),,3),INDEX(SPLIT(G3791,""/""),,2),INDEX(SPLIT(G3791,""/""),,1))"),44580.0)</f>
        <v>44580</v>
      </c>
      <c r="I3791" s="1" t="s">
        <v>42</v>
      </c>
      <c r="J3791" s="4">
        <f>IFERROR(__xludf.DUMMYFUNCTION("DATE(INDEX(SPLIT(I3791,""/""),,3),INDEX(SPLIT(I3791,""/""),,2),INDEX(SPLIT(I3791,""/""),,1))"),44926.0)</f>
        <v>44926</v>
      </c>
      <c r="L3791" s="1">
        <v>0.0</v>
      </c>
      <c r="M3791" s="1" t="s">
        <v>2622</v>
      </c>
      <c r="N3791" s="1"/>
      <c r="O3791" s="1" t="s">
        <v>30</v>
      </c>
      <c r="P3791" s="1" t="s">
        <v>31</v>
      </c>
      <c r="Q3791" s="1" t="s">
        <v>71</v>
      </c>
      <c r="R3791" s="1" t="s">
        <v>71</v>
      </c>
      <c r="S3791" s="1" t="s">
        <v>72</v>
      </c>
      <c r="T3791" s="1" t="s">
        <v>73</v>
      </c>
      <c r="U3791" s="1">
        <v>1.01082364E8</v>
      </c>
      <c r="X3791" s="1" t="s">
        <v>74</v>
      </c>
      <c r="Y3791" s="1" t="s">
        <v>9580</v>
      </c>
      <c r="Z3791" s="1" t="s">
        <v>206</v>
      </c>
    </row>
    <row r="3792" hidden="1">
      <c r="A3792" s="1" t="s">
        <v>10940</v>
      </c>
      <c r="B3792" s="1" t="s">
        <v>948</v>
      </c>
      <c r="C3792" s="1" t="s">
        <v>10939</v>
      </c>
      <c r="D3792" s="1" t="s">
        <v>27</v>
      </c>
      <c r="E3792" s="1" t="s">
        <v>28</v>
      </c>
      <c r="F3792" s="2">
        <v>250000.0</v>
      </c>
      <c r="G3792" s="1" t="s">
        <v>4047</v>
      </c>
      <c r="H3792" s="4">
        <f>IFERROR(__xludf.DUMMYFUNCTION("DATE(INDEX(SPLIT(G3792,""/""),,3),INDEX(SPLIT(G3792,""/""),,2),INDEX(SPLIT(G3792,""/""),,1))"),44580.0)</f>
        <v>44580</v>
      </c>
      <c r="I3792" s="1" t="s">
        <v>42</v>
      </c>
      <c r="J3792" s="4">
        <f>IFERROR(__xludf.DUMMYFUNCTION("DATE(INDEX(SPLIT(I3792,""/""),,3),INDEX(SPLIT(I3792,""/""),,2),INDEX(SPLIT(I3792,""/""),,1))"),44926.0)</f>
        <v>44926</v>
      </c>
      <c r="L3792" s="1">
        <v>0.0</v>
      </c>
      <c r="M3792" s="1" t="s">
        <v>2622</v>
      </c>
      <c r="N3792" s="1"/>
      <c r="O3792" s="1" t="s">
        <v>30</v>
      </c>
      <c r="P3792" s="1" t="s">
        <v>31</v>
      </c>
      <c r="Q3792" s="1" t="s">
        <v>71</v>
      </c>
      <c r="R3792" s="1" t="s">
        <v>71</v>
      </c>
      <c r="S3792" s="1" t="s">
        <v>72</v>
      </c>
      <c r="T3792" s="1" t="s">
        <v>73</v>
      </c>
      <c r="U3792" s="1">
        <v>1.01082364E8</v>
      </c>
      <c r="X3792" s="1" t="s">
        <v>74</v>
      </c>
      <c r="Y3792" s="1" t="s">
        <v>9580</v>
      </c>
      <c r="Z3792" s="1" t="s">
        <v>206</v>
      </c>
    </row>
    <row r="3793" hidden="1">
      <c r="A3793" s="1" t="s">
        <v>10941</v>
      </c>
      <c r="B3793" s="1" t="s">
        <v>6131</v>
      </c>
      <c r="C3793" s="1" t="s">
        <v>10942</v>
      </c>
      <c r="D3793" s="1" t="s">
        <v>27</v>
      </c>
      <c r="E3793" s="1" t="s">
        <v>28</v>
      </c>
      <c r="F3793" s="2">
        <v>250000.0</v>
      </c>
      <c r="G3793" s="4">
        <v>44478.0</v>
      </c>
      <c r="H3793" s="4">
        <f>IFERROR(__xludf.DUMMYFUNCTION("DATE(INDEX(SPLIT(G3793,""/""),,3),INDEX(SPLIT(G3793,""/""),,2),INDEX(SPLIT(G3793,""/""),,1))"),44449.0)</f>
        <v>44449</v>
      </c>
      <c r="I3793" s="1" t="s">
        <v>130</v>
      </c>
      <c r="J3793" s="4">
        <f>IFERROR(__xludf.DUMMYFUNCTION("DATE(INDEX(SPLIT(I3793,""/""),,3),INDEX(SPLIT(I3793,""/""),,2),INDEX(SPLIT(I3793,""/""),,1))"),44804.0)</f>
        <v>44804</v>
      </c>
      <c r="L3793" s="1">
        <v>0.0</v>
      </c>
      <c r="M3793" s="1" t="s">
        <v>5030</v>
      </c>
      <c r="N3793" s="1"/>
      <c r="O3793" s="1" t="s">
        <v>30</v>
      </c>
      <c r="P3793" s="1" t="s">
        <v>31</v>
      </c>
      <c r="Q3793" s="1" t="s">
        <v>228</v>
      </c>
      <c r="R3793" s="1" t="s">
        <v>228</v>
      </c>
      <c r="S3793" s="1" t="s">
        <v>229</v>
      </c>
      <c r="T3793" s="1" t="s">
        <v>640</v>
      </c>
      <c r="U3793" s="1">
        <v>1.00986592E8</v>
      </c>
      <c r="X3793" s="1" t="s">
        <v>375</v>
      </c>
      <c r="Y3793" s="1" t="s">
        <v>6245</v>
      </c>
      <c r="Z3793" s="1" t="s">
        <v>37</v>
      </c>
    </row>
    <row r="3794" hidden="1">
      <c r="A3794" s="1" t="s">
        <v>10943</v>
      </c>
      <c r="B3794" s="1" t="s">
        <v>1417</v>
      </c>
      <c r="C3794" s="1" t="s">
        <v>10944</v>
      </c>
      <c r="D3794" s="1" t="s">
        <v>27</v>
      </c>
      <c r="E3794" s="1" t="s">
        <v>28</v>
      </c>
      <c r="F3794" s="2">
        <v>250000.0</v>
      </c>
      <c r="G3794" s="1" t="s">
        <v>4047</v>
      </c>
      <c r="H3794" s="4">
        <f>IFERROR(__xludf.DUMMYFUNCTION("DATE(INDEX(SPLIT(G3794,""/""),,3),INDEX(SPLIT(G3794,""/""),,2),INDEX(SPLIT(G3794,""/""),,1))"),44580.0)</f>
        <v>44580</v>
      </c>
      <c r="I3794" s="1" t="s">
        <v>42</v>
      </c>
      <c r="J3794" s="4">
        <f>IFERROR(__xludf.DUMMYFUNCTION("DATE(INDEX(SPLIT(I3794,""/""),,3),INDEX(SPLIT(I3794,""/""),,2),INDEX(SPLIT(I3794,""/""),,1))"),44926.0)</f>
        <v>44926</v>
      </c>
      <c r="L3794" s="1">
        <v>0.0</v>
      </c>
      <c r="M3794" s="1" t="s">
        <v>2622</v>
      </c>
      <c r="N3794" s="1"/>
      <c r="O3794" s="1" t="s">
        <v>30</v>
      </c>
      <c r="P3794" s="1" t="s">
        <v>31</v>
      </c>
      <c r="Q3794" s="1" t="s">
        <v>71</v>
      </c>
      <c r="R3794" s="1" t="s">
        <v>71</v>
      </c>
      <c r="S3794" s="1" t="s">
        <v>72</v>
      </c>
      <c r="T3794" s="1" t="s">
        <v>73</v>
      </c>
      <c r="U3794" s="1">
        <v>1.01082364E8</v>
      </c>
      <c r="X3794" s="1" t="s">
        <v>74</v>
      </c>
      <c r="Y3794" s="1" t="s">
        <v>9580</v>
      </c>
      <c r="Z3794" s="1" t="s">
        <v>206</v>
      </c>
    </row>
    <row r="3795" hidden="1">
      <c r="A3795" s="1" t="s">
        <v>10945</v>
      </c>
      <c r="B3795" s="1" t="s">
        <v>106</v>
      </c>
      <c r="C3795" s="1" t="s">
        <v>10946</v>
      </c>
      <c r="D3795" s="1" t="s">
        <v>27</v>
      </c>
      <c r="E3795" s="1" t="s">
        <v>28</v>
      </c>
      <c r="F3795" s="2">
        <v>250000.0</v>
      </c>
      <c r="G3795" s="4">
        <v>44599.0</v>
      </c>
      <c r="H3795" s="4">
        <f>IFERROR(__xludf.DUMMYFUNCTION("DATE(INDEX(SPLIT(G3795,""/""),,3),INDEX(SPLIT(G3795,""/""),,2),INDEX(SPLIT(G3795,""/""),,1))"),44744.0)</f>
        <v>44744</v>
      </c>
      <c r="I3795" s="1" t="s">
        <v>317</v>
      </c>
      <c r="J3795" s="4">
        <f>IFERROR(__xludf.DUMMYFUNCTION("DATE(INDEX(SPLIT(I3795,""/""),,3),INDEX(SPLIT(I3795,""/""),,2),INDEX(SPLIT(I3795,""/""),,1))"),44862.0)</f>
        <v>44862</v>
      </c>
      <c r="L3795" s="1">
        <v>0.0</v>
      </c>
      <c r="M3795" s="1" t="s">
        <v>5135</v>
      </c>
      <c r="N3795" s="1"/>
      <c r="O3795" s="1" t="s">
        <v>30</v>
      </c>
      <c r="P3795" s="1" t="s">
        <v>31</v>
      </c>
      <c r="Q3795" s="1" t="s">
        <v>228</v>
      </c>
      <c r="R3795" s="1" t="s">
        <v>228</v>
      </c>
      <c r="S3795" s="1" t="s">
        <v>229</v>
      </c>
      <c r="T3795" s="1" t="s">
        <v>640</v>
      </c>
      <c r="U3795" s="1">
        <v>1.0064195E8</v>
      </c>
      <c r="X3795" s="1" t="s">
        <v>63</v>
      </c>
      <c r="Y3795" s="1" t="s">
        <v>2548</v>
      </c>
      <c r="Z3795" s="1" t="s">
        <v>37</v>
      </c>
    </row>
    <row r="3796">
      <c r="A3796" s="1" t="s">
        <v>10947</v>
      </c>
      <c r="B3796" s="1" t="s">
        <v>7958</v>
      </c>
      <c r="C3796" s="1" t="s">
        <v>10948</v>
      </c>
      <c r="D3796" s="1" t="s">
        <v>122</v>
      </c>
      <c r="E3796" s="1" t="s">
        <v>28</v>
      </c>
      <c r="F3796" s="2">
        <v>250000.0</v>
      </c>
      <c r="G3796" s="1" t="s">
        <v>359</v>
      </c>
      <c r="H3796" s="4">
        <f>IFERROR(__xludf.DUMMYFUNCTION("DATE(INDEX(SPLIT(G3796,""/""),,3),INDEX(SPLIT(G3796,""/""),,2),INDEX(SPLIT(G3796,""/""),,1))"),44740.0)</f>
        <v>44740</v>
      </c>
      <c r="I3796" s="1" t="s">
        <v>518</v>
      </c>
      <c r="J3796" s="4">
        <f>IFERROR(__xludf.DUMMYFUNCTION("DATE(INDEX(SPLIT(I3796,""/""),,3),INDEX(SPLIT(I3796,""/""),,2),INDEX(SPLIT(I3796,""/""),,1))"),44757.0)</f>
        <v>44757</v>
      </c>
      <c r="L3796" s="1">
        <v>0.0</v>
      </c>
      <c r="M3796" s="1" t="s">
        <v>1115</v>
      </c>
      <c r="N3796" s="1"/>
      <c r="O3796" s="1" t="s">
        <v>30</v>
      </c>
      <c r="P3796" s="1" t="s">
        <v>31</v>
      </c>
      <c r="Q3796" s="1" t="s">
        <v>157</v>
      </c>
      <c r="R3796" s="1" t="s">
        <v>157</v>
      </c>
      <c r="S3796" s="1" t="s">
        <v>158</v>
      </c>
      <c r="U3796" s="1">
        <v>1.00609827E8</v>
      </c>
      <c r="X3796" s="1" t="s">
        <v>490</v>
      </c>
      <c r="Y3796" s="1" t="s">
        <v>1115</v>
      </c>
      <c r="Z3796" s="1" t="s">
        <v>37</v>
      </c>
    </row>
    <row r="3797" hidden="1">
      <c r="A3797" s="1" t="s">
        <v>10949</v>
      </c>
      <c r="B3797" s="1" t="s">
        <v>6064</v>
      </c>
      <c r="C3797" s="1" t="s">
        <v>10950</v>
      </c>
      <c r="D3797" s="1" t="s">
        <v>27</v>
      </c>
      <c r="E3797" s="1" t="s">
        <v>28</v>
      </c>
      <c r="F3797" s="2">
        <v>250000.0</v>
      </c>
      <c r="G3797" s="1" t="s">
        <v>2387</v>
      </c>
      <c r="H3797" s="4">
        <f>IFERROR(__xludf.DUMMYFUNCTION("DATE(INDEX(SPLIT(G3797,""/""),,3),INDEX(SPLIT(G3797,""/""),,2),INDEX(SPLIT(G3797,""/""),,1))"),44274.0)</f>
        <v>44274</v>
      </c>
      <c r="I3797" s="4">
        <v>44842.0</v>
      </c>
      <c r="J3797" s="4">
        <f>IFERROR(__xludf.DUMMYFUNCTION("DATE(INDEX(SPLIT(I3797,""/""),,3),INDEX(SPLIT(I3797,""/""),,2),INDEX(SPLIT(I3797,""/""),,1))"),44783.0)</f>
        <v>44783</v>
      </c>
      <c r="L3797" s="1">
        <v>0.0</v>
      </c>
      <c r="M3797" s="1" t="s">
        <v>2371</v>
      </c>
      <c r="N3797" s="1"/>
      <c r="O3797" s="1" t="s">
        <v>30</v>
      </c>
      <c r="P3797" s="1" t="s">
        <v>31</v>
      </c>
      <c r="Q3797" s="1" t="s">
        <v>53</v>
      </c>
      <c r="R3797" s="1" t="s">
        <v>53</v>
      </c>
      <c r="S3797" s="1" t="s">
        <v>54</v>
      </c>
      <c r="T3797" s="1" t="s">
        <v>2372</v>
      </c>
      <c r="U3797" s="1">
        <v>1.00649936E8</v>
      </c>
      <c r="X3797" s="1" t="s">
        <v>239</v>
      </c>
      <c r="Y3797" s="1" t="s">
        <v>2977</v>
      </c>
      <c r="Z3797" s="1" t="s">
        <v>37</v>
      </c>
    </row>
    <row r="3798" hidden="1">
      <c r="A3798" s="1" t="s">
        <v>10951</v>
      </c>
      <c r="B3798" s="1" t="s">
        <v>2000</v>
      </c>
      <c r="C3798" s="1" t="s">
        <v>10952</v>
      </c>
      <c r="D3798" s="1" t="s">
        <v>27</v>
      </c>
      <c r="E3798" s="1" t="s">
        <v>28</v>
      </c>
      <c r="F3798" s="2">
        <v>250000.0</v>
      </c>
      <c r="G3798" s="4">
        <v>44625.0</v>
      </c>
      <c r="H3798" s="4">
        <f>IFERROR(__xludf.DUMMYFUNCTION("DATE(INDEX(SPLIT(G3798,""/""),,3),INDEX(SPLIT(G3798,""/""),,2),INDEX(SPLIT(G3798,""/""),,1))"),44684.0)</f>
        <v>44684</v>
      </c>
      <c r="I3798" s="4">
        <v>44569.0</v>
      </c>
      <c r="J3798" s="4">
        <f>IFERROR(__xludf.DUMMYFUNCTION("DATE(INDEX(SPLIT(I3798,""/""),,3),INDEX(SPLIT(I3798,""/""),,2),INDEX(SPLIT(I3798,""/""),,1))"),44774.0)</f>
        <v>44774</v>
      </c>
      <c r="L3798" s="1">
        <v>0.0</v>
      </c>
      <c r="M3798" s="1" t="s">
        <v>4274</v>
      </c>
      <c r="N3798" s="1"/>
      <c r="O3798" s="1" t="s">
        <v>30</v>
      </c>
      <c r="P3798" s="1" t="s">
        <v>31</v>
      </c>
      <c r="Q3798" s="1" t="s">
        <v>235</v>
      </c>
      <c r="R3798" s="1" t="s">
        <v>235</v>
      </c>
      <c r="S3798" s="1" t="s">
        <v>236</v>
      </c>
      <c r="U3798" s="1">
        <v>1.00628891E8</v>
      </c>
      <c r="X3798" s="1" t="s">
        <v>609</v>
      </c>
      <c r="Y3798" s="1" t="s">
        <v>1829</v>
      </c>
      <c r="Z3798" s="1" t="s">
        <v>37</v>
      </c>
    </row>
    <row r="3799" hidden="1">
      <c r="A3799" s="1" t="s">
        <v>10953</v>
      </c>
      <c r="B3799" s="1" t="s">
        <v>4265</v>
      </c>
      <c r="C3799" s="1" t="s">
        <v>10954</v>
      </c>
      <c r="D3799" s="1" t="s">
        <v>27</v>
      </c>
      <c r="E3799" s="1" t="s">
        <v>28</v>
      </c>
      <c r="F3799" s="2">
        <v>250000.0</v>
      </c>
      <c r="G3799" s="1" t="s">
        <v>359</v>
      </c>
      <c r="H3799" s="4">
        <f>IFERROR(__xludf.DUMMYFUNCTION("DATE(INDEX(SPLIT(G3799,""/""),,3),INDEX(SPLIT(G3799,""/""),,2),INDEX(SPLIT(G3799,""/""),,1))"),44740.0)</f>
        <v>44740</v>
      </c>
      <c r="I3799" s="1" t="s">
        <v>281</v>
      </c>
      <c r="J3799" s="4">
        <f>IFERROR(__xludf.DUMMYFUNCTION("DATE(INDEX(SPLIT(I3799,""/""),,3),INDEX(SPLIT(I3799,""/""),,2),INDEX(SPLIT(I3799,""/""),,1))"),44865.0)</f>
        <v>44865</v>
      </c>
      <c r="L3799" s="1">
        <v>0.0</v>
      </c>
      <c r="M3799" s="1" t="s">
        <v>1548</v>
      </c>
      <c r="N3799" s="1"/>
      <c r="O3799" s="1" t="s">
        <v>30</v>
      </c>
      <c r="P3799" s="1" t="s">
        <v>31</v>
      </c>
      <c r="Q3799" s="1" t="s">
        <v>32</v>
      </c>
      <c r="R3799" s="1" t="s">
        <v>32</v>
      </c>
      <c r="S3799" s="1" t="s">
        <v>33</v>
      </c>
      <c r="U3799" s="1">
        <v>1.01215106E8</v>
      </c>
      <c r="X3799" s="1" t="s">
        <v>63</v>
      </c>
      <c r="Y3799" s="1" t="s">
        <v>1548</v>
      </c>
      <c r="Z3799" s="1" t="s">
        <v>37</v>
      </c>
    </row>
    <row r="3800" hidden="1">
      <c r="A3800" s="1" t="s">
        <v>10955</v>
      </c>
      <c r="B3800" s="1" t="s">
        <v>7339</v>
      </c>
      <c r="C3800" s="1" t="s">
        <v>10956</v>
      </c>
      <c r="D3800" s="1" t="s">
        <v>27</v>
      </c>
      <c r="E3800" s="1" t="s">
        <v>28</v>
      </c>
      <c r="F3800" s="2">
        <v>250000.0</v>
      </c>
      <c r="G3800" s="4">
        <v>44597.0</v>
      </c>
      <c r="H3800" s="4">
        <f>IFERROR(__xludf.DUMMYFUNCTION("DATE(INDEX(SPLIT(G3800,""/""),,3),INDEX(SPLIT(G3800,""/""),,2),INDEX(SPLIT(G3800,""/""),,1))"),44683.0)</f>
        <v>44683</v>
      </c>
      <c r="I3800" s="4">
        <v>44572.0</v>
      </c>
      <c r="J3800" s="4">
        <f>IFERROR(__xludf.DUMMYFUNCTION("DATE(INDEX(SPLIT(I3800,""/""),,3),INDEX(SPLIT(I3800,""/""),,2),INDEX(SPLIT(I3800,""/""),,1))"),44866.0)</f>
        <v>44866</v>
      </c>
      <c r="L3800" s="1">
        <v>0.0</v>
      </c>
      <c r="M3800" s="1" t="s">
        <v>10957</v>
      </c>
      <c r="N3800" s="1"/>
      <c r="O3800" s="1" t="s">
        <v>30</v>
      </c>
      <c r="P3800" s="1" t="s">
        <v>31</v>
      </c>
      <c r="Q3800" s="1" t="s">
        <v>71</v>
      </c>
      <c r="R3800" s="1" t="s">
        <v>71</v>
      </c>
      <c r="S3800" s="1" t="s">
        <v>72</v>
      </c>
      <c r="T3800" s="1" t="s">
        <v>615</v>
      </c>
      <c r="U3800" s="1">
        <v>1.00655738E8</v>
      </c>
      <c r="X3800" s="1" t="s">
        <v>490</v>
      </c>
      <c r="Y3800" s="1" t="s">
        <v>10958</v>
      </c>
      <c r="Z3800" s="1" t="s">
        <v>206</v>
      </c>
    </row>
    <row r="3801" hidden="1">
      <c r="A3801" s="1" t="s">
        <v>10959</v>
      </c>
      <c r="B3801" s="1" t="s">
        <v>1634</v>
      </c>
      <c r="C3801" s="1" t="s">
        <v>10956</v>
      </c>
      <c r="D3801" s="1" t="s">
        <v>27</v>
      </c>
      <c r="E3801" s="1" t="s">
        <v>28</v>
      </c>
      <c r="F3801" s="2">
        <v>250000.0</v>
      </c>
      <c r="G3801" s="4">
        <v>44597.0</v>
      </c>
      <c r="H3801" s="4">
        <f>IFERROR(__xludf.DUMMYFUNCTION("DATE(INDEX(SPLIT(G3801,""/""),,3),INDEX(SPLIT(G3801,""/""),,2),INDEX(SPLIT(G3801,""/""),,1))"),44683.0)</f>
        <v>44683</v>
      </c>
      <c r="I3801" s="4">
        <v>44572.0</v>
      </c>
      <c r="J3801" s="4">
        <f>IFERROR(__xludf.DUMMYFUNCTION("DATE(INDEX(SPLIT(I3801,""/""),,3),INDEX(SPLIT(I3801,""/""),,2),INDEX(SPLIT(I3801,""/""),,1))"),44866.0)</f>
        <v>44866</v>
      </c>
      <c r="L3801" s="1">
        <v>0.0</v>
      </c>
      <c r="M3801" s="1" t="s">
        <v>1840</v>
      </c>
      <c r="N3801" s="1"/>
      <c r="O3801" s="1" t="s">
        <v>30</v>
      </c>
      <c r="P3801" s="1" t="s">
        <v>31</v>
      </c>
      <c r="Q3801" s="1" t="s">
        <v>71</v>
      </c>
      <c r="R3801" s="1" t="s">
        <v>71</v>
      </c>
      <c r="S3801" s="1" t="s">
        <v>72</v>
      </c>
      <c r="T3801" s="1" t="s">
        <v>615</v>
      </c>
      <c r="U3801" s="1">
        <v>1.00617113E8</v>
      </c>
      <c r="X3801" s="1" t="s">
        <v>490</v>
      </c>
      <c r="Y3801" s="1" t="s">
        <v>10958</v>
      </c>
      <c r="Z3801" s="1" t="s">
        <v>37</v>
      </c>
    </row>
    <row r="3802">
      <c r="A3802" s="1" t="s">
        <v>10960</v>
      </c>
      <c r="B3802" s="1" t="s">
        <v>10961</v>
      </c>
      <c r="C3802" s="1" t="s">
        <v>10962</v>
      </c>
      <c r="D3802" s="1" t="s">
        <v>27</v>
      </c>
      <c r="E3802" s="1" t="s">
        <v>28</v>
      </c>
      <c r="F3802" s="2">
        <v>250000.0</v>
      </c>
      <c r="G3802" s="1" t="s">
        <v>164</v>
      </c>
      <c r="H3802" s="4">
        <f>IFERROR(__xludf.DUMMYFUNCTION("DATE(INDEX(SPLIT(G3802,""/""),,3),INDEX(SPLIT(G3802,""/""),,2),INDEX(SPLIT(G3802,""/""),,1))"),44706.0)</f>
        <v>44706</v>
      </c>
      <c r="I3802" s="1" t="s">
        <v>1141</v>
      </c>
      <c r="J3802" s="4">
        <f>IFERROR(__xludf.DUMMYFUNCTION("DATE(INDEX(SPLIT(I3802,""/""),,3),INDEX(SPLIT(I3802,""/""),,2),INDEX(SPLIT(I3802,""/""),,1))"),44767.0)</f>
        <v>44767</v>
      </c>
      <c r="L3802" s="1">
        <v>0.0</v>
      </c>
      <c r="M3802" s="1" t="s">
        <v>1422</v>
      </c>
      <c r="N3802" s="1"/>
      <c r="O3802" s="1" t="s">
        <v>30</v>
      </c>
      <c r="P3802" s="1" t="s">
        <v>31</v>
      </c>
      <c r="Q3802" s="1" t="s">
        <v>157</v>
      </c>
      <c r="R3802" s="1" t="s">
        <v>157</v>
      </c>
      <c r="S3802" s="1" t="s">
        <v>158</v>
      </c>
      <c r="U3802" s="1">
        <v>1.00869794E8</v>
      </c>
      <c r="X3802" s="1" t="s">
        <v>289</v>
      </c>
      <c r="Y3802" s="1" t="s">
        <v>1422</v>
      </c>
      <c r="Z3802" s="1" t="s">
        <v>37</v>
      </c>
    </row>
    <row r="3803" hidden="1">
      <c r="A3803" s="1" t="s">
        <v>10963</v>
      </c>
      <c r="B3803" s="1" t="s">
        <v>3639</v>
      </c>
      <c r="C3803" s="1" t="s">
        <v>10964</v>
      </c>
      <c r="D3803" s="1" t="s">
        <v>27</v>
      </c>
      <c r="E3803" s="1" t="s">
        <v>28</v>
      </c>
      <c r="F3803" s="2">
        <v>250000.0</v>
      </c>
      <c r="G3803" s="4">
        <v>44902.0</v>
      </c>
      <c r="H3803" s="4">
        <f>IFERROR(__xludf.DUMMYFUNCTION("DATE(INDEX(SPLIT(G3803,""/""),,3),INDEX(SPLIT(G3803,""/""),,2),INDEX(SPLIT(G3803,""/""),,1))"),44754.0)</f>
        <v>44754</v>
      </c>
      <c r="I3803" s="1" t="s">
        <v>1799</v>
      </c>
      <c r="J3803" s="4">
        <f>IFERROR(__xludf.DUMMYFUNCTION("DATE(INDEX(SPLIT(I3803,""/""),,3),INDEX(SPLIT(I3803,""/""),,2),INDEX(SPLIT(I3803,""/""),,1))"),44788.0)</f>
        <v>44788</v>
      </c>
      <c r="L3803" s="1">
        <v>0.0</v>
      </c>
      <c r="M3803" s="1" t="s">
        <v>4274</v>
      </c>
      <c r="N3803" s="1"/>
      <c r="O3803" s="1" t="s">
        <v>30</v>
      </c>
      <c r="P3803" s="1" t="s">
        <v>31</v>
      </c>
      <c r="Q3803" s="1" t="s">
        <v>235</v>
      </c>
      <c r="R3803" s="1" t="s">
        <v>235</v>
      </c>
      <c r="S3803" s="1" t="s">
        <v>236</v>
      </c>
      <c r="U3803" s="1">
        <v>1.00628891E8</v>
      </c>
      <c r="X3803" s="1" t="s">
        <v>609</v>
      </c>
      <c r="Y3803" s="1" t="s">
        <v>10965</v>
      </c>
      <c r="Z3803" s="1" t="s">
        <v>37</v>
      </c>
    </row>
    <row r="3804" hidden="1">
      <c r="A3804" s="1" t="s">
        <v>10966</v>
      </c>
      <c r="B3804" s="1" t="s">
        <v>9871</v>
      </c>
      <c r="C3804" s="1" t="s">
        <v>10967</v>
      </c>
      <c r="D3804" s="1" t="s">
        <v>27</v>
      </c>
      <c r="E3804" s="1" t="s">
        <v>28</v>
      </c>
      <c r="F3804" s="2">
        <v>250000.0</v>
      </c>
      <c r="G3804" s="4">
        <v>44657.0</v>
      </c>
      <c r="H3804" s="4">
        <f>IFERROR(__xludf.DUMMYFUNCTION("DATE(INDEX(SPLIT(G3804,""/""),,3),INDEX(SPLIT(G3804,""/""),,2),INDEX(SPLIT(G3804,""/""),,1))"),44716.0)</f>
        <v>44716</v>
      </c>
      <c r="I3804" s="1" t="s">
        <v>425</v>
      </c>
      <c r="J3804" s="4">
        <f>IFERROR(__xludf.DUMMYFUNCTION("DATE(INDEX(SPLIT(I3804,""/""),,3),INDEX(SPLIT(I3804,""/""),,2),INDEX(SPLIT(I3804,""/""),,1))"),44911.0)</f>
        <v>44911</v>
      </c>
      <c r="L3804" s="1">
        <v>0.0</v>
      </c>
      <c r="M3804" s="1" t="s">
        <v>2207</v>
      </c>
      <c r="N3804" s="1"/>
      <c r="O3804" s="1" t="s">
        <v>30</v>
      </c>
      <c r="P3804" s="1" t="s">
        <v>31</v>
      </c>
      <c r="Q3804" s="1" t="s">
        <v>228</v>
      </c>
      <c r="R3804" s="1" t="s">
        <v>228</v>
      </c>
      <c r="S3804" s="1" t="s">
        <v>229</v>
      </c>
      <c r="T3804" s="1" t="s">
        <v>513</v>
      </c>
      <c r="U3804" s="1">
        <v>1.00596618E8</v>
      </c>
      <c r="V3804" s="1" t="s">
        <v>10968</v>
      </c>
      <c r="W3804" s="1" t="s">
        <v>199</v>
      </c>
      <c r="X3804" s="1" t="s">
        <v>63</v>
      </c>
      <c r="Y3804" s="1" t="s">
        <v>7871</v>
      </c>
      <c r="Z3804" s="1" t="s">
        <v>37</v>
      </c>
    </row>
    <row r="3805" hidden="1">
      <c r="A3805" s="1" t="s">
        <v>10969</v>
      </c>
      <c r="B3805" s="1" t="s">
        <v>1845</v>
      </c>
      <c r="C3805" s="1" t="s">
        <v>10956</v>
      </c>
      <c r="D3805" s="1" t="s">
        <v>27</v>
      </c>
      <c r="E3805" s="1" t="s">
        <v>28</v>
      </c>
      <c r="F3805" s="2">
        <v>250000.0</v>
      </c>
      <c r="G3805" s="4">
        <v>44597.0</v>
      </c>
      <c r="H3805" s="4">
        <f>IFERROR(__xludf.DUMMYFUNCTION("DATE(INDEX(SPLIT(G3805,""/""),,3),INDEX(SPLIT(G3805,""/""),,2),INDEX(SPLIT(G3805,""/""),,1))"),44683.0)</f>
        <v>44683</v>
      </c>
      <c r="I3805" s="4">
        <v>44572.0</v>
      </c>
      <c r="J3805" s="4">
        <f>IFERROR(__xludf.DUMMYFUNCTION("DATE(INDEX(SPLIT(I3805,""/""),,3),INDEX(SPLIT(I3805,""/""),,2),INDEX(SPLIT(I3805,""/""),,1))"),44866.0)</f>
        <v>44866</v>
      </c>
      <c r="L3805" s="1">
        <v>0.0</v>
      </c>
      <c r="M3805" s="1" t="s">
        <v>9444</v>
      </c>
      <c r="N3805" s="1"/>
      <c r="O3805" s="1" t="s">
        <v>30</v>
      </c>
      <c r="P3805" s="1" t="s">
        <v>31</v>
      </c>
      <c r="Q3805" s="1" t="s">
        <v>157</v>
      </c>
      <c r="R3805" s="1" t="s">
        <v>157</v>
      </c>
      <c r="S3805" s="1" t="s">
        <v>158</v>
      </c>
      <c r="U3805" s="1">
        <v>1.00614201E8</v>
      </c>
      <c r="X3805" s="1" t="s">
        <v>490</v>
      </c>
      <c r="Y3805" s="1" t="s">
        <v>10958</v>
      </c>
      <c r="Z3805" s="1" t="s">
        <v>37</v>
      </c>
    </row>
    <row r="3806" hidden="1">
      <c r="A3806" s="1" t="s">
        <v>10970</v>
      </c>
      <c r="B3806" s="1" t="s">
        <v>4665</v>
      </c>
      <c r="C3806" s="1" t="s">
        <v>10971</v>
      </c>
      <c r="D3806" s="1" t="s">
        <v>78</v>
      </c>
      <c r="E3806" s="1" t="s">
        <v>28</v>
      </c>
      <c r="F3806" s="2">
        <v>250000.0</v>
      </c>
      <c r="G3806" s="1" t="s">
        <v>359</v>
      </c>
      <c r="H3806" s="4">
        <f>IFERROR(__xludf.DUMMYFUNCTION("DATE(INDEX(SPLIT(G3806,""/""),,3),INDEX(SPLIT(G3806,""/""),,2),INDEX(SPLIT(G3806,""/""),,1))"),44740.0)</f>
        <v>44740</v>
      </c>
      <c r="I3806" s="4">
        <v>44570.0</v>
      </c>
      <c r="J3806" s="4">
        <f>IFERROR(__xludf.DUMMYFUNCTION("DATE(INDEX(SPLIT(I3806,""/""),,3),INDEX(SPLIT(I3806,""/""),,2),INDEX(SPLIT(I3806,""/""),,1))"),44805.0)</f>
        <v>44805</v>
      </c>
      <c r="L3806" s="1">
        <v>0.0</v>
      </c>
      <c r="M3806" s="1" t="s">
        <v>1614</v>
      </c>
      <c r="N3806" s="1"/>
      <c r="O3806" s="1" t="s">
        <v>30</v>
      </c>
      <c r="P3806" s="1" t="s">
        <v>31</v>
      </c>
      <c r="Q3806" s="1" t="s">
        <v>32</v>
      </c>
      <c r="R3806" s="1" t="s">
        <v>32</v>
      </c>
      <c r="S3806" s="1" t="s">
        <v>33</v>
      </c>
      <c r="U3806" s="1">
        <v>1.00587799E8</v>
      </c>
      <c r="X3806" s="1" t="s">
        <v>125</v>
      </c>
      <c r="Y3806" s="1" t="s">
        <v>10972</v>
      </c>
      <c r="Z3806" s="1" t="s">
        <v>37</v>
      </c>
    </row>
    <row r="3807" hidden="1">
      <c r="A3807" s="1" t="s">
        <v>10973</v>
      </c>
      <c r="B3807" s="1" t="s">
        <v>612</v>
      </c>
      <c r="C3807" s="1" t="s">
        <v>10974</v>
      </c>
      <c r="D3807" s="1" t="s">
        <v>27</v>
      </c>
      <c r="E3807" s="1" t="s">
        <v>28</v>
      </c>
      <c r="F3807" s="2">
        <v>250000.0</v>
      </c>
      <c r="G3807" s="4">
        <v>44597.0</v>
      </c>
      <c r="H3807" s="4">
        <f>IFERROR(__xludf.DUMMYFUNCTION("DATE(INDEX(SPLIT(G3807,""/""),,3),INDEX(SPLIT(G3807,""/""),,2),INDEX(SPLIT(G3807,""/""),,1))"),44683.0)</f>
        <v>44683</v>
      </c>
      <c r="I3807" s="4">
        <v>44572.0</v>
      </c>
      <c r="J3807" s="4">
        <f>IFERROR(__xludf.DUMMYFUNCTION("DATE(INDEX(SPLIT(I3807,""/""),,3),INDEX(SPLIT(I3807,""/""),,2),INDEX(SPLIT(I3807,""/""),,1))"),44866.0)</f>
        <v>44866</v>
      </c>
      <c r="L3807" s="1">
        <v>0.0</v>
      </c>
      <c r="M3807" s="1" t="s">
        <v>614</v>
      </c>
      <c r="N3807" s="1"/>
      <c r="O3807" s="1" t="s">
        <v>30</v>
      </c>
      <c r="P3807" s="1" t="s">
        <v>31</v>
      </c>
      <c r="Q3807" s="1" t="s">
        <v>71</v>
      </c>
      <c r="R3807" s="1" t="s">
        <v>71</v>
      </c>
      <c r="S3807" s="1" t="s">
        <v>72</v>
      </c>
      <c r="U3807" s="1">
        <v>1.00869732E8</v>
      </c>
      <c r="X3807" s="1" t="s">
        <v>490</v>
      </c>
      <c r="Y3807" s="1" t="s">
        <v>10958</v>
      </c>
      <c r="Z3807" s="1" t="s">
        <v>37</v>
      </c>
    </row>
    <row r="3808">
      <c r="A3808" s="1" t="s">
        <v>10975</v>
      </c>
      <c r="B3808" s="1" t="s">
        <v>2947</v>
      </c>
      <c r="C3808" s="1" t="s">
        <v>10976</v>
      </c>
      <c r="D3808" s="1" t="s">
        <v>27</v>
      </c>
      <c r="E3808" s="1" t="s">
        <v>28</v>
      </c>
      <c r="F3808" s="2">
        <v>250000.0</v>
      </c>
      <c r="G3808" s="4">
        <v>44622.0</v>
      </c>
      <c r="H3808" s="4">
        <f>IFERROR(__xludf.DUMMYFUNCTION("DATE(INDEX(SPLIT(G3808,""/""),,3),INDEX(SPLIT(G3808,""/""),,2),INDEX(SPLIT(G3808,""/""),,1))"),44595.0)</f>
        <v>44595</v>
      </c>
      <c r="I3808" s="1" t="s">
        <v>226</v>
      </c>
      <c r="J3808" s="4">
        <f>IFERROR(__xludf.DUMMYFUNCTION("DATE(INDEX(SPLIT(I3808,""/""),,3),INDEX(SPLIT(I3808,""/""),,2),INDEX(SPLIT(I3808,""/""),,1))"),44771.0)</f>
        <v>44771</v>
      </c>
      <c r="L3808" s="1">
        <v>0.0</v>
      </c>
      <c r="M3808" s="1" t="s">
        <v>1959</v>
      </c>
      <c r="N3808" s="1"/>
      <c r="O3808" s="1" t="s">
        <v>30</v>
      </c>
      <c r="P3808" s="1" t="s">
        <v>31</v>
      </c>
      <c r="Q3808" s="1" t="s">
        <v>228</v>
      </c>
      <c r="R3808" s="1" t="s">
        <v>228</v>
      </c>
      <c r="S3808" s="1" t="s">
        <v>229</v>
      </c>
      <c r="T3808" s="1" t="s">
        <v>640</v>
      </c>
      <c r="U3808" s="1">
        <v>1.00955805E8</v>
      </c>
      <c r="X3808" s="1" t="s">
        <v>468</v>
      </c>
      <c r="Y3808" s="1" t="s">
        <v>1959</v>
      </c>
      <c r="Z3808" s="1" t="s">
        <v>37</v>
      </c>
    </row>
    <row r="3809" hidden="1">
      <c r="A3809" s="1" t="s">
        <v>10977</v>
      </c>
      <c r="B3809" s="1" t="s">
        <v>865</v>
      </c>
      <c r="C3809" s="1" t="s">
        <v>10978</v>
      </c>
      <c r="D3809" s="1" t="s">
        <v>27</v>
      </c>
      <c r="E3809" s="1" t="s">
        <v>28</v>
      </c>
      <c r="F3809" s="2">
        <v>250000.0</v>
      </c>
      <c r="G3809" s="1" t="s">
        <v>3467</v>
      </c>
      <c r="H3809" s="4">
        <f>IFERROR(__xludf.DUMMYFUNCTION("DATE(INDEX(SPLIT(G3809,""/""),,3),INDEX(SPLIT(G3809,""/""),,2),INDEX(SPLIT(G3809,""/""),,1))"),44615.0)</f>
        <v>44615</v>
      </c>
      <c r="I3809" s="1" t="s">
        <v>109</v>
      </c>
      <c r="J3809" s="4">
        <f>IFERROR(__xludf.DUMMYFUNCTION("DATE(INDEX(SPLIT(I3809,""/""),,3),INDEX(SPLIT(I3809,""/""),,2),INDEX(SPLIT(I3809,""/""),,1))"),44834.0)</f>
        <v>44834</v>
      </c>
      <c r="L3809" s="1">
        <v>0.0</v>
      </c>
      <c r="M3809" s="1" t="s">
        <v>780</v>
      </c>
      <c r="N3809" s="1"/>
      <c r="O3809" s="1" t="s">
        <v>30</v>
      </c>
      <c r="P3809" s="1" t="s">
        <v>31</v>
      </c>
      <c r="Q3809" s="1" t="s">
        <v>157</v>
      </c>
      <c r="R3809" s="1" t="s">
        <v>157</v>
      </c>
      <c r="S3809" s="1" t="s">
        <v>158</v>
      </c>
      <c r="T3809" s="1" t="s">
        <v>442</v>
      </c>
      <c r="U3809" s="1">
        <v>1.00654914E8</v>
      </c>
      <c r="X3809" s="1" t="s">
        <v>125</v>
      </c>
      <c r="Y3809" s="1" t="s">
        <v>852</v>
      </c>
      <c r="Z3809" s="1" t="s">
        <v>37</v>
      </c>
    </row>
    <row r="3810" hidden="1">
      <c r="A3810" s="1" t="s">
        <v>10979</v>
      </c>
      <c r="B3810" s="1" t="s">
        <v>10980</v>
      </c>
      <c r="C3810" s="1" t="s">
        <v>10896</v>
      </c>
      <c r="D3810" s="1" t="s">
        <v>27</v>
      </c>
      <c r="E3810" s="1" t="s">
        <v>28</v>
      </c>
      <c r="F3810" s="2">
        <v>250000.0</v>
      </c>
      <c r="G3810" s="4">
        <v>44621.0</v>
      </c>
      <c r="H3810" s="4">
        <f>IFERROR(__xludf.DUMMYFUNCTION("DATE(INDEX(SPLIT(G3810,""/""),,3),INDEX(SPLIT(G3810,""/""),,2),INDEX(SPLIT(G3810,""/""),,1))"),44564.0)</f>
        <v>44564</v>
      </c>
      <c r="I3810" s="1" t="s">
        <v>130</v>
      </c>
      <c r="J3810" s="4">
        <f>IFERROR(__xludf.DUMMYFUNCTION("DATE(INDEX(SPLIT(I3810,""/""),,3),INDEX(SPLIT(I3810,""/""),,2),INDEX(SPLIT(I3810,""/""),,1))"),44804.0)</f>
        <v>44804</v>
      </c>
      <c r="L3810" s="1">
        <v>0.0</v>
      </c>
      <c r="M3810" s="1" t="s">
        <v>2945</v>
      </c>
      <c r="N3810" s="1"/>
      <c r="O3810" s="1" t="s">
        <v>30</v>
      </c>
      <c r="P3810" s="1" t="s">
        <v>31</v>
      </c>
      <c r="Q3810" s="1" t="s">
        <v>157</v>
      </c>
      <c r="R3810" s="1" t="s">
        <v>157</v>
      </c>
      <c r="S3810" s="1" t="s">
        <v>158</v>
      </c>
      <c r="U3810" s="1">
        <v>1.01138319E8</v>
      </c>
      <c r="Y3810" s="1" t="s">
        <v>2945</v>
      </c>
      <c r="Z3810" s="1" t="s">
        <v>206</v>
      </c>
    </row>
    <row r="3811" hidden="1">
      <c r="A3811" s="1" t="s">
        <v>10981</v>
      </c>
      <c r="B3811" s="1" t="s">
        <v>516</v>
      </c>
      <c r="C3811" s="1" t="s">
        <v>10982</v>
      </c>
      <c r="D3811" s="1" t="s">
        <v>27</v>
      </c>
      <c r="E3811" s="1" t="s">
        <v>28</v>
      </c>
      <c r="F3811" s="2">
        <v>250000.0</v>
      </c>
      <c r="G3811" s="1" t="s">
        <v>5390</v>
      </c>
      <c r="H3811" s="4">
        <f>IFERROR(__xludf.DUMMYFUNCTION("DATE(INDEX(SPLIT(G3811,""/""),,3),INDEX(SPLIT(G3811,""/""),,2),INDEX(SPLIT(G3811,""/""),,1))"),44307.0)</f>
        <v>44307</v>
      </c>
      <c r="I3811" s="1" t="s">
        <v>130</v>
      </c>
      <c r="J3811" s="4">
        <f>IFERROR(__xludf.DUMMYFUNCTION("DATE(INDEX(SPLIT(I3811,""/""),,3),INDEX(SPLIT(I3811,""/""),,2),INDEX(SPLIT(I3811,""/""),,1))"),44804.0)</f>
        <v>44804</v>
      </c>
      <c r="L3811" s="1">
        <v>0.0</v>
      </c>
      <c r="M3811" s="1" t="s">
        <v>1621</v>
      </c>
      <c r="N3811" s="1"/>
      <c r="O3811" s="1" t="s">
        <v>30</v>
      </c>
      <c r="P3811" s="1" t="s">
        <v>31</v>
      </c>
      <c r="Q3811" s="1" t="s">
        <v>157</v>
      </c>
      <c r="R3811" s="1" t="s">
        <v>157</v>
      </c>
      <c r="S3811" s="1" t="s">
        <v>158</v>
      </c>
      <c r="T3811" s="1" t="s">
        <v>159</v>
      </c>
      <c r="U3811" s="1">
        <v>1.00650783E8</v>
      </c>
      <c r="X3811" s="1" t="s">
        <v>74</v>
      </c>
      <c r="Y3811" s="1" t="s">
        <v>1621</v>
      </c>
      <c r="Z3811" s="1" t="s">
        <v>37</v>
      </c>
    </row>
    <row r="3812" hidden="1">
      <c r="A3812" s="1" t="s">
        <v>10983</v>
      </c>
      <c r="B3812" s="1" t="s">
        <v>1429</v>
      </c>
      <c r="C3812" s="1" t="s">
        <v>10984</v>
      </c>
      <c r="D3812" s="1" t="s">
        <v>27</v>
      </c>
      <c r="E3812" s="1" t="s">
        <v>28</v>
      </c>
      <c r="F3812" s="2">
        <v>250000.0</v>
      </c>
      <c r="G3812" s="4">
        <v>44746.0</v>
      </c>
      <c r="H3812" s="4">
        <f>IFERROR(__xludf.DUMMYFUNCTION("DATE(INDEX(SPLIT(G3812,""/""),,3),INDEX(SPLIT(G3812,""/""),,2),INDEX(SPLIT(G3812,""/""),,1))"),44658.0)</f>
        <v>44658</v>
      </c>
      <c r="I3812" s="1" t="s">
        <v>42</v>
      </c>
      <c r="J3812" s="4">
        <f>IFERROR(__xludf.DUMMYFUNCTION("DATE(INDEX(SPLIT(I3812,""/""),,3),INDEX(SPLIT(I3812,""/""),,2),INDEX(SPLIT(I3812,""/""),,1))"),44926.0)</f>
        <v>44926</v>
      </c>
      <c r="L3812" s="1">
        <v>0.0</v>
      </c>
      <c r="M3812" s="1" t="s">
        <v>10985</v>
      </c>
      <c r="N3812" s="1"/>
      <c r="O3812" s="1" t="s">
        <v>30</v>
      </c>
      <c r="P3812" s="1" t="s">
        <v>31</v>
      </c>
      <c r="Q3812" s="1" t="s">
        <v>228</v>
      </c>
      <c r="R3812" s="1" t="s">
        <v>228</v>
      </c>
      <c r="S3812" s="1" t="s">
        <v>229</v>
      </c>
      <c r="U3812" s="1">
        <v>1.00644409E8</v>
      </c>
      <c r="X3812" s="1" t="s">
        <v>190</v>
      </c>
      <c r="Y3812" s="1" t="s">
        <v>6232</v>
      </c>
      <c r="Z3812" s="1" t="s">
        <v>37</v>
      </c>
    </row>
    <row r="3813" hidden="1">
      <c r="A3813" s="1" t="s">
        <v>10986</v>
      </c>
      <c r="B3813" s="1" t="s">
        <v>10987</v>
      </c>
      <c r="C3813" s="1" t="s">
        <v>10988</v>
      </c>
      <c r="D3813" s="1" t="s">
        <v>27</v>
      </c>
      <c r="E3813" s="1" t="s">
        <v>28</v>
      </c>
      <c r="F3813" s="2">
        <v>250000.0</v>
      </c>
      <c r="G3813" s="1" t="s">
        <v>359</v>
      </c>
      <c r="H3813" s="4">
        <f>IFERROR(__xludf.DUMMYFUNCTION("DATE(INDEX(SPLIT(G3813,""/""),,3),INDEX(SPLIT(G3813,""/""),,2),INDEX(SPLIT(G3813,""/""),,1))"),44740.0)</f>
        <v>44740</v>
      </c>
      <c r="I3813" s="1" t="s">
        <v>317</v>
      </c>
      <c r="J3813" s="4">
        <f>IFERROR(__xludf.DUMMYFUNCTION("DATE(INDEX(SPLIT(I3813,""/""),,3),INDEX(SPLIT(I3813,""/""),,2),INDEX(SPLIT(I3813,""/""),,1))"),44862.0)</f>
        <v>44862</v>
      </c>
      <c r="L3813" s="1">
        <v>0.0</v>
      </c>
      <c r="M3813" s="1" t="s">
        <v>1548</v>
      </c>
      <c r="N3813" s="1"/>
      <c r="O3813" s="1" t="s">
        <v>30</v>
      </c>
      <c r="P3813" s="1" t="s">
        <v>31</v>
      </c>
      <c r="Q3813" s="1" t="s">
        <v>32</v>
      </c>
      <c r="R3813" s="1" t="s">
        <v>32</v>
      </c>
      <c r="S3813" s="1" t="s">
        <v>33</v>
      </c>
      <c r="U3813" s="1">
        <v>1.01215106E8</v>
      </c>
      <c r="X3813" s="1" t="s">
        <v>490</v>
      </c>
      <c r="Y3813" s="1" t="s">
        <v>1548</v>
      </c>
      <c r="Z3813" s="1" t="s">
        <v>37</v>
      </c>
    </row>
    <row r="3814" hidden="1">
      <c r="A3814" s="1" t="s">
        <v>10989</v>
      </c>
      <c r="B3814" s="1" t="s">
        <v>1429</v>
      </c>
      <c r="C3814" s="1" t="s">
        <v>10990</v>
      </c>
      <c r="D3814" s="1" t="s">
        <v>27</v>
      </c>
      <c r="E3814" s="1" t="s">
        <v>28</v>
      </c>
      <c r="F3814" s="2">
        <v>250000.0</v>
      </c>
      <c r="G3814" s="4">
        <v>44746.0</v>
      </c>
      <c r="H3814" s="4">
        <f>IFERROR(__xludf.DUMMYFUNCTION("DATE(INDEX(SPLIT(G3814,""/""),,3),INDEX(SPLIT(G3814,""/""),,2),INDEX(SPLIT(G3814,""/""),,1))"),44658.0)</f>
        <v>44658</v>
      </c>
      <c r="I3814" s="1" t="s">
        <v>42</v>
      </c>
      <c r="J3814" s="4">
        <f>IFERROR(__xludf.DUMMYFUNCTION("DATE(INDEX(SPLIT(I3814,""/""),,3),INDEX(SPLIT(I3814,""/""),,2),INDEX(SPLIT(I3814,""/""),,1))"),44926.0)</f>
        <v>44926</v>
      </c>
      <c r="L3814" s="1">
        <v>0.0</v>
      </c>
      <c r="M3814" s="1" t="s">
        <v>1433</v>
      </c>
      <c r="N3814" s="1"/>
      <c r="O3814" s="1" t="s">
        <v>30</v>
      </c>
      <c r="P3814" s="1" t="s">
        <v>31</v>
      </c>
      <c r="Q3814" s="1" t="s">
        <v>228</v>
      </c>
      <c r="R3814" s="1" t="s">
        <v>228</v>
      </c>
      <c r="S3814" s="1" t="s">
        <v>229</v>
      </c>
      <c r="T3814" s="1" t="s">
        <v>505</v>
      </c>
      <c r="U3814" s="1">
        <v>1.00609118E8</v>
      </c>
      <c r="X3814" s="1" t="s">
        <v>190</v>
      </c>
      <c r="Y3814" s="1" t="s">
        <v>6232</v>
      </c>
      <c r="Z3814" s="1" t="s">
        <v>37</v>
      </c>
    </row>
    <row r="3815" hidden="1">
      <c r="A3815" s="1" t="s">
        <v>10991</v>
      </c>
      <c r="B3815" s="1" t="s">
        <v>10992</v>
      </c>
      <c r="C3815" s="1" t="s">
        <v>10988</v>
      </c>
      <c r="D3815" s="1" t="s">
        <v>27</v>
      </c>
      <c r="E3815" s="1" t="s">
        <v>28</v>
      </c>
      <c r="F3815" s="2">
        <v>250000.0</v>
      </c>
      <c r="G3815" s="1" t="s">
        <v>359</v>
      </c>
      <c r="H3815" s="4">
        <f>IFERROR(__xludf.DUMMYFUNCTION("DATE(INDEX(SPLIT(G3815,""/""),,3),INDEX(SPLIT(G3815,""/""),,2),INDEX(SPLIT(G3815,""/""),,1))"),44740.0)</f>
        <v>44740</v>
      </c>
      <c r="I3815" s="4">
        <v>44816.0</v>
      </c>
      <c r="J3815" s="4">
        <f>IFERROR(__xludf.DUMMYFUNCTION("DATE(INDEX(SPLIT(I3815,""/""),,3),INDEX(SPLIT(I3815,""/""),,2),INDEX(SPLIT(I3815,""/""),,1))"),44904.0)</f>
        <v>44904</v>
      </c>
      <c r="L3815" s="1">
        <v>0.0</v>
      </c>
      <c r="M3815" s="1" t="s">
        <v>1548</v>
      </c>
      <c r="N3815" s="1"/>
      <c r="O3815" s="1" t="s">
        <v>30</v>
      </c>
      <c r="P3815" s="1" t="s">
        <v>31</v>
      </c>
      <c r="Q3815" s="1" t="s">
        <v>32</v>
      </c>
      <c r="R3815" s="1" t="s">
        <v>32</v>
      </c>
      <c r="S3815" s="1" t="s">
        <v>33</v>
      </c>
      <c r="U3815" s="1">
        <v>1.01215106E8</v>
      </c>
      <c r="X3815" s="1" t="s">
        <v>88</v>
      </c>
      <c r="Y3815" s="1" t="s">
        <v>1548</v>
      </c>
      <c r="Z3815" s="1" t="s">
        <v>37</v>
      </c>
    </row>
    <row r="3816" hidden="1">
      <c r="A3816" s="1" t="s">
        <v>10993</v>
      </c>
      <c r="B3816" s="1" t="s">
        <v>132</v>
      </c>
      <c r="C3816" s="1" t="s">
        <v>10994</v>
      </c>
      <c r="D3816" s="1" t="s">
        <v>27</v>
      </c>
      <c r="E3816" s="1" t="s">
        <v>28</v>
      </c>
      <c r="F3816" s="2">
        <v>250000.0</v>
      </c>
      <c r="G3816" s="1" t="s">
        <v>1893</v>
      </c>
      <c r="H3816" s="4">
        <f>IFERROR(__xludf.DUMMYFUNCTION("DATE(INDEX(SPLIT(G3816,""/""),,3),INDEX(SPLIT(G3816,""/""),,2),INDEX(SPLIT(G3816,""/""),,1))"),44308.0)</f>
        <v>44308</v>
      </c>
      <c r="I3816" s="4">
        <v>44569.0</v>
      </c>
      <c r="J3816" s="4">
        <f>IFERROR(__xludf.DUMMYFUNCTION("DATE(INDEX(SPLIT(I3816,""/""),,3),INDEX(SPLIT(I3816,""/""),,2),INDEX(SPLIT(I3816,""/""),,1))"),44774.0)</f>
        <v>44774</v>
      </c>
      <c r="L3816" s="1">
        <v>0.0</v>
      </c>
      <c r="M3816" s="1" t="s">
        <v>1088</v>
      </c>
      <c r="N3816" s="1"/>
      <c r="O3816" s="1" t="s">
        <v>30</v>
      </c>
      <c r="P3816" s="1" t="s">
        <v>31</v>
      </c>
      <c r="Q3816" s="1" t="s">
        <v>71</v>
      </c>
      <c r="R3816" s="1" t="s">
        <v>71</v>
      </c>
      <c r="S3816" s="1" t="s">
        <v>72</v>
      </c>
      <c r="T3816" s="1" t="s">
        <v>136</v>
      </c>
      <c r="U3816" s="1">
        <v>1.0090037E8</v>
      </c>
      <c r="X3816" s="1" t="s">
        <v>74</v>
      </c>
      <c r="Y3816" s="1" t="s">
        <v>1088</v>
      </c>
      <c r="Z3816" s="1" t="s">
        <v>37</v>
      </c>
    </row>
    <row r="3817">
      <c r="A3817" s="1" t="s">
        <v>10995</v>
      </c>
      <c r="B3817" s="1" t="s">
        <v>10996</v>
      </c>
      <c r="C3817" s="1" t="s">
        <v>10997</v>
      </c>
      <c r="D3817" s="1" t="s">
        <v>27</v>
      </c>
      <c r="E3817" s="1" t="s">
        <v>28</v>
      </c>
      <c r="F3817" s="2">
        <v>250000.0</v>
      </c>
      <c r="G3817" s="4">
        <v>44597.0</v>
      </c>
      <c r="H3817" s="4">
        <f>IFERROR(__xludf.DUMMYFUNCTION("DATE(INDEX(SPLIT(G3817,""/""),,3),INDEX(SPLIT(G3817,""/""),,2),INDEX(SPLIT(G3817,""/""),,1))"),44683.0)</f>
        <v>44683</v>
      </c>
      <c r="I3817" s="1" t="s">
        <v>69</v>
      </c>
      <c r="J3817" s="4">
        <f>IFERROR(__xludf.DUMMYFUNCTION("DATE(INDEX(SPLIT(I3817,""/""),,3),INDEX(SPLIT(I3817,""/""),,2),INDEX(SPLIT(I3817,""/""),,1))"),44773.0)</f>
        <v>44773</v>
      </c>
      <c r="L3817" s="1">
        <v>0.0</v>
      </c>
      <c r="M3817" s="1" t="s">
        <v>1610</v>
      </c>
      <c r="N3817" s="1"/>
      <c r="O3817" s="1" t="s">
        <v>30</v>
      </c>
      <c r="P3817" s="1" t="s">
        <v>31</v>
      </c>
      <c r="Q3817" s="1" t="s">
        <v>53</v>
      </c>
      <c r="R3817" s="1" t="s">
        <v>53</v>
      </c>
      <c r="S3817" s="1" t="s">
        <v>54</v>
      </c>
      <c r="T3817" s="1" t="s">
        <v>1386</v>
      </c>
      <c r="U3817" s="1">
        <v>1.01141441E8</v>
      </c>
      <c r="X3817" s="1" t="s">
        <v>63</v>
      </c>
      <c r="Y3817" s="1" t="s">
        <v>1610</v>
      </c>
      <c r="Z3817" s="1" t="s">
        <v>37</v>
      </c>
    </row>
    <row r="3818" hidden="1">
      <c r="A3818" s="1" t="s">
        <v>10998</v>
      </c>
      <c r="B3818" s="1" t="s">
        <v>10999</v>
      </c>
      <c r="C3818" s="1" t="s">
        <v>11000</v>
      </c>
      <c r="D3818" s="1" t="s">
        <v>78</v>
      </c>
      <c r="E3818" s="1" t="s">
        <v>28</v>
      </c>
      <c r="F3818" s="2">
        <v>250000.0</v>
      </c>
      <c r="G3818" s="4">
        <v>44625.0</v>
      </c>
      <c r="H3818" s="4">
        <f>IFERROR(__xludf.DUMMYFUNCTION("DATE(INDEX(SPLIT(G3818,""/""),,3),INDEX(SPLIT(G3818,""/""),,2),INDEX(SPLIT(G3818,""/""),,1))"),44684.0)</f>
        <v>44684</v>
      </c>
      <c r="I3818" s="1" t="s">
        <v>130</v>
      </c>
      <c r="J3818" s="4">
        <f>IFERROR(__xludf.DUMMYFUNCTION("DATE(INDEX(SPLIT(I3818,""/""),,3),INDEX(SPLIT(I3818,""/""),,2),INDEX(SPLIT(I3818,""/""),,1))"),44804.0)</f>
        <v>44804</v>
      </c>
      <c r="L3818" s="1">
        <v>0.0</v>
      </c>
      <c r="M3818" s="1" t="s">
        <v>524</v>
      </c>
      <c r="N3818" s="1"/>
      <c r="O3818" s="1" t="s">
        <v>30</v>
      </c>
      <c r="P3818" s="1" t="s">
        <v>31</v>
      </c>
      <c r="Q3818" s="1" t="s">
        <v>32</v>
      </c>
      <c r="R3818" s="1" t="s">
        <v>32</v>
      </c>
      <c r="S3818" s="1" t="s">
        <v>33</v>
      </c>
      <c r="U3818" s="1">
        <v>1.00627768E8</v>
      </c>
      <c r="X3818" s="1" t="s">
        <v>35</v>
      </c>
      <c r="Y3818" s="1" t="s">
        <v>524</v>
      </c>
      <c r="Z3818" s="1" t="s">
        <v>527</v>
      </c>
    </row>
    <row r="3819" hidden="1">
      <c r="A3819" s="1" t="s">
        <v>11001</v>
      </c>
      <c r="B3819" s="1" t="s">
        <v>1826</v>
      </c>
      <c r="C3819" s="1" t="s">
        <v>11002</v>
      </c>
      <c r="D3819" s="1" t="s">
        <v>78</v>
      </c>
      <c r="E3819" s="1" t="s">
        <v>28</v>
      </c>
      <c r="F3819" s="2">
        <v>250000.0</v>
      </c>
      <c r="G3819" s="1" t="s">
        <v>6942</v>
      </c>
      <c r="H3819" s="4">
        <f>IFERROR(__xludf.DUMMYFUNCTION("DATE(INDEX(SPLIT(G3819,""/""),,3),INDEX(SPLIT(G3819,""/""),,2),INDEX(SPLIT(G3819,""/""),,1))"),44492.0)</f>
        <v>44492</v>
      </c>
      <c r="I3819" s="4">
        <v>44569.0</v>
      </c>
      <c r="J3819" s="4">
        <f>IFERROR(__xludf.DUMMYFUNCTION("DATE(INDEX(SPLIT(I3819,""/""),,3),INDEX(SPLIT(I3819,""/""),,2),INDEX(SPLIT(I3819,""/""),,1))"),44774.0)</f>
        <v>44774</v>
      </c>
      <c r="L3819" s="1">
        <v>0.0</v>
      </c>
      <c r="M3819" s="1" t="s">
        <v>1828</v>
      </c>
      <c r="N3819" s="1"/>
      <c r="O3819" s="1" t="s">
        <v>30</v>
      </c>
      <c r="P3819" s="1" t="s">
        <v>31</v>
      </c>
      <c r="Q3819" s="1" t="s">
        <v>235</v>
      </c>
      <c r="R3819" s="1" t="s">
        <v>235</v>
      </c>
      <c r="S3819" s="1" t="s">
        <v>236</v>
      </c>
      <c r="T3819" s="1" t="s">
        <v>1349</v>
      </c>
      <c r="U3819" s="1">
        <v>1.00593918E8</v>
      </c>
      <c r="V3819" s="1" t="s">
        <v>1950</v>
      </c>
      <c r="W3819" s="1" t="s">
        <v>199</v>
      </c>
      <c r="X3819" s="1" t="s">
        <v>375</v>
      </c>
      <c r="Y3819" s="1" t="s">
        <v>1829</v>
      </c>
      <c r="Z3819" s="1" t="s">
        <v>37</v>
      </c>
    </row>
    <row r="3820">
      <c r="A3820" s="1" t="s">
        <v>11003</v>
      </c>
      <c r="B3820" s="1" t="s">
        <v>630</v>
      </c>
      <c r="C3820" s="1" t="s">
        <v>11004</v>
      </c>
      <c r="D3820" s="1" t="s">
        <v>27</v>
      </c>
      <c r="E3820" s="1" t="s">
        <v>28</v>
      </c>
      <c r="F3820" s="2">
        <v>250000.0</v>
      </c>
      <c r="G3820" s="1" t="s">
        <v>6301</v>
      </c>
      <c r="H3820" s="4">
        <f>IFERROR(__xludf.DUMMYFUNCTION("DATE(INDEX(SPLIT(G3820,""/""),,3),INDEX(SPLIT(G3820,""/""),,2),INDEX(SPLIT(G3820,""/""),,1))"),44635.0)</f>
        <v>44635</v>
      </c>
      <c r="I3820" s="1" t="s">
        <v>1244</v>
      </c>
      <c r="J3820" s="4">
        <f>IFERROR(__xludf.DUMMYFUNCTION("DATE(INDEX(SPLIT(I3820,""/""),,3),INDEX(SPLIT(I3820,""/""),,2),INDEX(SPLIT(I3820,""/""),,1))"),44742.0)</f>
        <v>44742</v>
      </c>
      <c r="L3820" s="1">
        <v>0.0</v>
      </c>
      <c r="M3820" s="1" t="s">
        <v>2945</v>
      </c>
      <c r="N3820" s="1"/>
      <c r="O3820" s="1" t="s">
        <v>30</v>
      </c>
      <c r="P3820" s="1" t="s">
        <v>31</v>
      </c>
      <c r="Q3820" s="1" t="s">
        <v>157</v>
      </c>
      <c r="R3820" s="1" t="s">
        <v>157</v>
      </c>
      <c r="S3820" s="1" t="s">
        <v>158</v>
      </c>
      <c r="U3820" s="1">
        <v>1.01138319E8</v>
      </c>
      <c r="X3820" s="1" t="s">
        <v>490</v>
      </c>
      <c r="Y3820" s="1" t="s">
        <v>2945</v>
      </c>
      <c r="Z3820" s="1" t="s">
        <v>206</v>
      </c>
    </row>
    <row r="3821" hidden="1">
      <c r="A3821" s="1" t="s">
        <v>11005</v>
      </c>
      <c r="B3821" s="1" t="s">
        <v>8009</v>
      </c>
      <c r="C3821" s="1" t="s">
        <v>11006</v>
      </c>
      <c r="D3821" s="1" t="s">
        <v>122</v>
      </c>
      <c r="E3821" s="1" t="s">
        <v>28</v>
      </c>
      <c r="F3821" s="2">
        <v>250000.0</v>
      </c>
      <c r="G3821" s="1" t="s">
        <v>1092</v>
      </c>
      <c r="H3821" s="4">
        <f>IFERROR(__xludf.DUMMYFUNCTION("DATE(INDEX(SPLIT(G3821,""/""),,3),INDEX(SPLIT(G3821,""/""),,2),INDEX(SPLIT(G3821,""/""),,1))"),44489.0)</f>
        <v>44489</v>
      </c>
      <c r="I3821" s="1" t="s">
        <v>85</v>
      </c>
      <c r="J3821" s="4">
        <f>IFERROR(__xludf.DUMMYFUNCTION("DATE(INDEX(SPLIT(I3821,""/""),,3),INDEX(SPLIT(I3821,""/""),,2),INDEX(SPLIT(I3821,""/""),,1))"),44799.0)</f>
        <v>44799</v>
      </c>
      <c r="L3821" s="1">
        <v>0.0</v>
      </c>
      <c r="M3821" s="1" t="s">
        <v>7887</v>
      </c>
      <c r="N3821" s="1"/>
      <c r="O3821" s="1" t="s">
        <v>30</v>
      </c>
      <c r="P3821" s="1" t="s">
        <v>31</v>
      </c>
      <c r="Q3821" s="1" t="s">
        <v>53</v>
      </c>
      <c r="R3821" s="1" t="s">
        <v>53</v>
      </c>
      <c r="S3821" s="1" t="s">
        <v>54</v>
      </c>
      <c r="T3821" s="1" t="s">
        <v>1386</v>
      </c>
      <c r="U3821" s="1">
        <v>1.00587219E8</v>
      </c>
      <c r="V3821" s="1" t="s">
        <v>11007</v>
      </c>
      <c r="W3821" s="1" t="s">
        <v>45</v>
      </c>
      <c r="X3821" s="1" t="s">
        <v>98</v>
      </c>
      <c r="Y3821" s="1" t="s">
        <v>11008</v>
      </c>
      <c r="Z3821" s="1" t="s">
        <v>37</v>
      </c>
    </row>
    <row r="3822">
      <c r="A3822" s="1" t="s">
        <v>11009</v>
      </c>
      <c r="B3822" s="1" t="s">
        <v>1748</v>
      </c>
      <c r="C3822" s="1" t="s">
        <v>11010</v>
      </c>
      <c r="D3822" s="1" t="s">
        <v>78</v>
      </c>
      <c r="E3822" s="1" t="s">
        <v>28</v>
      </c>
      <c r="F3822" s="2">
        <v>249000.0</v>
      </c>
      <c r="G3822" s="4">
        <v>44626.0</v>
      </c>
      <c r="H3822" s="4">
        <f>IFERROR(__xludf.DUMMYFUNCTION("DATE(INDEX(SPLIT(G3822,""/""),,3),INDEX(SPLIT(G3822,""/""),,2),INDEX(SPLIT(G3822,""/""),,1))"),44715.0)</f>
        <v>44715</v>
      </c>
      <c r="I3822" s="1" t="s">
        <v>233</v>
      </c>
      <c r="J3822" s="4">
        <f>IFERROR(__xludf.DUMMYFUNCTION("DATE(INDEX(SPLIT(I3822,""/""),,3),INDEX(SPLIT(I3822,""/""),,2),INDEX(SPLIT(I3822,""/""),,1))"),44729.0)</f>
        <v>44729</v>
      </c>
      <c r="L3822" s="1">
        <v>0.0</v>
      </c>
      <c r="M3822" s="1" t="s">
        <v>4919</v>
      </c>
      <c r="N3822" s="1"/>
      <c r="O3822" s="1" t="s">
        <v>30</v>
      </c>
      <c r="P3822" s="1" t="s">
        <v>31</v>
      </c>
      <c r="Q3822" s="1" t="s">
        <v>235</v>
      </c>
      <c r="R3822" s="1" t="s">
        <v>235</v>
      </c>
      <c r="S3822" s="1" t="s">
        <v>236</v>
      </c>
      <c r="U3822" s="1">
        <v>1.00646809E8</v>
      </c>
      <c r="X3822" s="1" t="s">
        <v>88</v>
      </c>
      <c r="Y3822" s="1" t="s">
        <v>5106</v>
      </c>
      <c r="Z3822" s="1" t="s">
        <v>37</v>
      </c>
    </row>
    <row r="3823">
      <c r="A3823" s="1" t="s">
        <v>11011</v>
      </c>
      <c r="B3823" s="1" t="s">
        <v>896</v>
      </c>
      <c r="C3823" s="1" t="s">
        <v>11012</v>
      </c>
      <c r="D3823" s="1" t="s">
        <v>122</v>
      </c>
      <c r="E3823" s="1" t="s">
        <v>28</v>
      </c>
      <c r="F3823" s="2">
        <v>249000.0</v>
      </c>
      <c r="G3823" s="4">
        <v>44597.0</v>
      </c>
      <c r="H3823" s="4">
        <f>IFERROR(__xludf.DUMMYFUNCTION("DATE(INDEX(SPLIT(G3823,""/""),,3),INDEX(SPLIT(G3823,""/""),,2),INDEX(SPLIT(G3823,""/""),,1))"),44683.0)</f>
        <v>44683</v>
      </c>
      <c r="I3823" s="4">
        <v>44719.0</v>
      </c>
      <c r="J3823" s="4">
        <f>IFERROR(__xludf.DUMMYFUNCTION("DATE(INDEX(SPLIT(I3823,""/""),,3),INDEX(SPLIT(I3823,""/""),,2),INDEX(SPLIT(I3823,""/""),,1))"),44748.0)</f>
        <v>44748</v>
      </c>
      <c r="L3823" s="1">
        <v>0.0</v>
      </c>
      <c r="M3823" s="1" t="s">
        <v>3248</v>
      </c>
      <c r="N3823" s="1"/>
      <c r="O3823" s="1" t="s">
        <v>30</v>
      </c>
      <c r="P3823" s="1" t="s">
        <v>31</v>
      </c>
      <c r="Q3823" s="1" t="s">
        <v>32</v>
      </c>
      <c r="R3823" s="1" t="s">
        <v>32</v>
      </c>
      <c r="S3823" s="1" t="s">
        <v>33</v>
      </c>
      <c r="T3823" s="1" t="s">
        <v>1195</v>
      </c>
      <c r="U3823" s="1">
        <v>1.00586233E8</v>
      </c>
      <c r="X3823" s="1" t="s">
        <v>490</v>
      </c>
      <c r="Y3823" s="1" t="s">
        <v>3248</v>
      </c>
      <c r="Z3823" s="1" t="s">
        <v>37</v>
      </c>
    </row>
    <row r="3824">
      <c r="A3824" s="1" t="s">
        <v>11013</v>
      </c>
      <c r="B3824" s="1" t="s">
        <v>612</v>
      </c>
      <c r="C3824" s="1" t="s">
        <v>11014</v>
      </c>
      <c r="D3824" s="1" t="s">
        <v>122</v>
      </c>
      <c r="E3824" s="1" t="s">
        <v>28</v>
      </c>
      <c r="F3824" s="2">
        <v>249000.0</v>
      </c>
      <c r="G3824" s="4">
        <v>44872.0</v>
      </c>
      <c r="H3824" s="4">
        <f>IFERROR(__xludf.DUMMYFUNCTION("DATE(INDEX(SPLIT(G3824,""/""),,3),INDEX(SPLIT(G3824,""/""),,2),INDEX(SPLIT(G3824,""/""),,1))"),44753.0)</f>
        <v>44753</v>
      </c>
      <c r="I3824" s="1" t="s">
        <v>1141</v>
      </c>
      <c r="J3824" s="4">
        <f>IFERROR(__xludf.DUMMYFUNCTION("DATE(INDEX(SPLIT(I3824,""/""),,3),INDEX(SPLIT(I3824,""/""),,2),INDEX(SPLIT(I3824,""/""),,1))"),44767.0)</f>
        <v>44767</v>
      </c>
      <c r="L3824" s="1">
        <v>0.0</v>
      </c>
      <c r="M3824" s="1" t="s">
        <v>898</v>
      </c>
      <c r="N3824" s="1"/>
      <c r="O3824" s="1" t="s">
        <v>30</v>
      </c>
      <c r="P3824" s="1" t="s">
        <v>31</v>
      </c>
      <c r="Q3824" s="1" t="s">
        <v>71</v>
      </c>
      <c r="R3824" s="1" t="s">
        <v>71</v>
      </c>
      <c r="S3824" s="1" t="s">
        <v>72</v>
      </c>
      <c r="U3824" s="1">
        <v>1.00589481E8</v>
      </c>
      <c r="X3824" s="1" t="s">
        <v>490</v>
      </c>
      <c r="Y3824" s="1" t="s">
        <v>11015</v>
      </c>
      <c r="Z3824" s="1" t="s">
        <v>37</v>
      </c>
    </row>
    <row r="3825">
      <c r="A3825" s="1" t="s">
        <v>11016</v>
      </c>
      <c r="B3825" s="1" t="s">
        <v>1748</v>
      </c>
      <c r="C3825" s="1" t="s">
        <v>11017</v>
      </c>
      <c r="D3825" s="1" t="s">
        <v>78</v>
      </c>
      <c r="E3825" s="1" t="s">
        <v>28</v>
      </c>
      <c r="F3825" s="2">
        <v>249000.0</v>
      </c>
      <c r="G3825" s="4">
        <v>44568.0</v>
      </c>
      <c r="H3825" s="4">
        <f>IFERROR(__xludf.DUMMYFUNCTION("DATE(INDEX(SPLIT(G3825,""/""),,3),INDEX(SPLIT(G3825,""/""),,2),INDEX(SPLIT(G3825,""/""),,1))"),44743.0)</f>
        <v>44743</v>
      </c>
      <c r="I3825" s="1" t="s">
        <v>226</v>
      </c>
      <c r="J3825" s="4">
        <f>IFERROR(__xludf.DUMMYFUNCTION("DATE(INDEX(SPLIT(I3825,""/""),,3),INDEX(SPLIT(I3825,""/""),,2),INDEX(SPLIT(I3825,""/""),,1))"),44771.0)</f>
        <v>44771</v>
      </c>
      <c r="L3825" s="1">
        <v>0.0</v>
      </c>
      <c r="M3825" s="1" t="s">
        <v>11018</v>
      </c>
      <c r="N3825" s="1"/>
      <c r="O3825" s="1" t="s">
        <v>30</v>
      </c>
      <c r="P3825" s="1" t="s">
        <v>31</v>
      </c>
      <c r="Q3825" s="1" t="s">
        <v>95</v>
      </c>
      <c r="R3825" s="1" t="s">
        <v>95</v>
      </c>
      <c r="S3825" s="1" t="s">
        <v>96</v>
      </c>
      <c r="U3825" s="1">
        <v>1.01195935E8</v>
      </c>
      <c r="X3825" s="1" t="s">
        <v>88</v>
      </c>
      <c r="Y3825" s="1" t="s">
        <v>11019</v>
      </c>
      <c r="Z3825" s="1" t="s">
        <v>527</v>
      </c>
    </row>
    <row r="3826" hidden="1">
      <c r="A3826" s="1" t="s">
        <v>11020</v>
      </c>
      <c r="B3826" s="1" t="s">
        <v>1748</v>
      </c>
      <c r="C3826" s="1" t="s">
        <v>11021</v>
      </c>
      <c r="D3826" s="1" t="s">
        <v>122</v>
      </c>
      <c r="E3826" s="1" t="s">
        <v>28</v>
      </c>
      <c r="F3826" s="2">
        <v>248000.0</v>
      </c>
      <c r="G3826" s="4">
        <v>44567.0</v>
      </c>
      <c r="H3826" s="4">
        <f>IFERROR(__xludf.DUMMYFUNCTION("DATE(INDEX(SPLIT(G3826,""/""),,3),INDEX(SPLIT(G3826,""/""),,2),INDEX(SPLIT(G3826,""/""),,1))"),44713.0)</f>
        <v>44713</v>
      </c>
      <c r="I3826" s="4">
        <v>44569.0</v>
      </c>
      <c r="J3826" s="4">
        <f>IFERROR(__xludf.DUMMYFUNCTION("DATE(INDEX(SPLIT(I3826,""/""),,3),INDEX(SPLIT(I3826,""/""),,2),INDEX(SPLIT(I3826,""/""),,1))"),44774.0)</f>
        <v>44774</v>
      </c>
      <c r="L3826" s="1">
        <v>0.0</v>
      </c>
      <c r="M3826" s="1" t="s">
        <v>6195</v>
      </c>
      <c r="N3826" s="1"/>
      <c r="O3826" s="1" t="s">
        <v>30</v>
      </c>
      <c r="P3826" s="1" t="s">
        <v>31</v>
      </c>
      <c r="Q3826" s="1" t="s">
        <v>228</v>
      </c>
      <c r="R3826" s="1" t="s">
        <v>228</v>
      </c>
      <c r="S3826" s="1" t="s">
        <v>229</v>
      </c>
      <c r="T3826" s="1" t="s">
        <v>640</v>
      </c>
      <c r="U3826" s="1">
        <v>1.01051394E8</v>
      </c>
      <c r="X3826" s="1" t="s">
        <v>88</v>
      </c>
      <c r="Y3826" s="1" t="s">
        <v>6196</v>
      </c>
      <c r="Z3826" s="1" t="s">
        <v>37</v>
      </c>
    </row>
    <row r="3827" hidden="1">
      <c r="A3827" s="1" t="s">
        <v>11022</v>
      </c>
      <c r="B3827" s="1" t="s">
        <v>11023</v>
      </c>
      <c r="C3827" s="1" t="s">
        <v>11024</v>
      </c>
      <c r="D3827" s="1" t="s">
        <v>27</v>
      </c>
      <c r="E3827" s="1" t="s">
        <v>28</v>
      </c>
      <c r="F3827" s="2">
        <v>247500.0</v>
      </c>
      <c r="G3827" s="1" t="s">
        <v>41</v>
      </c>
      <c r="H3827" s="4">
        <f>IFERROR(__xludf.DUMMYFUNCTION("DATE(INDEX(SPLIT(G3827,""/""),,3),INDEX(SPLIT(G3827,""/""),,2),INDEX(SPLIT(G3827,""/""),,1))"),44607.0)</f>
        <v>44607</v>
      </c>
      <c r="I3827" s="4">
        <v>44573.0</v>
      </c>
      <c r="J3827" s="4">
        <f>IFERROR(__xludf.DUMMYFUNCTION("DATE(INDEX(SPLIT(I3827,""/""),,3),INDEX(SPLIT(I3827,""/""),,2),INDEX(SPLIT(I3827,""/""),,1))"),44896.0)</f>
        <v>44896</v>
      </c>
      <c r="L3827" s="1">
        <v>0.0</v>
      </c>
      <c r="M3827" s="1" t="s">
        <v>1385</v>
      </c>
      <c r="N3827" s="1"/>
      <c r="O3827" s="1" t="s">
        <v>30</v>
      </c>
      <c r="P3827" s="1" t="s">
        <v>31</v>
      </c>
      <c r="Q3827" s="1" t="s">
        <v>235</v>
      </c>
      <c r="R3827" s="1" t="s">
        <v>235</v>
      </c>
      <c r="S3827" s="1" t="s">
        <v>236</v>
      </c>
      <c r="T3827" s="1" t="s">
        <v>1386</v>
      </c>
      <c r="U3827" s="1">
        <v>1.00594397E8</v>
      </c>
      <c r="X3827" s="1" t="s">
        <v>239</v>
      </c>
      <c r="Y3827" s="1" t="s">
        <v>1387</v>
      </c>
      <c r="Z3827" s="1" t="s">
        <v>37</v>
      </c>
    </row>
    <row r="3828">
      <c r="A3828" s="1" t="s">
        <v>11025</v>
      </c>
      <c r="B3828" s="1" t="s">
        <v>1748</v>
      </c>
      <c r="C3828" s="1" t="s">
        <v>11026</v>
      </c>
      <c r="D3828" s="1" t="s">
        <v>68</v>
      </c>
      <c r="E3828" s="1" t="s">
        <v>28</v>
      </c>
      <c r="F3828" s="2">
        <v>246264.0</v>
      </c>
      <c r="G3828" s="1" t="s">
        <v>10076</v>
      </c>
      <c r="H3828" s="4">
        <f>IFERROR(__xludf.DUMMYFUNCTION("DATE(INDEX(SPLIT(G3828,""/""),,3),INDEX(SPLIT(G3828,""/""),,2),INDEX(SPLIT(G3828,""/""),,1))"),44062.0)</f>
        <v>44062</v>
      </c>
      <c r="I3828" s="1" t="s">
        <v>1141</v>
      </c>
      <c r="J3828" s="4">
        <f>IFERROR(__xludf.DUMMYFUNCTION("DATE(INDEX(SPLIT(I3828,""/""),,3),INDEX(SPLIT(I3828,""/""),,2),INDEX(SPLIT(I3828,""/""),,1))"),44767.0)</f>
        <v>44767</v>
      </c>
      <c r="L3828" s="1">
        <v>0.0</v>
      </c>
      <c r="M3828" s="1" t="s">
        <v>4022</v>
      </c>
      <c r="N3828" s="1"/>
      <c r="O3828" s="1" t="s">
        <v>30</v>
      </c>
      <c r="P3828" s="1" t="s">
        <v>31</v>
      </c>
      <c r="Q3828" s="1" t="s">
        <v>235</v>
      </c>
      <c r="R3828" s="1" t="s">
        <v>235</v>
      </c>
      <c r="S3828" s="1" t="s">
        <v>236</v>
      </c>
      <c r="T3828" s="1" t="s">
        <v>753</v>
      </c>
      <c r="U3828" s="1">
        <v>1.00648421E8</v>
      </c>
      <c r="X3828" s="1" t="s">
        <v>88</v>
      </c>
      <c r="Y3828" s="1" t="s">
        <v>4022</v>
      </c>
      <c r="Z3828" s="1" t="s">
        <v>37</v>
      </c>
    </row>
    <row r="3829">
      <c r="A3829" s="1" t="s">
        <v>11027</v>
      </c>
      <c r="B3829" s="1" t="s">
        <v>1748</v>
      </c>
      <c r="C3829" s="1" t="s">
        <v>11028</v>
      </c>
      <c r="D3829" s="1" t="s">
        <v>122</v>
      </c>
      <c r="E3829" s="1" t="s">
        <v>28</v>
      </c>
      <c r="F3829" s="2">
        <v>246125.0</v>
      </c>
      <c r="G3829" s="1" t="s">
        <v>149</v>
      </c>
      <c r="H3829" s="4">
        <f>IFERROR(__xludf.DUMMYFUNCTION("DATE(INDEX(SPLIT(G3829,""/""),,3),INDEX(SPLIT(G3829,""/""),,2),INDEX(SPLIT(G3829,""/""),,1))"),44590.0)</f>
        <v>44590</v>
      </c>
      <c r="I3829" s="1" t="s">
        <v>1141</v>
      </c>
      <c r="J3829" s="4">
        <f>IFERROR(__xludf.DUMMYFUNCTION("DATE(INDEX(SPLIT(I3829,""/""),,3),INDEX(SPLIT(I3829,""/""),,2),INDEX(SPLIT(I3829,""/""),,1))"),44767.0)</f>
        <v>44767</v>
      </c>
      <c r="L3829" s="1">
        <v>0.0</v>
      </c>
      <c r="M3829" s="1" t="s">
        <v>5684</v>
      </c>
      <c r="N3829" s="1"/>
      <c r="O3829" s="1" t="s">
        <v>30</v>
      </c>
      <c r="P3829" s="1" t="s">
        <v>31</v>
      </c>
      <c r="Q3829" s="1" t="s">
        <v>53</v>
      </c>
      <c r="R3829" s="1" t="s">
        <v>53</v>
      </c>
      <c r="S3829" s="1" t="s">
        <v>54</v>
      </c>
      <c r="T3829" s="1" t="s">
        <v>87</v>
      </c>
      <c r="U3829" s="1">
        <v>1.00649463E8</v>
      </c>
      <c r="X3829" s="1" t="s">
        <v>88</v>
      </c>
      <c r="Y3829" s="1" t="s">
        <v>11029</v>
      </c>
      <c r="Z3829" s="1" t="s">
        <v>37</v>
      </c>
    </row>
    <row r="3830" hidden="1">
      <c r="A3830" s="1" t="s">
        <v>11030</v>
      </c>
      <c r="B3830" s="1" t="s">
        <v>777</v>
      </c>
      <c r="C3830" s="1" t="s">
        <v>11031</v>
      </c>
      <c r="D3830" s="1" t="s">
        <v>78</v>
      </c>
      <c r="E3830" s="1" t="s">
        <v>28</v>
      </c>
      <c r="F3830" s="2">
        <v>245000.0</v>
      </c>
      <c r="G3830" s="1" t="s">
        <v>8362</v>
      </c>
      <c r="H3830" s="4">
        <f>IFERROR(__xludf.DUMMYFUNCTION("DATE(INDEX(SPLIT(G3830,""/""),,3),INDEX(SPLIT(G3830,""/""),,2),INDEX(SPLIT(G3830,""/""),,1))"),44071.0)</f>
        <v>44071</v>
      </c>
      <c r="I3830" s="4">
        <v>44569.0</v>
      </c>
      <c r="J3830" s="4">
        <f>IFERROR(__xludf.DUMMYFUNCTION("DATE(INDEX(SPLIT(I3830,""/""),,3),INDEX(SPLIT(I3830,""/""),,2),INDEX(SPLIT(I3830,""/""),,1))"),44774.0)</f>
        <v>44774</v>
      </c>
      <c r="L3830" s="1">
        <v>0.0</v>
      </c>
      <c r="M3830" s="1" t="s">
        <v>2696</v>
      </c>
      <c r="N3830" s="1"/>
      <c r="O3830" s="1" t="s">
        <v>30</v>
      </c>
      <c r="P3830" s="1" t="s">
        <v>31</v>
      </c>
      <c r="Q3830" s="1" t="s">
        <v>157</v>
      </c>
      <c r="R3830" s="1" t="s">
        <v>157</v>
      </c>
      <c r="S3830" s="1" t="s">
        <v>158</v>
      </c>
      <c r="T3830" s="1" t="s">
        <v>402</v>
      </c>
      <c r="U3830" s="1">
        <v>1.00611351E8</v>
      </c>
      <c r="X3830" s="1" t="s">
        <v>781</v>
      </c>
      <c r="Y3830" s="1" t="s">
        <v>3016</v>
      </c>
      <c r="Z3830" s="1" t="s">
        <v>37</v>
      </c>
    </row>
    <row r="3831">
      <c r="A3831" s="1" t="s">
        <v>11032</v>
      </c>
      <c r="B3831" s="1" t="s">
        <v>3144</v>
      </c>
      <c r="C3831" s="1" t="s">
        <v>11033</v>
      </c>
      <c r="D3831" s="1" t="s">
        <v>78</v>
      </c>
      <c r="E3831" s="1" t="s">
        <v>28</v>
      </c>
      <c r="F3831" s="2">
        <v>240852.25</v>
      </c>
      <c r="G3831" s="4">
        <v>44902.0</v>
      </c>
      <c r="H3831" s="4">
        <f>IFERROR(__xludf.DUMMYFUNCTION("DATE(INDEX(SPLIT(G3831,""/""),,3),INDEX(SPLIT(G3831,""/""),,2),INDEX(SPLIT(G3831,""/""),,1))"),44754.0)</f>
        <v>44754</v>
      </c>
      <c r="I3831" s="1" t="s">
        <v>226</v>
      </c>
      <c r="J3831" s="4">
        <f>IFERROR(__xludf.DUMMYFUNCTION("DATE(INDEX(SPLIT(I3831,""/""),,3),INDEX(SPLIT(I3831,""/""),,2),INDEX(SPLIT(I3831,""/""),,1))"),44771.0)</f>
        <v>44771</v>
      </c>
      <c r="L3831" s="1">
        <v>0.0</v>
      </c>
      <c r="M3831" s="1" t="s">
        <v>3146</v>
      </c>
      <c r="N3831" s="1"/>
      <c r="O3831" s="1" t="s">
        <v>30</v>
      </c>
      <c r="P3831" s="1" t="s">
        <v>31</v>
      </c>
      <c r="Q3831" s="1" t="s">
        <v>1320</v>
      </c>
      <c r="R3831" s="1" t="s">
        <v>1320</v>
      </c>
      <c r="S3831" s="1" t="s">
        <v>236</v>
      </c>
      <c r="U3831" s="1">
        <v>1.00614269E8</v>
      </c>
      <c r="X3831" s="1" t="s">
        <v>88</v>
      </c>
      <c r="Y3831" s="1" t="s">
        <v>3146</v>
      </c>
      <c r="Z3831" s="1" t="s">
        <v>37</v>
      </c>
    </row>
    <row r="3832" hidden="1">
      <c r="A3832" s="1" t="s">
        <v>11034</v>
      </c>
      <c r="B3832" s="1" t="s">
        <v>8788</v>
      </c>
      <c r="C3832" s="1" t="s">
        <v>11035</v>
      </c>
      <c r="D3832" s="1" t="s">
        <v>68</v>
      </c>
      <c r="E3832" s="1" t="s">
        <v>28</v>
      </c>
      <c r="F3832" s="2">
        <v>240000.0</v>
      </c>
      <c r="G3832" s="4">
        <v>44902.0</v>
      </c>
      <c r="H3832" s="4">
        <f>IFERROR(__xludf.DUMMYFUNCTION("DATE(INDEX(SPLIT(G3832,""/""),,3),INDEX(SPLIT(G3832,""/""),,2),INDEX(SPLIT(G3832,""/""),,1))"),44754.0)</f>
        <v>44754</v>
      </c>
      <c r="I3832" s="4">
        <v>44569.0</v>
      </c>
      <c r="J3832" s="4">
        <f>IFERROR(__xludf.DUMMYFUNCTION("DATE(INDEX(SPLIT(I3832,""/""),,3),INDEX(SPLIT(I3832,""/""),,2),INDEX(SPLIT(I3832,""/""),,1))"),44774.0)</f>
        <v>44774</v>
      </c>
      <c r="L3832" s="1">
        <v>0.0</v>
      </c>
      <c r="M3832" s="1" t="s">
        <v>1137</v>
      </c>
      <c r="N3832" s="1"/>
      <c r="O3832" s="1" t="s">
        <v>30</v>
      </c>
      <c r="P3832" s="1" t="s">
        <v>31</v>
      </c>
      <c r="Q3832" s="1" t="s">
        <v>71</v>
      </c>
      <c r="R3832" s="1" t="s">
        <v>71</v>
      </c>
      <c r="S3832" s="1" t="s">
        <v>72</v>
      </c>
      <c r="U3832" s="1">
        <v>1.00589728E8</v>
      </c>
      <c r="X3832" s="1" t="s">
        <v>74</v>
      </c>
      <c r="Y3832" s="1" t="s">
        <v>1137</v>
      </c>
      <c r="Z3832" s="1" t="s">
        <v>37</v>
      </c>
    </row>
    <row r="3833">
      <c r="A3833" s="1" t="s">
        <v>11036</v>
      </c>
      <c r="B3833" s="1" t="s">
        <v>11037</v>
      </c>
      <c r="C3833" s="1" t="s">
        <v>11038</v>
      </c>
      <c r="D3833" s="1" t="s">
        <v>122</v>
      </c>
      <c r="E3833" s="1" t="s">
        <v>28</v>
      </c>
      <c r="F3833" s="2">
        <v>240000.0</v>
      </c>
      <c r="G3833" s="4">
        <v>44902.0</v>
      </c>
      <c r="H3833" s="4">
        <f>IFERROR(__xludf.DUMMYFUNCTION("DATE(INDEX(SPLIT(G3833,""/""),,3),INDEX(SPLIT(G3833,""/""),,2),INDEX(SPLIT(G3833,""/""),,1))"),44754.0)</f>
        <v>44754</v>
      </c>
      <c r="I3833" s="1" t="s">
        <v>935</v>
      </c>
      <c r="J3833" s="4">
        <f>IFERROR(__xludf.DUMMYFUNCTION("DATE(INDEX(SPLIT(I3833,""/""),,3),INDEX(SPLIT(I3833,""/""),,2),INDEX(SPLIT(I3833,""/""),,1))"),44764.0)</f>
        <v>44764</v>
      </c>
      <c r="L3833" s="1">
        <v>0.0</v>
      </c>
      <c r="M3833" s="1" t="s">
        <v>3448</v>
      </c>
      <c r="N3833" s="1"/>
      <c r="O3833" s="1" t="s">
        <v>30</v>
      </c>
      <c r="P3833" s="1" t="s">
        <v>31</v>
      </c>
      <c r="Q3833" s="1" t="s">
        <v>53</v>
      </c>
      <c r="R3833" s="1" t="s">
        <v>53</v>
      </c>
      <c r="S3833" s="1" t="s">
        <v>54</v>
      </c>
      <c r="U3833" s="1">
        <v>1.00652316E8</v>
      </c>
      <c r="X3833" s="1" t="s">
        <v>63</v>
      </c>
      <c r="Y3833" s="1" t="s">
        <v>3448</v>
      </c>
      <c r="Z3833" s="1" t="s">
        <v>37</v>
      </c>
    </row>
    <row r="3834">
      <c r="A3834" s="1" t="s">
        <v>11039</v>
      </c>
      <c r="B3834" s="1" t="s">
        <v>1748</v>
      </c>
      <c r="C3834" s="1" t="s">
        <v>11040</v>
      </c>
      <c r="D3834" s="1" t="s">
        <v>27</v>
      </c>
      <c r="E3834" s="1" t="s">
        <v>28</v>
      </c>
      <c r="F3834" s="2">
        <v>240000.0</v>
      </c>
      <c r="G3834" s="1" t="s">
        <v>593</v>
      </c>
      <c r="H3834" s="4">
        <f>IFERROR(__xludf.DUMMYFUNCTION("DATE(INDEX(SPLIT(G3834,""/""),,3),INDEX(SPLIT(G3834,""/""),,2),INDEX(SPLIT(G3834,""/""),,1))"),44330.0)</f>
        <v>44330</v>
      </c>
      <c r="I3834" s="1" t="s">
        <v>472</v>
      </c>
      <c r="J3834" s="4">
        <f>IFERROR(__xludf.DUMMYFUNCTION("DATE(INDEX(SPLIT(I3834,""/""),,3),INDEX(SPLIT(I3834,""/""),,2),INDEX(SPLIT(I3834,""/""),,1))"),44760.0)</f>
        <v>44760</v>
      </c>
      <c r="L3834" s="1">
        <v>0.0</v>
      </c>
      <c r="M3834" s="1" t="s">
        <v>3860</v>
      </c>
      <c r="N3834" s="1"/>
      <c r="O3834" s="1" t="s">
        <v>30</v>
      </c>
      <c r="P3834" s="1" t="s">
        <v>31</v>
      </c>
      <c r="Q3834" s="1" t="s">
        <v>235</v>
      </c>
      <c r="R3834" s="1" t="s">
        <v>235</v>
      </c>
      <c r="S3834" s="1" t="s">
        <v>236</v>
      </c>
      <c r="T3834" s="1" t="s">
        <v>753</v>
      </c>
      <c r="U3834" s="1">
        <v>1.00636461E8</v>
      </c>
      <c r="X3834" s="1" t="s">
        <v>88</v>
      </c>
      <c r="Y3834" s="1" t="s">
        <v>2488</v>
      </c>
      <c r="Z3834" s="1" t="s">
        <v>37</v>
      </c>
    </row>
    <row r="3835" hidden="1">
      <c r="A3835" s="1" t="s">
        <v>11041</v>
      </c>
      <c r="B3835" s="1" t="s">
        <v>1086</v>
      </c>
      <c r="C3835" s="1" t="s">
        <v>11042</v>
      </c>
      <c r="D3835" s="1" t="s">
        <v>122</v>
      </c>
      <c r="E3835" s="1" t="s">
        <v>28</v>
      </c>
      <c r="F3835" s="2">
        <v>240000.0</v>
      </c>
      <c r="G3835" s="1" t="s">
        <v>1259</v>
      </c>
      <c r="H3835" s="4">
        <f>IFERROR(__xludf.DUMMYFUNCTION("DATE(INDEX(SPLIT(G3835,""/""),,3),INDEX(SPLIT(G3835,""/""),,2),INDEX(SPLIT(G3835,""/""),,1))"),44763.0)</f>
        <v>44763</v>
      </c>
      <c r="I3835" s="1" t="s">
        <v>109</v>
      </c>
      <c r="J3835" s="4">
        <f>IFERROR(__xludf.DUMMYFUNCTION("DATE(INDEX(SPLIT(I3835,""/""),,3),INDEX(SPLIT(I3835,""/""),,2),INDEX(SPLIT(I3835,""/""),,1))"),44834.0)</f>
        <v>44834</v>
      </c>
      <c r="L3835" s="1">
        <v>0.0</v>
      </c>
      <c r="M3835" s="1" t="s">
        <v>211</v>
      </c>
      <c r="N3835" s="1"/>
      <c r="O3835" s="1" t="s">
        <v>30</v>
      </c>
      <c r="P3835" s="1" t="s">
        <v>31</v>
      </c>
      <c r="Q3835" s="1" t="s">
        <v>71</v>
      </c>
      <c r="R3835" s="1" t="s">
        <v>71</v>
      </c>
      <c r="S3835" s="1" t="s">
        <v>72</v>
      </c>
      <c r="T3835" s="1" t="s">
        <v>136</v>
      </c>
      <c r="U3835" s="1">
        <v>1.00590896E8</v>
      </c>
      <c r="X3835" s="1" t="s">
        <v>74</v>
      </c>
      <c r="Y3835" s="1" t="s">
        <v>11043</v>
      </c>
      <c r="Z3835" s="1" t="s">
        <v>37</v>
      </c>
    </row>
    <row r="3836">
      <c r="A3836" s="1" t="s">
        <v>11044</v>
      </c>
      <c r="B3836" s="1" t="s">
        <v>605</v>
      </c>
      <c r="C3836" s="1" t="s">
        <v>11045</v>
      </c>
      <c r="D3836" s="1" t="s">
        <v>122</v>
      </c>
      <c r="E3836" s="1" t="s">
        <v>28</v>
      </c>
      <c r="F3836" s="2">
        <v>240000.0</v>
      </c>
      <c r="G3836" s="1" t="s">
        <v>714</v>
      </c>
      <c r="H3836" s="4">
        <f>IFERROR(__xludf.DUMMYFUNCTION("DATE(INDEX(SPLIT(G3836,""/""),,3),INDEX(SPLIT(G3836,""/""),,2),INDEX(SPLIT(G3836,""/""),,1))"),44546.0)</f>
        <v>44546</v>
      </c>
      <c r="I3836" s="1" t="s">
        <v>226</v>
      </c>
      <c r="J3836" s="4">
        <f>IFERROR(__xludf.DUMMYFUNCTION("DATE(INDEX(SPLIT(I3836,""/""),,3),INDEX(SPLIT(I3836,""/""),,2),INDEX(SPLIT(I3836,""/""),,1))"),44771.0)</f>
        <v>44771</v>
      </c>
      <c r="L3836" s="1">
        <v>0.0</v>
      </c>
      <c r="M3836" s="1" t="s">
        <v>702</v>
      </c>
      <c r="N3836" s="1"/>
      <c r="O3836" s="1" t="s">
        <v>30</v>
      </c>
      <c r="P3836" s="1" t="s">
        <v>31</v>
      </c>
      <c r="Q3836" s="1" t="s">
        <v>95</v>
      </c>
      <c r="R3836" s="1" t="s">
        <v>95</v>
      </c>
      <c r="S3836" s="1" t="s">
        <v>96</v>
      </c>
      <c r="T3836" s="1" t="s">
        <v>217</v>
      </c>
      <c r="U3836" s="1">
        <v>1.00616804E8</v>
      </c>
      <c r="X3836" s="1" t="s">
        <v>289</v>
      </c>
      <c r="Y3836" s="1" t="s">
        <v>702</v>
      </c>
      <c r="Z3836" s="1" t="s">
        <v>37</v>
      </c>
    </row>
    <row r="3837" hidden="1">
      <c r="A3837" s="1" t="s">
        <v>11046</v>
      </c>
      <c r="B3837" s="1" t="s">
        <v>532</v>
      </c>
      <c r="C3837" s="1" t="s">
        <v>11047</v>
      </c>
      <c r="D3837" s="1" t="s">
        <v>122</v>
      </c>
      <c r="E3837" s="1" t="s">
        <v>28</v>
      </c>
      <c r="F3837" s="2">
        <v>240000.0</v>
      </c>
      <c r="G3837" s="1" t="s">
        <v>394</v>
      </c>
      <c r="H3837" s="4">
        <f>IFERROR(__xludf.DUMMYFUNCTION("DATE(INDEX(SPLIT(G3837,""/""),,3),INDEX(SPLIT(G3837,""/""),,2),INDEX(SPLIT(G3837,""/""),,1))"),44677.0)</f>
        <v>44677</v>
      </c>
      <c r="I3837" s="1" t="s">
        <v>109</v>
      </c>
      <c r="J3837" s="4">
        <f>IFERROR(__xludf.DUMMYFUNCTION("DATE(INDEX(SPLIT(I3837,""/""),,3),INDEX(SPLIT(I3837,""/""),,2),INDEX(SPLIT(I3837,""/""),,1))"),44834.0)</f>
        <v>44834</v>
      </c>
      <c r="L3837" s="1">
        <v>0.0</v>
      </c>
      <c r="M3837" s="1" t="s">
        <v>1675</v>
      </c>
      <c r="N3837" s="1"/>
      <c r="O3837" s="1" t="s">
        <v>30</v>
      </c>
      <c r="P3837" s="1" t="s">
        <v>31</v>
      </c>
      <c r="Q3837" s="1" t="s">
        <v>32</v>
      </c>
      <c r="R3837" s="1" t="s">
        <v>32</v>
      </c>
      <c r="S3837" s="1" t="s">
        <v>33</v>
      </c>
      <c r="U3837" s="1">
        <v>1.00656371E8</v>
      </c>
      <c r="X3837" s="1" t="s">
        <v>490</v>
      </c>
      <c r="Y3837" s="1" t="s">
        <v>4304</v>
      </c>
      <c r="Z3837" s="1" t="s">
        <v>527</v>
      </c>
    </row>
    <row r="3838" hidden="1">
      <c r="A3838" s="1" t="s">
        <v>11048</v>
      </c>
      <c r="B3838" s="1" t="s">
        <v>1748</v>
      </c>
      <c r="C3838" s="1" t="s">
        <v>11049</v>
      </c>
      <c r="D3838" s="1" t="s">
        <v>27</v>
      </c>
      <c r="E3838" s="1" t="s">
        <v>28</v>
      </c>
      <c r="F3838" s="2">
        <v>240000.0</v>
      </c>
      <c r="G3838" s="4">
        <v>44567.0</v>
      </c>
      <c r="H3838" s="4">
        <f>IFERROR(__xludf.DUMMYFUNCTION("DATE(INDEX(SPLIT(G3838,""/""),,3),INDEX(SPLIT(G3838,""/""),,2),INDEX(SPLIT(G3838,""/""),,1))"),44713.0)</f>
        <v>44713</v>
      </c>
      <c r="I3838" s="1" t="s">
        <v>130</v>
      </c>
      <c r="J3838" s="4">
        <f>IFERROR(__xludf.DUMMYFUNCTION("DATE(INDEX(SPLIT(I3838,""/""),,3),INDEX(SPLIT(I3838,""/""),,2),INDEX(SPLIT(I3838,""/""),,1))"),44804.0)</f>
        <v>44804</v>
      </c>
      <c r="L3838" s="1">
        <v>0.0</v>
      </c>
      <c r="M3838" s="1" t="s">
        <v>5525</v>
      </c>
      <c r="N3838" s="1"/>
      <c r="O3838" s="1" t="s">
        <v>30</v>
      </c>
      <c r="P3838" s="1" t="s">
        <v>31</v>
      </c>
      <c r="Q3838" s="1" t="s">
        <v>157</v>
      </c>
      <c r="R3838" s="1" t="s">
        <v>157</v>
      </c>
      <c r="S3838" s="1" t="s">
        <v>158</v>
      </c>
      <c r="T3838" s="1" t="s">
        <v>571</v>
      </c>
      <c r="U3838" s="1">
        <v>1.00609393E8</v>
      </c>
      <c r="X3838" s="1" t="s">
        <v>88</v>
      </c>
      <c r="Y3838" s="1" t="s">
        <v>4920</v>
      </c>
      <c r="Z3838" s="1" t="s">
        <v>37</v>
      </c>
    </row>
    <row r="3839" hidden="1">
      <c r="A3839" s="1" t="s">
        <v>11050</v>
      </c>
      <c r="B3839" s="1" t="s">
        <v>532</v>
      </c>
      <c r="C3839" s="1" t="s">
        <v>11051</v>
      </c>
      <c r="D3839" s="1" t="s">
        <v>78</v>
      </c>
      <c r="E3839" s="1" t="s">
        <v>28</v>
      </c>
      <c r="F3839" s="2">
        <v>240000.0</v>
      </c>
      <c r="G3839" s="4">
        <v>44870.0</v>
      </c>
      <c r="H3839" s="4">
        <f>IFERROR(__xludf.DUMMYFUNCTION("DATE(INDEX(SPLIT(G3839,""/""),,3),INDEX(SPLIT(G3839,""/""),,2),INDEX(SPLIT(G3839,""/""),,1))"),44692.0)</f>
        <v>44692</v>
      </c>
      <c r="I3839" s="1" t="s">
        <v>109</v>
      </c>
      <c r="J3839" s="4">
        <f>IFERROR(__xludf.DUMMYFUNCTION("DATE(INDEX(SPLIT(I3839,""/""),,3),INDEX(SPLIT(I3839,""/""),,2),INDEX(SPLIT(I3839,""/""),,1))"),44834.0)</f>
        <v>44834</v>
      </c>
      <c r="L3839" s="1">
        <v>0.0</v>
      </c>
      <c r="M3839" s="1" t="s">
        <v>1675</v>
      </c>
      <c r="N3839" s="1"/>
      <c r="O3839" s="1" t="s">
        <v>30</v>
      </c>
      <c r="P3839" s="1" t="s">
        <v>31</v>
      </c>
      <c r="Q3839" s="1" t="s">
        <v>32</v>
      </c>
      <c r="R3839" s="1" t="s">
        <v>32</v>
      </c>
      <c r="S3839" s="1" t="s">
        <v>33</v>
      </c>
      <c r="U3839" s="1">
        <v>1.00656371E8</v>
      </c>
      <c r="X3839" s="1" t="s">
        <v>490</v>
      </c>
      <c r="Y3839" s="1" t="s">
        <v>4304</v>
      </c>
      <c r="Z3839" s="1" t="s">
        <v>527</v>
      </c>
    </row>
    <row r="3840">
      <c r="A3840" s="1" t="s">
        <v>11052</v>
      </c>
      <c r="B3840" s="1" t="s">
        <v>1042</v>
      </c>
      <c r="C3840" s="1" t="s">
        <v>11053</v>
      </c>
      <c r="D3840" s="1" t="s">
        <v>122</v>
      </c>
      <c r="E3840" s="1" t="s">
        <v>28</v>
      </c>
      <c r="F3840" s="2">
        <v>240000.0</v>
      </c>
      <c r="G3840" s="4">
        <v>44902.0</v>
      </c>
      <c r="H3840" s="4">
        <f>IFERROR(__xludf.DUMMYFUNCTION("DATE(INDEX(SPLIT(G3840,""/""),,3),INDEX(SPLIT(G3840,""/""),,2),INDEX(SPLIT(G3840,""/""),,1))"),44754.0)</f>
        <v>44754</v>
      </c>
      <c r="I3840" s="1" t="s">
        <v>69</v>
      </c>
      <c r="J3840" s="4">
        <f>IFERROR(__xludf.DUMMYFUNCTION("DATE(INDEX(SPLIT(I3840,""/""),,3),INDEX(SPLIT(I3840,""/""),,2),INDEX(SPLIT(I3840,""/""),,1))"),44773.0)</f>
        <v>44773</v>
      </c>
      <c r="L3840" s="1">
        <v>0.0</v>
      </c>
      <c r="M3840" s="1" t="s">
        <v>11054</v>
      </c>
      <c r="N3840" s="1"/>
      <c r="O3840" s="1" t="s">
        <v>30</v>
      </c>
      <c r="P3840" s="1" t="s">
        <v>31</v>
      </c>
      <c r="Q3840" s="1" t="s">
        <v>188</v>
      </c>
      <c r="R3840" s="1" t="s">
        <v>188</v>
      </c>
      <c r="S3840" s="1" t="s">
        <v>189</v>
      </c>
      <c r="T3840" s="1" t="s">
        <v>345</v>
      </c>
      <c r="U3840" s="1">
        <v>1.00629231E8</v>
      </c>
      <c r="X3840" s="1" t="s">
        <v>88</v>
      </c>
      <c r="Y3840" s="1" t="s">
        <v>11055</v>
      </c>
      <c r="Z3840" s="1" t="s">
        <v>37</v>
      </c>
    </row>
    <row r="3841" hidden="1">
      <c r="A3841" s="1" t="s">
        <v>11056</v>
      </c>
      <c r="B3841" s="1" t="s">
        <v>5675</v>
      </c>
      <c r="C3841" s="1" t="s">
        <v>11057</v>
      </c>
      <c r="D3841" s="1" t="s">
        <v>122</v>
      </c>
      <c r="E3841" s="1" t="s">
        <v>28</v>
      </c>
      <c r="F3841" s="2">
        <v>240000.0</v>
      </c>
      <c r="G3841" s="1" t="s">
        <v>935</v>
      </c>
      <c r="H3841" s="4">
        <f>IFERROR(__xludf.DUMMYFUNCTION("DATE(INDEX(SPLIT(G3841,""/""),,3),INDEX(SPLIT(G3841,""/""),,2),INDEX(SPLIT(G3841,""/""),,1))"),44764.0)</f>
        <v>44764</v>
      </c>
      <c r="I3841" s="4">
        <v>44601.0</v>
      </c>
      <c r="J3841" s="4">
        <f>IFERROR(__xludf.DUMMYFUNCTION("DATE(INDEX(SPLIT(I3841,""/""),,3),INDEX(SPLIT(I3841,""/""),,2),INDEX(SPLIT(I3841,""/""),,1))"),44806.0)</f>
        <v>44806</v>
      </c>
      <c r="L3841" s="1">
        <v>0.0</v>
      </c>
      <c r="M3841" s="1" t="s">
        <v>1297</v>
      </c>
      <c r="N3841" s="1"/>
      <c r="O3841" s="1" t="s">
        <v>30</v>
      </c>
      <c r="P3841" s="1" t="s">
        <v>31</v>
      </c>
      <c r="Q3841" s="1" t="s">
        <v>188</v>
      </c>
      <c r="R3841" s="1" t="s">
        <v>188</v>
      </c>
      <c r="S3841" s="1" t="s">
        <v>189</v>
      </c>
      <c r="T3841" s="1" t="s">
        <v>1344</v>
      </c>
      <c r="U3841" s="1">
        <v>1.00622378E8</v>
      </c>
      <c r="X3841" s="1" t="s">
        <v>305</v>
      </c>
      <c r="Y3841" s="1" t="s">
        <v>5677</v>
      </c>
      <c r="Z3841" s="1" t="s">
        <v>37</v>
      </c>
    </row>
    <row r="3842" hidden="1">
      <c r="A3842" s="1" t="s">
        <v>11058</v>
      </c>
      <c r="B3842" s="1" t="s">
        <v>9499</v>
      </c>
      <c r="C3842" s="1" t="s">
        <v>11059</v>
      </c>
      <c r="D3842" s="1" t="s">
        <v>27</v>
      </c>
      <c r="E3842" s="1" t="s">
        <v>28</v>
      </c>
      <c r="F3842" s="2">
        <v>237716.0</v>
      </c>
      <c r="G3842" s="4">
        <v>44475.0</v>
      </c>
      <c r="H3842" s="4">
        <f>IFERROR(__xludf.DUMMYFUNCTION("DATE(INDEX(SPLIT(G3842,""/""),,3),INDEX(SPLIT(G3842,""/""),,2),INDEX(SPLIT(G3842,""/""),,1))"),44357.0)</f>
        <v>44357</v>
      </c>
      <c r="I3842" s="1" t="s">
        <v>1097</v>
      </c>
      <c r="J3842" s="4">
        <f>IFERROR(__xludf.DUMMYFUNCTION("DATE(INDEX(SPLIT(I3842,""/""),,3),INDEX(SPLIT(I3842,""/""),,2),INDEX(SPLIT(I3842,""/""),,1))"),45107.0)</f>
        <v>45107</v>
      </c>
      <c r="K3842" s="9">
        <v>44475.05902777778</v>
      </c>
      <c r="L3842" s="1">
        <v>0.0</v>
      </c>
      <c r="M3842" s="1" t="s">
        <v>4738</v>
      </c>
      <c r="N3842" s="1"/>
      <c r="O3842" s="1" t="s">
        <v>30</v>
      </c>
      <c r="P3842" s="1" t="s">
        <v>31</v>
      </c>
      <c r="Q3842" s="1" t="s">
        <v>228</v>
      </c>
      <c r="R3842" s="1" t="s">
        <v>228</v>
      </c>
      <c r="S3842" s="1" t="s">
        <v>229</v>
      </c>
      <c r="T3842" s="1" t="s">
        <v>513</v>
      </c>
      <c r="U3842" s="1">
        <v>1.00888587E8</v>
      </c>
      <c r="V3842" s="1" t="s">
        <v>9500</v>
      </c>
      <c r="W3842" s="1" t="s">
        <v>2556</v>
      </c>
      <c r="X3842" s="1" t="s">
        <v>117</v>
      </c>
      <c r="Y3842" s="1" t="s">
        <v>5688</v>
      </c>
      <c r="Z3842" s="1" t="s">
        <v>206</v>
      </c>
    </row>
    <row r="3843" hidden="1">
      <c r="A3843" s="1" t="s">
        <v>11060</v>
      </c>
      <c r="B3843" s="1" t="s">
        <v>9499</v>
      </c>
      <c r="C3843" s="1" t="s">
        <v>11061</v>
      </c>
      <c r="D3843" s="1" t="s">
        <v>27</v>
      </c>
      <c r="E3843" s="1" t="s">
        <v>28</v>
      </c>
      <c r="F3843" s="2">
        <v>237716.0</v>
      </c>
      <c r="G3843" s="4">
        <v>44475.0</v>
      </c>
      <c r="H3843" s="4">
        <f>IFERROR(__xludf.DUMMYFUNCTION("DATE(INDEX(SPLIT(G3843,""/""),,3),INDEX(SPLIT(G3843,""/""),,2),INDEX(SPLIT(G3843,""/""),,1))"),44357.0)</f>
        <v>44357</v>
      </c>
      <c r="I3843" s="1" t="s">
        <v>155</v>
      </c>
      <c r="J3843" s="4">
        <f>IFERROR(__xludf.DUMMYFUNCTION("DATE(INDEX(SPLIT(I3843,""/""),,3),INDEX(SPLIT(I3843,""/""),,2),INDEX(SPLIT(I3843,""/""),,1))"),45473.0)</f>
        <v>45473</v>
      </c>
      <c r="K3843" s="9">
        <v>44475.05902777778</v>
      </c>
      <c r="L3843" s="1">
        <v>0.0</v>
      </c>
      <c r="M3843" s="1" t="s">
        <v>4738</v>
      </c>
      <c r="N3843" s="1"/>
      <c r="O3843" s="1" t="s">
        <v>30</v>
      </c>
      <c r="P3843" s="1" t="s">
        <v>31</v>
      </c>
      <c r="Q3843" s="1" t="s">
        <v>228</v>
      </c>
      <c r="R3843" s="1" t="s">
        <v>228</v>
      </c>
      <c r="S3843" s="1" t="s">
        <v>229</v>
      </c>
      <c r="T3843" s="1" t="s">
        <v>513</v>
      </c>
      <c r="U3843" s="1">
        <v>1.00888587E8</v>
      </c>
      <c r="V3843" s="1" t="s">
        <v>11059</v>
      </c>
      <c r="W3843" s="1" t="s">
        <v>2556</v>
      </c>
      <c r="X3843" s="1" t="s">
        <v>117</v>
      </c>
      <c r="Y3843" s="1" t="s">
        <v>5688</v>
      </c>
      <c r="Z3843" s="1" t="s">
        <v>206</v>
      </c>
    </row>
    <row r="3844" hidden="1">
      <c r="A3844" s="1" t="s">
        <v>11062</v>
      </c>
      <c r="B3844" s="1" t="s">
        <v>1790</v>
      </c>
      <c r="C3844" s="1" t="s">
        <v>11063</v>
      </c>
      <c r="D3844" s="1" t="s">
        <v>78</v>
      </c>
      <c r="E3844" s="1" t="s">
        <v>28</v>
      </c>
      <c r="F3844" s="2">
        <v>237000.0</v>
      </c>
      <c r="G3844" s="1" t="s">
        <v>518</v>
      </c>
      <c r="H3844" s="4">
        <f>IFERROR(__xludf.DUMMYFUNCTION("DATE(INDEX(SPLIT(G3844,""/""),,3),INDEX(SPLIT(G3844,""/""),,2),INDEX(SPLIT(G3844,""/""),,1))"),44757.0)</f>
        <v>44757</v>
      </c>
      <c r="I3844" s="1" t="s">
        <v>134</v>
      </c>
      <c r="J3844" s="4">
        <f>IFERROR(__xludf.DUMMYFUNCTION("DATE(INDEX(SPLIT(I3844,""/""),,3),INDEX(SPLIT(I3844,""/""),,2),INDEX(SPLIT(I3844,""/""),,1))"),44792.0)</f>
        <v>44792</v>
      </c>
      <c r="L3844" s="1">
        <v>0.0</v>
      </c>
      <c r="M3844" s="1" t="s">
        <v>7219</v>
      </c>
      <c r="N3844" s="1"/>
      <c r="O3844" s="1" t="s">
        <v>30</v>
      </c>
      <c r="P3844" s="1" t="s">
        <v>31</v>
      </c>
      <c r="Q3844" s="1" t="s">
        <v>235</v>
      </c>
      <c r="R3844" s="1" t="s">
        <v>235</v>
      </c>
      <c r="S3844" s="1" t="s">
        <v>236</v>
      </c>
      <c r="T3844" s="1" t="s">
        <v>438</v>
      </c>
      <c r="U3844" s="1">
        <v>1.00616623E8</v>
      </c>
      <c r="V3844" s="1" t="s">
        <v>11064</v>
      </c>
      <c r="W3844" s="1" t="s">
        <v>717</v>
      </c>
      <c r="X3844" s="1" t="s">
        <v>88</v>
      </c>
      <c r="Y3844" s="1" t="s">
        <v>11065</v>
      </c>
      <c r="Z3844" s="1" t="s">
        <v>37</v>
      </c>
    </row>
    <row r="3845" hidden="1">
      <c r="A3845" s="1" t="s">
        <v>11066</v>
      </c>
      <c r="B3845" s="1" t="s">
        <v>11067</v>
      </c>
      <c r="C3845" s="1" t="s">
        <v>11068</v>
      </c>
      <c r="D3845" s="1" t="s">
        <v>122</v>
      </c>
      <c r="E3845" s="1" t="s">
        <v>28</v>
      </c>
      <c r="F3845" s="2">
        <v>235000.0</v>
      </c>
      <c r="G3845" s="1" t="s">
        <v>1521</v>
      </c>
      <c r="H3845" s="4">
        <f>IFERROR(__xludf.DUMMYFUNCTION("DATE(INDEX(SPLIT(G3845,""/""),,3),INDEX(SPLIT(G3845,""/""),,2),INDEX(SPLIT(G3845,""/""),,1))"),44756.0)</f>
        <v>44756</v>
      </c>
      <c r="I3845" s="1" t="s">
        <v>203</v>
      </c>
      <c r="J3845" s="4">
        <f>IFERROR(__xludf.DUMMYFUNCTION("DATE(INDEX(SPLIT(I3845,""/""),,3),INDEX(SPLIT(I3845,""/""),,2),INDEX(SPLIT(I3845,""/""),,1))"),44925.0)</f>
        <v>44925</v>
      </c>
      <c r="L3845" s="1">
        <v>0.0</v>
      </c>
      <c r="M3845" s="1" t="s">
        <v>9922</v>
      </c>
      <c r="N3845" s="1"/>
      <c r="O3845" s="1" t="s">
        <v>30</v>
      </c>
      <c r="P3845" s="1" t="s">
        <v>31</v>
      </c>
      <c r="Q3845" s="1" t="s">
        <v>228</v>
      </c>
      <c r="R3845" s="1" t="s">
        <v>228</v>
      </c>
      <c r="S3845" s="1" t="s">
        <v>229</v>
      </c>
      <c r="T3845" s="1" t="s">
        <v>513</v>
      </c>
      <c r="U3845" s="1">
        <v>1.00609628E8</v>
      </c>
      <c r="X3845" s="1" t="s">
        <v>609</v>
      </c>
      <c r="Y3845" s="1" t="s">
        <v>10576</v>
      </c>
      <c r="Z3845" s="1" t="s">
        <v>37</v>
      </c>
    </row>
    <row r="3846" hidden="1">
      <c r="A3846" s="1" t="s">
        <v>11069</v>
      </c>
      <c r="B3846" s="1" t="s">
        <v>11070</v>
      </c>
      <c r="C3846" s="1" t="s">
        <v>11071</v>
      </c>
      <c r="D3846" s="1" t="s">
        <v>78</v>
      </c>
      <c r="E3846" s="1" t="s">
        <v>28</v>
      </c>
      <c r="F3846" s="2">
        <v>234375.0</v>
      </c>
      <c r="G3846" s="1" t="s">
        <v>1521</v>
      </c>
      <c r="H3846" s="4">
        <f>IFERROR(__xludf.DUMMYFUNCTION("DATE(INDEX(SPLIT(G3846,""/""),,3),INDEX(SPLIT(G3846,""/""),,2),INDEX(SPLIT(G3846,""/""),,1))"),44756.0)</f>
        <v>44756</v>
      </c>
      <c r="I3846" s="1" t="s">
        <v>134</v>
      </c>
      <c r="J3846" s="4">
        <f>IFERROR(__xludf.DUMMYFUNCTION("DATE(INDEX(SPLIT(I3846,""/""),,3),INDEX(SPLIT(I3846,""/""),,2),INDEX(SPLIT(I3846,""/""),,1))"),44792.0)</f>
        <v>44792</v>
      </c>
      <c r="L3846" s="1">
        <v>0.0</v>
      </c>
      <c r="M3846" s="1" t="s">
        <v>5017</v>
      </c>
      <c r="N3846" s="1"/>
      <c r="O3846" s="1" t="s">
        <v>30</v>
      </c>
      <c r="P3846" s="1" t="s">
        <v>31</v>
      </c>
      <c r="Q3846" s="1" t="s">
        <v>228</v>
      </c>
      <c r="R3846" s="1" t="s">
        <v>228</v>
      </c>
      <c r="S3846" s="1" t="s">
        <v>229</v>
      </c>
      <c r="T3846" s="1" t="s">
        <v>513</v>
      </c>
      <c r="U3846" s="1">
        <v>1.00620023E8</v>
      </c>
      <c r="X3846" s="1" t="s">
        <v>125</v>
      </c>
      <c r="Y3846" s="1" t="s">
        <v>11072</v>
      </c>
      <c r="Z3846" s="1" t="s">
        <v>37</v>
      </c>
    </row>
    <row r="3847">
      <c r="A3847" s="1" t="s">
        <v>11073</v>
      </c>
      <c r="B3847" s="1" t="s">
        <v>11074</v>
      </c>
      <c r="C3847" s="1" t="s">
        <v>11075</v>
      </c>
      <c r="D3847" s="1" t="s">
        <v>122</v>
      </c>
      <c r="E3847" s="1" t="s">
        <v>28</v>
      </c>
      <c r="F3847" s="2">
        <v>234000.0</v>
      </c>
      <c r="G3847" s="1" t="s">
        <v>10076</v>
      </c>
      <c r="H3847" s="4">
        <f>IFERROR(__xludf.DUMMYFUNCTION("DATE(INDEX(SPLIT(G3847,""/""),,3),INDEX(SPLIT(G3847,""/""),,2),INDEX(SPLIT(G3847,""/""),,1))"),44062.0)</f>
        <v>44062</v>
      </c>
      <c r="I3847" s="4">
        <v>44567.0</v>
      </c>
      <c r="J3847" s="4">
        <f>IFERROR(__xludf.DUMMYFUNCTION("DATE(INDEX(SPLIT(I3847,""/""),,3),INDEX(SPLIT(I3847,""/""),,2),INDEX(SPLIT(I3847,""/""),,1))"),44713.0)</f>
        <v>44713</v>
      </c>
      <c r="L3847" s="1">
        <v>0.0</v>
      </c>
      <c r="M3847" s="1" t="s">
        <v>4534</v>
      </c>
      <c r="N3847" s="1"/>
      <c r="O3847" s="1" t="s">
        <v>30</v>
      </c>
      <c r="P3847" s="1" t="s">
        <v>31</v>
      </c>
      <c r="Q3847" s="1" t="s">
        <v>228</v>
      </c>
      <c r="R3847" s="1" t="s">
        <v>228</v>
      </c>
      <c r="S3847" s="1" t="s">
        <v>229</v>
      </c>
      <c r="T3847" s="1" t="s">
        <v>513</v>
      </c>
      <c r="U3847" s="1">
        <v>1.0065605E8</v>
      </c>
      <c r="X3847" s="1" t="s">
        <v>46</v>
      </c>
      <c r="Y3847" s="1" t="s">
        <v>11076</v>
      </c>
      <c r="Z3847" s="1" t="s">
        <v>37</v>
      </c>
    </row>
    <row r="3848">
      <c r="A3848" s="1" t="s">
        <v>11077</v>
      </c>
      <c r="B3848" s="1" t="s">
        <v>5724</v>
      </c>
      <c r="C3848" s="1" t="s">
        <v>11078</v>
      </c>
      <c r="D3848" s="1" t="s">
        <v>78</v>
      </c>
      <c r="E3848" s="1" t="s">
        <v>28</v>
      </c>
      <c r="F3848" s="2">
        <v>231588.7</v>
      </c>
      <c r="G3848" s="4">
        <v>44810.0</v>
      </c>
      <c r="H3848" s="4">
        <f>IFERROR(__xludf.DUMMYFUNCTION("DATE(INDEX(SPLIT(G3848,""/""),,3),INDEX(SPLIT(G3848,""/""),,2),INDEX(SPLIT(G3848,""/""),,1))"),44721.0)</f>
        <v>44721</v>
      </c>
      <c r="I3848" s="1" t="s">
        <v>226</v>
      </c>
      <c r="J3848" s="4">
        <f>IFERROR(__xludf.DUMMYFUNCTION("DATE(INDEX(SPLIT(I3848,""/""),,3),INDEX(SPLIT(I3848,""/""),,2),INDEX(SPLIT(I3848,""/""),,1))"),44771.0)</f>
        <v>44771</v>
      </c>
      <c r="L3848" s="1">
        <v>0.0</v>
      </c>
      <c r="M3848" s="1" t="s">
        <v>8053</v>
      </c>
      <c r="N3848" s="1"/>
      <c r="O3848" s="1" t="s">
        <v>30</v>
      </c>
      <c r="P3848" s="1" t="s">
        <v>31</v>
      </c>
      <c r="Q3848" s="1" t="s">
        <v>1320</v>
      </c>
      <c r="R3848" s="1" t="s">
        <v>1320</v>
      </c>
      <c r="S3848" s="1" t="s">
        <v>33</v>
      </c>
      <c r="U3848" s="1">
        <v>1.00613849E8</v>
      </c>
      <c r="X3848" s="1" t="s">
        <v>88</v>
      </c>
      <c r="Y3848" s="1" t="s">
        <v>8054</v>
      </c>
      <c r="Z3848" s="1" t="s">
        <v>37</v>
      </c>
    </row>
    <row r="3849" hidden="1">
      <c r="A3849" s="1" t="s">
        <v>11079</v>
      </c>
      <c r="B3849" s="1" t="s">
        <v>9437</v>
      </c>
      <c r="C3849" s="1" t="s">
        <v>11080</v>
      </c>
      <c r="D3849" s="1" t="s">
        <v>27</v>
      </c>
      <c r="E3849" s="1" t="s">
        <v>28</v>
      </c>
      <c r="F3849" s="2">
        <v>231588.7</v>
      </c>
      <c r="G3849" s="1" t="s">
        <v>518</v>
      </c>
      <c r="H3849" s="4">
        <f>IFERROR(__xludf.DUMMYFUNCTION("DATE(INDEX(SPLIT(G3849,""/""),,3),INDEX(SPLIT(G3849,""/""),,2),INDEX(SPLIT(G3849,""/""),,1))"),44757.0)</f>
        <v>44757</v>
      </c>
      <c r="I3849" s="4">
        <v>44903.0</v>
      </c>
      <c r="J3849" s="4">
        <f>IFERROR(__xludf.DUMMYFUNCTION("DATE(INDEX(SPLIT(I3849,""/""),,3),INDEX(SPLIT(I3849,""/""),,2),INDEX(SPLIT(I3849,""/""),,1))"),44785.0)</f>
        <v>44785</v>
      </c>
      <c r="L3849" s="1">
        <v>0.0</v>
      </c>
      <c r="M3849" s="1" t="s">
        <v>8053</v>
      </c>
      <c r="N3849" s="1"/>
      <c r="O3849" s="1" t="s">
        <v>30</v>
      </c>
      <c r="P3849" s="1" t="s">
        <v>31</v>
      </c>
      <c r="Q3849" s="1" t="s">
        <v>1320</v>
      </c>
      <c r="R3849" s="1" t="s">
        <v>1320</v>
      </c>
      <c r="S3849" s="1" t="s">
        <v>33</v>
      </c>
      <c r="U3849" s="1">
        <v>1.00613849E8</v>
      </c>
      <c r="X3849" s="1" t="s">
        <v>117</v>
      </c>
      <c r="Y3849" s="1" t="s">
        <v>11081</v>
      </c>
      <c r="Z3849" s="1" t="s">
        <v>37</v>
      </c>
    </row>
    <row r="3850" hidden="1">
      <c r="A3850" s="1" t="s">
        <v>11082</v>
      </c>
      <c r="B3850" s="1" t="s">
        <v>1780</v>
      </c>
      <c r="C3850" s="1" t="s">
        <v>11083</v>
      </c>
      <c r="D3850" s="1" t="s">
        <v>27</v>
      </c>
      <c r="E3850" s="1" t="s">
        <v>28</v>
      </c>
      <c r="F3850" s="2">
        <v>230000.0</v>
      </c>
      <c r="G3850" s="1" t="s">
        <v>418</v>
      </c>
      <c r="H3850" s="4">
        <f>IFERROR(__xludf.DUMMYFUNCTION("DATE(INDEX(SPLIT(G3850,""/""),,3),INDEX(SPLIT(G3850,""/""),,2),INDEX(SPLIT(G3850,""/""),,1))"),44755.0)</f>
        <v>44755</v>
      </c>
      <c r="I3850" s="1" t="s">
        <v>109</v>
      </c>
      <c r="J3850" s="4">
        <f>IFERROR(__xludf.DUMMYFUNCTION("DATE(INDEX(SPLIT(I3850,""/""),,3),INDEX(SPLIT(I3850,""/""),,2),INDEX(SPLIT(I3850,""/""),,1))"),44834.0)</f>
        <v>44834</v>
      </c>
      <c r="L3850" s="1">
        <v>0.0</v>
      </c>
      <c r="M3850" s="1" t="s">
        <v>2592</v>
      </c>
      <c r="N3850" s="1"/>
      <c r="O3850" s="1" t="s">
        <v>30</v>
      </c>
      <c r="P3850" s="1" t="s">
        <v>31</v>
      </c>
      <c r="Q3850" s="1" t="s">
        <v>71</v>
      </c>
      <c r="R3850" s="1" t="s">
        <v>71</v>
      </c>
      <c r="S3850" s="1" t="s">
        <v>72</v>
      </c>
      <c r="T3850" s="1" t="s">
        <v>136</v>
      </c>
      <c r="U3850" s="1">
        <v>1.00586452E8</v>
      </c>
      <c r="X3850" s="1" t="s">
        <v>74</v>
      </c>
      <c r="Y3850" s="1" t="s">
        <v>2593</v>
      </c>
      <c r="Z3850" s="1" t="s">
        <v>37</v>
      </c>
    </row>
    <row r="3851">
      <c r="A3851" s="1" t="s">
        <v>11084</v>
      </c>
      <c r="B3851" s="1" t="s">
        <v>3957</v>
      </c>
      <c r="C3851" s="1" t="s">
        <v>11085</v>
      </c>
      <c r="D3851" s="1" t="s">
        <v>78</v>
      </c>
      <c r="E3851" s="1" t="s">
        <v>28</v>
      </c>
      <c r="F3851" s="2">
        <v>230000.0</v>
      </c>
      <c r="G3851" s="1" t="s">
        <v>233</v>
      </c>
      <c r="H3851" s="4">
        <f>IFERROR(__xludf.DUMMYFUNCTION("DATE(INDEX(SPLIT(G3851,""/""),,3),INDEX(SPLIT(G3851,""/""),,2),INDEX(SPLIT(G3851,""/""),,1))"),44729.0)</f>
        <v>44729</v>
      </c>
      <c r="I3851" s="1" t="s">
        <v>226</v>
      </c>
      <c r="J3851" s="4">
        <f>IFERROR(__xludf.DUMMYFUNCTION("DATE(INDEX(SPLIT(I3851,""/""),,3),INDEX(SPLIT(I3851,""/""),,2),INDEX(SPLIT(I3851,""/""),,1))"),44771.0)</f>
        <v>44771</v>
      </c>
      <c r="L3851" s="1">
        <v>0.0</v>
      </c>
      <c r="M3851" s="1" t="s">
        <v>4011</v>
      </c>
      <c r="N3851" s="1"/>
      <c r="O3851" s="1" t="s">
        <v>30</v>
      </c>
      <c r="P3851" s="1" t="s">
        <v>31</v>
      </c>
      <c r="Q3851" s="1" t="s">
        <v>95</v>
      </c>
      <c r="R3851" s="1" t="s">
        <v>95</v>
      </c>
      <c r="S3851" s="1" t="s">
        <v>96</v>
      </c>
      <c r="T3851" s="1" t="s">
        <v>97</v>
      </c>
      <c r="U3851" s="1">
        <v>1.00702554E8</v>
      </c>
      <c r="X3851" s="1" t="s">
        <v>117</v>
      </c>
      <c r="Y3851" s="1" t="s">
        <v>4011</v>
      </c>
      <c r="Z3851" s="1" t="s">
        <v>206</v>
      </c>
    </row>
    <row r="3852" hidden="1">
      <c r="A3852" s="1" t="s">
        <v>11086</v>
      </c>
      <c r="B3852" s="1" t="s">
        <v>492</v>
      </c>
      <c r="C3852" s="1" t="s">
        <v>11087</v>
      </c>
      <c r="D3852" s="1" t="s">
        <v>27</v>
      </c>
      <c r="E3852" s="1" t="s">
        <v>28</v>
      </c>
      <c r="F3852" s="2">
        <v>230000.0</v>
      </c>
      <c r="G3852" s="4">
        <v>43865.0</v>
      </c>
      <c r="H3852" s="4">
        <f>IFERROR(__xludf.DUMMYFUNCTION("DATE(INDEX(SPLIT(G3852,""/""),,3),INDEX(SPLIT(G3852,""/""),,2),INDEX(SPLIT(G3852,""/""),,1))"),43923.0)</f>
        <v>43923</v>
      </c>
      <c r="I3852" s="1" t="s">
        <v>281</v>
      </c>
      <c r="J3852" s="4">
        <f>IFERROR(__xludf.DUMMYFUNCTION("DATE(INDEX(SPLIT(I3852,""/""),,3),INDEX(SPLIT(I3852,""/""),,2),INDEX(SPLIT(I3852,""/""),,1))"),44865.0)</f>
        <v>44865</v>
      </c>
      <c r="L3852" s="1">
        <v>0.0</v>
      </c>
      <c r="M3852" s="1" t="s">
        <v>3138</v>
      </c>
      <c r="N3852" s="1"/>
      <c r="O3852" s="1" t="s">
        <v>30</v>
      </c>
      <c r="P3852" s="1" t="s">
        <v>31</v>
      </c>
      <c r="Q3852" s="1" t="s">
        <v>157</v>
      </c>
      <c r="R3852" s="1" t="s">
        <v>157</v>
      </c>
      <c r="S3852" s="1" t="s">
        <v>158</v>
      </c>
      <c r="T3852" s="1" t="s">
        <v>571</v>
      </c>
      <c r="U3852" s="1">
        <v>1.00616377E8</v>
      </c>
      <c r="X3852" s="1" t="s">
        <v>46</v>
      </c>
      <c r="Y3852" s="1" t="s">
        <v>494</v>
      </c>
      <c r="Z3852" s="1" t="s">
        <v>37</v>
      </c>
    </row>
    <row r="3853">
      <c r="A3853" s="1" t="s">
        <v>11088</v>
      </c>
      <c r="B3853" s="1" t="s">
        <v>11089</v>
      </c>
      <c r="C3853" s="1" t="s">
        <v>11090</v>
      </c>
      <c r="D3853" s="1" t="s">
        <v>122</v>
      </c>
      <c r="E3853" s="1" t="s">
        <v>28</v>
      </c>
      <c r="F3853" s="2">
        <v>230000.0</v>
      </c>
      <c r="G3853" s="1" t="s">
        <v>1288</v>
      </c>
      <c r="H3853" s="4">
        <f>IFERROR(__xludf.DUMMYFUNCTION("DATE(INDEX(SPLIT(G3853,""/""),,3),INDEX(SPLIT(G3853,""/""),,2),INDEX(SPLIT(G3853,""/""),,1))"),44707.0)</f>
        <v>44707</v>
      </c>
      <c r="I3853" s="1" t="s">
        <v>1438</v>
      </c>
      <c r="J3853" s="4">
        <f>IFERROR(__xludf.DUMMYFUNCTION("DATE(INDEX(SPLIT(I3853,""/""),,3),INDEX(SPLIT(I3853,""/""),,2),INDEX(SPLIT(I3853,""/""),,1))"),44708.0)</f>
        <v>44708</v>
      </c>
      <c r="L3853" s="1">
        <v>0.0</v>
      </c>
      <c r="M3853" s="1" t="s">
        <v>4455</v>
      </c>
      <c r="N3853" s="1"/>
      <c r="O3853" s="1" t="s">
        <v>30</v>
      </c>
      <c r="P3853" s="1" t="s">
        <v>31</v>
      </c>
      <c r="Q3853" s="1" t="s">
        <v>157</v>
      </c>
      <c r="R3853" s="1" t="s">
        <v>157</v>
      </c>
      <c r="S3853" s="1" t="s">
        <v>158</v>
      </c>
      <c r="U3853" s="1">
        <v>1.00910245E8</v>
      </c>
      <c r="X3853" s="1" t="s">
        <v>490</v>
      </c>
      <c r="Y3853" s="1" t="s">
        <v>11091</v>
      </c>
      <c r="Z3853" s="1" t="s">
        <v>37</v>
      </c>
    </row>
    <row r="3854">
      <c r="A3854" s="1" t="s">
        <v>11092</v>
      </c>
      <c r="B3854" s="1" t="s">
        <v>3014</v>
      </c>
      <c r="C3854" s="1" t="s">
        <v>11093</v>
      </c>
      <c r="D3854" s="1" t="s">
        <v>78</v>
      </c>
      <c r="E3854" s="1" t="s">
        <v>28</v>
      </c>
      <c r="F3854" s="2">
        <v>230000.0</v>
      </c>
      <c r="G3854" s="1" t="s">
        <v>11094</v>
      </c>
      <c r="H3854" s="4">
        <f>IFERROR(__xludf.DUMMYFUNCTION("DATE(INDEX(SPLIT(G3854,""/""),,3),INDEX(SPLIT(G3854,""/""),,2),INDEX(SPLIT(G3854,""/""),,1))"),43853.0)</f>
        <v>43853</v>
      </c>
      <c r="I3854" s="1" t="s">
        <v>226</v>
      </c>
      <c r="J3854" s="4">
        <f>IFERROR(__xludf.DUMMYFUNCTION("DATE(INDEX(SPLIT(I3854,""/""),,3),INDEX(SPLIT(I3854,""/""),,2),INDEX(SPLIT(I3854,""/""),,1))"),44771.0)</f>
        <v>44771</v>
      </c>
      <c r="L3854" s="1">
        <v>0.0</v>
      </c>
      <c r="M3854" s="1" t="s">
        <v>2696</v>
      </c>
      <c r="N3854" s="1"/>
      <c r="O3854" s="1" t="s">
        <v>30</v>
      </c>
      <c r="P3854" s="1" t="s">
        <v>31</v>
      </c>
      <c r="Q3854" s="1" t="s">
        <v>157</v>
      </c>
      <c r="R3854" s="1" t="s">
        <v>157</v>
      </c>
      <c r="S3854" s="1" t="s">
        <v>158</v>
      </c>
      <c r="T3854" s="1" t="s">
        <v>402</v>
      </c>
      <c r="U3854" s="1">
        <v>1.00611351E8</v>
      </c>
      <c r="X3854" s="1" t="s">
        <v>781</v>
      </c>
      <c r="Y3854" s="1" t="s">
        <v>8713</v>
      </c>
      <c r="Z3854" s="1" t="s">
        <v>37</v>
      </c>
    </row>
    <row r="3855">
      <c r="A3855" s="1" t="s">
        <v>11095</v>
      </c>
      <c r="B3855" s="1" t="s">
        <v>532</v>
      </c>
      <c r="C3855" s="1" t="s">
        <v>11096</v>
      </c>
      <c r="D3855" s="1" t="s">
        <v>122</v>
      </c>
      <c r="E3855" s="1" t="s">
        <v>28</v>
      </c>
      <c r="F3855" s="2">
        <v>230000.0</v>
      </c>
      <c r="G3855" s="1" t="s">
        <v>6672</v>
      </c>
      <c r="H3855" s="4">
        <f>IFERROR(__xludf.DUMMYFUNCTION("DATE(INDEX(SPLIT(G3855,""/""),,3),INDEX(SPLIT(G3855,""/""),,2),INDEX(SPLIT(G3855,""/""),,1))"),44543.0)</f>
        <v>44543</v>
      </c>
      <c r="I3855" s="1" t="s">
        <v>226</v>
      </c>
      <c r="J3855" s="4">
        <f>IFERROR(__xludf.DUMMYFUNCTION("DATE(INDEX(SPLIT(I3855,""/""),,3),INDEX(SPLIT(I3855,""/""),,2),INDEX(SPLIT(I3855,""/""),,1))"),44771.0)</f>
        <v>44771</v>
      </c>
      <c r="L3855" s="1">
        <v>0.0</v>
      </c>
      <c r="M3855" s="1" t="s">
        <v>5880</v>
      </c>
      <c r="N3855" s="1"/>
      <c r="O3855" s="1" t="s">
        <v>30</v>
      </c>
      <c r="P3855" s="1" t="s">
        <v>31</v>
      </c>
      <c r="Q3855" s="1" t="s">
        <v>228</v>
      </c>
      <c r="R3855" s="1" t="s">
        <v>228</v>
      </c>
      <c r="S3855" s="1" t="s">
        <v>229</v>
      </c>
      <c r="T3855" s="1" t="s">
        <v>640</v>
      </c>
      <c r="U3855" s="1">
        <v>1.00933537E8</v>
      </c>
      <c r="X3855" s="1" t="s">
        <v>490</v>
      </c>
      <c r="Y3855" s="1" t="s">
        <v>10957</v>
      </c>
      <c r="Z3855" s="1" t="s">
        <v>37</v>
      </c>
    </row>
    <row r="3856">
      <c r="A3856" s="1" t="s">
        <v>11097</v>
      </c>
      <c r="B3856" s="1" t="s">
        <v>9904</v>
      </c>
      <c r="C3856" s="1" t="s">
        <v>11098</v>
      </c>
      <c r="D3856" s="1" t="s">
        <v>68</v>
      </c>
      <c r="E3856" s="1" t="s">
        <v>28</v>
      </c>
      <c r="F3856" s="2">
        <v>230000.0</v>
      </c>
      <c r="G3856" s="1" t="s">
        <v>2300</v>
      </c>
      <c r="H3856" s="4">
        <f>IFERROR(__xludf.DUMMYFUNCTION("DATE(INDEX(SPLIT(G3856,""/""),,3),INDEX(SPLIT(G3856,""/""),,2),INDEX(SPLIT(G3856,""/""),,1))"),44712.0)</f>
        <v>44712</v>
      </c>
      <c r="I3856" s="1" t="s">
        <v>429</v>
      </c>
      <c r="J3856" s="4">
        <f>IFERROR(__xludf.DUMMYFUNCTION("DATE(INDEX(SPLIT(I3856,""/""),,3),INDEX(SPLIT(I3856,""/""),,2),INDEX(SPLIT(I3856,""/""),,1))"),44739.0)</f>
        <v>44739</v>
      </c>
      <c r="L3856" s="1">
        <v>0.0</v>
      </c>
      <c r="M3856" s="1" t="s">
        <v>1904</v>
      </c>
      <c r="N3856" s="1"/>
      <c r="O3856" s="1" t="s">
        <v>30</v>
      </c>
      <c r="P3856" s="1" t="s">
        <v>31</v>
      </c>
      <c r="Q3856" s="1" t="s">
        <v>95</v>
      </c>
      <c r="R3856" s="1" t="s">
        <v>95</v>
      </c>
      <c r="S3856" s="1" t="s">
        <v>96</v>
      </c>
      <c r="T3856" s="1" t="s">
        <v>311</v>
      </c>
      <c r="U3856" s="1">
        <v>1.0059365E8</v>
      </c>
      <c r="X3856" s="1" t="s">
        <v>63</v>
      </c>
      <c r="Y3856" s="1" t="s">
        <v>11099</v>
      </c>
      <c r="Z3856" s="1" t="s">
        <v>37</v>
      </c>
    </row>
    <row r="3857" hidden="1">
      <c r="A3857" s="1" t="s">
        <v>11100</v>
      </c>
      <c r="B3857" s="1" t="s">
        <v>580</v>
      </c>
      <c r="C3857" s="1" t="s">
        <v>2052</v>
      </c>
      <c r="D3857" s="1" t="s">
        <v>122</v>
      </c>
      <c r="E3857" s="1" t="s">
        <v>28</v>
      </c>
      <c r="F3857" s="2">
        <v>230000.0</v>
      </c>
      <c r="G3857" s="1" t="s">
        <v>3745</v>
      </c>
      <c r="H3857" s="4">
        <f>IFERROR(__xludf.DUMMYFUNCTION("DATE(INDEX(SPLIT(G3857,""/""),,3),INDEX(SPLIT(G3857,""/""),,2),INDEX(SPLIT(G3857,""/""),,1))"),44343.0)</f>
        <v>44343</v>
      </c>
      <c r="I3857" s="1" t="s">
        <v>999</v>
      </c>
      <c r="J3857" s="4">
        <f>IFERROR(__xludf.DUMMYFUNCTION("DATE(INDEX(SPLIT(I3857,""/""),,3),INDEX(SPLIT(I3857,""/""),,2),INDEX(SPLIT(I3857,""/""),,1))"),44953.0)</f>
        <v>44953</v>
      </c>
      <c r="L3857" s="1">
        <v>0.0</v>
      </c>
      <c r="M3857" s="1" t="s">
        <v>1084</v>
      </c>
      <c r="N3857" s="1"/>
      <c r="O3857" s="1" t="s">
        <v>30</v>
      </c>
      <c r="P3857" s="1" t="s">
        <v>31</v>
      </c>
      <c r="Q3857" s="1" t="s">
        <v>32</v>
      </c>
      <c r="R3857" s="1" t="s">
        <v>32</v>
      </c>
      <c r="S3857" s="1" t="s">
        <v>33</v>
      </c>
      <c r="T3857" s="1" t="s">
        <v>34</v>
      </c>
      <c r="U3857" s="1">
        <v>1.00601386E8</v>
      </c>
      <c r="W3857" s="1" t="s">
        <v>56</v>
      </c>
      <c r="X3857" s="1" t="s">
        <v>81</v>
      </c>
      <c r="Y3857" s="1" t="s">
        <v>467</v>
      </c>
      <c r="Z3857" s="1" t="s">
        <v>37</v>
      </c>
    </row>
    <row r="3858">
      <c r="A3858" s="1" t="s">
        <v>11101</v>
      </c>
      <c r="B3858" s="1" t="s">
        <v>1748</v>
      </c>
      <c r="C3858" s="1" t="s">
        <v>11102</v>
      </c>
      <c r="D3858" s="1" t="s">
        <v>78</v>
      </c>
      <c r="E3858" s="1" t="s">
        <v>28</v>
      </c>
      <c r="F3858" s="2">
        <v>230000.0</v>
      </c>
      <c r="G3858" s="4">
        <v>44809.0</v>
      </c>
      <c r="H3858" s="4">
        <f>IFERROR(__xludf.DUMMYFUNCTION("DATE(INDEX(SPLIT(G3858,""/""),,3),INDEX(SPLIT(G3858,""/""),,2),INDEX(SPLIT(G3858,""/""),,1))"),44690.0)</f>
        <v>44690</v>
      </c>
      <c r="I3858" s="4">
        <v>44626.0</v>
      </c>
      <c r="J3858" s="4">
        <f>IFERROR(__xludf.DUMMYFUNCTION("DATE(INDEX(SPLIT(I3858,""/""),,3),INDEX(SPLIT(I3858,""/""),,2),INDEX(SPLIT(I3858,""/""),,1))"),44715.0)</f>
        <v>44715</v>
      </c>
      <c r="L3858" s="1">
        <v>0.0</v>
      </c>
      <c r="M3858" s="1" t="s">
        <v>4919</v>
      </c>
      <c r="N3858" s="1"/>
      <c r="O3858" s="1" t="s">
        <v>30</v>
      </c>
      <c r="P3858" s="1" t="s">
        <v>31</v>
      </c>
      <c r="Q3858" s="1" t="s">
        <v>235</v>
      </c>
      <c r="R3858" s="1" t="s">
        <v>235</v>
      </c>
      <c r="S3858" s="1" t="s">
        <v>236</v>
      </c>
      <c r="T3858" s="1" t="s">
        <v>1349</v>
      </c>
      <c r="U3858" s="1">
        <v>1.00646809E8</v>
      </c>
      <c r="X3858" s="1" t="s">
        <v>88</v>
      </c>
      <c r="Y3858" s="1" t="s">
        <v>7508</v>
      </c>
      <c r="Z3858" s="1" t="s">
        <v>37</v>
      </c>
    </row>
    <row r="3859" hidden="1">
      <c r="A3859" s="1" t="s">
        <v>11103</v>
      </c>
      <c r="B3859" s="1" t="s">
        <v>11104</v>
      </c>
      <c r="C3859" s="1" t="s">
        <v>11105</v>
      </c>
      <c r="D3859" s="1" t="s">
        <v>122</v>
      </c>
      <c r="E3859" s="1" t="s">
        <v>28</v>
      </c>
      <c r="F3859" s="2">
        <v>225000.0</v>
      </c>
      <c r="G3859" s="4">
        <v>44599.0</v>
      </c>
      <c r="H3859" s="4">
        <f>IFERROR(__xludf.DUMMYFUNCTION("DATE(INDEX(SPLIT(G3859,""/""),,3),INDEX(SPLIT(G3859,""/""),,2),INDEX(SPLIT(G3859,""/""),,1))"),44744.0)</f>
        <v>44744</v>
      </c>
      <c r="I3859" s="1" t="s">
        <v>130</v>
      </c>
      <c r="J3859" s="4">
        <f>IFERROR(__xludf.DUMMYFUNCTION("DATE(INDEX(SPLIT(I3859,""/""),,3),INDEX(SPLIT(I3859,""/""),,2),INDEX(SPLIT(I3859,""/""),,1))"),44804.0)</f>
        <v>44804</v>
      </c>
      <c r="L3859" s="1">
        <v>0.0</v>
      </c>
      <c r="M3859" s="1" t="s">
        <v>1284</v>
      </c>
      <c r="N3859" s="1"/>
      <c r="O3859" s="1" t="s">
        <v>30</v>
      </c>
      <c r="P3859" s="1" t="s">
        <v>31</v>
      </c>
      <c r="Q3859" s="1" t="s">
        <v>32</v>
      </c>
      <c r="R3859" s="1" t="s">
        <v>32</v>
      </c>
      <c r="S3859" s="1" t="s">
        <v>33</v>
      </c>
      <c r="T3859" s="1" t="s">
        <v>831</v>
      </c>
      <c r="U3859" s="1">
        <v>1.00626898E8</v>
      </c>
      <c r="X3859" s="1" t="s">
        <v>117</v>
      </c>
      <c r="Y3859" s="1" t="s">
        <v>1284</v>
      </c>
      <c r="Z3859" s="1" t="s">
        <v>37</v>
      </c>
    </row>
    <row r="3860" hidden="1">
      <c r="A3860" s="1" t="s">
        <v>11106</v>
      </c>
      <c r="B3860" s="1" t="s">
        <v>1216</v>
      </c>
      <c r="C3860" s="1" t="s">
        <v>11107</v>
      </c>
      <c r="D3860" s="1" t="s">
        <v>122</v>
      </c>
      <c r="E3860" s="1" t="s">
        <v>28</v>
      </c>
      <c r="F3860" s="2">
        <v>225000.0</v>
      </c>
      <c r="G3860" s="1" t="s">
        <v>3303</v>
      </c>
      <c r="H3860" s="4">
        <f>IFERROR(__xludf.DUMMYFUNCTION("DATE(INDEX(SPLIT(G3860,""/""),,3),INDEX(SPLIT(G3860,""/""),,2),INDEX(SPLIT(G3860,""/""),,1))"),44552.0)</f>
        <v>44552</v>
      </c>
      <c r="I3860" s="1" t="s">
        <v>109</v>
      </c>
      <c r="J3860" s="4">
        <f>IFERROR(__xludf.DUMMYFUNCTION("DATE(INDEX(SPLIT(I3860,""/""),,3),INDEX(SPLIT(I3860,""/""),,2),INDEX(SPLIT(I3860,""/""),,1))"),44834.0)</f>
        <v>44834</v>
      </c>
      <c r="L3860" s="1">
        <v>0.0</v>
      </c>
      <c r="M3860" s="1" t="s">
        <v>4397</v>
      </c>
      <c r="N3860" s="1"/>
      <c r="O3860" s="1" t="s">
        <v>30</v>
      </c>
      <c r="P3860" s="1" t="s">
        <v>31</v>
      </c>
      <c r="Q3860" s="1" t="s">
        <v>235</v>
      </c>
      <c r="R3860" s="1" t="s">
        <v>235</v>
      </c>
      <c r="S3860" s="1" t="s">
        <v>236</v>
      </c>
      <c r="T3860" s="1" t="s">
        <v>753</v>
      </c>
      <c r="U3860" s="1">
        <v>1.0064547E8</v>
      </c>
      <c r="X3860" s="1" t="s">
        <v>88</v>
      </c>
      <c r="Y3860" s="1" t="s">
        <v>3030</v>
      </c>
      <c r="Z3860" s="1" t="s">
        <v>37</v>
      </c>
    </row>
    <row r="3861" hidden="1">
      <c r="A3861" s="1" t="s">
        <v>11108</v>
      </c>
      <c r="B3861" s="1" t="s">
        <v>11109</v>
      </c>
      <c r="C3861" s="1" t="s">
        <v>11110</v>
      </c>
      <c r="D3861" s="1" t="s">
        <v>27</v>
      </c>
      <c r="E3861" s="1" t="s">
        <v>28</v>
      </c>
      <c r="F3861" s="2">
        <v>225000.0</v>
      </c>
      <c r="G3861" s="1" t="s">
        <v>619</v>
      </c>
      <c r="H3861" s="4">
        <f>IFERROR(__xludf.DUMMYFUNCTION("DATE(INDEX(SPLIT(G3861,""/""),,3),INDEX(SPLIT(G3861,""/""),,2),INDEX(SPLIT(G3861,""/""),,1))"),44490.0)</f>
        <v>44490</v>
      </c>
      <c r="I3861" s="4">
        <v>44569.0</v>
      </c>
      <c r="J3861" s="4">
        <f>IFERROR(__xludf.DUMMYFUNCTION("DATE(INDEX(SPLIT(I3861,""/""),,3),INDEX(SPLIT(I3861,""/""),,2),INDEX(SPLIT(I3861,""/""),,1))"),44774.0)</f>
        <v>44774</v>
      </c>
      <c r="L3861" s="1">
        <v>0.0</v>
      </c>
      <c r="M3861" s="1" t="s">
        <v>913</v>
      </c>
      <c r="N3861" s="1"/>
      <c r="O3861" s="1" t="s">
        <v>30</v>
      </c>
      <c r="P3861" s="1" t="s">
        <v>31</v>
      </c>
      <c r="Q3861" s="1" t="s">
        <v>71</v>
      </c>
      <c r="R3861" s="1" t="s">
        <v>71</v>
      </c>
      <c r="S3861" s="1" t="s">
        <v>72</v>
      </c>
      <c r="T3861" s="1" t="s">
        <v>136</v>
      </c>
      <c r="U3861" s="1">
        <v>1.0112897E8</v>
      </c>
      <c r="X3861" s="1" t="s">
        <v>74</v>
      </c>
      <c r="Y3861" s="1" t="s">
        <v>4444</v>
      </c>
      <c r="Z3861" s="1" t="s">
        <v>37</v>
      </c>
    </row>
    <row r="3862" hidden="1">
      <c r="A3862" s="1" t="s">
        <v>11111</v>
      </c>
      <c r="B3862" s="1" t="s">
        <v>392</v>
      </c>
      <c r="C3862" s="1" t="s">
        <v>11112</v>
      </c>
      <c r="D3862" s="1" t="s">
        <v>122</v>
      </c>
      <c r="E3862" s="1" t="s">
        <v>28</v>
      </c>
      <c r="F3862" s="2">
        <v>225000.0</v>
      </c>
      <c r="G3862" s="1" t="s">
        <v>1806</v>
      </c>
      <c r="H3862" s="4">
        <f>IFERROR(__xludf.DUMMYFUNCTION("DATE(INDEX(SPLIT(G3862,""/""),,3),INDEX(SPLIT(G3862,""/""),,2),INDEX(SPLIT(G3862,""/""),,1))"),44694.0)</f>
        <v>44694</v>
      </c>
      <c r="I3862" s="1" t="s">
        <v>130</v>
      </c>
      <c r="J3862" s="4">
        <f>IFERROR(__xludf.DUMMYFUNCTION("DATE(INDEX(SPLIT(I3862,""/""),,3),INDEX(SPLIT(I3862,""/""),,2),INDEX(SPLIT(I3862,""/""),,1))"),44804.0)</f>
        <v>44804</v>
      </c>
      <c r="L3862" s="1">
        <v>0.0</v>
      </c>
      <c r="M3862" s="1" t="s">
        <v>3580</v>
      </c>
      <c r="N3862" s="1"/>
      <c r="O3862" s="1" t="s">
        <v>30</v>
      </c>
      <c r="P3862" s="1" t="s">
        <v>31</v>
      </c>
      <c r="Q3862" s="1" t="s">
        <v>157</v>
      </c>
      <c r="R3862" s="1" t="s">
        <v>157</v>
      </c>
      <c r="S3862" s="1" t="s">
        <v>158</v>
      </c>
      <c r="U3862" s="1">
        <v>1.00956516E8</v>
      </c>
      <c r="X3862" s="1" t="s">
        <v>239</v>
      </c>
      <c r="Y3862" s="1" t="s">
        <v>234</v>
      </c>
      <c r="Z3862" s="1" t="s">
        <v>37</v>
      </c>
    </row>
    <row r="3863">
      <c r="A3863" s="1" t="s">
        <v>11113</v>
      </c>
      <c r="B3863" s="1" t="s">
        <v>1144</v>
      </c>
      <c r="C3863" s="1" t="s">
        <v>11114</v>
      </c>
      <c r="D3863" s="1" t="s">
        <v>27</v>
      </c>
      <c r="E3863" s="1" t="s">
        <v>28</v>
      </c>
      <c r="F3863" s="2">
        <v>225000.0</v>
      </c>
      <c r="G3863" s="4">
        <v>44267.0</v>
      </c>
      <c r="H3863" s="4">
        <f>IFERROR(__xludf.DUMMYFUNCTION("DATE(INDEX(SPLIT(G3863,""/""),,3),INDEX(SPLIT(G3863,""/""),,2),INDEX(SPLIT(G3863,""/""),,1))"),44533.0)</f>
        <v>44533</v>
      </c>
      <c r="I3863" s="1" t="s">
        <v>1244</v>
      </c>
      <c r="J3863" s="4">
        <f>IFERROR(__xludf.DUMMYFUNCTION("DATE(INDEX(SPLIT(I3863,""/""),,3),INDEX(SPLIT(I3863,""/""),,2),INDEX(SPLIT(I3863,""/""),,1))"),44742.0)</f>
        <v>44742</v>
      </c>
      <c r="L3863" s="1">
        <v>0.0</v>
      </c>
      <c r="M3863" s="1" t="s">
        <v>6371</v>
      </c>
      <c r="N3863" s="1"/>
      <c r="O3863" s="1" t="s">
        <v>30</v>
      </c>
      <c r="P3863" s="1" t="s">
        <v>31</v>
      </c>
      <c r="Q3863" s="1" t="s">
        <v>228</v>
      </c>
      <c r="R3863" s="1" t="s">
        <v>228</v>
      </c>
      <c r="S3863" s="1" t="s">
        <v>229</v>
      </c>
      <c r="T3863" s="1" t="s">
        <v>640</v>
      </c>
      <c r="U3863" s="1">
        <v>1.00607287E8</v>
      </c>
      <c r="X3863" s="1" t="s">
        <v>63</v>
      </c>
      <c r="Y3863" s="1" t="s">
        <v>1147</v>
      </c>
      <c r="Z3863" s="1" t="s">
        <v>527</v>
      </c>
    </row>
    <row r="3864">
      <c r="A3864" s="1" t="s">
        <v>11115</v>
      </c>
      <c r="B3864" s="1" t="s">
        <v>11116</v>
      </c>
      <c r="C3864" s="1" t="s">
        <v>11117</v>
      </c>
      <c r="D3864" s="1" t="s">
        <v>78</v>
      </c>
      <c r="E3864" s="1" t="s">
        <v>28</v>
      </c>
      <c r="F3864" s="2">
        <v>225000.0</v>
      </c>
      <c r="G3864" s="1" t="s">
        <v>394</v>
      </c>
      <c r="H3864" s="4">
        <f>IFERROR(__xludf.DUMMYFUNCTION("DATE(INDEX(SPLIT(G3864,""/""),,3),INDEX(SPLIT(G3864,""/""),,2),INDEX(SPLIT(G3864,""/""),,1))"),44677.0)</f>
        <v>44677</v>
      </c>
      <c r="I3864" s="1" t="s">
        <v>2300</v>
      </c>
      <c r="J3864" s="4">
        <f>IFERROR(__xludf.DUMMYFUNCTION("DATE(INDEX(SPLIT(I3864,""/""),,3),INDEX(SPLIT(I3864,""/""),,2),INDEX(SPLIT(I3864,""/""),,1))"),44712.0)</f>
        <v>44712</v>
      </c>
      <c r="L3864" s="1">
        <v>0.0</v>
      </c>
      <c r="M3864" s="1" t="s">
        <v>512</v>
      </c>
      <c r="N3864" s="1"/>
      <c r="O3864" s="1" t="s">
        <v>30</v>
      </c>
      <c r="P3864" s="1" t="s">
        <v>31</v>
      </c>
      <c r="Q3864" s="1" t="s">
        <v>228</v>
      </c>
      <c r="R3864" s="1" t="s">
        <v>228</v>
      </c>
      <c r="S3864" s="1" t="s">
        <v>229</v>
      </c>
      <c r="T3864" s="1" t="s">
        <v>513</v>
      </c>
      <c r="U3864" s="1">
        <v>1.00654864E8</v>
      </c>
      <c r="X3864" s="1" t="s">
        <v>74</v>
      </c>
      <c r="Y3864" s="1" t="s">
        <v>11118</v>
      </c>
      <c r="Z3864" s="1" t="s">
        <v>37</v>
      </c>
    </row>
    <row r="3865" hidden="1">
      <c r="A3865" s="1" t="s">
        <v>11119</v>
      </c>
      <c r="B3865" s="1" t="s">
        <v>11120</v>
      </c>
      <c r="C3865" s="1" t="s">
        <v>11121</v>
      </c>
      <c r="D3865" s="1" t="s">
        <v>78</v>
      </c>
      <c r="E3865" s="1" t="s">
        <v>28</v>
      </c>
      <c r="F3865" s="2">
        <v>225000.0</v>
      </c>
      <c r="G3865" s="1" t="s">
        <v>11122</v>
      </c>
      <c r="H3865" s="4">
        <f>IFERROR(__xludf.DUMMYFUNCTION("DATE(INDEX(SPLIT(G3865,""/""),,3),INDEX(SPLIT(G3865,""/""),,2),INDEX(SPLIT(G3865,""/""),,1))"),44561.0)</f>
        <v>44561</v>
      </c>
      <c r="I3865" s="4">
        <v>44927.0</v>
      </c>
      <c r="J3865" s="4">
        <f>IFERROR(__xludf.DUMMYFUNCTION("DATE(INDEX(SPLIT(I3865,""/""),,3),INDEX(SPLIT(I3865,""/""),,2),INDEX(SPLIT(I3865,""/""),,1))"),44927.0)</f>
        <v>44927</v>
      </c>
      <c r="L3865" s="1">
        <v>0.0</v>
      </c>
      <c r="M3865" s="1" t="s">
        <v>11123</v>
      </c>
      <c r="N3865" s="1"/>
      <c r="O3865" s="1" t="s">
        <v>30</v>
      </c>
      <c r="P3865" s="1" t="s">
        <v>31</v>
      </c>
      <c r="Q3865" s="1" t="s">
        <v>228</v>
      </c>
      <c r="R3865" s="1" t="s">
        <v>228</v>
      </c>
      <c r="S3865" s="1" t="s">
        <v>229</v>
      </c>
      <c r="T3865" s="1" t="s">
        <v>505</v>
      </c>
      <c r="U3865" s="1">
        <v>1.00624798E8</v>
      </c>
      <c r="Y3865" s="1" t="s">
        <v>11123</v>
      </c>
      <c r="Z3865" s="1" t="s">
        <v>527</v>
      </c>
    </row>
    <row r="3866" hidden="1">
      <c r="A3866" s="1" t="s">
        <v>11124</v>
      </c>
      <c r="B3866" s="1" t="s">
        <v>4066</v>
      </c>
      <c r="C3866" s="1" t="s">
        <v>11125</v>
      </c>
      <c r="D3866" s="1" t="s">
        <v>68</v>
      </c>
      <c r="E3866" s="1" t="s">
        <v>28</v>
      </c>
      <c r="F3866" s="2">
        <v>225000.0</v>
      </c>
      <c r="G3866" s="1" t="s">
        <v>5039</v>
      </c>
      <c r="H3866" s="4">
        <f>IFERROR(__xludf.DUMMYFUNCTION("DATE(INDEX(SPLIT(G3866,""/""),,3),INDEX(SPLIT(G3866,""/""),,2),INDEX(SPLIT(G3866,""/""),,1))"),44674.0)</f>
        <v>44674</v>
      </c>
      <c r="I3866" s="4">
        <v>44689.0</v>
      </c>
      <c r="J3866" s="4">
        <f>IFERROR(__xludf.DUMMYFUNCTION("DATE(INDEX(SPLIT(I3866,""/""),,3),INDEX(SPLIT(I3866,""/""),,2),INDEX(SPLIT(I3866,""/""),,1))"),44778.0)</f>
        <v>44778</v>
      </c>
      <c r="L3866" s="1">
        <v>0.0</v>
      </c>
      <c r="M3866" s="1" t="s">
        <v>929</v>
      </c>
      <c r="N3866" s="1"/>
      <c r="O3866" s="1" t="s">
        <v>30</v>
      </c>
      <c r="P3866" s="1" t="s">
        <v>31</v>
      </c>
      <c r="Q3866" s="1" t="s">
        <v>71</v>
      </c>
      <c r="R3866" s="1" t="s">
        <v>71</v>
      </c>
      <c r="S3866" s="1" t="s">
        <v>72</v>
      </c>
      <c r="T3866" s="1" t="s">
        <v>73</v>
      </c>
      <c r="U3866" s="1">
        <v>1.00649698E8</v>
      </c>
      <c r="X3866" s="1" t="s">
        <v>74</v>
      </c>
      <c r="Y3866" s="1" t="s">
        <v>2623</v>
      </c>
      <c r="Z3866" s="1" t="s">
        <v>37</v>
      </c>
    </row>
    <row r="3867" hidden="1">
      <c r="A3867" s="1" t="s">
        <v>11126</v>
      </c>
      <c r="B3867" s="1" t="s">
        <v>11127</v>
      </c>
      <c r="C3867" s="1" t="s">
        <v>11128</v>
      </c>
      <c r="D3867" s="1" t="s">
        <v>27</v>
      </c>
      <c r="E3867" s="1" t="s">
        <v>28</v>
      </c>
      <c r="F3867" s="2">
        <v>225000.0</v>
      </c>
      <c r="G3867" s="4">
        <v>44297.0</v>
      </c>
      <c r="H3867" s="4">
        <f>IFERROR(__xludf.DUMMYFUNCTION("DATE(INDEX(SPLIT(G3867,""/""),,3),INDEX(SPLIT(G3867,""/""),,2),INDEX(SPLIT(G3867,""/""),,1))"),44504.0)</f>
        <v>44504</v>
      </c>
      <c r="I3867" s="4">
        <v>44569.0</v>
      </c>
      <c r="J3867" s="4">
        <f>IFERROR(__xludf.DUMMYFUNCTION("DATE(INDEX(SPLIT(I3867,""/""),,3),INDEX(SPLIT(I3867,""/""),,2),INDEX(SPLIT(I3867,""/""),,1))"),44774.0)</f>
        <v>44774</v>
      </c>
      <c r="L3867" s="1">
        <v>0.0</v>
      </c>
      <c r="M3867" s="1" t="s">
        <v>913</v>
      </c>
      <c r="N3867" s="1"/>
      <c r="O3867" s="1" t="s">
        <v>30</v>
      </c>
      <c r="P3867" s="1" t="s">
        <v>31</v>
      </c>
      <c r="Q3867" s="1" t="s">
        <v>71</v>
      </c>
      <c r="R3867" s="1" t="s">
        <v>71</v>
      </c>
      <c r="S3867" s="1" t="s">
        <v>72</v>
      </c>
      <c r="T3867" s="1" t="s">
        <v>136</v>
      </c>
      <c r="U3867" s="1">
        <v>1.0112897E8</v>
      </c>
      <c r="X3867" s="1" t="s">
        <v>2769</v>
      </c>
      <c r="Y3867" s="1" t="s">
        <v>4444</v>
      </c>
      <c r="Z3867" s="1" t="s">
        <v>37</v>
      </c>
    </row>
    <row r="3868" hidden="1">
      <c r="A3868" s="1" t="s">
        <v>11129</v>
      </c>
      <c r="B3868" s="1" t="s">
        <v>11130</v>
      </c>
      <c r="C3868" s="1" t="s">
        <v>11131</v>
      </c>
      <c r="D3868" s="1" t="s">
        <v>122</v>
      </c>
      <c r="E3868" s="1" t="s">
        <v>28</v>
      </c>
      <c r="F3868" s="2">
        <v>225000.0</v>
      </c>
      <c r="G3868" s="4">
        <v>44653.0</v>
      </c>
      <c r="H3868" s="4">
        <f>IFERROR(__xludf.DUMMYFUNCTION("DATE(INDEX(SPLIT(G3868,""/""),,3),INDEX(SPLIT(G3868,""/""),,2),INDEX(SPLIT(G3868,""/""),,1))"),44596.0)</f>
        <v>44596</v>
      </c>
      <c r="I3868" s="1" t="s">
        <v>130</v>
      </c>
      <c r="J3868" s="4">
        <f>IFERROR(__xludf.DUMMYFUNCTION("DATE(INDEX(SPLIT(I3868,""/""),,3),INDEX(SPLIT(I3868,""/""),,2),INDEX(SPLIT(I3868,""/""),,1))"),44804.0)</f>
        <v>44804</v>
      </c>
      <c r="L3868" s="1">
        <v>0.0</v>
      </c>
      <c r="M3868" s="1" t="s">
        <v>5120</v>
      </c>
      <c r="N3868" s="1"/>
      <c r="O3868" s="1" t="s">
        <v>30</v>
      </c>
      <c r="P3868" s="1" t="s">
        <v>31</v>
      </c>
      <c r="Q3868" s="1" t="s">
        <v>71</v>
      </c>
      <c r="R3868" s="1" t="s">
        <v>71</v>
      </c>
      <c r="S3868" s="1" t="s">
        <v>72</v>
      </c>
      <c r="T3868" s="1" t="s">
        <v>136</v>
      </c>
      <c r="U3868" s="1">
        <v>1.0059101E8</v>
      </c>
      <c r="X3868" s="1" t="s">
        <v>74</v>
      </c>
      <c r="Y3868" s="1" t="s">
        <v>5120</v>
      </c>
      <c r="Z3868" s="1" t="s">
        <v>37</v>
      </c>
    </row>
    <row r="3869" hidden="1">
      <c r="A3869" s="1" t="s">
        <v>11132</v>
      </c>
      <c r="B3869" s="1" t="s">
        <v>83</v>
      </c>
      <c r="C3869" s="1" t="s">
        <v>11133</v>
      </c>
      <c r="D3869" s="1" t="s">
        <v>122</v>
      </c>
      <c r="E3869" s="1" t="s">
        <v>28</v>
      </c>
      <c r="F3869" s="2">
        <v>225000.0</v>
      </c>
      <c r="G3869" s="1" t="s">
        <v>2077</v>
      </c>
      <c r="H3869" s="4">
        <f>IFERROR(__xludf.DUMMYFUNCTION("DATE(INDEX(SPLIT(G3869,""/""),,3),INDEX(SPLIT(G3869,""/""),,2),INDEX(SPLIT(G3869,""/""),,1))"),44700.0)</f>
        <v>44700</v>
      </c>
      <c r="I3869" s="4">
        <v>44903.0</v>
      </c>
      <c r="J3869" s="4">
        <f>IFERROR(__xludf.DUMMYFUNCTION("DATE(INDEX(SPLIT(I3869,""/""),,3),INDEX(SPLIT(I3869,""/""),,2),INDEX(SPLIT(I3869,""/""),,1))"),44785.0)</f>
        <v>44785</v>
      </c>
      <c r="L3869" s="1">
        <v>0.0</v>
      </c>
      <c r="M3869" s="1" t="s">
        <v>11134</v>
      </c>
      <c r="N3869" s="1"/>
      <c r="O3869" s="1" t="s">
        <v>30</v>
      </c>
      <c r="P3869" s="1" t="s">
        <v>31</v>
      </c>
      <c r="Q3869" s="1" t="s">
        <v>235</v>
      </c>
      <c r="R3869" s="1" t="s">
        <v>235</v>
      </c>
      <c r="S3869" s="1" t="s">
        <v>236</v>
      </c>
      <c r="U3869" s="1">
        <v>1.00629723E8</v>
      </c>
      <c r="X3869" s="1" t="s">
        <v>88</v>
      </c>
      <c r="Y3869" s="1" t="s">
        <v>11134</v>
      </c>
      <c r="Z3869" s="1" t="s">
        <v>1783</v>
      </c>
    </row>
    <row r="3870" hidden="1">
      <c r="A3870" s="1" t="s">
        <v>11135</v>
      </c>
      <c r="B3870" s="1" t="s">
        <v>6955</v>
      </c>
      <c r="C3870" s="1" t="s">
        <v>11136</v>
      </c>
      <c r="D3870" s="1" t="s">
        <v>27</v>
      </c>
      <c r="E3870" s="1" t="s">
        <v>28</v>
      </c>
      <c r="F3870" s="2">
        <v>225000.0</v>
      </c>
      <c r="G3870" s="1" t="s">
        <v>41</v>
      </c>
      <c r="H3870" s="4">
        <f>IFERROR(__xludf.DUMMYFUNCTION("DATE(INDEX(SPLIT(G3870,""/""),,3),INDEX(SPLIT(G3870,""/""),,2),INDEX(SPLIT(G3870,""/""),,1))"),44607.0)</f>
        <v>44607</v>
      </c>
      <c r="I3870" s="4">
        <v>44573.0</v>
      </c>
      <c r="J3870" s="4">
        <f>IFERROR(__xludf.DUMMYFUNCTION("DATE(INDEX(SPLIT(I3870,""/""),,3),INDEX(SPLIT(I3870,""/""),,2),INDEX(SPLIT(I3870,""/""),,1))"),44896.0)</f>
        <v>44896</v>
      </c>
      <c r="L3870" s="1">
        <v>0.0</v>
      </c>
      <c r="M3870" s="1" t="s">
        <v>1385</v>
      </c>
      <c r="N3870" s="1"/>
      <c r="O3870" s="1" t="s">
        <v>30</v>
      </c>
      <c r="P3870" s="1" t="s">
        <v>31</v>
      </c>
      <c r="Q3870" s="1" t="s">
        <v>235</v>
      </c>
      <c r="R3870" s="1" t="s">
        <v>235</v>
      </c>
      <c r="S3870" s="1" t="s">
        <v>236</v>
      </c>
      <c r="T3870" s="1" t="s">
        <v>1386</v>
      </c>
      <c r="U3870" s="1">
        <v>1.00594397E8</v>
      </c>
      <c r="X3870" s="1" t="s">
        <v>239</v>
      </c>
      <c r="Y3870" s="1" t="s">
        <v>1387</v>
      </c>
      <c r="Z3870" s="1" t="s">
        <v>37</v>
      </c>
    </row>
    <row r="3871">
      <c r="A3871" s="1" t="s">
        <v>11137</v>
      </c>
      <c r="B3871" s="1" t="s">
        <v>1748</v>
      </c>
      <c r="C3871" s="1" t="s">
        <v>11138</v>
      </c>
      <c r="D3871" s="1" t="s">
        <v>122</v>
      </c>
      <c r="E3871" s="1" t="s">
        <v>28</v>
      </c>
      <c r="F3871" s="2">
        <v>222000.0</v>
      </c>
      <c r="G3871" s="4">
        <v>44896.0</v>
      </c>
      <c r="H3871" s="4">
        <f>IFERROR(__xludf.DUMMYFUNCTION("DATE(INDEX(SPLIT(G3871,""/""),,3),INDEX(SPLIT(G3871,""/""),,2),INDEX(SPLIT(G3871,""/""),,1))"),44573.0)</f>
        <v>44573</v>
      </c>
      <c r="I3871" s="4">
        <v>44718.0</v>
      </c>
      <c r="J3871" s="4">
        <f>IFERROR(__xludf.DUMMYFUNCTION("DATE(INDEX(SPLIT(I3871,""/""),,3),INDEX(SPLIT(I3871,""/""),,2),INDEX(SPLIT(I3871,""/""),,1))"),44718.0)</f>
        <v>44718</v>
      </c>
      <c r="L3871" s="1">
        <v>0.0</v>
      </c>
      <c r="M3871" s="1" t="s">
        <v>4639</v>
      </c>
      <c r="N3871" s="1"/>
      <c r="O3871" s="1" t="s">
        <v>30</v>
      </c>
      <c r="P3871" s="1" t="s">
        <v>31</v>
      </c>
      <c r="Q3871" s="1" t="s">
        <v>53</v>
      </c>
      <c r="R3871" s="1" t="s">
        <v>53</v>
      </c>
      <c r="S3871" s="1" t="s">
        <v>54</v>
      </c>
      <c r="T3871" s="1" t="s">
        <v>87</v>
      </c>
      <c r="U3871" s="1">
        <v>1.00660049E8</v>
      </c>
      <c r="X3871" s="1" t="s">
        <v>88</v>
      </c>
      <c r="Y3871" s="1" t="s">
        <v>7508</v>
      </c>
      <c r="Z3871" s="1" t="s">
        <v>37</v>
      </c>
    </row>
    <row r="3872" hidden="1">
      <c r="A3872" s="1" t="s">
        <v>11139</v>
      </c>
      <c r="B3872" s="1" t="s">
        <v>5675</v>
      </c>
      <c r="C3872" s="1" t="s">
        <v>11140</v>
      </c>
      <c r="D3872" s="1" t="s">
        <v>78</v>
      </c>
      <c r="E3872" s="1" t="s">
        <v>28</v>
      </c>
      <c r="F3872" s="2">
        <v>220000.0</v>
      </c>
      <c r="G3872" s="1" t="s">
        <v>2025</v>
      </c>
      <c r="H3872" s="4">
        <f>IFERROR(__xludf.DUMMYFUNCTION("DATE(INDEX(SPLIT(G3872,""/""),,3),INDEX(SPLIT(G3872,""/""),,2),INDEX(SPLIT(G3872,""/""),,1))"),44664.0)</f>
        <v>44664</v>
      </c>
      <c r="I3872" s="1" t="s">
        <v>109</v>
      </c>
      <c r="J3872" s="4">
        <f>IFERROR(__xludf.DUMMYFUNCTION("DATE(INDEX(SPLIT(I3872,""/""),,3),INDEX(SPLIT(I3872,""/""),,2),INDEX(SPLIT(I3872,""/""),,1))"),44834.0)</f>
        <v>44834</v>
      </c>
      <c r="K3872" s="1" t="s">
        <v>11141</v>
      </c>
      <c r="L3872" s="1">
        <v>0.0</v>
      </c>
      <c r="M3872" s="1" t="s">
        <v>5205</v>
      </c>
      <c r="N3872" s="1"/>
      <c r="O3872" s="1" t="s">
        <v>30</v>
      </c>
      <c r="P3872" s="1" t="s">
        <v>31</v>
      </c>
      <c r="Q3872" s="1" t="s">
        <v>32</v>
      </c>
      <c r="R3872" s="1" t="s">
        <v>32</v>
      </c>
      <c r="S3872" s="1" t="s">
        <v>33</v>
      </c>
      <c r="U3872" s="1">
        <v>1.00587881E8</v>
      </c>
      <c r="X3872" s="1" t="s">
        <v>305</v>
      </c>
      <c r="Y3872" s="1" t="s">
        <v>11142</v>
      </c>
      <c r="Z3872" s="1" t="s">
        <v>37</v>
      </c>
    </row>
    <row r="3873">
      <c r="A3873" s="1" t="s">
        <v>11143</v>
      </c>
      <c r="B3873" s="1" t="s">
        <v>1144</v>
      </c>
      <c r="C3873" s="1" t="s">
        <v>11144</v>
      </c>
      <c r="D3873" s="1" t="s">
        <v>68</v>
      </c>
      <c r="E3873" s="1" t="s">
        <v>28</v>
      </c>
      <c r="F3873" s="2">
        <v>220000.0</v>
      </c>
      <c r="G3873" s="4">
        <v>44686.0</v>
      </c>
      <c r="H3873" s="4">
        <f>IFERROR(__xludf.DUMMYFUNCTION("DATE(INDEX(SPLIT(G3873,""/""),,3),INDEX(SPLIT(G3873,""/""),,2),INDEX(SPLIT(G3873,""/""),,1))"),44686.0)</f>
        <v>44686</v>
      </c>
      <c r="I3873" s="1" t="s">
        <v>2300</v>
      </c>
      <c r="J3873" s="4">
        <f>IFERROR(__xludf.DUMMYFUNCTION("DATE(INDEX(SPLIT(I3873,""/""),,3),INDEX(SPLIT(I3873,""/""),,2),INDEX(SPLIT(I3873,""/""),,1))"),44712.0)</f>
        <v>44712</v>
      </c>
      <c r="L3873" s="1">
        <v>0.0</v>
      </c>
      <c r="M3873" s="1" t="s">
        <v>1146</v>
      </c>
      <c r="N3873" s="1"/>
      <c r="O3873" s="1" t="s">
        <v>30</v>
      </c>
      <c r="P3873" s="1" t="s">
        <v>31</v>
      </c>
      <c r="Q3873" s="1" t="s">
        <v>228</v>
      </c>
      <c r="R3873" s="1" t="s">
        <v>228</v>
      </c>
      <c r="S3873" s="1" t="s">
        <v>229</v>
      </c>
      <c r="T3873" s="1" t="s">
        <v>640</v>
      </c>
      <c r="U3873" s="1">
        <v>1.0061139E8</v>
      </c>
      <c r="X3873" s="1" t="s">
        <v>63</v>
      </c>
      <c r="Y3873" s="1" t="s">
        <v>1976</v>
      </c>
      <c r="Z3873" s="1" t="s">
        <v>37</v>
      </c>
    </row>
    <row r="3874">
      <c r="A3874" s="1" t="s">
        <v>11145</v>
      </c>
      <c r="B3874" s="1" t="s">
        <v>10024</v>
      </c>
      <c r="C3874" s="1" t="s">
        <v>11146</v>
      </c>
      <c r="D3874" s="1" t="s">
        <v>122</v>
      </c>
      <c r="E3874" s="1" t="s">
        <v>28</v>
      </c>
      <c r="F3874" s="2">
        <v>220000.0</v>
      </c>
      <c r="G3874" s="1" t="s">
        <v>711</v>
      </c>
      <c r="H3874" s="4">
        <f>IFERROR(__xludf.DUMMYFUNCTION("DATE(INDEX(SPLIT(G3874,""/""),,3),INDEX(SPLIT(G3874,""/""),,2),INDEX(SPLIT(G3874,""/""),,1))"),44279.0)</f>
        <v>44279</v>
      </c>
      <c r="I3874" s="1" t="s">
        <v>1288</v>
      </c>
      <c r="J3874" s="4">
        <f>IFERROR(__xludf.DUMMYFUNCTION("DATE(INDEX(SPLIT(I3874,""/""),,3),INDEX(SPLIT(I3874,""/""),,2),INDEX(SPLIT(I3874,""/""),,1))"),44707.0)</f>
        <v>44707</v>
      </c>
      <c r="L3874" s="1">
        <v>0.0</v>
      </c>
      <c r="M3874" s="1" t="s">
        <v>653</v>
      </c>
      <c r="N3874" s="1"/>
      <c r="O3874" s="1" t="s">
        <v>30</v>
      </c>
      <c r="P3874" s="1" t="s">
        <v>31</v>
      </c>
      <c r="Q3874" s="1" t="s">
        <v>157</v>
      </c>
      <c r="R3874" s="1" t="s">
        <v>157</v>
      </c>
      <c r="S3874" s="1" t="s">
        <v>158</v>
      </c>
      <c r="T3874" s="1" t="s">
        <v>571</v>
      </c>
      <c r="U3874" s="1">
        <v>1.00591141E8</v>
      </c>
      <c r="X3874" s="1" t="s">
        <v>63</v>
      </c>
      <c r="Y3874" s="1" t="s">
        <v>6229</v>
      </c>
      <c r="Z3874" s="1" t="s">
        <v>37</v>
      </c>
    </row>
    <row r="3875" hidden="1">
      <c r="A3875" s="1" t="s">
        <v>11147</v>
      </c>
      <c r="B3875" s="1" t="s">
        <v>11148</v>
      </c>
      <c r="C3875" s="1" t="s">
        <v>11149</v>
      </c>
      <c r="D3875" s="1" t="s">
        <v>27</v>
      </c>
      <c r="E3875" s="1" t="s">
        <v>28</v>
      </c>
      <c r="F3875" s="2">
        <v>216000.0</v>
      </c>
      <c r="G3875" s="4">
        <v>44622.0</v>
      </c>
      <c r="H3875" s="4">
        <f>IFERROR(__xludf.DUMMYFUNCTION("DATE(INDEX(SPLIT(G3875,""/""),,3),INDEX(SPLIT(G3875,""/""),,2),INDEX(SPLIT(G3875,""/""),,1))"),44595.0)</f>
        <v>44595</v>
      </c>
      <c r="I3875" s="1" t="s">
        <v>11150</v>
      </c>
      <c r="J3875" s="4">
        <f>IFERROR(__xludf.DUMMYFUNCTION("DATE(INDEX(SPLIT(I3875,""/""),,3),INDEX(SPLIT(I3875,""/""),,2),INDEX(SPLIT(I3875,""/""),,1))"),45838.0)</f>
        <v>45838</v>
      </c>
      <c r="L3875" s="1">
        <v>0.0</v>
      </c>
      <c r="M3875" s="1" t="s">
        <v>6045</v>
      </c>
      <c r="N3875" s="1"/>
      <c r="O3875" s="1" t="s">
        <v>30</v>
      </c>
      <c r="P3875" s="1" t="s">
        <v>31</v>
      </c>
      <c r="Q3875" s="1" t="s">
        <v>228</v>
      </c>
      <c r="R3875" s="1" t="s">
        <v>228</v>
      </c>
      <c r="S3875" s="1" t="s">
        <v>229</v>
      </c>
      <c r="T3875" s="1" t="s">
        <v>513</v>
      </c>
      <c r="U3875" s="1">
        <v>1.00652479E8</v>
      </c>
      <c r="X3875" s="1" t="s">
        <v>239</v>
      </c>
      <c r="Y3875" s="1" t="s">
        <v>11151</v>
      </c>
      <c r="Z3875" s="1" t="s">
        <v>37</v>
      </c>
    </row>
    <row r="3876">
      <c r="A3876" s="1" t="s">
        <v>11152</v>
      </c>
      <c r="B3876" s="1" t="s">
        <v>1854</v>
      </c>
      <c r="C3876" s="1" t="s">
        <v>11153</v>
      </c>
      <c r="D3876" s="1" t="s">
        <v>68</v>
      </c>
      <c r="E3876" s="1" t="s">
        <v>28</v>
      </c>
      <c r="F3876" s="2">
        <v>216000.0</v>
      </c>
      <c r="G3876" s="1" t="s">
        <v>1154</v>
      </c>
      <c r="H3876" s="4">
        <f>IFERROR(__xludf.DUMMYFUNCTION("DATE(INDEX(SPLIT(G3876,""/""),,3),INDEX(SPLIT(G3876,""/""),,2),INDEX(SPLIT(G3876,""/""),,1))"),44735.0)</f>
        <v>44735</v>
      </c>
      <c r="I3876" s="1" t="s">
        <v>503</v>
      </c>
      <c r="J3876" s="4">
        <f>IFERROR(__xludf.DUMMYFUNCTION("DATE(INDEX(SPLIT(I3876,""/""),,3),INDEX(SPLIT(I3876,""/""),,2),INDEX(SPLIT(I3876,""/""),,1))"),44736.0)</f>
        <v>44736</v>
      </c>
      <c r="L3876" s="1">
        <v>0.0</v>
      </c>
      <c r="M3876" s="1" t="s">
        <v>2448</v>
      </c>
      <c r="N3876" s="1"/>
      <c r="O3876" s="1" t="s">
        <v>30</v>
      </c>
      <c r="P3876" s="1" t="s">
        <v>31</v>
      </c>
      <c r="Q3876" s="1" t="s">
        <v>53</v>
      </c>
      <c r="R3876" s="1" t="s">
        <v>53</v>
      </c>
      <c r="S3876" s="1" t="s">
        <v>54</v>
      </c>
      <c r="U3876" s="1">
        <v>1.00584032E8</v>
      </c>
      <c r="W3876" s="1" t="s">
        <v>261</v>
      </c>
      <c r="X3876" s="1" t="s">
        <v>63</v>
      </c>
      <c r="Y3876" s="1" t="s">
        <v>1857</v>
      </c>
      <c r="Z3876" s="1" t="s">
        <v>37</v>
      </c>
    </row>
    <row r="3877">
      <c r="A3877" s="1" t="s">
        <v>11154</v>
      </c>
      <c r="B3877" s="1" t="s">
        <v>11155</v>
      </c>
      <c r="C3877" s="1" t="s">
        <v>11156</v>
      </c>
      <c r="D3877" s="1" t="s">
        <v>122</v>
      </c>
      <c r="E3877" s="1" t="s">
        <v>28</v>
      </c>
      <c r="F3877" s="2">
        <v>215000.0</v>
      </c>
      <c r="G3877" s="1" t="s">
        <v>503</v>
      </c>
      <c r="H3877" s="4">
        <f>IFERROR(__xludf.DUMMYFUNCTION("DATE(INDEX(SPLIT(G3877,""/""),,3),INDEX(SPLIT(G3877,""/""),,2),INDEX(SPLIT(G3877,""/""),,1))"),44736.0)</f>
        <v>44736</v>
      </c>
      <c r="I3877" s="1" t="s">
        <v>503</v>
      </c>
      <c r="J3877" s="4">
        <f>IFERROR(__xludf.DUMMYFUNCTION("DATE(INDEX(SPLIT(I3877,""/""),,3),INDEX(SPLIT(I3877,""/""),,2),INDEX(SPLIT(I3877,""/""),,1))"),44736.0)</f>
        <v>44736</v>
      </c>
      <c r="L3877" s="1">
        <v>0.0</v>
      </c>
      <c r="M3877" s="1" t="s">
        <v>5534</v>
      </c>
      <c r="N3877" s="1"/>
      <c r="O3877" s="1" t="s">
        <v>30</v>
      </c>
      <c r="P3877" s="1" t="s">
        <v>31</v>
      </c>
      <c r="Q3877" s="1" t="s">
        <v>228</v>
      </c>
      <c r="R3877" s="1" t="s">
        <v>228</v>
      </c>
      <c r="S3877" s="1" t="s">
        <v>229</v>
      </c>
      <c r="T3877" s="1" t="s">
        <v>2536</v>
      </c>
      <c r="U3877" s="1">
        <v>1.00896447E8</v>
      </c>
      <c r="X3877" s="1" t="s">
        <v>375</v>
      </c>
      <c r="Y3877" s="1" t="s">
        <v>5535</v>
      </c>
      <c r="Z3877" s="1" t="s">
        <v>37</v>
      </c>
    </row>
    <row r="3878">
      <c r="A3878" s="1" t="s">
        <v>11157</v>
      </c>
      <c r="B3878" s="1" t="s">
        <v>1994</v>
      </c>
      <c r="C3878" s="1" t="s">
        <v>11158</v>
      </c>
      <c r="D3878" s="1" t="s">
        <v>78</v>
      </c>
      <c r="E3878" s="1" t="s">
        <v>28</v>
      </c>
      <c r="F3878" s="2">
        <v>215000.0</v>
      </c>
      <c r="G3878" s="1" t="s">
        <v>164</v>
      </c>
      <c r="H3878" s="4">
        <f>IFERROR(__xludf.DUMMYFUNCTION("DATE(INDEX(SPLIT(G3878,""/""),,3),INDEX(SPLIT(G3878,""/""),,2),INDEX(SPLIT(G3878,""/""),,1))"),44706.0)</f>
        <v>44706</v>
      </c>
      <c r="I3878" s="1" t="s">
        <v>226</v>
      </c>
      <c r="J3878" s="4">
        <f>IFERROR(__xludf.DUMMYFUNCTION("DATE(INDEX(SPLIT(I3878,""/""),,3),INDEX(SPLIT(I3878,""/""),,2),INDEX(SPLIT(I3878,""/""),,1))"),44771.0)</f>
        <v>44771</v>
      </c>
      <c r="L3878" s="1">
        <v>0.0</v>
      </c>
      <c r="M3878" s="1" t="s">
        <v>633</v>
      </c>
      <c r="N3878" s="1"/>
      <c r="O3878" s="1" t="s">
        <v>30</v>
      </c>
      <c r="P3878" s="1" t="s">
        <v>31</v>
      </c>
      <c r="Q3878" s="1" t="s">
        <v>53</v>
      </c>
      <c r="R3878" s="1" t="s">
        <v>53</v>
      </c>
      <c r="S3878" s="1" t="s">
        <v>54</v>
      </c>
      <c r="T3878" s="1" t="s">
        <v>634</v>
      </c>
      <c r="U3878" s="1">
        <v>1.00997154E8</v>
      </c>
      <c r="V3878" s="1" t="s">
        <v>11159</v>
      </c>
      <c r="W3878" s="1" t="s">
        <v>717</v>
      </c>
      <c r="X3878" s="1" t="s">
        <v>490</v>
      </c>
      <c r="Y3878" s="1" t="s">
        <v>6565</v>
      </c>
      <c r="Z3878" s="1" t="s">
        <v>37</v>
      </c>
    </row>
    <row r="3879" hidden="1">
      <c r="A3879" s="1" t="s">
        <v>11160</v>
      </c>
      <c r="B3879" s="1" t="s">
        <v>1144</v>
      </c>
      <c r="C3879" s="1" t="s">
        <v>11161</v>
      </c>
      <c r="D3879" s="1" t="s">
        <v>27</v>
      </c>
      <c r="E3879" s="1" t="s">
        <v>28</v>
      </c>
      <c r="F3879" s="2">
        <v>215000.0</v>
      </c>
      <c r="G3879" s="1" t="s">
        <v>5390</v>
      </c>
      <c r="H3879" s="4">
        <f>IFERROR(__xludf.DUMMYFUNCTION("DATE(INDEX(SPLIT(G3879,""/""),,3),INDEX(SPLIT(G3879,""/""),,2),INDEX(SPLIT(G3879,""/""),,1))"),44307.0)</f>
        <v>44307</v>
      </c>
      <c r="I3879" s="1" t="s">
        <v>1097</v>
      </c>
      <c r="J3879" s="4">
        <f>IFERROR(__xludf.DUMMYFUNCTION("DATE(INDEX(SPLIT(I3879,""/""),,3),INDEX(SPLIT(I3879,""/""),,2),INDEX(SPLIT(I3879,""/""),,1))"),45107.0)</f>
        <v>45107</v>
      </c>
      <c r="L3879" s="1">
        <v>0.0</v>
      </c>
      <c r="M3879" s="1" t="s">
        <v>2614</v>
      </c>
      <c r="N3879" s="1"/>
      <c r="O3879" s="1" t="s">
        <v>30</v>
      </c>
      <c r="P3879" s="1" t="s">
        <v>31</v>
      </c>
      <c r="Q3879" s="1" t="s">
        <v>53</v>
      </c>
      <c r="R3879" s="1" t="s">
        <v>53</v>
      </c>
      <c r="S3879" s="1" t="s">
        <v>54</v>
      </c>
      <c r="T3879" s="1" t="s">
        <v>1427</v>
      </c>
      <c r="U3879" s="1">
        <v>1.00592932E8</v>
      </c>
      <c r="X3879" s="1" t="s">
        <v>63</v>
      </c>
      <c r="Y3879" s="1" t="s">
        <v>2614</v>
      </c>
      <c r="Z3879" s="1" t="s">
        <v>37</v>
      </c>
    </row>
    <row r="3880" hidden="1">
      <c r="A3880" s="1" t="s">
        <v>11162</v>
      </c>
      <c r="B3880" s="1" t="s">
        <v>2000</v>
      </c>
      <c r="C3880" s="1" t="s">
        <v>11163</v>
      </c>
      <c r="D3880" s="1" t="s">
        <v>27</v>
      </c>
      <c r="E3880" s="1" t="s">
        <v>28</v>
      </c>
      <c r="F3880" s="2">
        <v>215000.0</v>
      </c>
      <c r="G3880" s="1" t="s">
        <v>41</v>
      </c>
      <c r="H3880" s="4">
        <f>IFERROR(__xludf.DUMMYFUNCTION("DATE(INDEX(SPLIT(G3880,""/""),,3),INDEX(SPLIT(G3880,""/""),,2),INDEX(SPLIT(G3880,""/""),,1))"),44607.0)</f>
        <v>44607</v>
      </c>
      <c r="I3880" s="4">
        <v>44573.0</v>
      </c>
      <c r="J3880" s="4">
        <f>IFERROR(__xludf.DUMMYFUNCTION("DATE(INDEX(SPLIT(I3880,""/""),,3),INDEX(SPLIT(I3880,""/""),,2),INDEX(SPLIT(I3880,""/""),,1))"),44896.0)</f>
        <v>44896</v>
      </c>
      <c r="L3880" s="1">
        <v>0.0</v>
      </c>
      <c r="M3880" s="1" t="s">
        <v>1918</v>
      </c>
      <c r="N3880" s="1"/>
      <c r="O3880" s="1" t="s">
        <v>30</v>
      </c>
      <c r="P3880" s="1" t="s">
        <v>31</v>
      </c>
      <c r="Q3880" s="1" t="s">
        <v>53</v>
      </c>
      <c r="R3880" s="1" t="s">
        <v>53</v>
      </c>
      <c r="S3880" s="1" t="s">
        <v>54</v>
      </c>
      <c r="T3880" s="1" t="s">
        <v>1386</v>
      </c>
      <c r="U3880" s="1">
        <v>1.00638639E8</v>
      </c>
      <c r="X3880" s="1" t="s">
        <v>609</v>
      </c>
      <c r="Y3880" s="1" t="s">
        <v>1387</v>
      </c>
      <c r="Z3880" s="1" t="s">
        <v>206</v>
      </c>
    </row>
    <row r="3881" hidden="1">
      <c r="A3881" s="1" t="s">
        <v>11164</v>
      </c>
      <c r="B3881" s="1" t="s">
        <v>2000</v>
      </c>
      <c r="C3881" s="1" t="s">
        <v>11163</v>
      </c>
      <c r="D3881" s="1" t="s">
        <v>27</v>
      </c>
      <c r="E3881" s="1" t="s">
        <v>28</v>
      </c>
      <c r="F3881" s="2">
        <v>215000.0</v>
      </c>
      <c r="G3881" s="1" t="s">
        <v>41</v>
      </c>
      <c r="H3881" s="4">
        <f>IFERROR(__xludf.DUMMYFUNCTION("DATE(INDEX(SPLIT(G3881,""/""),,3),INDEX(SPLIT(G3881,""/""),,2),INDEX(SPLIT(G3881,""/""),,1))"),44607.0)</f>
        <v>44607</v>
      </c>
      <c r="I3881" s="4">
        <v>44573.0</v>
      </c>
      <c r="J3881" s="4">
        <f>IFERROR(__xludf.DUMMYFUNCTION("DATE(INDEX(SPLIT(I3881,""/""),,3),INDEX(SPLIT(I3881,""/""),,2),INDEX(SPLIT(I3881,""/""),,1))"),44896.0)</f>
        <v>44896</v>
      </c>
      <c r="L3881" s="1">
        <v>0.0</v>
      </c>
      <c r="M3881" s="1" t="s">
        <v>1918</v>
      </c>
      <c r="N3881" s="1"/>
      <c r="O3881" s="1" t="s">
        <v>30</v>
      </c>
      <c r="P3881" s="1" t="s">
        <v>31</v>
      </c>
      <c r="Q3881" s="1" t="s">
        <v>53</v>
      </c>
      <c r="R3881" s="1" t="s">
        <v>53</v>
      </c>
      <c r="S3881" s="1" t="s">
        <v>54</v>
      </c>
      <c r="T3881" s="1" t="s">
        <v>1386</v>
      </c>
      <c r="U3881" s="1">
        <v>1.00638639E8</v>
      </c>
      <c r="X3881" s="1" t="s">
        <v>609</v>
      </c>
      <c r="Y3881" s="1" t="s">
        <v>1387</v>
      </c>
      <c r="Z3881" s="1" t="s">
        <v>206</v>
      </c>
    </row>
    <row r="3882" hidden="1">
      <c r="A3882" s="1" t="s">
        <v>11165</v>
      </c>
      <c r="B3882" s="1" t="s">
        <v>2070</v>
      </c>
      <c r="C3882" s="1" t="s">
        <v>11166</v>
      </c>
      <c r="D3882" s="1" t="s">
        <v>122</v>
      </c>
      <c r="E3882" s="1" t="s">
        <v>28</v>
      </c>
      <c r="F3882" s="2">
        <v>210000.0</v>
      </c>
      <c r="G3882" s="4">
        <v>44900.0</v>
      </c>
      <c r="H3882" s="4">
        <f>IFERROR(__xludf.DUMMYFUNCTION("DATE(INDEX(SPLIT(G3882,""/""),,3),INDEX(SPLIT(G3882,""/""),,2),INDEX(SPLIT(G3882,""/""),,1))"),44693.0)</f>
        <v>44693</v>
      </c>
      <c r="I3882" s="1" t="s">
        <v>109</v>
      </c>
      <c r="J3882" s="4">
        <f>IFERROR(__xludf.DUMMYFUNCTION("DATE(INDEX(SPLIT(I3882,""/""),,3),INDEX(SPLIT(I3882,""/""),,2),INDEX(SPLIT(I3882,""/""),,1))"),44834.0)</f>
        <v>44834</v>
      </c>
      <c r="L3882" s="1">
        <v>0.0</v>
      </c>
      <c r="M3882" s="1" t="s">
        <v>2072</v>
      </c>
      <c r="N3882" s="1"/>
      <c r="O3882" s="1" t="s">
        <v>30</v>
      </c>
      <c r="P3882" s="1" t="s">
        <v>31</v>
      </c>
      <c r="Q3882" s="1" t="s">
        <v>71</v>
      </c>
      <c r="R3882" s="1" t="s">
        <v>71</v>
      </c>
      <c r="S3882" s="1" t="s">
        <v>72</v>
      </c>
      <c r="T3882" s="1" t="s">
        <v>136</v>
      </c>
      <c r="U3882" s="1">
        <v>1.00628181E8</v>
      </c>
      <c r="X3882" s="1" t="s">
        <v>74</v>
      </c>
      <c r="Y3882" s="1" t="s">
        <v>2072</v>
      </c>
      <c r="Z3882" s="1" t="s">
        <v>37</v>
      </c>
    </row>
    <row r="3883" hidden="1">
      <c r="A3883" s="1" t="s">
        <v>11167</v>
      </c>
      <c r="B3883" s="1" t="s">
        <v>612</v>
      </c>
      <c r="C3883" s="1" t="s">
        <v>11168</v>
      </c>
      <c r="D3883" s="1" t="s">
        <v>78</v>
      </c>
      <c r="E3883" s="1" t="s">
        <v>28</v>
      </c>
      <c r="F3883" s="2">
        <v>210000.0</v>
      </c>
      <c r="G3883" s="4">
        <v>44567.0</v>
      </c>
      <c r="H3883" s="4">
        <f>IFERROR(__xludf.DUMMYFUNCTION("DATE(INDEX(SPLIT(G3883,""/""),,3),INDEX(SPLIT(G3883,""/""),,2),INDEX(SPLIT(G3883,""/""),,1))"),44713.0)</f>
        <v>44713</v>
      </c>
      <c r="I3883" s="4">
        <v>44601.0</v>
      </c>
      <c r="J3883" s="4">
        <f>IFERROR(__xludf.DUMMYFUNCTION("DATE(INDEX(SPLIT(I3883,""/""),,3),INDEX(SPLIT(I3883,""/""),,2),INDEX(SPLIT(I3883,""/""),,1))"),44806.0)</f>
        <v>44806</v>
      </c>
      <c r="L3883" s="1">
        <v>0.0</v>
      </c>
      <c r="M3883" s="1" t="s">
        <v>1115</v>
      </c>
      <c r="N3883" s="1"/>
      <c r="O3883" s="1" t="s">
        <v>30</v>
      </c>
      <c r="P3883" s="1" t="s">
        <v>31</v>
      </c>
      <c r="Q3883" s="1" t="s">
        <v>157</v>
      </c>
      <c r="R3883" s="1" t="s">
        <v>157</v>
      </c>
      <c r="S3883" s="1" t="s">
        <v>158</v>
      </c>
      <c r="U3883" s="1">
        <v>1.00609827E8</v>
      </c>
      <c r="X3883" s="1" t="s">
        <v>490</v>
      </c>
      <c r="Y3883" s="1" t="s">
        <v>11169</v>
      </c>
      <c r="Z3883" s="1" t="s">
        <v>37</v>
      </c>
    </row>
    <row r="3884" hidden="1">
      <c r="A3884" s="1" t="s">
        <v>11170</v>
      </c>
      <c r="B3884" s="1" t="s">
        <v>11171</v>
      </c>
      <c r="C3884" s="1" t="s">
        <v>11172</v>
      </c>
      <c r="D3884" s="1" t="s">
        <v>122</v>
      </c>
      <c r="E3884" s="1" t="s">
        <v>28</v>
      </c>
      <c r="F3884" s="2">
        <v>210000.0</v>
      </c>
      <c r="G3884" s="1" t="s">
        <v>523</v>
      </c>
      <c r="H3884" s="4">
        <f>IFERROR(__xludf.DUMMYFUNCTION("DATE(INDEX(SPLIT(G3884,""/""),,3),INDEX(SPLIT(G3884,""/""),,2),INDEX(SPLIT(G3884,""/""),,1))"),44517.0)</f>
        <v>44517</v>
      </c>
      <c r="I3884" s="1" t="s">
        <v>109</v>
      </c>
      <c r="J3884" s="4">
        <f>IFERROR(__xludf.DUMMYFUNCTION("DATE(INDEX(SPLIT(I3884,""/""),,3),INDEX(SPLIT(I3884,""/""),,2),INDEX(SPLIT(I3884,""/""),,1))"),44834.0)</f>
        <v>44834</v>
      </c>
      <c r="L3884" s="1">
        <v>0.0</v>
      </c>
      <c r="M3884" s="1" t="s">
        <v>4477</v>
      </c>
      <c r="N3884" s="1"/>
      <c r="O3884" s="1" t="s">
        <v>30</v>
      </c>
      <c r="P3884" s="1" t="s">
        <v>31</v>
      </c>
      <c r="Q3884" s="1" t="s">
        <v>228</v>
      </c>
      <c r="R3884" s="1" t="s">
        <v>228</v>
      </c>
      <c r="S3884" s="1" t="s">
        <v>229</v>
      </c>
      <c r="T3884" s="1" t="s">
        <v>513</v>
      </c>
      <c r="U3884" s="1">
        <v>1.00592715E8</v>
      </c>
      <c r="X3884" s="1" t="s">
        <v>98</v>
      </c>
      <c r="Y3884" s="1" t="s">
        <v>5688</v>
      </c>
      <c r="Z3884" s="1" t="s">
        <v>37</v>
      </c>
    </row>
    <row r="3885">
      <c r="A3885" s="1" t="s">
        <v>11173</v>
      </c>
      <c r="B3885" s="1" t="s">
        <v>8390</v>
      </c>
      <c r="C3885" s="1" t="s">
        <v>11174</v>
      </c>
      <c r="D3885" s="1" t="s">
        <v>122</v>
      </c>
      <c r="E3885" s="1" t="s">
        <v>28</v>
      </c>
      <c r="F3885" s="2">
        <v>208429.83</v>
      </c>
      <c r="G3885" s="1" t="s">
        <v>1302</v>
      </c>
      <c r="H3885" s="4">
        <f>IFERROR(__xludf.DUMMYFUNCTION("DATE(INDEX(SPLIT(G3885,""/""),,3),INDEX(SPLIT(G3885,""/""),,2),INDEX(SPLIT(G3885,""/""),,1))"),44589.0)</f>
        <v>44589</v>
      </c>
      <c r="I3885" s="1" t="s">
        <v>226</v>
      </c>
      <c r="J3885" s="4">
        <f>IFERROR(__xludf.DUMMYFUNCTION("DATE(INDEX(SPLIT(I3885,""/""),,3),INDEX(SPLIT(I3885,""/""),,2),INDEX(SPLIT(I3885,""/""),,1))"),44771.0)</f>
        <v>44771</v>
      </c>
      <c r="L3885" s="1">
        <v>0.0</v>
      </c>
      <c r="M3885" s="1" t="s">
        <v>9372</v>
      </c>
      <c r="N3885" s="1"/>
      <c r="O3885" s="1" t="s">
        <v>30</v>
      </c>
      <c r="P3885" s="1" t="s">
        <v>31</v>
      </c>
      <c r="Q3885" s="1" t="s">
        <v>1320</v>
      </c>
      <c r="R3885" s="1" t="s">
        <v>1320</v>
      </c>
      <c r="S3885" s="1" t="s">
        <v>236</v>
      </c>
      <c r="U3885" s="1">
        <v>1.01146755E8</v>
      </c>
      <c r="X3885" s="1" t="s">
        <v>239</v>
      </c>
      <c r="Y3885" s="1" t="s">
        <v>11175</v>
      </c>
      <c r="Z3885" s="1" t="s">
        <v>206</v>
      </c>
    </row>
    <row r="3886" hidden="1">
      <c r="A3886" s="1" t="s">
        <v>11176</v>
      </c>
      <c r="B3886" s="1" t="s">
        <v>11177</v>
      </c>
      <c r="C3886" s="1" t="s">
        <v>11178</v>
      </c>
      <c r="D3886" s="1" t="s">
        <v>68</v>
      </c>
      <c r="E3886" s="1" t="s">
        <v>28</v>
      </c>
      <c r="F3886" s="2">
        <v>205000.0</v>
      </c>
      <c r="G3886" s="4">
        <v>44267.0</v>
      </c>
      <c r="H3886" s="4">
        <f>IFERROR(__xludf.DUMMYFUNCTION("DATE(INDEX(SPLIT(G3886,""/""),,3),INDEX(SPLIT(G3886,""/""),,2),INDEX(SPLIT(G3886,""/""),,1))"),44533.0)</f>
        <v>44533</v>
      </c>
      <c r="I3886" s="4">
        <v>44571.0</v>
      </c>
      <c r="J3886" s="4">
        <f>IFERROR(__xludf.DUMMYFUNCTION("DATE(INDEX(SPLIT(I3886,""/""),,3),INDEX(SPLIT(I3886,""/""),,2),INDEX(SPLIT(I3886,""/""),,1))"),44835.0)</f>
        <v>44835</v>
      </c>
      <c r="L3886" s="1">
        <v>0.0</v>
      </c>
      <c r="M3886" s="1" t="s">
        <v>1856</v>
      </c>
      <c r="N3886" s="1"/>
      <c r="O3886" s="1" t="s">
        <v>30</v>
      </c>
      <c r="P3886" s="1" t="s">
        <v>31</v>
      </c>
      <c r="Q3886" s="1" t="s">
        <v>32</v>
      </c>
      <c r="R3886" s="1" t="s">
        <v>32</v>
      </c>
      <c r="S3886" s="1" t="s">
        <v>33</v>
      </c>
      <c r="T3886" s="1" t="s">
        <v>103</v>
      </c>
      <c r="U3886" s="1">
        <v>1.00587434E8</v>
      </c>
      <c r="Y3886" s="1" t="s">
        <v>3182</v>
      </c>
      <c r="Z3886" s="1" t="s">
        <v>37</v>
      </c>
    </row>
    <row r="3887" hidden="1">
      <c r="A3887" s="1" t="s">
        <v>11179</v>
      </c>
      <c r="B3887" s="1" t="s">
        <v>9099</v>
      </c>
      <c r="C3887" s="1" t="s">
        <v>11180</v>
      </c>
      <c r="D3887" s="1" t="s">
        <v>78</v>
      </c>
      <c r="E3887" s="1" t="s">
        <v>28</v>
      </c>
      <c r="F3887" s="2">
        <v>205000.0</v>
      </c>
      <c r="G3887" s="1" t="s">
        <v>418</v>
      </c>
      <c r="H3887" s="4">
        <f>IFERROR(__xludf.DUMMYFUNCTION("DATE(INDEX(SPLIT(G3887,""/""),,3),INDEX(SPLIT(G3887,""/""),,2),INDEX(SPLIT(G3887,""/""),,1))"),44755.0)</f>
        <v>44755</v>
      </c>
      <c r="I3887" s="4">
        <v>44569.0</v>
      </c>
      <c r="J3887" s="4">
        <f>IFERROR(__xludf.DUMMYFUNCTION("DATE(INDEX(SPLIT(I3887,""/""),,3),INDEX(SPLIT(I3887,""/""),,2),INDEX(SPLIT(I3887,""/""),,1))"),44774.0)</f>
        <v>44774</v>
      </c>
      <c r="L3887" s="1">
        <v>0.0</v>
      </c>
      <c r="M3887" s="1" t="s">
        <v>10697</v>
      </c>
      <c r="N3887" s="1"/>
      <c r="O3887" s="1" t="s">
        <v>30</v>
      </c>
      <c r="P3887" s="1" t="s">
        <v>31</v>
      </c>
      <c r="Q3887" s="1" t="s">
        <v>228</v>
      </c>
      <c r="R3887" s="1" t="s">
        <v>228</v>
      </c>
      <c r="S3887" s="1" t="s">
        <v>229</v>
      </c>
      <c r="T3887" s="1" t="s">
        <v>513</v>
      </c>
      <c r="U3887" s="1">
        <v>1.00612201E8</v>
      </c>
      <c r="X3887" s="1" t="s">
        <v>410</v>
      </c>
      <c r="Y3887" s="1" t="s">
        <v>11181</v>
      </c>
      <c r="Z3887" s="1" t="s">
        <v>37</v>
      </c>
    </row>
    <row r="3888" hidden="1">
      <c r="A3888" s="1" t="s">
        <v>11182</v>
      </c>
      <c r="B3888" s="1" t="s">
        <v>1748</v>
      </c>
      <c r="C3888" s="1" t="s">
        <v>11183</v>
      </c>
      <c r="D3888" s="1" t="s">
        <v>122</v>
      </c>
      <c r="E3888" s="1" t="s">
        <v>28</v>
      </c>
      <c r="F3888" s="2">
        <v>202800.0</v>
      </c>
      <c r="G3888" s="4">
        <v>44717.0</v>
      </c>
      <c r="H3888" s="4">
        <f>IFERROR(__xludf.DUMMYFUNCTION("DATE(INDEX(SPLIT(G3888,""/""),,3),INDEX(SPLIT(G3888,""/""),,2),INDEX(SPLIT(G3888,""/""),,1))"),44687.0)</f>
        <v>44687</v>
      </c>
      <c r="I3888" s="1" t="s">
        <v>3202</v>
      </c>
      <c r="J3888" s="4">
        <f>IFERROR(__xludf.DUMMYFUNCTION("DATE(INDEX(SPLIT(I3888,""/""),,3),INDEX(SPLIT(I3888,""/""),,2),INDEX(SPLIT(I3888,""/""),,1))"),44830.0)</f>
        <v>44830</v>
      </c>
      <c r="L3888" s="1">
        <v>0.0</v>
      </c>
      <c r="M3888" s="1" t="s">
        <v>11184</v>
      </c>
      <c r="N3888" s="1"/>
      <c r="O3888" s="1" t="s">
        <v>30</v>
      </c>
      <c r="P3888" s="1" t="s">
        <v>31</v>
      </c>
      <c r="Q3888" s="1" t="s">
        <v>235</v>
      </c>
      <c r="R3888" s="1" t="s">
        <v>235</v>
      </c>
      <c r="S3888" s="1" t="s">
        <v>236</v>
      </c>
      <c r="T3888" s="1" t="s">
        <v>753</v>
      </c>
      <c r="U3888" s="1">
        <v>1.00596619E8</v>
      </c>
      <c r="X3888" s="1" t="s">
        <v>88</v>
      </c>
      <c r="Y3888" s="1" t="s">
        <v>11184</v>
      </c>
      <c r="Z3888" s="1" t="s">
        <v>527</v>
      </c>
    </row>
    <row r="3889" hidden="1">
      <c r="A3889" s="1" t="s">
        <v>11185</v>
      </c>
      <c r="B3889" s="1" t="s">
        <v>532</v>
      </c>
      <c r="C3889" s="1" t="s">
        <v>11186</v>
      </c>
      <c r="D3889" s="1" t="s">
        <v>27</v>
      </c>
      <c r="E3889" s="1" t="s">
        <v>28</v>
      </c>
      <c r="F3889" s="2">
        <v>200450.0</v>
      </c>
      <c r="G3889" s="1" t="s">
        <v>298</v>
      </c>
      <c r="H3889" s="4">
        <f>IFERROR(__xludf.DUMMYFUNCTION("DATE(INDEX(SPLIT(G3889,""/""),,3),INDEX(SPLIT(G3889,""/""),,2),INDEX(SPLIT(G3889,""/""),,1))"),44762.0)</f>
        <v>44762</v>
      </c>
      <c r="I3889" s="1" t="s">
        <v>130</v>
      </c>
      <c r="J3889" s="4">
        <f>IFERROR(__xludf.DUMMYFUNCTION("DATE(INDEX(SPLIT(I3889,""/""),,3),INDEX(SPLIT(I3889,""/""),,2),INDEX(SPLIT(I3889,""/""),,1))"),44804.0)</f>
        <v>44804</v>
      </c>
      <c r="L3889" s="1">
        <v>0.0</v>
      </c>
      <c r="M3889" s="1" t="s">
        <v>536</v>
      </c>
      <c r="N3889" s="1"/>
      <c r="O3889" s="1" t="s">
        <v>30</v>
      </c>
      <c r="P3889" s="1" t="s">
        <v>31</v>
      </c>
      <c r="Q3889" s="1" t="s">
        <v>188</v>
      </c>
      <c r="R3889" s="1" t="s">
        <v>188</v>
      </c>
      <c r="S3889" s="1" t="s">
        <v>189</v>
      </c>
      <c r="T3889" s="1" t="s">
        <v>537</v>
      </c>
      <c r="U3889" s="1">
        <v>1.00620711E8</v>
      </c>
      <c r="X3889" s="1" t="s">
        <v>490</v>
      </c>
      <c r="Y3889" s="1" t="s">
        <v>538</v>
      </c>
      <c r="Z3889" s="1" t="s">
        <v>37</v>
      </c>
    </row>
    <row r="3890">
      <c r="A3890" s="1" t="s">
        <v>11187</v>
      </c>
      <c r="B3890" s="1" t="s">
        <v>11188</v>
      </c>
      <c r="C3890" s="1" t="s">
        <v>11189</v>
      </c>
      <c r="D3890" s="1" t="s">
        <v>27</v>
      </c>
      <c r="E3890" s="1" t="s">
        <v>28</v>
      </c>
      <c r="F3890" s="2">
        <v>200000.0</v>
      </c>
      <c r="G3890" s="4">
        <v>44867.0</v>
      </c>
      <c r="H3890" s="4">
        <f>IFERROR(__xludf.DUMMYFUNCTION("DATE(INDEX(SPLIT(G3890,""/""),,3),INDEX(SPLIT(G3890,""/""),,2),INDEX(SPLIT(G3890,""/""),,1))"),44603.0)</f>
        <v>44603</v>
      </c>
      <c r="I3890" s="1" t="s">
        <v>1244</v>
      </c>
      <c r="J3890" s="4">
        <f>IFERROR(__xludf.DUMMYFUNCTION("DATE(INDEX(SPLIT(I3890,""/""),,3),INDEX(SPLIT(I3890,""/""),,2),INDEX(SPLIT(I3890,""/""),,1))"),44742.0)</f>
        <v>44742</v>
      </c>
      <c r="L3890" s="1">
        <v>0.0</v>
      </c>
      <c r="M3890" s="1" t="s">
        <v>11190</v>
      </c>
      <c r="N3890" s="1"/>
      <c r="O3890" s="1" t="s">
        <v>30</v>
      </c>
      <c r="P3890" s="1" t="s">
        <v>31</v>
      </c>
      <c r="Q3890" s="1" t="s">
        <v>228</v>
      </c>
      <c r="R3890" s="1" t="s">
        <v>228</v>
      </c>
      <c r="S3890" s="1" t="s">
        <v>229</v>
      </c>
      <c r="T3890" s="1" t="s">
        <v>513</v>
      </c>
      <c r="U3890" s="1">
        <v>1.00608136E8</v>
      </c>
      <c r="X3890" s="1" t="s">
        <v>190</v>
      </c>
      <c r="Y3890" s="1" t="s">
        <v>11190</v>
      </c>
      <c r="Z3890" s="1" t="s">
        <v>37</v>
      </c>
    </row>
    <row r="3891" hidden="1">
      <c r="A3891" s="1" t="s">
        <v>11191</v>
      </c>
      <c r="B3891" s="1" t="s">
        <v>120</v>
      </c>
      <c r="C3891" s="1" t="s">
        <v>11192</v>
      </c>
      <c r="D3891" s="1" t="s">
        <v>27</v>
      </c>
      <c r="E3891" s="1" t="s">
        <v>28</v>
      </c>
      <c r="F3891" s="2">
        <v>200000.0</v>
      </c>
      <c r="G3891" s="1" t="s">
        <v>935</v>
      </c>
      <c r="H3891" s="4">
        <f>IFERROR(__xludf.DUMMYFUNCTION("DATE(INDEX(SPLIT(G3891,""/""),,3),INDEX(SPLIT(G3891,""/""),,2),INDEX(SPLIT(G3891,""/""),,1))"),44764.0)</f>
        <v>44764</v>
      </c>
      <c r="I3891" s="1" t="s">
        <v>85</v>
      </c>
      <c r="J3891" s="4">
        <f>IFERROR(__xludf.DUMMYFUNCTION("DATE(INDEX(SPLIT(I3891,""/""),,3),INDEX(SPLIT(I3891,""/""),,2),INDEX(SPLIT(I3891,""/""),,1))"),44799.0)</f>
        <v>44799</v>
      </c>
      <c r="L3891" s="1">
        <v>0.0</v>
      </c>
      <c r="M3891" s="1" t="s">
        <v>7019</v>
      </c>
      <c r="N3891" s="1"/>
      <c r="O3891" s="1" t="s">
        <v>30</v>
      </c>
      <c r="P3891" s="1" t="s">
        <v>31</v>
      </c>
      <c r="Q3891" s="1" t="s">
        <v>32</v>
      </c>
      <c r="R3891" s="1" t="s">
        <v>32</v>
      </c>
      <c r="S3891" s="1" t="s">
        <v>33</v>
      </c>
      <c r="U3891" s="1">
        <v>1.00481462E8</v>
      </c>
      <c r="X3891" s="1" t="s">
        <v>125</v>
      </c>
      <c r="Y3891" s="1" t="s">
        <v>7019</v>
      </c>
      <c r="Z3891" s="1" t="s">
        <v>37</v>
      </c>
    </row>
    <row r="3892" hidden="1">
      <c r="A3892" s="1" t="s">
        <v>11193</v>
      </c>
      <c r="B3892" s="1" t="s">
        <v>4988</v>
      </c>
      <c r="C3892" s="1" t="s">
        <v>11194</v>
      </c>
      <c r="D3892" s="1" t="s">
        <v>27</v>
      </c>
      <c r="E3892" s="1" t="s">
        <v>28</v>
      </c>
      <c r="F3892" s="2">
        <v>200000.0</v>
      </c>
      <c r="G3892" s="1" t="s">
        <v>11195</v>
      </c>
      <c r="H3892" s="4">
        <f>IFERROR(__xludf.DUMMYFUNCTION("DATE(INDEX(SPLIT(G3892,""/""),,3),INDEX(SPLIT(G3892,""/""),,2),INDEX(SPLIT(G3892,""/""),,1))"),43918.0)</f>
        <v>43918</v>
      </c>
      <c r="I3892" s="1" t="s">
        <v>1097</v>
      </c>
      <c r="J3892" s="4">
        <f>IFERROR(__xludf.DUMMYFUNCTION("DATE(INDEX(SPLIT(I3892,""/""),,3),INDEX(SPLIT(I3892,""/""),,2),INDEX(SPLIT(I3892,""/""),,1))"),45107.0)</f>
        <v>45107</v>
      </c>
      <c r="L3892" s="1">
        <v>0.0</v>
      </c>
      <c r="M3892" s="1" t="s">
        <v>4016</v>
      </c>
      <c r="N3892" s="1"/>
      <c r="O3892" s="1" t="s">
        <v>30</v>
      </c>
      <c r="P3892" s="1" t="s">
        <v>31</v>
      </c>
      <c r="Q3892" s="1" t="s">
        <v>95</v>
      </c>
      <c r="R3892" s="1" t="s">
        <v>95</v>
      </c>
      <c r="S3892" s="1" t="s">
        <v>96</v>
      </c>
      <c r="T3892" s="1" t="s">
        <v>311</v>
      </c>
      <c r="U3892" s="1">
        <v>1.00628223E8</v>
      </c>
      <c r="X3892" s="1" t="s">
        <v>410</v>
      </c>
      <c r="Y3892" s="1" t="s">
        <v>4016</v>
      </c>
      <c r="Z3892" s="1" t="s">
        <v>206</v>
      </c>
    </row>
    <row r="3893" hidden="1">
      <c r="A3893" s="1" t="s">
        <v>11196</v>
      </c>
      <c r="B3893" s="1" t="s">
        <v>11197</v>
      </c>
      <c r="C3893" s="1" t="s">
        <v>11198</v>
      </c>
      <c r="D3893" s="1" t="s">
        <v>78</v>
      </c>
      <c r="E3893" s="1" t="s">
        <v>28</v>
      </c>
      <c r="F3893" s="2">
        <v>200000.0</v>
      </c>
      <c r="G3893" s="1" t="s">
        <v>472</v>
      </c>
      <c r="H3893" s="4">
        <f>IFERROR(__xludf.DUMMYFUNCTION("DATE(INDEX(SPLIT(G3893,""/""),,3),INDEX(SPLIT(G3893,""/""),,2),INDEX(SPLIT(G3893,""/""),,1))"),44760.0)</f>
        <v>44760</v>
      </c>
      <c r="I3893" s="1" t="s">
        <v>1799</v>
      </c>
      <c r="J3893" s="4">
        <f>IFERROR(__xludf.DUMMYFUNCTION("DATE(INDEX(SPLIT(I3893,""/""),,3),INDEX(SPLIT(I3893,""/""),,2),INDEX(SPLIT(I3893,""/""),,1))"),44788.0)</f>
        <v>44788</v>
      </c>
      <c r="L3893" s="1">
        <v>0.0</v>
      </c>
      <c r="M3893" s="1" t="s">
        <v>8130</v>
      </c>
      <c r="N3893" s="1"/>
      <c r="O3893" s="1" t="s">
        <v>30</v>
      </c>
      <c r="P3893" s="1" t="s">
        <v>31</v>
      </c>
      <c r="Q3893" s="1" t="s">
        <v>228</v>
      </c>
      <c r="R3893" s="1" t="s">
        <v>228</v>
      </c>
      <c r="S3893" s="1" t="s">
        <v>229</v>
      </c>
      <c r="T3893" s="1" t="s">
        <v>513</v>
      </c>
      <c r="U3893" s="1">
        <v>1.0060809E8</v>
      </c>
      <c r="X3893" s="1" t="s">
        <v>74</v>
      </c>
      <c r="Y3893" s="1" t="s">
        <v>11199</v>
      </c>
      <c r="Z3893" s="1" t="s">
        <v>206</v>
      </c>
    </row>
    <row r="3894">
      <c r="A3894" s="1" t="s">
        <v>11200</v>
      </c>
      <c r="B3894" s="1" t="s">
        <v>120</v>
      </c>
      <c r="C3894" s="1" t="s">
        <v>11201</v>
      </c>
      <c r="D3894" s="1" t="s">
        <v>122</v>
      </c>
      <c r="E3894" s="1" t="s">
        <v>28</v>
      </c>
      <c r="F3894" s="2">
        <v>200000.0</v>
      </c>
      <c r="G3894" s="1" t="s">
        <v>1044</v>
      </c>
      <c r="H3894" s="4">
        <f>IFERROR(__xludf.DUMMYFUNCTION("DATE(INDEX(SPLIT(G3894,""/""),,3),INDEX(SPLIT(G3894,""/""),,2),INDEX(SPLIT(G3894,""/""),,1))"),44588.0)</f>
        <v>44588</v>
      </c>
      <c r="I3894" s="1" t="s">
        <v>503</v>
      </c>
      <c r="J3894" s="4">
        <f>IFERROR(__xludf.DUMMYFUNCTION("DATE(INDEX(SPLIT(I3894,""/""),,3),INDEX(SPLIT(I3894,""/""),,2),INDEX(SPLIT(I3894,""/""),,1))"),44736.0)</f>
        <v>44736</v>
      </c>
      <c r="L3894" s="1">
        <v>0.0</v>
      </c>
      <c r="M3894" s="1" t="s">
        <v>2938</v>
      </c>
      <c r="N3894" s="1"/>
      <c r="O3894" s="1" t="s">
        <v>30</v>
      </c>
      <c r="P3894" s="1" t="s">
        <v>31</v>
      </c>
      <c r="Q3894" s="1" t="s">
        <v>95</v>
      </c>
      <c r="R3894" s="1" t="s">
        <v>95</v>
      </c>
      <c r="S3894" s="1" t="s">
        <v>96</v>
      </c>
      <c r="T3894" s="1" t="s">
        <v>97</v>
      </c>
      <c r="U3894" s="1">
        <v>1.00627224E8</v>
      </c>
      <c r="X3894" s="1" t="s">
        <v>125</v>
      </c>
      <c r="Y3894" s="1" t="s">
        <v>11202</v>
      </c>
      <c r="Z3894" s="1" t="s">
        <v>37</v>
      </c>
    </row>
    <row r="3895" hidden="1">
      <c r="A3895" s="1" t="s">
        <v>11203</v>
      </c>
      <c r="B3895" s="1" t="s">
        <v>11204</v>
      </c>
      <c r="C3895" s="1" t="s">
        <v>11205</v>
      </c>
      <c r="D3895" s="1" t="s">
        <v>27</v>
      </c>
      <c r="E3895" s="1" t="s">
        <v>28</v>
      </c>
      <c r="F3895" s="2">
        <v>200000.0</v>
      </c>
      <c r="G3895" s="1" t="s">
        <v>935</v>
      </c>
      <c r="H3895" s="4">
        <f>IFERROR(__xludf.DUMMYFUNCTION("DATE(INDEX(SPLIT(G3895,""/""),,3),INDEX(SPLIT(G3895,""/""),,2),INDEX(SPLIT(G3895,""/""),,1))"),44764.0)</f>
        <v>44764</v>
      </c>
      <c r="I3895" s="4">
        <v>44903.0</v>
      </c>
      <c r="J3895" s="4">
        <f>IFERROR(__xludf.DUMMYFUNCTION("DATE(INDEX(SPLIT(I3895,""/""),,3),INDEX(SPLIT(I3895,""/""),,2),INDEX(SPLIT(I3895,""/""),,1))"),44785.0)</f>
        <v>44785</v>
      </c>
      <c r="L3895" s="1">
        <v>0.0</v>
      </c>
      <c r="M3895" s="1" t="s">
        <v>11206</v>
      </c>
      <c r="N3895" s="1"/>
      <c r="O3895" s="1" t="s">
        <v>30</v>
      </c>
      <c r="P3895" s="1" t="s">
        <v>31</v>
      </c>
      <c r="Q3895" s="1" t="s">
        <v>228</v>
      </c>
      <c r="R3895" s="1" t="s">
        <v>228</v>
      </c>
      <c r="S3895" s="1" t="s">
        <v>229</v>
      </c>
      <c r="U3895" s="1">
        <v>1.01147686E8</v>
      </c>
      <c r="Y3895" s="1" t="s">
        <v>11207</v>
      </c>
      <c r="Z3895" s="1" t="s">
        <v>37</v>
      </c>
    </row>
    <row r="3896">
      <c r="A3896" s="1" t="s">
        <v>11208</v>
      </c>
      <c r="B3896" s="1" t="s">
        <v>2009</v>
      </c>
      <c r="C3896" s="1" t="s">
        <v>11209</v>
      </c>
      <c r="D3896" s="1" t="s">
        <v>27</v>
      </c>
      <c r="E3896" s="1" t="s">
        <v>28</v>
      </c>
      <c r="F3896" s="2">
        <v>200000.0</v>
      </c>
      <c r="G3896" s="1" t="s">
        <v>7472</v>
      </c>
      <c r="H3896" s="4">
        <f>IFERROR(__xludf.DUMMYFUNCTION("DATE(INDEX(SPLIT(G3896,""/""),,3),INDEX(SPLIT(G3896,""/""),,2),INDEX(SPLIT(G3896,""/""),,1))"),44299.0)</f>
        <v>44299</v>
      </c>
      <c r="I3896" s="1" t="s">
        <v>1244</v>
      </c>
      <c r="J3896" s="4">
        <f>IFERROR(__xludf.DUMMYFUNCTION("DATE(INDEX(SPLIT(I3896,""/""),,3),INDEX(SPLIT(I3896,""/""),,2),INDEX(SPLIT(I3896,""/""),,1))"),44742.0)</f>
        <v>44742</v>
      </c>
      <c r="L3896" s="1">
        <v>0.0</v>
      </c>
      <c r="M3896" s="1" t="s">
        <v>2472</v>
      </c>
      <c r="N3896" s="1"/>
      <c r="O3896" s="1" t="s">
        <v>30</v>
      </c>
      <c r="P3896" s="1" t="s">
        <v>31</v>
      </c>
      <c r="Q3896" s="1" t="s">
        <v>228</v>
      </c>
      <c r="R3896" s="1" t="s">
        <v>228</v>
      </c>
      <c r="S3896" s="1" t="s">
        <v>229</v>
      </c>
      <c r="T3896" s="1" t="s">
        <v>640</v>
      </c>
      <c r="U3896" s="1">
        <v>1.00645232E8</v>
      </c>
      <c r="X3896" s="1" t="s">
        <v>239</v>
      </c>
      <c r="Y3896" s="1" t="s">
        <v>2481</v>
      </c>
      <c r="Z3896" s="1" t="s">
        <v>37</v>
      </c>
    </row>
    <row r="3897">
      <c r="A3897" s="1" t="s">
        <v>11210</v>
      </c>
      <c r="B3897" s="1" t="s">
        <v>2009</v>
      </c>
      <c r="C3897" s="1" t="s">
        <v>11211</v>
      </c>
      <c r="D3897" s="1" t="s">
        <v>78</v>
      </c>
      <c r="E3897" s="1" t="s">
        <v>28</v>
      </c>
      <c r="F3897" s="2">
        <v>200000.0</v>
      </c>
      <c r="G3897" s="1" t="s">
        <v>11212</v>
      </c>
      <c r="H3897" s="4">
        <f>IFERROR(__xludf.DUMMYFUNCTION("DATE(INDEX(SPLIT(G3897,""/""),,3),INDEX(SPLIT(G3897,""/""),,2),INDEX(SPLIT(G3897,""/""),,1))"),44028.0)</f>
        <v>44028</v>
      </c>
      <c r="I3897" s="1" t="s">
        <v>1244</v>
      </c>
      <c r="J3897" s="4">
        <f>IFERROR(__xludf.DUMMYFUNCTION("DATE(INDEX(SPLIT(I3897,""/""),,3),INDEX(SPLIT(I3897,""/""),,2),INDEX(SPLIT(I3897,""/""),,1))"),44742.0)</f>
        <v>44742</v>
      </c>
      <c r="L3897" s="1">
        <v>0.0</v>
      </c>
      <c r="M3897" s="1" t="s">
        <v>2472</v>
      </c>
      <c r="N3897" s="1"/>
      <c r="O3897" s="1" t="s">
        <v>30</v>
      </c>
      <c r="P3897" s="1" t="s">
        <v>31</v>
      </c>
      <c r="Q3897" s="1" t="s">
        <v>228</v>
      </c>
      <c r="R3897" s="1" t="s">
        <v>228</v>
      </c>
      <c r="S3897" s="1" t="s">
        <v>229</v>
      </c>
      <c r="T3897" s="1" t="s">
        <v>640</v>
      </c>
      <c r="U3897" s="1">
        <v>1.00645232E8</v>
      </c>
      <c r="X3897" s="1" t="s">
        <v>239</v>
      </c>
      <c r="Y3897" s="1" t="s">
        <v>11213</v>
      </c>
      <c r="Z3897" s="1" t="s">
        <v>37</v>
      </c>
    </row>
    <row r="3898">
      <c r="A3898" s="1" t="s">
        <v>11214</v>
      </c>
      <c r="B3898" s="1" t="s">
        <v>6312</v>
      </c>
      <c r="C3898" s="1" t="s">
        <v>11215</v>
      </c>
      <c r="D3898" s="1" t="s">
        <v>78</v>
      </c>
      <c r="E3898" s="1" t="s">
        <v>28</v>
      </c>
      <c r="F3898" s="2">
        <v>200000.0</v>
      </c>
      <c r="G3898" s="4">
        <v>44389.0</v>
      </c>
      <c r="H3898" s="4">
        <f>IFERROR(__xludf.DUMMYFUNCTION("DATE(INDEX(SPLIT(G3898,""/""),,3),INDEX(SPLIT(G3898,""/""),,2),INDEX(SPLIT(G3898,""/""),,1))"),44537.0)</f>
        <v>44537</v>
      </c>
      <c r="I3898" s="1" t="s">
        <v>226</v>
      </c>
      <c r="J3898" s="4">
        <f>IFERROR(__xludf.DUMMYFUNCTION("DATE(INDEX(SPLIT(I3898,""/""),,3),INDEX(SPLIT(I3898,""/""),,2),INDEX(SPLIT(I3898,""/""),,1))"),44771.0)</f>
        <v>44771</v>
      </c>
      <c r="L3898" s="1">
        <v>0.0</v>
      </c>
      <c r="M3898" s="1" t="s">
        <v>9767</v>
      </c>
      <c r="N3898" s="1"/>
      <c r="O3898" s="1" t="s">
        <v>30</v>
      </c>
      <c r="P3898" s="1" t="s">
        <v>31</v>
      </c>
      <c r="Q3898" s="1" t="s">
        <v>228</v>
      </c>
      <c r="R3898" s="1" t="s">
        <v>228</v>
      </c>
      <c r="S3898" s="1" t="s">
        <v>229</v>
      </c>
      <c r="T3898" s="1" t="s">
        <v>287</v>
      </c>
      <c r="U3898" s="1">
        <v>1.00632043E8</v>
      </c>
      <c r="X3898" s="1" t="s">
        <v>46</v>
      </c>
      <c r="Y3898" s="1" t="s">
        <v>11216</v>
      </c>
      <c r="Z3898" s="1" t="s">
        <v>37</v>
      </c>
    </row>
    <row r="3899" hidden="1">
      <c r="A3899" s="1" t="s">
        <v>11217</v>
      </c>
      <c r="B3899" s="1" t="s">
        <v>954</v>
      </c>
      <c r="C3899" s="1" t="s">
        <v>11218</v>
      </c>
      <c r="D3899" s="1" t="s">
        <v>27</v>
      </c>
      <c r="E3899" s="1" t="s">
        <v>28</v>
      </c>
      <c r="F3899" s="2">
        <v>200000.0</v>
      </c>
      <c r="G3899" s="1" t="s">
        <v>714</v>
      </c>
      <c r="H3899" s="4">
        <f>IFERROR(__xludf.DUMMYFUNCTION("DATE(INDEX(SPLIT(G3899,""/""),,3),INDEX(SPLIT(G3899,""/""),,2),INDEX(SPLIT(G3899,""/""),,1))"),44546.0)</f>
        <v>44546</v>
      </c>
      <c r="I3899" s="1" t="s">
        <v>317</v>
      </c>
      <c r="J3899" s="4">
        <f>IFERROR(__xludf.DUMMYFUNCTION("DATE(INDEX(SPLIT(I3899,""/""),,3),INDEX(SPLIT(I3899,""/""),,2),INDEX(SPLIT(I3899,""/""),,1))"),44862.0)</f>
        <v>44862</v>
      </c>
      <c r="L3899" s="1">
        <v>0.0</v>
      </c>
      <c r="M3899" s="1" t="s">
        <v>204</v>
      </c>
      <c r="N3899" s="1"/>
      <c r="O3899" s="1" t="s">
        <v>30</v>
      </c>
      <c r="P3899" s="1" t="s">
        <v>31</v>
      </c>
      <c r="Q3899" s="1" t="s">
        <v>71</v>
      </c>
      <c r="R3899" s="1" t="s">
        <v>71</v>
      </c>
      <c r="S3899" s="1" t="s">
        <v>72</v>
      </c>
      <c r="T3899" s="1" t="s">
        <v>73</v>
      </c>
      <c r="U3899" s="1">
        <v>1.00650575E8</v>
      </c>
      <c r="X3899" s="1" t="s">
        <v>74</v>
      </c>
      <c r="Y3899" s="1" t="s">
        <v>957</v>
      </c>
      <c r="Z3899" s="1" t="s">
        <v>206</v>
      </c>
    </row>
    <row r="3900" hidden="1">
      <c r="A3900" s="1" t="s">
        <v>11219</v>
      </c>
      <c r="B3900" s="1" t="s">
        <v>11220</v>
      </c>
      <c r="C3900" s="1" t="s">
        <v>11221</v>
      </c>
      <c r="D3900" s="1" t="s">
        <v>27</v>
      </c>
      <c r="E3900" s="1" t="s">
        <v>28</v>
      </c>
      <c r="F3900" s="2">
        <v>200000.0</v>
      </c>
      <c r="G3900" s="4">
        <v>44870.0</v>
      </c>
      <c r="H3900" s="4">
        <f>IFERROR(__xludf.DUMMYFUNCTION("DATE(INDEX(SPLIT(G3900,""/""),,3),INDEX(SPLIT(G3900,""/""),,2),INDEX(SPLIT(G3900,""/""),,1))"),44692.0)</f>
        <v>44692</v>
      </c>
      <c r="I3900" s="1" t="s">
        <v>1160</v>
      </c>
      <c r="J3900" s="4">
        <f>IFERROR(__xludf.DUMMYFUNCTION("DATE(INDEX(SPLIT(I3900,""/""),,3),INDEX(SPLIT(I3900,""/""),,2),INDEX(SPLIT(I3900,""/""),,1))"),44786.0)</f>
        <v>44786</v>
      </c>
      <c r="L3900" s="1">
        <v>0.0</v>
      </c>
      <c r="M3900" s="1" t="s">
        <v>1689</v>
      </c>
      <c r="N3900" s="1"/>
      <c r="O3900" s="1" t="s">
        <v>30</v>
      </c>
      <c r="P3900" s="1" t="s">
        <v>31</v>
      </c>
      <c r="Q3900" s="1" t="s">
        <v>53</v>
      </c>
      <c r="R3900" s="1" t="s">
        <v>53</v>
      </c>
      <c r="S3900" s="1" t="s">
        <v>54</v>
      </c>
      <c r="U3900" s="1">
        <v>1.00650657E8</v>
      </c>
      <c r="X3900" s="1" t="s">
        <v>46</v>
      </c>
      <c r="Y3900" s="1" t="s">
        <v>698</v>
      </c>
      <c r="Z3900" s="1" t="s">
        <v>37</v>
      </c>
    </row>
    <row r="3901">
      <c r="A3901" s="1" t="s">
        <v>11222</v>
      </c>
      <c r="B3901" s="1" t="s">
        <v>1624</v>
      </c>
      <c r="C3901" s="1" t="s">
        <v>11223</v>
      </c>
      <c r="D3901" s="1" t="s">
        <v>78</v>
      </c>
      <c r="E3901" s="1" t="s">
        <v>28</v>
      </c>
      <c r="F3901" s="2">
        <v>200000.0</v>
      </c>
      <c r="G3901" s="1" t="s">
        <v>779</v>
      </c>
      <c r="H3901" s="4">
        <f>IFERROR(__xludf.DUMMYFUNCTION("DATE(INDEX(SPLIT(G3901,""/""),,3),INDEX(SPLIT(G3901,""/""),,2),INDEX(SPLIT(G3901,""/""),,1))"),44734.0)</f>
        <v>44734</v>
      </c>
      <c r="I3901" s="1" t="s">
        <v>69</v>
      </c>
      <c r="J3901" s="4">
        <f>IFERROR(__xludf.DUMMYFUNCTION("DATE(INDEX(SPLIT(I3901,""/""),,3),INDEX(SPLIT(I3901,""/""),,2),INDEX(SPLIT(I3901,""/""),,1))"),44773.0)</f>
        <v>44773</v>
      </c>
      <c r="L3901" s="1">
        <v>0.0</v>
      </c>
      <c r="M3901" s="1" t="s">
        <v>847</v>
      </c>
      <c r="N3901" s="1"/>
      <c r="O3901" s="1" t="s">
        <v>30</v>
      </c>
      <c r="P3901" s="1" t="s">
        <v>31</v>
      </c>
      <c r="Q3901" s="1" t="s">
        <v>157</v>
      </c>
      <c r="R3901" s="1" t="s">
        <v>157</v>
      </c>
      <c r="S3901" s="1" t="s">
        <v>158</v>
      </c>
      <c r="U3901" s="1">
        <v>1.00652193E8</v>
      </c>
      <c r="X3901" s="1" t="s">
        <v>125</v>
      </c>
      <c r="Y3901" s="1" t="s">
        <v>4523</v>
      </c>
      <c r="Z3901" s="1" t="s">
        <v>37</v>
      </c>
    </row>
    <row r="3902">
      <c r="A3902" s="1" t="s">
        <v>11224</v>
      </c>
      <c r="B3902" s="1" t="s">
        <v>7868</v>
      </c>
      <c r="C3902" s="1" t="s">
        <v>11225</v>
      </c>
      <c r="D3902" s="1" t="s">
        <v>27</v>
      </c>
      <c r="E3902" s="1" t="s">
        <v>28</v>
      </c>
      <c r="F3902" s="2">
        <v>200000.0</v>
      </c>
      <c r="G3902" s="1" t="s">
        <v>185</v>
      </c>
      <c r="H3902" s="4">
        <f>IFERROR(__xludf.DUMMYFUNCTION("DATE(INDEX(SPLIT(G3902,""/""),,3),INDEX(SPLIT(G3902,""/""),,2),INDEX(SPLIT(G3902,""/""),,1))"),44741.0)</f>
        <v>44741</v>
      </c>
      <c r="I3902" s="1" t="s">
        <v>226</v>
      </c>
      <c r="J3902" s="4">
        <f>IFERROR(__xludf.DUMMYFUNCTION("DATE(INDEX(SPLIT(I3902,""/""),,3),INDEX(SPLIT(I3902,""/""),,2),INDEX(SPLIT(I3902,""/""),,1))"),44771.0)</f>
        <v>44771</v>
      </c>
      <c r="L3902" s="1">
        <v>0.0</v>
      </c>
      <c r="M3902" s="1" t="s">
        <v>3565</v>
      </c>
      <c r="N3902" s="1"/>
      <c r="O3902" s="1" t="s">
        <v>30</v>
      </c>
      <c r="P3902" s="1" t="s">
        <v>31</v>
      </c>
      <c r="Q3902" s="1" t="s">
        <v>32</v>
      </c>
      <c r="R3902" s="1" t="s">
        <v>32</v>
      </c>
      <c r="S3902" s="1" t="s">
        <v>33</v>
      </c>
      <c r="T3902" s="1" t="s">
        <v>103</v>
      </c>
      <c r="U3902" s="1">
        <v>1.01088701E8</v>
      </c>
      <c r="X3902" s="1" t="s">
        <v>63</v>
      </c>
      <c r="Y3902" s="1" t="s">
        <v>1457</v>
      </c>
      <c r="Z3902" s="1" t="s">
        <v>37</v>
      </c>
    </row>
    <row r="3903" hidden="1">
      <c r="A3903" s="1" t="s">
        <v>11226</v>
      </c>
      <c r="B3903" s="1" t="s">
        <v>3786</v>
      </c>
      <c r="C3903" s="1" t="s">
        <v>11227</v>
      </c>
      <c r="D3903" s="1" t="s">
        <v>78</v>
      </c>
      <c r="E3903" s="1" t="s">
        <v>28</v>
      </c>
      <c r="F3903" s="2">
        <v>200000.0</v>
      </c>
      <c r="G3903" s="1" t="s">
        <v>10203</v>
      </c>
      <c r="H3903" s="4">
        <f>IFERROR(__xludf.DUMMYFUNCTION("DATE(INDEX(SPLIT(G3903,""/""),,3),INDEX(SPLIT(G3903,""/""),,2),INDEX(SPLIT(G3903,""/""),,1))"),44335.0)</f>
        <v>44335</v>
      </c>
      <c r="I3903" s="1" t="s">
        <v>109</v>
      </c>
      <c r="J3903" s="4">
        <f>IFERROR(__xludf.DUMMYFUNCTION("DATE(INDEX(SPLIT(I3903,""/""),,3),INDEX(SPLIT(I3903,""/""),,2),INDEX(SPLIT(I3903,""/""),,1))"),44834.0)</f>
        <v>44834</v>
      </c>
      <c r="L3903" s="1">
        <v>0.0</v>
      </c>
      <c r="M3903" s="1" t="s">
        <v>4039</v>
      </c>
      <c r="N3903" s="1"/>
      <c r="O3903" s="1" t="s">
        <v>30</v>
      </c>
      <c r="P3903" s="1" t="s">
        <v>31</v>
      </c>
      <c r="Q3903" s="1" t="s">
        <v>228</v>
      </c>
      <c r="R3903" s="1" t="s">
        <v>228</v>
      </c>
      <c r="S3903" s="1" t="s">
        <v>229</v>
      </c>
      <c r="T3903" s="1" t="s">
        <v>640</v>
      </c>
      <c r="U3903" s="1">
        <v>1.00662113E8</v>
      </c>
      <c r="X3903" s="1" t="s">
        <v>490</v>
      </c>
      <c r="Y3903" s="1" t="s">
        <v>8809</v>
      </c>
      <c r="Z3903" s="1" t="s">
        <v>37</v>
      </c>
    </row>
    <row r="3904" hidden="1">
      <c r="A3904" s="1" t="s">
        <v>11228</v>
      </c>
      <c r="B3904" s="1" t="s">
        <v>25</v>
      </c>
      <c r="C3904" s="1" t="s">
        <v>11229</v>
      </c>
      <c r="D3904" s="1" t="s">
        <v>78</v>
      </c>
      <c r="E3904" s="1" t="s">
        <v>28</v>
      </c>
      <c r="F3904" s="2">
        <v>200000.0</v>
      </c>
      <c r="G3904" s="1" t="s">
        <v>1537</v>
      </c>
      <c r="H3904" s="4">
        <f>IFERROR(__xludf.DUMMYFUNCTION("DATE(INDEX(SPLIT(G3904,""/""),,3),INDEX(SPLIT(G3904,""/""),,2),INDEX(SPLIT(G3904,""/""),,1))"),44154.0)</f>
        <v>44154</v>
      </c>
      <c r="I3904" s="4">
        <v>44813.0</v>
      </c>
      <c r="J3904" s="4">
        <f>IFERROR(__xludf.DUMMYFUNCTION("DATE(INDEX(SPLIT(I3904,""/""),,3),INDEX(SPLIT(I3904,""/""),,2),INDEX(SPLIT(I3904,""/""),,1))"),44813.0)</f>
        <v>44813</v>
      </c>
      <c r="L3904" s="1">
        <v>0.0</v>
      </c>
      <c r="M3904" s="1" t="s">
        <v>4609</v>
      </c>
      <c r="N3904" s="1"/>
      <c r="O3904" s="1" t="s">
        <v>30</v>
      </c>
      <c r="P3904" s="1" t="s">
        <v>31</v>
      </c>
      <c r="Q3904" s="1" t="s">
        <v>157</v>
      </c>
      <c r="R3904" s="1" t="s">
        <v>157</v>
      </c>
      <c r="S3904" s="1" t="s">
        <v>158</v>
      </c>
      <c r="T3904" s="1" t="s">
        <v>159</v>
      </c>
      <c r="U3904" s="1">
        <v>1.00660061E8</v>
      </c>
      <c r="X3904" s="1" t="s">
        <v>35</v>
      </c>
      <c r="Y3904" s="1" t="s">
        <v>4609</v>
      </c>
      <c r="Z3904" s="1" t="s">
        <v>206</v>
      </c>
    </row>
    <row r="3905" hidden="1">
      <c r="A3905" s="1" t="s">
        <v>11230</v>
      </c>
      <c r="B3905" s="1" t="s">
        <v>11231</v>
      </c>
      <c r="C3905" s="1" t="s">
        <v>11232</v>
      </c>
      <c r="D3905" s="1" t="s">
        <v>78</v>
      </c>
      <c r="E3905" s="1" t="s">
        <v>28</v>
      </c>
      <c r="F3905" s="2">
        <v>200000.0</v>
      </c>
      <c r="G3905" s="1" t="s">
        <v>518</v>
      </c>
      <c r="H3905" s="4">
        <f>IFERROR(__xludf.DUMMYFUNCTION("DATE(INDEX(SPLIT(G3905,""/""),,3),INDEX(SPLIT(G3905,""/""),,2),INDEX(SPLIT(G3905,""/""),,1))"),44757.0)</f>
        <v>44757</v>
      </c>
      <c r="I3905" s="4">
        <v>44630.0</v>
      </c>
      <c r="J3905" s="4">
        <f>IFERROR(__xludf.DUMMYFUNCTION("DATE(INDEX(SPLIT(I3905,""/""),,3),INDEX(SPLIT(I3905,""/""),,2),INDEX(SPLIT(I3905,""/""),,1))"),44837.0)</f>
        <v>44837</v>
      </c>
      <c r="L3905" s="1">
        <v>0.0</v>
      </c>
      <c r="M3905" s="1" t="s">
        <v>8040</v>
      </c>
      <c r="N3905" s="1"/>
      <c r="O3905" s="1" t="s">
        <v>30</v>
      </c>
      <c r="P3905" s="1" t="s">
        <v>31</v>
      </c>
      <c r="Q3905" s="1" t="s">
        <v>32</v>
      </c>
      <c r="R3905" s="1" t="s">
        <v>32</v>
      </c>
      <c r="S3905" s="1" t="s">
        <v>33</v>
      </c>
      <c r="U3905" s="1">
        <v>1.01185374E8</v>
      </c>
      <c r="X3905" s="1" t="s">
        <v>312</v>
      </c>
      <c r="Y3905" s="1" t="s">
        <v>8040</v>
      </c>
      <c r="Z3905" s="1" t="s">
        <v>527</v>
      </c>
    </row>
    <row r="3906" hidden="1">
      <c r="A3906" s="1" t="s">
        <v>11233</v>
      </c>
      <c r="B3906" s="1" t="s">
        <v>11234</v>
      </c>
      <c r="C3906" s="1" t="s">
        <v>11235</v>
      </c>
      <c r="D3906" s="1" t="s">
        <v>78</v>
      </c>
      <c r="E3906" s="1" t="s">
        <v>28</v>
      </c>
      <c r="F3906" s="2">
        <v>200000.0</v>
      </c>
      <c r="G3906" s="4">
        <v>44807.0</v>
      </c>
      <c r="H3906" s="4">
        <f>IFERROR(__xludf.DUMMYFUNCTION("DATE(INDEX(SPLIT(G3906,""/""),,3),INDEX(SPLIT(G3906,""/""),,2),INDEX(SPLIT(G3906,""/""),,1))"),44629.0)</f>
        <v>44629</v>
      </c>
      <c r="I3906" s="1" t="s">
        <v>109</v>
      </c>
      <c r="J3906" s="4">
        <f>IFERROR(__xludf.DUMMYFUNCTION("DATE(INDEX(SPLIT(I3906,""/""),,3),INDEX(SPLIT(I3906,""/""),,2),INDEX(SPLIT(I3906,""/""),,1))"),44834.0)</f>
        <v>44834</v>
      </c>
      <c r="L3906" s="1">
        <v>0.0</v>
      </c>
      <c r="M3906" s="1" t="s">
        <v>1552</v>
      </c>
      <c r="N3906" s="1"/>
      <c r="O3906" s="1" t="s">
        <v>30</v>
      </c>
      <c r="P3906" s="1" t="s">
        <v>31</v>
      </c>
      <c r="Q3906" s="1" t="s">
        <v>32</v>
      </c>
      <c r="R3906" s="1" t="s">
        <v>32</v>
      </c>
      <c r="S3906" s="1" t="s">
        <v>33</v>
      </c>
      <c r="T3906" s="1" t="s">
        <v>1195</v>
      </c>
      <c r="U3906" s="1">
        <v>1.00637597E8</v>
      </c>
      <c r="X3906" s="1" t="s">
        <v>490</v>
      </c>
      <c r="Y3906" s="1" t="s">
        <v>1552</v>
      </c>
      <c r="Z3906" s="1" t="s">
        <v>37</v>
      </c>
    </row>
    <row r="3907" hidden="1">
      <c r="A3907" s="1" t="s">
        <v>11236</v>
      </c>
      <c r="B3907" s="1" t="s">
        <v>4486</v>
      </c>
      <c r="C3907" s="1" t="s">
        <v>11237</v>
      </c>
      <c r="D3907" s="1" t="s">
        <v>78</v>
      </c>
      <c r="E3907" s="1" t="s">
        <v>28</v>
      </c>
      <c r="F3907" s="2">
        <v>200000.0</v>
      </c>
      <c r="G3907" s="1" t="s">
        <v>6301</v>
      </c>
      <c r="H3907" s="4">
        <f>IFERROR(__xludf.DUMMYFUNCTION("DATE(INDEX(SPLIT(G3907,""/""),,3),INDEX(SPLIT(G3907,""/""),,2),INDEX(SPLIT(G3907,""/""),,1))"),44635.0)</f>
        <v>44635</v>
      </c>
      <c r="I3907" s="4">
        <v>44569.0</v>
      </c>
      <c r="J3907" s="4">
        <f>IFERROR(__xludf.DUMMYFUNCTION("DATE(INDEX(SPLIT(I3907,""/""),,3),INDEX(SPLIT(I3907,""/""),,2),INDEX(SPLIT(I3907,""/""),,1))"),44774.0)</f>
        <v>44774</v>
      </c>
      <c r="L3907" s="1">
        <v>0.0</v>
      </c>
      <c r="M3907" s="1" t="s">
        <v>2764</v>
      </c>
      <c r="N3907" s="1"/>
      <c r="O3907" s="1" t="s">
        <v>30</v>
      </c>
      <c r="P3907" s="1" t="s">
        <v>31</v>
      </c>
      <c r="Q3907" s="1" t="s">
        <v>157</v>
      </c>
      <c r="R3907" s="1" t="s">
        <v>157</v>
      </c>
      <c r="S3907" s="1" t="s">
        <v>158</v>
      </c>
      <c r="T3907" s="1" t="s">
        <v>442</v>
      </c>
      <c r="U3907" s="1">
        <v>1.00639477E8</v>
      </c>
      <c r="V3907" s="1" t="s">
        <v>11238</v>
      </c>
      <c r="W3907" s="1" t="s">
        <v>717</v>
      </c>
      <c r="X3907" s="1" t="s">
        <v>312</v>
      </c>
      <c r="Y3907" s="1" t="s">
        <v>7522</v>
      </c>
      <c r="Z3907" s="1" t="s">
        <v>37</v>
      </c>
    </row>
    <row r="3908" hidden="1">
      <c r="A3908" s="1" t="s">
        <v>11239</v>
      </c>
      <c r="B3908" s="1" t="s">
        <v>7618</v>
      </c>
      <c r="C3908" s="1" t="s">
        <v>11240</v>
      </c>
      <c r="D3908" s="1" t="s">
        <v>27</v>
      </c>
      <c r="E3908" s="1" t="s">
        <v>28</v>
      </c>
      <c r="F3908" s="2">
        <v>200000.0</v>
      </c>
      <c r="G3908" s="1" t="s">
        <v>3883</v>
      </c>
      <c r="H3908" s="4">
        <f>IFERROR(__xludf.DUMMYFUNCTION("DATE(INDEX(SPLIT(G3908,""/""),,3),INDEX(SPLIT(G3908,""/""),,2),INDEX(SPLIT(G3908,""/""),,1))"),44666.0)</f>
        <v>44666</v>
      </c>
      <c r="I3908" s="4">
        <v>44604.0</v>
      </c>
      <c r="J3908" s="4">
        <f>IFERROR(__xludf.DUMMYFUNCTION("DATE(INDEX(SPLIT(I3908,""/""),,3),INDEX(SPLIT(I3908,""/""),,2),INDEX(SPLIT(I3908,""/""),,1))"),44897.0)</f>
        <v>44897</v>
      </c>
      <c r="L3908" s="1">
        <v>0.0</v>
      </c>
      <c r="M3908" s="1" t="s">
        <v>2592</v>
      </c>
      <c r="N3908" s="1"/>
      <c r="O3908" s="1" t="s">
        <v>30</v>
      </c>
      <c r="P3908" s="1" t="s">
        <v>31</v>
      </c>
      <c r="Q3908" s="1" t="s">
        <v>71</v>
      </c>
      <c r="R3908" s="1" t="s">
        <v>71</v>
      </c>
      <c r="S3908" s="1" t="s">
        <v>72</v>
      </c>
      <c r="T3908" s="1" t="s">
        <v>136</v>
      </c>
      <c r="U3908" s="1">
        <v>1.00586452E8</v>
      </c>
      <c r="X3908" s="1" t="s">
        <v>74</v>
      </c>
      <c r="Y3908" s="1" t="s">
        <v>4720</v>
      </c>
      <c r="Z3908" s="1" t="s">
        <v>37</v>
      </c>
    </row>
    <row r="3909" hidden="1">
      <c r="A3909" s="1" t="s">
        <v>11241</v>
      </c>
      <c r="B3909" s="1" t="s">
        <v>3399</v>
      </c>
      <c r="C3909" s="1" t="s">
        <v>11242</v>
      </c>
      <c r="D3909" s="1" t="s">
        <v>27</v>
      </c>
      <c r="E3909" s="1" t="s">
        <v>28</v>
      </c>
      <c r="F3909" s="2">
        <v>200000.0</v>
      </c>
      <c r="G3909" s="1" t="s">
        <v>2629</v>
      </c>
      <c r="H3909" s="4">
        <f>IFERROR(__xludf.DUMMYFUNCTION("DATE(INDEX(SPLIT(G3909,""/""),,3),INDEX(SPLIT(G3909,""/""),,2),INDEX(SPLIT(G3909,""/""),,1))"),44651.0)</f>
        <v>44651</v>
      </c>
      <c r="I3909" s="1" t="s">
        <v>4464</v>
      </c>
      <c r="J3909" s="4">
        <f>IFERROR(__xludf.DUMMYFUNCTION("DATE(INDEX(SPLIT(I3909,""/""),,3),INDEX(SPLIT(I3909,""/""),,2),INDEX(SPLIT(I3909,""/""),,1))"),44849.0)</f>
        <v>44849</v>
      </c>
      <c r="L3909" s="1">
        <v>0.0</v>
      </c>
      <c r="M3909" s="1" t="s">
        <v>7686</v>
      </c>
      <c r="N3909" s="1"/>
      <c r="O3909" s="1" t="s">
        <v>30</v>
      </c>
      <c r="P3909" s="1" t="s">
        <v>31</v>
      </c>
      <c r="Q3909" s="1" t="s">
        <v>188</v>
      </c>
      <c r="R3909" s="1" t="s">
        <v>188</v>
      </c>
      <c r="S3909" s="1" t="s">
        <v>189</v>
      </c>
      <c r="U3909" s="1">
        <v>1.00623248E8</v>
      </c>
      <c r="X3909" s="1" t="s">
        <v>63</v>
      </c>
      <c r="Y3909" s="1" t="s">
        <v>11243</v>
      </c>
      <c r="Z3909" s="1" t="s">
        <v>206</v>
      </c>
    </row>
    <row r="3910" hidden="1">
      <c r="A3910" s="1" t="s">
        <v>11244</v>
      </c>
      <c r="B3910" s="1" t="s">
        <v>1152</v>
      </c>
      <c r="C3910" s="1" t="s">
        <v>11245</v>
      </c>
      <c r="D3910" s="1" t="s">
        <v>27</v>
      </c>
      <c r="E3910" s="1" t="s">
        <v>28</v>
      </c>
      <c r="F3910" s="2">
        <v>200000.0</v>
      </c>
      <c r="G3910" s="1" t="s">
        <v>1044</v>
      </c>
      <c r="H3910" s="4">
        <f>IFERROR(__xludf.DUMMYFUNCTION("DATE(INDEX(SPLIT(G3910,""/""),,3),INDEX(SPLIT(G3910,""/""),,2),INDEX(SPLIT(G3910,""/""),,1))"),44588.0)</f>
        <v>44588</v>
      </c>
      <c r="I3910" s="1" t="s">
        <v>7282</v>
      </c>
      <c r="J3910" s="4">
        <f>IFERROR(__xludf.DUMMYFUNCTION("DATE(INDEX(SPLIT(I3910,""/""),,3),INDEX(SPLIT(I3910,""/""),,2),INDEX(SPLIT(I3910,""/""),,1))"),44798.0)</f>
        <v>44798</v>
      </c>
      <c r="L3910" s="1">
        <v>0.0</v>
      </c>
      <c r="M3910" s="1" t="s">
        <v>770</v>
      </c>
      <c r="N3910" s="1"/>
      <c r="O3910" s="1" t="s">
        <v>30</v>
      </c>
      <c r="P3910" s="1" t="s">
        <v>31</v>
      </c>
      <c r="Q3910" s="1" t="s">
        <v>157</v>
      </c>
      <c r="R3910" s="1" t="s">
        <v>157</v>
      </c>
      <c r="S3910" s="1" t="s">
        <v>158</v>
      </c>
      <c r="U3910" s="1">
        <v>1.00623421E8</v>
      </c>
      <c r="X3910" s="1" t="s">
        <v>125</v>
      </c>
      <c r="Y3910" s="1" t="s">
        <v>5027</v>
      </c>
      <c r="Z3910" s="1" t="s">
        <v>37</v>
      </c>
    </row>
    <row r="3911">
      <c r="A3911" s="1" t="s">
        <v>11246</v>
      </c>
      <c r="B3911" s="1" t="s">
        <v>3820</v>
      </c>
      <c r="C3911" s="1" t="s">
        <v>11247</v>
      </c>
      <c r="D3911" s="1" t="s">
        <v>27</v>
      </c>
      <c r="E3911" s="1" t="s">
        <v>28</v>
      </c>
      <c r="F3911" s="2">
        <v>200000.0</v>
      </c>
      <c r="G3911" s="4">
        <v>44563.0</v>
      </c>
      <c r="H3911" s="4">
        <f>IFERROR(__xludf.DUMMYFUNCTION("DATE(INDEX(SPLIT(G3911,""/""),,3),INDEX(SPLIT(G3911,""/""),,2),INDEX(SPLIT(G3911,""/""),,1))"),44593.0)</f>
        <v>44593</v>
      </c>
      <c r="I3911" s="1" t="s">
        <v>69</v>
      </c>
      <c r="J3911" s="4">
        <f>IFERROR(__xludf.DUMMYFUNCTION("DATE(INDEX(SPLIT(I3911,""/""),,3),INDEX(SPLIT(I3911,""/""),,2),INDEX(SPLIT(I3911,""/""),,1))"),44773.0)</f>
        <v>44773</v>
      </c>
      <c r="L3911" s="1">
        <v>0.0</v>
      </c>
      <c r="M3911" s="1" t="s">
        <v>2472</v>
      </c>
      <c r="N3911" s="1"/>
      <c r="O3911" s="1" t="s">
        <v>30</v>
      </c>
      <c r="P3911" s="1" t="s">
        <v>31</v>
      </c>
      <c r="Q3911" s="1" t="s">
        <v>228</v>
      </c>
      <c r="R3911" s="1" t="s">
        <v>228</v>
      </c>
      <c r="S3911" s="1" t="s">
        <v>229</v>
      </c>
      <c r="T3911" s="1" t="s">
        <v>640</v>
      </c>
      <c r="U3911" s="1">
        <v>1.00645232E8</v>
      </c>
      <c r="X3911" s="1" t="s">
        <v>88</v>
      </c>
      <c r="Y3911" s="1" t="s">
        <v>675</v>
      </c>
      <c r="Z3911" s="1" t="s">
        <v>37</v>
      </c>
    </row>
    <row r="3912" hidden="1">
      <c r="A3912" s="1" t="s">
        <v>11248</v>
      </c>
      <c r="B3912" s="1" t="s">
        <v>3820</v>
      </c>
      <c r="C3912" s="1" t="s">
        <v>11249</v>
      </c>
      <c r="D3912" s="1" t="s">
        <v>27</v>
      </c>
      <c r="E3912" s="1" t="s">
        <v>28</v>
      </c>
      <c r="F3912" s="2">
        <v>200000.0</v>
      </c>
      <c r="G3912" s="4">
        <v>44563.0</v>
      </c>
      <c r="H3912" s="4">
        <f>IFERROR(__xludf.DUMMYFUNCTION("DATE(INDEX(SPLIT(G3912,""/""),,3),INDEX(SPLIT(G3912,""/""),,2),INDEX(SPLIT(G3912,""/""),,1))"),44593.0)</f>
        <v>44593</v>
      </c>
      <c r="I3912" s="1" t="s">
        <v>130</v>
      </c>
      <c r="J3912" s="4">
        <f>IFERROR(__xludf.DUMMYFUNCTION("DATE(INDEX(SPLIT(I3912,""/""),,3),INDEX(SPLIT(I3912,""/""),,2),INDEX(SPLIT(I3912,""/""),,1))"),44804.0)</f>
        <v>44804</v>
      </c>
      <c r="L3912" s="1">
        <v>0.0</v>
      </c>
      <c r="M3912" s="1" t="s">
        <v>2472</v>
      </c>
      <c r="N3912" s="1"/>
      <c r="O3912" s="1" t="s">
        <v>30</v>
      </c>
      <c r="P3912" s="1" t="s">
        <v>31</v>
      </c>
      <c r="Q3912" s="1" t="s">
        <v>228</v>
      </c>
      <c r="R3912" s="1" t="s">
        <v>228</v>
      </c>
      <c r="S3912" s="1" t="s">
        <v>229</v>
      </c>
      <c r="T3912" s="1" t="s">
        <v>640</v>
      </c>
      <c r="U3912" s="1">
        <v>1.00645232E8</v>
      </c>
      <c r="X3912" s="1" t="s">
        <v>88</v>
      </c>
      <c r="Y3912" s="1" t="s">
        <v>675</v>
      </c>
      <c r="Z3912" s="1" t="s">
        <v>37</v>
      </c>
    </row>
    <row r="3913" hidden="1">
      <c r="A3913" s="1" t="s">
        <v>11250</v>
      </c>
      <c r="B3913" s="1" t="s">
        <v>11251</v>
      </c>
      <c r="C3913" s="1" t="s">
        <v>1635</v>
      </c>
      <c r="D3913" s="1" t="s">
        <v>27</v>
      </c>
      <c r="E3913" s="1" t="s">
        <v>28</v>
      </c>
      <c r="F3913" s="2">
        <v>200000.0</v>
      </c>
      <c r="G3913" s="4">
        <v>44656.0</v>
      </c>
      <c r="H3913" s="4">
        <f>IFERROR(__xludf.DUMMYFUNCTION("DATE(INDEX(SPLIT(G3913,""/""),,3),INDEX(SPLIT(G3913,""/""),,2),INDEX(SPLIT(G3913,""/""),,1))"),44685.0)</f>
        <v>44685</v>
      </c>
      <c r="I3913" s="4">
        <v>44932.0</v>
      </c>
      <c r="J3913" s="4">
        <f>IFERROR(__xludf.DUMMYFUNCTION("DATE(INDEX(SPLIT(I3913,""/""),,3),INDEX(SPLIT(I3913,""/""),,2),INDEX(SPLIT(I3913,""/""),,1))"),45078.0)</f>
        <v>45078</v>
      </c>
      <c r="L3913" s="1">
        <v>0.0</v>
      </c>
      <c r="M3913" s="1" t="s">
        <v>1194</v>
      </c>
      <c r="N3913" s="1"/>
      <c r="O3913" s="1" t="s">
        <v>30</v>
      </c>
      <c r="P3913" s="1" t="s">
        <v>31</v>
      </c>
      <c r="Q3913" s="1" t="s">
        <v>32</v>
      </c>
      <c r="R3913" s="1" t="s">
        <v>32</v>
      </c>
      <c r="S3913" s="1" t="s">
        <v>33</v>
      </c>
      <c r="T3913" s="1" t="s">
        <v>1195</v>
      </c>
      <c r="U3913" s="1">
        <v>1.00586863E8</v>
      </c>
      <c r="X3913" s="1" t="s">
        <v>490</v>
      </c>
      <c r="Y3913" s="1" t="s">
        <v>1636</v>
      </c>
      <c r="Z3913" s="1" t="s">
        <v>37</v>
      </c>
    </row>
    <row r="3914" hidden="1">
      <c r="A3914" s="1" t="s">
        <v>11252</v>
      </c>
      <c r="B3914" s="1" t="s">
        <v>2121</v>
      </c>
      <c r="C3914" s="1" t="s">
        <v>11253</v>
      </c>
      <c r="D3914" s="1" t="s">
        <v>122</v>
      </c>
      <c r="E3914" s="1" t="s">
        <v>28</v>
      </c>
      <c r="F3914" s="2">
        <v>200000.0</v>
      </c>
      <c r="G3914" s="4">
        <v>44567.0</v>
      </c>
      <c r="H3914" s="4">
        <f>IFERROR(__xludf.DUMMYFUNCTION("DATE(INDEX(SPLIT(G3914,""/""),,3),INDEX(SPLIT(G3914,""/""),,2),INDEX(SPLIT(G3914,""/""),,1))"),44713.0)</f>
        <v>44713</v>
      </c>
      <c r="I3914" s="1" t="s">
        <v>447</v>
      </c>
      <c r="J3914" s="4">
        <f>IFERROR(__xludf.DUMMYFUNCTION("DATE(INDEX(SPLIT(I3914,""/""),,3),INDEX(SPLIT(I3914,""/""),,2),INDEX(SPLIT(I3914,""/""),,1))"),44910.0)</f>
        <v>44910</v>
      </c>
      <c r="L3914" s="1">
        <v>0.0</v>
      </c>
      <c r="M3914" s="1" t="s">
        <v>11254</v>
      </c>
      <c r="N3914" s="1"/>
      <c r="O3914" s="1" t="s">
        <v>30</v>
      </c>
      <c r="P3914" s="1" t="s">
        <v>31</v>
      </c>
      <c r="Q3914" s="1" t="s">
        <v>228</v>
      </c>
      <c r="R3914" s="1" t="s">
        <v>228</v>
      </c>
      <c r="S3914" s="1" t="s">
        <v>229</v>
      </c>
      <c r="T3914" s="1" t="s">
        <v>640</v>
      </c>
      <c r="U3914" s="1">
        <v>1.00602248E8</v>
      </c>
      <c r="X3914" s="1" t="s">
        <v>88</v>
      </c>
      <c r="Y3914" s="1" t="s">
        <v>11255</v>
      </c>
      <c r="Z3914" s="1" t="s">
        <v>37</v>
      </c>
    </row>
    <row r="3915" hidden="1">
      <c r="A3915" s="1" t="s">
        <v>11256</v>
      </c>
      <c r="B3915" s="1" t="s">
        <v>8910</v>
      </c>
      <c r="C3915" s="1" t="s">
        <v>1635</v>
      </c>
      <c r="D3915" s="1" t="s">
        <v>27</v>
      </c>
      <c r="E3915" s="1" t="s">
        <v>28</v>
      </c>
      <c r="F3915" s="2">
        <v>200000.0</v>
      </c>
      <c r="G3915" s="4">
        <v>44656.0</v>
      </c>
      <c r="H3915" s="4">
        <f>IFERROR(__xludf.DUMMYFUNCTION("DATE(INDEX(SPLIT(G3915,""/""),,3),INDEX(SPLIT(G3915,""/""),,2),INDEX(SPLIT(G3915,""/""),,1))"),44685.0)</f>
        <v>44685</v>
      </c>
      <c r="I3915" s="1" t="s">
        <v>1732</v>
      </c>
      <c r="J3915" s="4">
        <f>IFERROR(__xludf.DUMMYFUNCTION("DATE(INDEX(SPLIT(I3915,""/""),,3),INDEX(SPLIT(I3915,""/""),,2),INDEX(SPLIT(I3915,""/""),,1))"),45092.0)</f>
        <v>45092</v>
      </c>
      <c r="L3915" s="1">
        <v>0.0</v>
      </c>
      <c r="M3915" s="1" t="s">
        <v>1194</v>
      </c>
      <c r="N3915" s="1"/>
      <c r="O3915" s="1" t="s">
        <v>30</v>
      </c>
      <c r="P3915" s="1" t="s">
        <v>31</v>
      </c>
      <c r="Q3915" s="1" t="s">
        <v>32</v>
      </c>
      <c r="R3915" s="1" t="s">
        <v>32</v>
      </c>
      <c r="S3915" s="1" t="s">
        <v>33</v>
      </c>
      <c r="T3915" s="1" t="s">
        <v>1195</v>
      </c>
      <c r="U3915" s="1">
        <v>1.00586863E8</v>
      </c>
      <c r="X3915" s="1" t="s">
        <v>125</v>
      </c>
      <c r="Y3915" s="1" t="s">
        <v>1636</v>
      </c>
      <c r="Z3915" s="1" t="s">
        <v>37</v>
      </c>
    </row>
    <row r="3916">
      <c r="A3916" s="1" t="s">
        <v>11257</v>
      </c>
      <c r="B3916" s="1" t="s">
        <v>3681</v>
      </c>
      <c r="C3916" s="1" t="s">
        <v>11258</v>
      </c>
      <c r="D3916" s="1" t="s">
        <v>122</v>
      </c>
      <c r="E3916" s="1" t="s">
        <v>28</v>
      </c>
      <c r="F3916" s="2">
        <v>200000.0</v>
      </c>
      <c r="G3916" s="1" t="s">
        <v>1044</v>
      </c>
      <c r="H3916" s="4">
        <f>IFERROR(__xludf.DUMMYFUNCTION("DATE(INDEX(SPLIT(G3916,""/""),,3),INDEX(SPLIT(G3916,""/""),,2),INDEX(SPLIT(G3916,""/""),,1))"),44588.0)</f>
        <v>44588</v>
      </c>
      <c r="I3916" s="1" t="s">
        <v>226</v>
      </c>
      <c r="J3916" s="4">
        <f>IFERROR(__xludf.DUMMYFUNCTION("DATE(INDEX(SPLIT(I3916,""/""),,3),INDEX(SPLIT(I3916,""/""),,2),INDEX(SPLIT(I3916,""/""),,1))"),44771.0)</f>
        <v>44771</v>
      </c>
      <c r="L3916" s="1">
        <v>0.0</v>
      </c>
      <c r="M3916" s="1" t="s">
        <v>10257</v>
      </c>
      <c r="N3916" s="1"/>
      <c r="O3916" s="1" t="s">
        <v>30</v>
      </c>
      <c r="P3916" s="1" t="s">
        <v>31</v>
      </c>
      <c r="Q3916" s="1" t="s">
        <v>157</v>
      </c>
      <c r="R3916" s="1" t="s">
        <v>157</v>
      </c>
      <c r="S3916" s="1" t="s">
        <v>158</v>
      </c>
      <c r="T3916" s="1" t="s">
        <v>442</v>
      </c>
      <c r="U3916" s="1">
        <v>1.0061717E8</v>
      </c>
      <c r="X3916" s="1" t="s">
        <v>781</v>
      </c>
      <c r="Y3916" s="1" t="s">
        <v>3223</v>
      </c>
      <c r="Z3916" s="1" t="s">
        <v>37</v>
      </c>
    </row>
    <row r="3917" hidden="1">
      <c r="A3917" s="1" t="s">
        <v>11259</v>
      </c>
      <c r="B3917" s="1" t="s">
        <v>3399</v>
      </c>
      <c r="C3917" s="1" t="s">
        <v>11260</v>
      </c>
      <c r="D3917" s="1" t="s">
        <v>27</v>
      </c>
      <c r="E3917" s="1" t="s">
        <v>28</v>
      </c>
      <c r="F3917" s="2">
        <v>200000.0</v>
      </c>
      <c r="G3917" s="1" t="s">
        <v>2629</v>
      </c>
      <c r="H3917" s="4">
        <f>IFERROR(__xludf.DUMMYFUNCTION("DATE(INDEX(SPLIT(G3917,""/""),,3),INDEX(SPLIT(G3917,""/""),,2),INDEX(SPLIT(G3917,""/""),,1))"),44651.0)</f>
        <v>44651</v>
      </c>
      <c r="I3917" s="1" t="s">
        <v>625</v>
      </c>
      <c r="J3917" s="4">
        <f>IFERROR(__xludf.DUMMYFUNCTION("DATE(INDEX(SPLIT(I3917,""/""),,3),INDEX(SPLIT(I3917,""/""),,2),INDEX(SPLIT(I3917,""/""),,1))"),44848.0)</f>
        <v>44848</v>
      </c>
      <c r="L3917" s="1">
        <v>0.0</v>
      </c>
      <c r="M3917" s="1" t="s">
        <v>1398</v>
      </c>
      <c r="N3917" s="1"/>
      <c r="O3917" s="1" t="s">
        <v>30</v>
      </c>
      <c r="P3917" s="1" t="s">
        <v>31</v>
      </c>
      <c r="Q3917" s="1" t="s">
        <v>95</v>
      </c>
      <c r="R3917" s="1" t="s">
        <v>95</v>
      </c>
      <c r="S3917" s="1" t="s">
        <v>96</v>
      </c>
      <c r="T3917" s="1" t="s">
        <v>111</v>
      </c>
      <c r="U3917" s="1">
        <v>1.0061941E8</v>
      </c>
      <c r="X3917" s="1" t="s">
        <v>63</v>
      </c>
      <c r="Y3917" s="1" t="s">
        <v>11243</v>
      </c>
      <c r="Z3917" s="1" t="s">
        <v>37</v>
      </c>
    </row>
    <row r="3918" hidden="1">
      <c r="A3918" s="1" t="s">
        <v>11261</v>
      </c>
      <c r="B3918" s="1" t="s">
        <v>3399</v>
      </c>
      <c r="C3918" s="1" t="s">
        <v>11262</v>
      </c>
      <c r="D3918" s="1" t="s">
        <v>27</v>
      </c>
      <c r="E3918" s="1" t="s">
        <v>28</v>
      </c>
      <c r="F3918" s="2">
        <v>200000.0</v>
      </c>
      <c r="G3918" s="1" t="s">
        <v>2629</v>
      </c>
      <c r="H3918" s="4">
        <f>IFERROR(__xludf.DUMMYFUNCTION("DATE(INDEX(SPLIT(G3918,""/""),,3),INDEX(SPLIT(G3918,""/""),,2),INDEX(SPLIT(G3918,""/""),,1))"),44651.0)</f>
        <v>44651</v>
      </c>
      <c r="I3918" s="1" t="s">
        <v>625</v>
      </c>
      <c r="J3918" s="4">
        <f>IFERROR(__xludf.DUMMYFUNCTION("DATE(INDEX(SPLIT(I3918,""/""),,3),INDEX(SPLIT(I3918,""/""),,2),INDEX(SPLIT(I3918,""/""),,1))"),44848.0)</f>
        <v>44848</v>
      </c>
      <c r="L3918" s="1">
        <v>0.0</v>
      </c>
      <c r="M3918" s="1" t="s">
        <v>3565</v>
      </c>
      <c r="N3918" s="1"/>
      <c r="O3918" s="1" t="s">
        <v>30</v>
      </c>
      <c r="P3918" s="1" t="s">
        <v>31</v>
      </c>
      <c r="Q3918" s="1" t="s">
        <v>32</v>
      </c>
      <c r="R3918" s="1" t="s">
        <v>32</v>
      </c>
      <c r="S3918" s="1" t="s">
        <v>33</v>
      </c>
      <c r="T3918" s="1" t="s">
        <v>103</v>
      </c>
      <c r="U3918" s="1">
        <v>1.01088701E8</v>
      </c>
      <c r="X3918" s="1" t="s">
        <v>63</v>
      </c>
      <c r="Y3918" s="1" t="s">
        <v>11243</v>
      </c>
      <c r="Z3918" s="1" t="s">
        <v>37</v>
      </c>
    </row>
    <row r="3919" hidden="1">
      <c r="A3919" s="1" t="s">
        <v>11263</v>
      </c>
      <c r="B3919" s="1" t="s">
        <v>11264</v>
      </c>
      <c r="C3919" s="1" t="s">
        <v>11265</v>
      </c>
      <c r="D3919" s="1" t="s">
        <v>27</v>
      </c>
      <c r="E3919" s="1" t="s">
        <v>28</v>
      </c>
      <c r="F3919" s="2">
        <v>200000.0</v>
      </c>
      <c r="G3919" s="1" t="s">
        <v>185</v>
      </c>
      <c r="H3919" s="4">
        <f>IFERROR(__xludf.DUMMYFUNCTION("DATE(INDEX(SPLIT(G3919,""/""),,3),INDEX(SPLIT(G3919,""/""),,2),INDEX(SPLIT(G3919,""/""),,1))"),44741.0)</f>
        <v>44741</v>
      </c>
      <c r="I3919" s="1" t="s">
        <v>109</v>
      </c>
      <c r="J3919" s="4">
        <f>IFERROR(__xludf.DUMMYFUNCTION("DATE(INDEX(SPLIT(I3919,""/""),,3),INDEX(SPLIT(I3919,""/""),,2),INDEX(SPLIT(I3919,""/""),,1))"),44834.0)</f>
        <v>44834</v>
      </c>
      <c r="L3919" s="1">
        <v>0.0</v>
      </c>
      <c r="M3919" s="1" t="s">
        <v>3580</v>
      </c>
      <c r="N3919" s="1"/>
      <c r="O3919" s="1" t="s">
        <v>30</v>
      </c>
      <c r="P3919" s="1" t="s">
        <v>31</v>
      </c>
      <c r="Q3919" s="1" t="s">
        <v>157</v>
      </c>
      <c r="R3919" s="1" t="s">
        <v>157</v>
      </c>
      <c r="S3919" s="1" t="s">
        <v>158</v>
      </c>
      <c r="U3919" s="1">
        <v>1.00956516E8</v>
      </c>
      <c r="X3919" s="1" t="s">
        <v>63</v>
      </c>
      <c r="Y3919" s="1" t="s">
        <v>4960</v>
      </c>
      <c r="Z3919" s="1" t="s">
        <v>37</v>
      </c>
    </row>
    <row r="3920" hidden="1">
      <c r="A3920" s="1" t="s">
        <v>11266</v>
      </c>
      <c r="B3920" s="1" t="s">
        <v>1144</v>
      </c>
      <c r="C3920" s="1" t="s">
        <v>11267</v>
      </c>
      <c r="D3920" s="1" t="s">
        <v>68</v>
      </c>
      <c r="E3920" s="1" t="s">
        <v>28</v>
      </c>
      <c r="F3920" s="2">
        <v>200000.0</v>
      </c>
      <c r="G3920" s="1" t="s">
        <v>472</v>
      </c>
      <c r="H3920" s="4">
        <f>IFERROR(__xludf.DUMMYFUNCTION("DATE(INDEX(SPLIT(G3920,""/""),,3),INDEX(SPLIT(G3920,""/""),,2),INDEX(SPLIT(G3920,""/""),,1))"),44760.0)</f>
        <v>44760</v>
      </c>
      <c r="I3920" s="4">
        <v>44569.0</v>
      </c>
      <c r="J3920" s="4">
        <f>IFERROR(__xludf.DUMMYFUNCTION("DATE(INDEX(SPLIT(I3920,""/""),,3),INDEX(SPLIT(I3920,""/""),,2),INDEX(SPLIT(I3920,""/""),,1))"),44774.0)</f>
        <v>44774</v>
      </c>
      <c r="L3920" s="1">
        <v>0.0</v>
      </c>
      <c r="M3920" s="1" t="s">
        <v>7347</v>
      </c>
      <c r="N3920" s="1"/>
      <c r="O3920" s="1" t="s">
        <v>30</v>
      </c>
      <c r="P3920" s="1" t="s">
        <v>31</v>
      </c>
      <c r="Q3920" s="1" t="s">
        <v>228</v>
      </c>
      <c r="R3920" s="1" t="s">
        <v>228</v>
      </c>
      <c r="S3920" s="1" t="s">
        <v>229</v>
      </c>
      <c r="T3920" s="1" t="s">
        <v>640</v>
      </c>
      <c r="U3920" s="1">
        <v>1.00613669E8</v>
      </c>
      <c r="X3920" s="1" t="s">
        <v>63</v>
      </c>
      <c r="Y3920" s="1" t="s">
        <v>7347</v>
      </c>
      <c r="Z3920" s="1" t="s">
        <v>527</v>
      </c>
    </row>
    <row r="3921">
      <c r="A3921" s="1" t="s">
        <v>11268</v>
      </c>
      <c r="B3921" s="1" t="s">
        <v>5984</v>
      </c>
      <c r="C3921" s="1" t="s">
        <v>11269</v>
      </c>
      <c r="D3921" s="1" t="s">
        <v>78</v>
      </c>
      <c r="E3921" s="1" t="s">
        <v>28</v>
      </c>
      <c r="F3921" s="2">
        <v>200000.0</v>
      </c>
      <c r="G3921" s="1" t="s">
        <v>4985</v>
      </c>
      <c r="H3921" s="4">
        <f>IFERROR(__xludf.DUMMYFUNCTION("DATE(INDEX(SPLIT(G3921,""/""),,3),INDEX(SPLIT(G3921,""/""),,2),INDEX(SPLIT(G3921,""/""),,1))"),44273.0)</f>
        <v>44273</v>
      </c>
      <c r="I3921" s="1" t="s">
        <v>69</v>
      </c>
      <c r="J3921" s="4">
        <f>IFERROR(__xludf.DUMMYFUNCTION("DATE(INDEX(SPLIT(I3921,""/""),,3),INDEX(SPLIT(I3921,""/""),,2),INDEX(SPLIT(I3921,""/""),,1))"),44773.0)</f>
        <v>44773</v>
      </c>
      <c r="L3921" s="1">
        <v>0.0</v>
      </c>
      <c r="M3921" s="1" t="s">
        <v>3507</v>
      </c>
      <c r="N3921" s="1"/>
      <c r="O3921" s="1" t="s">
        <v>30</v>
      </c>
      <c r="P3921" s="1" t="s">
        <v>31</v>
      </c>
      <c r="Q3921" s="1" t="s">
        <v>235</v>
      </c>
      <c r="R3921" s="1" t="s">
        <v>235</v>
      </c>
      <c r="S3921" s="1" t="s">
        <v>236</v>
      </c>
      <c r="T3921" s="1" t="s">
        <v>1349</v>
      </c>
      <c r="U3921" s="1">
        <v>1.00585834E8</v>
      </c>
      <c r="X3921" s="1" t="s">
        <v>375</v>
      </c>
      <c r="Y3921" s="1" t="s">
        <v>3507</v>
      </c>
      <c r="Z3921" s="1" t="s">
        <v>37</v>
      </c>
    </row>
    <row r="3922" hidden="1">
      <c r="A3922" s="1" t="s">
        <v>11270</v>
      </c>
      <c r="B3922" s="1" t="s">
        <v>1152</v>
      </c>
      <c r="C3922" s="1" t="s">
        <v>11271</v>
      </c>
      <c r="D3922" s="1" t="s">
        <v>27</v>
      </c>
      <c r="E3922" s="1" t="s">
        <v>28</v>
      </c>
      <c r="F3922" s="2">
        <v>200000.0</v>
      </c>
      <c r="G3922" s="4">
        <v>44081.0</v>
      </c>
      <c r="H3922" s="4">
        <f>IFERROR(__xludf.DUMMYFUNCTION("DATE(INDEX(SPLIT(G3922,""/""),,3),INDEX(SPLIT(G3922,""/""),,2),INDEX(SPLIT(G3922,""/""),,1))"),44021.0)</f>
        <v>44021</v>
      </c>
      <c r="I3922" s="1" t="s">
        <v>11272</v>
      </c>
      <c r="J3922" s="4">
        <f>IFERROR(__xludf.DUMMYFUNCTION("DATE(INDEX(SPLIT(I3922,""/""),,3),INDEX(SPLIT(I3922,""/""),,2),INDEX(SPLIT(I3922,""/""),,1))"),44908.0)</f>
        <v>44908</v>
      </c>
      <c r="L3922" s="1">
        <v>0.0</v>
      </c>
      <c r="M3922" s="1" t="s">
        <v>2787</v>
      </c>
      <c r="N3922" s="1"/>
      <c r="O3922" s="1" t="s">
        <v>30</v>
      </c>
      <c r="P3922" s="1" t="s">
        <v>31</v>
      </c>
      <c r="Q3922" s="1" t="s">
        <v>157</v>
      </c>
      <c r="R3922" s="1" t="s">
        <v>157</v>
      </c>
      <c r="S3922" s="1" t="s">
        <v>158</v>
      </c>
      <c r="T3922" s="1" t="s">
        <v>442</v>
      </c>
      <c r="U3922" s="1">
        <v>1.00708984E8</v>
      </c>
      <c r="X3922" s="1" t="s">
        <v>125</v>
      </c>
      <c r="Y3922" s="1" t="s">
        <v>11273</v>
      </c>
      <c r="Z3922" s="1" t="s">
        <v>37</v>
      </c>
    </row>
    <row r="3923">
      <c r="A3923" s="1" t="s">
        <v>11274</v>
      </c>
      <c r="B3923" s="1" t="s">
        <v>11275</v>
      </c>
      <c r="C3923" s="1" t="s">
        <v>11276</v>
      </c>
      <c r="D3923" s="1" t="s">
        <v>27</v>
      </c>
      <c r="E3923" s="1" t="s">
        <v>28</v>
      </c>
      <c r="F3923" s="2">
        <v>200000.0</v>
      </c>
      <c r="G3923" s="1" t="s">
        <v>11277</v>
      </c>
      <c r="H3923" s="4">
        <f>IFERROR(__xludf.DUMMYFUNCTION("DATE(INDEX(SPLIT(G3923,""/""),,3),INDEX(SPLIT(G3923,""/""),,2),INDEX(SPLIT(G3923,""/""),,1))"),43784.0)</f>
        <v>43784</v>
      </c>
      <c r="I3923" s="1" t="s">
        <v>226</v>
      </c>
      <c r="J3923" s="4">
        <f>IFERROR(__xludf.DUMMYFUNCTION("DATE(INDEX(SPLIT(I3923,""/""),,3),INDEX(SPLIT(I3923,""/""),,2),INDEX(SPLIT(I3923,""/""),,1))"),44771.0)</f>
        <v>44771</v>
      </c>
      <c r="L3923" s="1">
        <v>0.0</v>
      </c>
      <c r="M3923" s="1" t="s">
        <v>2696</v>
      </c>
      <c r="N3923" s="1"/>
      <c r="O3923" s="1" t="s">
        <v>30</v>
      </c>
      <c r="P3923" s="1" t="s">
        <v>31</v>
      </c>
      <c r="Q3923" s="1" t="s">
        <v>157</v>
      </c>
      <c r="R3923" s="1" t="s">
        <v>157</v>
      </c>
      <c r="S3923" s="1" t="s">
        <v>158</v>
      </c>
      <c r="T3923" s="1" t="s">
        <v>8712</v>
      </c>
      <c r="U3923" s="1">
        <v>1.00611351E8</v>
      </c>
      <c r="X3923" s="1" t="s">
        <v>375</v>
      </c>
      <c r="Y3923" s="1" t="s">
        <v>3016</v>
      </c>
      <c r="Z3923" s="1" t="s">
        <v>37</v>
      </c>
    </row>
    <row r="3924" hidden="1">
      <c r="A3924" s="1" t="s">
        <v>11278</v>
      </c>
      <c r="B3924" s="1" t="s">
        <v>11279</v>
      </c>
      <c r="C3924" s="1" t="s">
        <v>11280</v>
      </c>
      <c r="D3924" s="1" t="s">
        <v>122</v>
      </c>
      <c r="E3924" s="1" t="s">
        <v>28</v>
      </c>
      <c r="F3924" s="2">
        <v>200000.0</v>
      </c>
      <c r="G3924" s="4">
        <v>44567.0</v>
      </c>
      <c r="H3924" s="4">
        <f>IFERROR(__xludf.DUMMYFUNCTION("DATE(INDEX(SPLIT(G3924,""/""),,3),INDEX(SPLIT(G3924,""/""),,2),INDEX(SPLIT(G3924,""/""),,1))"),44713.0)</f>
        <v>44713</v>
      </c>
      <c r="I3924" s="1" t="s">
        <v>1799</v>
      </c>
      <c r="J3924" s="4">
        <f>IFERROR(__xludf.DUMMYFUNCTION("DATE(INDEX(SPLIT(I3924,""/""),,3),INDEX(SPLIT(I3924,""/""),,2),INDEX(SPLIT(I3924,""/""),,1))"),44788.0)</f>
        <v>44788</v>
      </c>
      <c r="L3924" s="1">
        <v>0.0</v>
      </c>
      <c r="M3924" s="1" t="s">
        <v>1737</v>
      </c>
      <c r="N3924" s="1"/>
      <c r="O3924" s="1" t="s">
        <v>30</v>
      </c>
      <c r="P3924" s="1" t="s">
        <v>31</v>
      </c>
      <c r="Q3924" s="1" t="s">
        <v>53</v>
      </c>
      <c r="R3924" s="1" t="s">
        <v>53</v>
      </c>
      <c r="S3924" s="1" t="s">
        <v>54</v>
      </c>
      <c r="T3924" s="1" t="s">
        <v>1386</v>
      </c>
      <c r="U3924" s="1">
        <v>1.00642067E8</v>
      </c>
      <c r="X3924" s="1" t="s">
        <v>88</v>
      </c>
      <c r="Y3924" s="1" t="s">
        <v>11281</v>
      </c>
      <c r="Z3924" s="1" t="s">
        <v>37</v>
      </c>
    </row>
    <row r="3925" hidden="1">
      <c r="A3925" s="1" t="s">
        <v>11282</v>
      </c>
      <c r="B3925" s="1" t="s">
        <v>2030</v>
      </c>
      <c r="C3925" s="1" t="s">
        <v>11283</v>
      </c>
      <c r="D3925" s="1" t="s">
        <v>27</v>
      </c>
      <c r="E3925" s="1" t="s">
        <v>28</v>
      </c>
      <c r="F3925" s="2">
        <v>200000.0</v>
      </c>
      <c r="G3925" s="1" t="s">
        <v>1141</v>
      </c>
      <c r="H3925" s="4">
        <f>IFERROR(__xludf.DUMMYFUNCTION("DATE(INDEX(SPLIT(G3925,""/""),,3),INDEX(SPLIT(G3925,""/""),,2),INDEX(SPLIT(G3925,""/""),,1))"),44767.0)</f>
        <v>44767</v>
      </c>
      <c r="I3925" s="1" t="s">
        <v>134</v>
      </c>
      <c r="J3925" s="4">
        <f>IFERROR(__xludf.DUMMYFUNCTION("DATE(INDEX(SPLIT(I3925,""/""),,3),INDEX(SPLIT(I3925,""/""),,2),INDEX(SPLIT(I3925,""/""),,1))"),44792.0)</f>
        <v>44792</v>
      </c>
      <c r="L3925" s="1">
        <v>0.0</v>
      </c>
      <c r="M3925" s="1" t="s">
        <v>2390</v>
      </c>
      <c r="N3925" s="1"/>
      <c r="O3925" s="1" t="s">
        <v>30</v>
      </c>
      <c r="P3925" s="1" t="s">
        <v>31</v>
      </c>
      <c r="Q3925" s="1" t="s">
        <v>71</v>
      </c>
      <c r="R3925" s="1" t="s">
        <v>71</v>
      </c>
      <c r="S3925" s="1" t="s">
        <v>72</v>
      </c>
      <c r="U3925" s="1">
        <v>1.00646452E8</v>
      </c>
      <c r="X3925" s="1" t="s">
        <v>74</v>
      </c>
      <c r="Y3925" s="1" t="s">
        <v>2390</v>
      </c>
      <c r="Z3925" s="1" t="s">
        <v>37</v>
      </c>
    </row>
    <row r="3926" hidden="1">
      <c r="A3926" s="1" t="s">
        <v>11284</v>
      </c>
      <c r="B3926" s="1" t="s">
        <v>2462</v>
      </c>
      <c r="C3926" s="1" t="s">
        <v>11285</v>
      </c>
      <c r="D3926" s="1" t="s">
        <v>27</v>
      </c>
      <c r="E3926" s="1" t="s">
        <v>28</v>
      </c>
      <c r="F3926" s="2">
        <v>200000.0</v>
      </c>
      <c r="G3926" s="1" t="s">
        <v>4346</v>
      </c>
      <c r="H3926" s="4">
        <f>IFERROR(__xludf.DUMMYFUNCTION("DATE(INDEX(SPLIT(G3926,""/""),,3),INDEX(SPLIT(G3926,""/""),,2),INDEX(SPLIT(G3926,""/""),,1))"),44765.0)</f>
        <v>44765</v>
      </c>
      <c r="I3926" s="1" t="s">
        <v>109</v>
      </c>
      <c r="J3926" s="4">
        <f>IFERROR(__xludf.DUMMYFUNCTION("DATE(INDEX(SPLIT(I3926,""/""),,3),INDEX(SPLIT(I3926,""/""),,2),INDEX(SPLIT(I3926,""/""),,1))"),44834.0)</f>
        <v>44834</v>
      </c>
      <c r="L3926" s="1">
        <v>0.0</v>
      </c>
      <c r="M3926" s="1" t="s">
        <v>2464</v>
      </c>
      <c r="N3926" s="1"/>
      <c r="O3926" s="1" t="s">
        <v>30</v>
      </c>
      <c r="P3926" s="1" t="s">
        <v>31</v>
      </c>
      <c r="Q3926" s="1" t="s">
        <v>157</v>
      </c>
      <c r="R3926" s="1" t="s">
        <v>157</v>
      </c>
      <c r="S3926" s="1" t="s">
        <v>158</v>
      </c>
      <c r="U3926" s="1">
        <v>1.00589278E8</v>
      </c>
      <c r="Y3926" s="1" t="s">
        <v>11286</v>
      </c>
      <c r="Z3926" s="1" t="s">
        <v>37</v>
      </c>
    </row>
    <row r="3927">
      <c r="A3927" s="1" t="s">
        <v>11287</v>
      </c>
      <c r="B3927" s="1" t="s">
        <v>1820</v>
      </c>
      <c r="C3927" s="1" t="s">
        <v>11288</v>
      </c>
      <c r="D3927" s="1" t="s">
        <v>27</v>
      </c>
      <c r="E3927" s="1" t="s">
        <v>28</v>
      </c>
      <c r="F3927" s="2">
        <v>200000.0</v>
      </c>
      <c r="G3927" s="4">
        <v>44541.0</v>
      </c>
      <c r="H3927" s="4">
        <f>IFERROR(__xludf.DUMMYFUNCTION("DATE(INDEX(SPLIT(G3927,""/""),,3),INDEX(SPLIT(G3927,""/""),,2),INDEX(SPLIT(G3927,""/""),,1))"),44512.0)</f>
        <v>44512</v>
      </c>
      <c r="I3927" s="4">
        <v>44567.0</v>
      </c>
      <c r="J3927" s="4">
        <f>IFERROR(__xludf.DUMMYFUNCTION("DATE(INDEX(SPLIT(I3927,""/""),,3),INDEX(SPLIT(I3927,""/""),,2),INDEX(SPLIT(I3927,""/""),,1))"),44713.0)</f>
        <v>44713</v>
      </c>
      <c r="L3927" s="1">
        <v>0.0</v>
      </c>
      <c r="M3927" s="1" t="s">
        <v>437</v>
      </c>
      <c r="N3927" s="1"/>
      <c r="O3927" s="1" t="s">
        <v>30</v>
      </c>
      <c r="P3927" s="1" t="s">
        <v>31</v>
      </c>
      <c r="Q3927" s="1" t="s">
        <v>235</v>
      </c>
      <c r="R3927" s="1" t="s">
        <v>235</v>
      </c>
      <c r="S3927" s="1" t="s">
        <v>236</v>
      </c>
      <c r="U3927" s="1">
        <v>1.00650375E8</v>
      </c>
      <c r="X3927" s="1" t="s">
        <v>74</v>
      </c>
      <c r="Y3927" s="1" t="s">
        <v>437</v>
      </c>
      <c r="Z3927" s="1" t="s">
        <v>37</v>
      </c>
    </row>
    <row r="3928" hidden="1">
      <c r="A3928" s="1" t="s">
        <v>11289</v>
      </c>
      <c r="B3928" s="1" t="s">
        <v>927</v>
      </c>
      <c r="C3928" s="1" t="s">
        <v>11290</v>
      </c>
      <c r="D3928" s="1" t="s">
        <v>27</v>
      </c>
      <c r="E3928" s="1" t="s">
        <v>28</v>
      </c>
      <c r="F3928" s="2">
        <v>200000.0</v>
      </c>
      <c r="G3928" s="1" t="s">
        <v>4047</v>
      </c>
      <c r="H3928" s="4">
        <f>IFERROR(__xludf.DUMMYFUNCTION("DATE(INDEX(SPLIT(G3928,""/""),,3),INDEX(SPLIT(G3928,""/""),,2),INDEX(SPLIT(G3928,""/""),,1))"),44580.0)</f>
        <v>44580</v>
      </c>
      <c r="I3928" s="1" t="s">
        <v>109</v>
      </c>
      <c r="J3928" s="4">
        <f>IFERROR(__xludf.DUMMYFUNCTION("DATE(INDEX(SPLIT(I3928,""/""),,3),INDEX(SPLIT(I3928,""/""),,2),INDEX(SPLIT(I3928,""/""),,1))"),44834.0)</f>
        <v>44834</v>
      </c>
      <c r="L3928" s="1">
        <v>0.0</v>
      </c>
      <c r="M3928" s="1" t="s">
        <v>863</v>
      </c>
      <c r="N3928" s="1"/>
      <c r="O3928" s="1" t="s">
        <v>30</v>
      </c>
      <c r="P3928" s="1" t="s">
        <v>31</v>
      </c>
      <c r="Q3928" s="1" t="s">
        <v>32</v>
      </c>
      <c r="R3928" s="1" t="s">
        <v>32</v>
      </c>
      <c r="S3928" s="1" t="s">
        <v>33</v>
      </c>
      <c r="U3928" s="1">
        <v>1.00650568E8</v>
      </c>
      <c r="X3928" s="1" t="s">
        <v>117</v>
      </c>
      <c r="Y3928" s="1" t="s">
        <v>11291</v>
      </c>
      <c r="Z3928" s="1" t="s">
        <v>37</v>
      </c>
    </row>
    <row r="3929" hidden="1">
      <c r="A3929" s="1" t="s">
        <v>11292</v>
      </c>
      <c r="B3929" s="1" t="s">
        <v>8729</v>
      </c>
      <c r="C3929" s="1" t="s">
        <v>11293</v>
      </c>
      <c r="D3929" s="1" t="s">
        <v>27</v>
      </c>
      <c r="E3929" s="1" t="s">
        <v>28</v>
      </c>
      <c r="F3929" s="2">
        <v>200000.0</v>
      </c>
      <c r="G3929" s="1" t="s">
        <v>382</v>
      </c>
      <c r="H3929" s="4">
        <f>IFERROR(__xludf.DUMMYFUNCTION("DATE(INDEX(SPLIT(G3929,""/""),,3),INDEX(SPLIT(G3929,""/""),,2),INDEX(SPLIT(G3929,""/""),,1))"),44758.0)</f>
        <v>44758</v>
      </c>
      <c r="I3929" s="1" t="s">
        <v>130</v>
      </c>
      <c r="J3929" s="4">
        <f>IFERROR(__xludf.DUMMYFUNCTION("DATE(INDEX(SPLIT(I3929,""/""),,3),INDEX(SPLIT(I3929,""/""),,2),INDEX(SPLIT(I3929,""/""),,1))"),44804.0)</f>
        <v>44804</v>
      </c>
      <c r="L3929" s="1">
        <v>0.0</v>
      </c>
      <c r="M3929" s="1" t="s">
        <v>11294</v>
      </c>
      <c r="N3929" s="1"/>
      <c r="O3929" s="1" t="s">
        <v>30</v>
      </c>
      <c r="P3929" s="1" t="s">
        <v>31</v>
      </c>
      <c r="Q3929" s="1" t="s">
        <v>188</v>
      </c>
      <c r="R3929" s="1" t="s">
        <v>188</v>
      </c>
      <c r="S3929" s="1" t="s">
        <v>189</v>
      </c>
      <c r="U3929" s="1">
        <v>1.00614858E8</v>
      </c>
      <c r="Y3929" s="1" t="s">
        <v>11294</v>
      </c>
      <c r="Z3929" s="1" t="s">
        <v>37</v>
      </c>
    </row>
    <row r="3930" hidden="1">
      <c r="A3930" s="1" t="s">
        <v>11295</v>
      </c>
      <c r="B3930" s="1" t="s">
        <v>11296</v>
      </c>
      <c r="C3930" s="1" t="s">
        <v>11297</v>
      </c>
      <c r="D3930" s="1" t="s">
        <v>27</v>
      </c>
      <c r="E3930" s="1" t="s">
        <v>28</v>
      </c>
      <c r="F3930" s="2">
        <v>200000.0</v>
      </c>
      <c r="G3930" s="1" t="s">
        <v>1259</v>
      </c>
      <c r="H3930" s="4">
        <f>IFERROR(__xludf.DUMMYFUNCTION("DATE(INDEX(SPLIT(G3930,""/""),,3),INDEX(SPLIT(G3930,""/""),,2),INDEX(SPLIT(G3930,""/""),,1))"),44763.0)</f>
        <v>44763</v>
      </c>
      <c r="I3930" s="1" t="s">
        <v>109</v>
      </c>
      <c r="J3930" s="4">
        <f>IFERROR(__xludf.DUMMYFUNCTION("DATE(INDEX(SPLIT(I3930,""/""),,3),INDEX(SPLIT(I3930,""/""),,2),INDEX(SPLIT(I3930,""/""),,1))"),44834.0)</f>
        <v>44834</v>
      </c>
      <c r="L3930" s="1">
        <v>0.0</v>
      </c>
      <c r="M3930" s="1" t="s">
        <v>3503</v>
      </c>
      <c r="N3930" s="1"/>
      <c r="O3930" s="1" t="s">
        <v>30</v>
      </c>
      <c r="P3930" s="1" t="s">
        <v>31</v>
      </c>
      <c r="Q3930" s="1" t="s">
        <v>95</v>
      </c>
      <c r="R3930" s="1" t="s">
        <v>95</v>
      </c>
      <c r="S3930" s="1" t="s">
        <v>96</v>
      </c>
      <c r="T3930" s="1" t="s">
        <v>311</v>
      </c>
      <c r="U3930" s="1">
        <v>1.00625578E8</v>
      </c>
      <c r="X3930" s="1" t="s">
        <v>46</v>
      </c>
      <c r="Y3930" s="1" t="s">
        <v>2835</v>
      </c>
      <c r="Z3930" s="1" t="s">
        <v>37</v>
      </c>
    </row>
    <row r="3931">
      <c r="A3931" s="1" t="s">
        <v>11298</v>
      </c>
      <c r="B3931" s="1" t="s">
        <v>11299</v>
      </c>
      <c r="C3931" s="1" t="s">
        <v>11300</v>
      </c>
      <c r="D3931" s="1" t="s">
        <v>27</v>
      </c>
      <c r="E3931" s="1" t="s">
        <v>28</v>
      </c>
      <c r="F3931" s="2">
        <v>200000.0</v>
      </c>
      <c r="G3931" s="4">
        <v>44564.0</v>
      </c>
      <c r="H3931" s="4">
        <f>IFERROR(__xludf.DUMMYFUNCTION("DATE(INDEX(SPLIT(G3931,""/""),,3),INDEX(SPLIT(G3931,""/""),,2),INDEX(SPLIT(G3931,""/""),,1))"),44621.0)</f>
        <v>44621</v>
      </c>
      <c r="I3931" s="1" t="s">
        <v>69</v>
      </c>
      <c r="J3931" s="4">
        <f>IFERROR(__xludf.DUMMYFUNCTION("DATE(INDEX(SPLIT(I3931,""/""),,3),INDEX(SPLIT(I3931,""/""),,2),INDEX(SPLIT(I3931,""/""),,1))"),44773.0)</f>
        <v>44773</v>
      </c>
      <c r="L3931" s="1">
        <v>0.0</v>
      </c>
      <c r="M3931" s="1" t="s">
        <v>1350</v>
      </c>
      <c r="N3931" s="1"/>
      <c r="O3931" s="1" t="s">
        <v>30</v>
      </c>
      <c r="P3931" s="1" t="s">
        <v>31</v>
      </c>
      <c r="Q3931" s="1" t="s">
        <v>235</v>
      </c>
      <c r="R3931" s="1" t="s">
        <v>235</v>
      </c>
      <c r="S3931" s="1" t="s">
        <v>236</v>
      </c>
      <c r="T3931" s="1" t="s">
        <v>1349</v>
      </c>
      <c r="U3931" s="1">
        <v>1.0059866E8</v>
      </c>
      <c r="X3931" s="1" t="s">
        <v>88</v>
      </c>
      <c r="Y3931" s="1" t="s">
        <v>1350</v>
      </c>
      <c r="Z3931" s="1" t="s">
        <v>527</v>
      </c>
    </row>
    <row r="3932">
      <c r="A3932" s="1" t="s">
        <v>11301</v>
      </c>
      <c r="B3932" s="1" t="s">
        <v>11302</v>
      </c>
      <c r="C3932" s="1" t="s">
        <v>11303</v>
      </c>
      <c r="D3932" s="1" t="s">
        <v>27</v>
      </c>
      <c r="E3932" s="1" t="s">
        <v>28</v>
      </c>
      <c r="F3932" s="2">
        <v>200000.0</v>
      </c>
      <c r="G3932" s="1" t="s">
        <v>3149</v>
      </c>
      <c r="H3932" s="4">
        <f>IFERROR(__xludf.DUMMYFUNCTION("DATE(INDEX(SPLIT(G3932,""/""),,3),INDEX(SPLIT(G3932,""/""),,2),INDEX(SPLIT(G3932,""/""),,1))"),44301.0)</f>
        <v>44301</v>
      </c>
      <c r="I3932" s="1" t="s">
        <v>518</v>
      </c>
      <c r="J3932" s="4">
        <f>IFERROR(__xludf.DUMMYFUNCTION("DATE(INDEX(SPLIT(I3932,""/""),,3),INDEX(SPLIT(I3932,""/""),,2),INDEX(SPLIT(I3932,""/""),,1))"),44757.0)</f>
        <v>44757</v>
      </c>
      <c r="L3932" s="1">
        <v>0.0</v>
      </c>
      <c r="M3932" s="1" t="s">
        <v>2724</v>
      </c>
      <c r="N3932" s="1"/>
      <c r="O3932" s="1" t="s">
        <v>30</v>
      </c>
      <c r="P3932" s="1" t="s">
        <v>31</v>
      </c>
      <c r="Q3932" s="1" t="s">
        <v>32</v>
      </c>
      <c r="R3932" s="1" t="s">
        <v>32</v>
      </c>
      <c r="S3932" s="1" t="s">
        <v>33</v>
      </c>
      <c r="T3932" s="1" t="s">
        <v>1195</v>
      </c>
      <c r="U3932" s="1">
        <v>1.00606975E8</v>
      </c>
      <c r="X3932" s="1" t="s">
        <v>490</v>
      </c>
      <c r="Y3932" s="1" t="s">
        <v>4304</v>
      </c>
      <c r="Z3932" s="1" t="s">
        <v>37</v>
      </c>
    </row>
    <row r="3933">
      <c r="A3933" s="1" t="s">
        <v>11304</v>
      </c>
      <c r="B3933" s="1" t="s">
        <v>11305</v>
      </c>
      <c r="C3933" s="1" t="s">
        <v>11306</v>
      </c>
      <c r="D3933" s="1" t="s">
        <v>27</v>
      </c>
      <c r="E3933" s="1" t="s">
        <v>28</v>
      </c>
      <c r="F3933" s="2">
        <v>200000.0</v>
      </c>
      <c r="G3933" s="1" t="s">
        <v>1467</v>
      </c>
      <c r="H3933" s="4">
        <f>IFERROR(__xludf.DUMMYFUNCTION("DATE(INDEX(SPLIT(G3933,""/""),,3),INDEX(SPLIT(G3933,""/""),,2),INDEX(SPLIT(G3933,""/""),,1))"),44396.0)</f>
        <v>44396</v>
      </c>
      <c r="I3933" s="1" t="s">
        <v>1244</v>
      </c>
      <c r="J3933" s="4">
        <f>IFERROR(__xludf.DUMMYFUNCTION("DATE(INDEX(SPLIT(I3933,""/""),,3),INDEX(SPLIT(I3933,""/""),,2),INDEX(SPLIT(I3933,""/""),,1))"),44742.0)</f>
        <v>44742</v>
      </c>
      <c r="L3933" s="1">
        <v>0.0</v>
      </c>
      <c r="M3933" s="1" t="s">
        <v>2371</v>
      </c>
      <c r="N3933" s="1"/>
      <c r="O3933" s="1" t="s">
        <v>30</v>
      </c>
      <c r="P3933" s="1" t="s">
        <v>31</v>
      </c>
      <c r="Q3933" s="1" t="s">
        <v>53</v>
      </c>
      <c r="R3933" s="1" t="s">
        <v>53</v>
      </c>
      <c r="S3933" s="1" t="s">
        <v>54</v>
      </c>
      <c r="T3933" s="1" t="s">
        <v>2372</v>
      </c>
      <c r="U3933" s="1">
        <v>1.00649936E8</v>
      </c>
      <c r="X3933" s="1" t="s">
        <v>609</v>
      </c>
      <c r="Y3933" s="1" t="s">
        <v>2371</v>
      </c>
      <c r="Z3933" s="1" t="s">
        <v>37</v>
      </c>
    </row>
    <row r="3934">
      <c r="A3934" s="1" t="s">
        <v>11307</v>
      </c>
      <c r="B3934" s="1" t="s">
        <v>11308</v>
      </c>
      <c r="C3934" s="1" t="s">
        <v>11309</v>
      </c>
      <c r="D3934" s="1" t="s">
        <v>27</v>
      </c>
      <c r="E3934" s="1" t="s">
        <v>28</v>
      </c>
      <c r="F3934" s="2">
        <v>200000.0</v>
      </c>
      <c r="G3934" s="4">
        <v>44748.0</v>
      </c>
      <c r="H3934" s="4">
        <f>IFERROR(__xludf.DUMMYFUNCTION("DATE(INDEX(SPLIT(G3934,""/""),,3),INDEX(SPLIT(G3934,""/""),,2),INDEX(SPLIT(G3934,""/""),,1))"),44719.0)</f>
        <v>44719</v>
      </c>
      <c r="I3934" s="1" t="s">
        <v>1244</v>
      </c>
      <c r="J3934" s="4">
        <f>IFERROR(__xludf.DUMMYFUNCTION("DATE(INDEX(SPLIT(I3934,""/""),,3),INDEX(SPLIT(I3934,""/""),,2),INDEX(SPLIT(I3934,""/""),,1))"),44742.0)</f>
        <v>44742</v>
      </c>
      <c r="L3934" s="1">
        <v>0.0</v>
      </c>
      <c r="M3934" s="1" t="s">
        <v>7494</v>
      </c>
      <c r="N3934" s="1"/>
      <c r="O3934" s="1" t="s">
        <v>30</v>
      </c>
      <c r="P3934" s="1" t="s">
        <v>31</v>
      </c>
      <c r="Q3934" s="1" t="s">
        <v>188</v>
      </c>
      <c r="R3934" s="1" t="s">
        <v>188</v>
      </c>
      <c r="S3934" s="1" t="s">
        <v>189</v>
      </c>
      <c r="U3934" s="1">
        <v>1.00659145E8</v>
      </c>
      <c r="X3934" s="1" t="s">
        <v>63</v>
      </c>
      <c r="Y3934" s="1" t="s">
        <v>11310</v>
      </c>
      <c r="Z3934" s="1" t="s">
        <v>37</v>
      </c>
    </row>
    <row r="3935">
      <c r="A3935" s="1" t="s">
        <v>11311</v>
      </c>
      <c r="B3935" s="1" t="s">
        <v>3184</v>
      </c>
      <c r="C3935" s="1" t="s">
        <v>11312</v>
      </c>
      <c r="D3935" s="1" t="s">
        <v>27</v>
      </c>
      <c r="E3935" s="1" t="s">
        <v>28</v>
      </c>
      <c r="F3935" s="2">
        <v>200000.0</v>
      </c>
      <c r="G3935" s="1" t="s">
        <v>108</v>
      </c>
      <c r="H3935" s="4">
        <f>IFERROR(__xludf.DUMMYFUNCTION("DATE(INDEX(SPLIT(G3935,""/""),,3),INDEX(SPLIT(G3935,""/""),,2),INDEX(SPLIT(G3935,""/""),,1))"),44725.0)</f>
        <v>44725</v>
      </c>
      <c r="I3935" s="1" t="s">
        <v>69</v>
      </c>
      <c r="J3935" s="4">
        <f>IFERROR(__xludf.DUMMYFUNCTION("DATE(INDEX(SPLIT(I3935,""/""),,3),INDEX(SPLIT(I3935,""/""),,2),INDEX(SPLIT(I3935,""/""),,1))"),44773.0)</f>
        <v>44773</v>
      </c>
      <c r="L3935" s="1">
        <v>0.0</v>
      </c>
      <c r="M3935" s="1" t="s">
        <v>7887</v>
      </c>
      <c r="N3935" s="1"/>
      <c r="O3935" s="1" t="s">
        <v>30</v>
      </c>
      <c r="P3935" s="1" t="s">
        <v>31</v>
      </c>
      <c r="Q3935" s="1" t="s">
        <v>53</v>
      </c>
      <c r="R3935" s="1" t="s">
        <v>53</v>
      </c>
      <c r="S3935" s="1" t="s">
        <v>54</v>
      </c>
      <c r="T3935" s="1" t="s">
        <v>11313</v>
      </c>
      <c r="U3935" s="1">
        <v>1.00587219E8</v>
      </c>
      <c r="X3935" s="1" t="s">
        <v>312</v>
      </c>
      <c r="Y3935" s="1" t="s">
        <v>11314</v>
      </c>
      <c r="Z3935" s="1" t="s">
        <v>37</v>
      </c>
    </row>
    <row r="3936">
      <c r="A3936" s="1" t="s">
        <v>11315</v>
      </c>
      <c r="B3936" s="1" t="s">
        <v>6001</v>
      </c>
      <c r="C3936" s="1" t="s">
        <v>11316</v>
      </c>
      <c r="D3936" s="1" t="s">
        <v>27</v>
      </c>
      <c r="E3936" s="1" t="s">
        <v>28</v>
      </c>
      <c r="F3936" s="2">
        <v>200000.0</v>
      </c>
      <c r="G3936" s="4">
        <v>44656.0</v>
      </c>
      <c r="H3936" s="4">
        <f>IFERROR(__xludf.DUMMYFUNCTION("DATE(INDEX(SPLIT(G3936,""/""),,3),INDEX(SPLIT(G3936,""/""),,2),INDEX(SPLIT(G3936,""/""),,1))"),44685.0)</f>
        <v>44685</v>
      </c>
      <c r="I3936" s="1" t="s">
        <v>226</v>
      </c>
      <c r="J3936" s="4">
        <f>IFERROR(__xludf.DUMMYFUNCTION("DATE(INDEX(SPLIT(I3936,""/""),,3),INDEX(SPLIT(I3936,""/""),,2),INDEX(SPLIT(I3936,""/""),,1))"),44771.0)</f>
        <v>44771</v>
      </c>
      <c r="L3936" s="1">
        <v>0.0</v>
      </c>
      <c r="M3936" s="1" t="s">
        <v>6003</v>
      </c>
      <c r="N3936" s="1"/>
      <c r="O3936" s="1" t="s">
        <v>30</v>
      </c>
      <c r="P3936" s="1" t="s">
        <v>31</v>
      </c>
      <c r="Q3936" s="1" t="s">
        <v>235</v>
      </c>
      <c r="R3936" s="1" t="s">
        <v>235</v>
      </c>
      <c r="S3936" s="1" t="s">
        <v>236</v>
      </c>
      <c r="T3936" s="1" t="s">
        <v>753</v>
      </c>
      <c r="U3936" s="1">
        <v>1.00623535E8</v>
      </c>
      <c r="X3936" s="1" t="s">
        <v>88</v>
      </c>
      <c r="Y3936" s="1" t="s">
        <v>6003</v>
      </c>
      <c r="Z3936" s="1" t="s">
        <v>37</v>
      </c>
    </row>
    <row r="3937" hidden="1">
      <c r="A3937" s="1" t="s">
        <v>11317</v>
      </c>
      <c r="B3937" s="1" t="s">
        <v>756</v>
      </c>
      <c r="C3937" s="1" t="s">
        <v>11318</v>
      </c>
      <c r="D3937" s="1" t="s">
        <v>122</v>
      </c>
      <c r="E3937" s="1" t="s">
        <v>28</v>
      </c>
      <c r="F3937" s="2">
        <v>200000.0</v>
      </c>
      <c r="G3937" s="1" t="s">
        <v>93</v>
      </c>
      <c r="H3937" s="4">
        <f>IFERROR(__xludf.DUMMYFUNCTION("DATE(INDEX(SPLIT(G3937,""/""),,3),INDEX(SPLIT(G3937,""/""),,2),INDEX(SPLIT(G3937,""/""),,1))"),44671.0)</f>
        <v>44671</v>
      </c>
      <c r="I3937" s="1" t="s">
        <v>130</v>
      </c>
      <c r="J3937" s="4">
        <f>IFERROR(__xludf.DUMMYFUNCTION("DATE(INDEX(SPLIT(I3937,""/""),,3),INDEX(SPLIT(I3937,""/""),,2),INDEX(SPLIT(I3937,""/""),,1))"),44804.0)</f>
        <v>44804</v>
      </c>
      <c r="L3937" s="1">
        <v>0.0</v>
      </c>
      <c r="M3937" s="1" t="s">
        <v>2851</v>
      </c>
      <c r="N3937" s="1"/>
      <c r="O3937" s="1" t="s">
        <v>30</v>
      </c>
      <c r="P3937" s="1" t="s">
        <v>31</v>
      </c>
      <c r="Q3937" s="1" t="s">
        <v>235</v>
      </c>
      <c r="R3937" s="1" t="s">
        <v>235</v>
      </c>
      <c r="S3937" s="1" t="s">
        <v>236</v>
      </c>
      <c r="T3937" s="1" t="s">
        <v>753</v>
      </c>
      <c r="U3937" s="1">
        <v>1.00646035E8</v>
      </c>
      <c r="X3937" s="1" t="s">
        <v>88</v>
      </c>
      <c r="Y3937" s="1" t="s">
        <v>2851</v>
      </c>
      <c r="Z3937" s="1" t="s">
        <v>527</v>
      </c>
    </row>
    <row r="3938" hidden="1">
      <c r="A3938" s="1" t="s">
        <v>11319</v>
      </c>
      <c r="B3938" s="1" t="s">
        <v>612</v>
      </c>
      <c r="C3938" s="1" t="s">
        <v>11320</v>
      </c>
      <c r="D3938" s="1" t="s">
        <v>122</v>
      </c>
      <c r="E3938" s="1" t="s">
        <v>28</v>
      </c>
      <c r="F3938" s="2">
        <v>200000.0</v>
      </c>
      <c r="G3938" s="1" t="s">
        <v>1288</v>
      </c>
      <c r="H3938" s="4">
        <f>IFERROR(__xludf.DUMMYFUNCTION("DATE(INDEX(SPLIT(G3938,""/""),,3),INDEX(SPLIT(G3938,""/""),,2),INDEX(SPLIT(G3938,""/""),,1))"),44707.0)</f>
        <v>44707</v>
      </c>
      <c r="I3938" s="4">
        <v>44601.0</v>
      </c>
      <c r="J3938" s="4">
        <f>IFERROR(__xludf.DUMMYFUNCTION("DATE(INDEX(SPLIT(I3938,""/""),,3),INDEX(SPLIT(I3938,""/""),,2),INDEX(SPLIT(I3938,""/""),,1))"),44806.0)</f>
        <v>44806</v>
      </c>
      <c r="L3938" s="1">
        <v>0.0</v>
      </c>
      <c r="M3938" s="1" t="s">
        <v>1115</v>
      </c>
      <c r="N3938" s="1"/>
      <c r="O3938" s="1" t="s">
        <v>30</v>
      </c>
      <c r="P3938" s="1" t="s">
        <v>31</v>
      </c>
      <c r="Q3938" s="1" t="s">
        <v>157</v>
      </c>
      <c r="R3938" s="1" t="s">
        <v>157</v>
      </c>
      <c r="S3938" s="1" t="s">
        <v>158</v>
      </c>
      <c r="U3938" s="1">
        <v>1.00609827E8</v>
      </c>
      <c r="X3938" s="1" t="s">
        <v>490</v>
      </c>
      <c r="Y3938" s="1" t="s">
        <v>11321</v>
      </c>
      <c r="Z3938" s="1" t="s">
        <v>37</v>
      </c>
    </row>
    <row r="3939" hidden="1">
      <c r="A3939" s="1" t="s">
        <v>11322</v>
      </c>
      <c r="B3939" s="1" t="s">
        <v>8488</v>
      </c>
      <c r="C3939" s="1" t="s">
        <v>11323</v>
      </c>
      <c r="D3939" s="1" t="s">
        <v>27</v>
      </c>
      <c r="E3939" s="1" t="s">
        <v>28</v>
      </c>
      <c r="F3939" s="2">
        <v>200000.0</v>
      </c>
      <c r="G3939" s="1" t="s">
        <v>4667</v>
      </c>
      <c r="H3939" s="4">
        <f>IFERROR(__xludf.DUMMYFUNCTION("DATE(INDEX(SPLIT(G3939,""/""),,3),INDEX(SPLIT(G3939,""/""),,2),INDEX(SPLIT(G3939,""/""),,1))"),43763.0)</f>
        <v>43763</v>
      </c>
      <c r="I3939" s="1" t="s">
        <v>9918</v>
      </c>
      <c r="J3939" s="4">
        <f>IFERROR(__xludf.DUMMYFUNCTION("DATE(INDEX(SPLIT(I3939,""/""),,3),INDEX(SPLIT(I3939,""/""),,2),INDEX(SPLIT(I3939,""/""),,1))"),44794.0)</f>
        <v>44794</v>
      </c>
      <c r="L3939" s="1">
        <v>0.0</v>
      </c>
      <c r="M3939" s="1" t="s">
        <v>2237</v>
      </c>
      <c r="N3939" s="1"/>
      <c r="O3939" s="1" t="s">
        <v>30</v>
      </c>
      <c r="P3939" s="1" t="s">
        <v>31</v>
      </c>
      <c r="Q3939" s="1" t="s">
        <v>32</v>
      </c>
      <c r="R3939" s="1" t="s">
        <v>32</v>
      </c>
      <c r="S3939" s="1" t="s">
        <v>33</v>
      </c>
      <c r="T3939" s="1" t="s">
        <v>103</v>
      </c>
      <c r="U3939" s="1">
        <v>1.00611284E8</v>
      </c>
      <c r="X3939" s="1" t="s">
        <v>63</v>
      </c>
      <c r="Y3939" s="1" t="s">
        <v>6677</v>
      </c>
      <c r="Z3939" s="1" t="s">
        <v>37</v>
      </c>
    </row>
    <row r="3940" hidden="1">
      <c r="A3940" s="1" t="s">
        <v>11324</v>
      </c>
      <c r="B3940" s="1" t="s">
        <v>11325</v>
      </c>
      <c r="C3940" s="1" t="s">
        <v>11326</v>
      </c>
      <c r="D3940" s="1" t="s">
        <v>78</v>
      </c>
      <c r="E3940" s="1" t="s">
        <v>28</v>
      </c>
      <c r="F3940" s="2">
        <v>200000.0</v>
      </c>
      <c r="G3940" s="1" t="s">
        <v>3444</v>
      </c>
      <c r="H3940" s="4">
        <f>IFERROR(__xludf.DUMMYFUNCTION("DATE(INDEX(SPLIT(G3940,""/""),,3),INDEX(SPLIT(G3940,""/""),,2),INDEX(SPLIT(G3940,""/""),,1))"),44545.0)</f>
        <v>44545</v>
      </c>
      <c r="I3940" s="1" t="s">
        <v>1097</v>
      </c>
      <c r="J3940" s="4">
        <f>IFERROR(__xludf.DUMMYFUNCTION("DATE(INDEX(SPLIT(I3940,""/""),,3),INDEX(SPLIT(I3940,""/""),,2),INDEX(SPLIT(I3940,""/""),,1))"),45107.0)</f>
        <v>45107</v>
      </c>
      <c r="L3940" s="1">
        <v>0.0</v>
      </c>
      <c r="M3940" s="1" t="s">
        <v>2592</v>
      </c>
      <c r="N3940" s="1"/>
      <c r="O3940" s="1" t="s">
        <v>30</v>
      </c>
      <c r="P3940" s="1" t="s">
        <v>31</v>
      </c>
      <c r="Q3940" s="1" t="s">
        <v>71</v>
      </c>
      <c r="R3940" s="1" t="s">
        <v>71</v>
      </c>
      <c r="S3940" s="1" t="s">
        <v>72</v>
      </c>
      <c r="T3940" s="1" t="s">
        <v>136</v>
      </c>
      <c r="U3940" s="1">
        <v>1.00586452E8</v>
      </c>
      <c r="X3940" s="1" t="s">
        <v>2028</v>
      </c>
      <c r="Y3940" s="1" t="s">
        <v>2593</v>
      </c>
      <c r="Z3940" s="1" t="s">
        <v>37</v>
      </c>
    </row>
    <row r="3941" hidden="1">
      <c r="A3941" s="1" t="s">
        <v>11327</v>
      </c>
      <c r="B3941" s="1" t="s">
        <v>8609</v>
      </c>
      <c r="C3941" s="1" t="s">
        <v>11328</v>
      </c>
      <c r="D3941" s="1" t="s">
        <v>27</v>
      </c>
      <c r="E3941" s="1" t="s">
        <v>28</v>
      </c>
      <c r="F3941" s="2">
        <v>200000.0</v>
      </c>
      <c r="G3941" s="1" t="s">
        <v>1136</v>
      </c>
      <c r="H3941" s="4">
        <f>IFERROR(__xludf.DUMMYFUNCTION("DATE(INDEX(SPLIT(G3941,""/""),,3),INDEX(SPLIT(G3941,""/""),,2),INDEX(SPLIT(G3941,""/""),,1))"),44608.0)</f>
        <v>44608</v>
      </c>
      <c r="I3941" s="1" t="s">
        <v>109</v>
      </c>
      <c r="J3941" s="4">
        <f>IFERROR(__xludf.DUMMYFUNCTION("DATE(INDEX(SPLIT(I3941,""/""),,3),INDEX(SPLIT(I3941,""/""),,2),INDEX(SPLIT(I3941,""/""),,1))"),44834.0)</f>
        <v>44834</v>
      </c>
      <c r="L3941" s="1">
        <v>0.0</v>
      </c>
      <c r="M3941" s="1" t="s">
        <v>808</v>
      </c>
      <c r="N3941" s="1"/>
      <c r="O3941" s="1" t="s">
        <v>30</v>
      </c>
      <c r="P3941" s="1" t="s">
        <v>31</v>
      </c>
      <c r="Q3941" s="1" t="s">
        <v>228</v>
      </c>
      <c r="R3941" s="1" t="s">
        <v>228</v>
      </c>
      <c r="S3941" s="1" t="s">
        <v>229</v>
      </c>
      <c r="T3941" s="1" t="s">
        <v>505</v>
      </c>
      <c r="U3941" s="1">
        <v>1.00609871E8</v>
      </c>
      <c r="V3941" s="1" t="s">
        <v>11329</v>
      </c>
      <c r="W3941" s="1" t="s">
        <v>199</v>
      </c>
      <c r="X3941" s="1" t="s">
        <v>305</v>
      </c>
      <c r="Y3941" s="1" t="s">
        <v>809</v>
      </c>
      <c r="Z3941" s="1" t="s">
        <v>37</v>
      </c>
    </row>
    <row r="3942" hidden="1">
      <c r="A3942" s="1" t="s">
        <v>11330</v>
      </c>
      <c r="B3942" s="1" t="s">
        <v>4188</v>
      </c>
      <c r="C3942" s="1" t="s">
        <v>11331</v>
      </c>
      <c r="D3942" s="1" t="s">
        <v>27</v>
      </c>
      <c r="E3942" s="1" t="s">
        <v>28</v>
      </c>
      <c r="F3942" s="2">
        <v>200000.0</v>
      </c>
      <c r="G3942" s="4">
        <v>44511.0</v>
      </c>
      <c r="H3942" s="4">
        <f>IFERROR(__xludf.DUMMYFUNCTION("DATE(INDEX(SPLIT(G3942,""/""),,3),INDEX(SPLIT(G3942,""/""),,2),INDEX(SPLIT(G3942,""/""),,1))"),44511.0)</f>
        <v>44511</v>
      </c>
      <c r="I3942" s="1" t="s">
        <v>42</v>
      </c>
      <c r="J3942" s="4">
        <f>IFERROR(__xludf.DUMMYFUNCTION("DATE(INDEX(SPLIT(I3942,""/""),,3),INDEX(SPLIT(I3942,""/""),,2),INDEX(SPLIT(I3942,""/""),,1))"),44926.0)</f>
        <v>44926</v>
      </c>
      <c r="L3942" s="1">
        <v>0.0</v>
      </c>
      <c r="M3942" s="1" t="s">
        <v>2057</v>
      </c>
      <c r="N3942" s="1"/>
      <c r="O3942" s="1" t="s">
        <v>30</v>
      </c>
      <c r="P3942" s="1" t="s">
        <v>31</v>
      </c>
      <c r="Q3942" s="1" t="s">
        <v>71</v>
      </c>
      <c r="R3942" s="1" t="s">
        <v>71</v>
      </c>
      <c r="S3942" s="1" t="s">
        <v>72</v>
      </c>
      <c r="T3942" s="1" t="s">
        <v>136</v>
      </c>
      <c r="U3942" s="1">
        <v>1.01078216E8</v>
      </c>
      <c r="X3942" s="1" t="s">
        <v>74</v>
      </c>
      <c r="Y3942" s="1" t="s">
        <v>2057</v>
      </c>
      <c r="Z3942" s="1" t="s">
        <v>206</v>
      </c>
    </row>
    <row r="3943" hidden="1">
      <c r="A3943" s="1" t="s">
        <v>11332</v>
      </c>
      <c r="B3943" s="1" t="s">
        <v>11333</v>
      </c>
      <c r="C3943" s="1" t="s">
        <v>7572</v>
      </c>
      <c r="D3943" s="1" t="s">
        <v>78</v>
      </c>
      <c r="E3943" s="1" t="s">
        <v>28</v>
      </c>
      <c r="F3943" s="2">
        <v>200000.0</v>
      </c>
      <c r="G3943" s="1" t="s">
        <v>11334</v>
      </c>
      <c r="H3943" s="4">
        <f>IFERROR(__xludf.DUMMYFUNCTION("DATE(INDEX(SPLIT(G3943,""/""),,3),INDEX(SPLIT(G3943,""/""),,2),INDEX(SPLIT(G3943,""/""),,1))"),43856.0)</f>
        <v>43856</v>
      </c>
      <c r="I3943" s="1" t="s">
        <v>109</v>
      </c>
      <c r="J3943" s="4">
        <f>IFERROR(__xludf.DUMMYFUNCTION("DATE(INDEX(SPLIT(I3943,""/""),,3),INDEX(SPLIT(I3943,""/""),,2),INDEX(SPLIT(I3943,""/""),,1))"),44834.0)</f>
        <v>44834</v>
      </c>
      <c r="L3943" s="1">
        <v>0.0</v>
      </c>
      <c r="M3943" s="1" t="s">
        <v>4418</v>
      </c>
      <c r="N3943" s="1"/>
      <c r="O3943" s="1" t="s">
        <v>30</v>
      </c>
      <c r="P3943" s="1" t="s">
        <v>31</v>
      </c>
      <c r="Q3943" s="1" t="s">
        <v>188</v>
      </c>
      <c r="R3943" s="1" t="s">
        <v>188</v>
      </c>
      <c r="S3943" s="1" t="s">
        <v>189</v>
      </c>
      <c r="T3943" s="1" t="s">
        <v>304</v>
      </c>
      <c r="U3943" s="1">
        <v>1.0066064E8</v>
      </c>
      <c r="X3943" s="1" t="s">
        <v>781</v>
      </c>
      <c r="Y3943" s="1" t="s">
        <v>11335</v>
      </c>
      <c r="Z3943" s="1" t="s">
        <v>37</v>
      </c>
    </row>
    <row r="3944" hidden="1">
      <c r="A3944" s="1" t="s">
        <v>11336</v>
      </c>
      <c r="B3944" s="1" t="s">
        <v>8488</v>
      </c>
      <c r="C3944" s="1" t="s">
        <v>11337</v>
      </c>
      <c r="D3944" s="1" t="s">
        <v>27</v>
      </c>
      <c r="E3944" s="1" t="s">
        <v>28</v>
      </c>
      <c r="F3944" s="2">
        <v>200000.0</v>
      </c>
      <c r="G3944" s="1" t="s">
        <v>4667</v>
      </c>
      <c r="H3944" s="4">
        <f>IFERROR(__xludf.DUMMYFUNCTION("DATE(INDEX(SPLIT(G3944,""/""),,3),INDEX(SPLIT(G3944,""/""),,2),INDEX(SPLIT(G3944,""/""),,1))"),43763.0)</f>
        <v>43763</v>
      </c>
      <c r="I3944" s="1" t="s">
        <v>11338</v>
      </c>
      <c r="J3944" s="4">
        <f>IFERROR(__xludf.DUMMYFUNCTION("DATE(INDEX(SPLIT(I3944,""/""),,3),INDEX(SPLIT(I3944,""/""),,2),INDEX(SPLIT(I3944,""/""),,1))"),44822.0)</f>
        <v>44822</v>
      </c>
      <c r="L3944" s="1">
        <v>0.0</v>
      </c>
      <c r="M3944" s="1" t="s">
        <v>2237</v>
      </c>
      <c r="N3944" s="1"/>
      <c r="O3944" s="1" t="s">
        <v>30</v>
      </c>
      <c r="P3944" s="1" t="s">
        <v>31</v>
      </c>
      <c r="Q3944" s="1" t="s">
        <v>32</v>
      </c>
      <c r="R3944" s="1" t="s">
        <v>32</v>
      </c>
      <c r="S3944" s="1" t="s">
        <v>33</v>
      </c>
      <c r="T3944" s="1" t="s">
        <v>103</v>
      </c>
      <c r="U3944" s="1">
        <v>1.00611284E8</v>
      </c>
      <c r="X3944" s="1" t="s">
        <v>63</v>
      </c>
      <c r="Y3944" s="1" t="s">
        <v>6677</v>
      </c>
      <c r="Z3944" s="1" t="s">
        <v>37</v>
      </c>
    </row>
    <row r="3945" hidden="1">
      <c r="A3945" s="1" t="s">
        <v>11339</v>
      </c>
      <c r="B3945" s="1" t="s">
        <v>1371</v>
      </c>
      <c r="C3945" s="1" t="s">
        <v>11340</v>
      </c>
      <c r="D3945" s="1" t="s">
        <v>122</v>
      </c>
      <c r="E3945" s="1" t="s">
        <v>28</v>
      </c>
      <c r="F3945" s="2">
        <v>200000.0</v>
      </c>
      <c r="G3945" s="1" t="s">
        <v>382</v>
      </c>
      <c r="H3945" s="4">
        <f>IFERROR(__xludf.DUMMYFUNCTION("DATE(INDEX(SPLIT(G3945,""/""),,3),INDEX(SPLIT(G3945,""/""),,2),INDEX(SPLIT(G3945,""/""),,1))"),44758.0)</f>
        <v>44758</v>
      </c>
      <c r="I3945" s="1" t="s">
        <v>109</v>
      </c>
      <c r="J3945" s="4">
        <f>IFERROR(__xludf.DUMMYFUNCTION("DATE(INDEX(SPLIT(I3945,""/""),,3),INDEX(SPLIT(I3945,""/""),,2),INDEX(SPLIT(I3945,""/""),,1))"),44834.0)</f>
        <v>44834</v>
      </c>
      <c r="L3945" s="1">
        <v>0.0</v>
      </c>
      <c r="M3945" s="1" t="s">
        <v>787</v>
      </c>
      <c r="N3945" s="1"/>
      <c r="O3945" s="1" t="s">
        <v>30</v>
      </c>
      <c r="P3945" s="1" t="s">
        <v>31</v>
      </c>
      <c r="Q3945" s="1" t="s">
        <v>53</v>
      </c>
      <c r="R3945" s="1" t="s">
        <v>53</v>
      </c>
      <c r="S3945" s="1" t="s">
        <v>54</v>
      </c>
      <c r="U3945" s="1">
        <v>1.00610205E8</v>
      </c>
      <c r="X3945" s="1" t="s">
        <v>63</v>
      </c>
      <c r="Y3945" s="1" t="s">
        <v>787</v>
      </c>
      <c r="Z3945" s="1" t="s">
        <v>37</v>
      </c>
    </row>
    <row r="3946" hidden="1">
      <c r="A3946" s="1" t="s">
        <v>11341</v>
      </c>
      <c r="B3946" s="1" t="s">
        <v>1445</v>
      </c>
      <c r="C3946" s="1" t="s">
        <v>11342</v>
      </c>
      <c r="D3946" s="1" t="s">
        <v>27</v>
      </c>
      <c r="E3946" s="1" t="s">
        <v>28</v>
      </c>
      <c r="F3946" s="2">
        <v>200000.0</v>
      </c>
      <c r="G3946" s="4">
        <v>44511.0</v>
      </c>
      <c r="H3946" s="4">
        <f>IFERROR(__xludf.DUMMYFUNCTION("DATE(INDEX(SPLIT(G3946,""/""),,3),INDEX(SPLIT(G3946,""/""),,2),INDEX(SPLIT(G3946,""/""),,1))"),44511.0)</f>
        <v>44511</v>
      </c>
      <c r="I3946" s="1" t="s">
        <v>281</v>
      </c>
      <c r="J3946" s="4">
        <f>IFERROR(__xludf.DUMMYFUNCTION("DATE(INDEX(SPLIT(I3946,""/""),,3),INDEX(SPLIT(I3946,""/""),,2),INDEX(SPLIT(I3946,""/""),,1))"),44865.0)</f>
        <v>44865</v>
      </c>
      <c r="L3946" s="1">
        <v>0.0</v>
      </c>
      <c r="M3946" s="1" t="s">
        <v>2057</v>
      </c>
      <c r="N3946" s="1"/>
      <c r="O3946" s="1" t="s">
        <v>30</v>
      </c>
      <c r="P3946" s="1" t="s">
        <v>31</v>
      </c>
      <c r="Q3946" s="1" t="s">
        <v>71</v>
      </c>
      <c r="R3946" s="1" t="s">
        <v>71</v>
      </c>
      <c r="S3946" s="1" t="s">
        <v>72</v>
      </c>
      <c r="T3946" s="1" t="s">
        <v>136</v>
      </c>
      <c r="U3946" s="1">
        <v>1.01078216E8</v>
      </c>
      <c r="X3946" s="1" t="s">
        <v>74</v>
      </c>
      <c r="Y3946" s="1" t="s">
        <v>2057</v>
      </c>
      <c r="Z3946" s="1" t="s">
        <v>206</v>
      </c>
    </row>
    <row r="3947">
      <c r="A3947" s="1" t="s">
        <v>11343</v>
      </c>
      <c r="B3947" s="1" t="s">
        <v>1113</v>
      </c>
      <c r="C3947" s="1" t="s">
        <v>11344</v>
      </c>
      <c r="D3947" s="1" t="s">
        <v>27</v>
      </c>
      <c r="E3947" s="1" t="s">
        <v>28</v>
      </c>
      <c r="F3947" s="2">
        <v>200000.0</v>
      </c>
      <c r="G3947" s="1" t="s">
        <v>7870</v>
      </c>
      <c r="H3947" s="4">
        <f>IFERROR(__xludf.DUMMYFUNCTION("DATE(INDEX(SPLIT(G3947,""/""),,3),INDEX(SPLIT(G3947,""/""),,2),INDEX(SPLIT(G3947,""/""),,1))"),44499.0)</f>
        <v>44499</v>
      </c>
      <c r="I3947" s="1" t="s">
        <v>69</v>
      </c>
      <c r="J3947" s="4">
        <f>IFERROR(__xludf.DUMMYFUNCTION("DATE(INDEX(SPLIT(I3947,""/""),,3),INDEX(SPLIT(I3947,""/""),,2),INDEX(SPLIT(I3947,""/""),,1))"),44773.0)</f>
        <v>44773</v>
      </c>
      <c r="L3947" s="1">
        <v>0.0</v>
      </c>
      <c r="M3947" s="1" t="s">
        <v>5894</v>
      </c>
      <c r="N3947" s="1"/>
      <c r="O3947" s="1" t="s">
        <v>30</v>
      </c>
      <c r="P3947" s="1" t="s">
        <v>31</v>
      </c>
      <c r="Q3947" s="1" t="s">
        <v>32</v>
      </c>
      <c r="R3947" s="1" t="s">
        <v>32</v>
      </c>
      <c r="S3947" s="1" t="s">
        <v>33</v>
      </c>
      <c r="T3947" s="1" t="s">
        <v>1195</v>
      </c>
      <c r="U3947" s="1">
        <v>1.00580806E8</v>
      </c>
      <c r="X3947" s="1" t="s">
        <v>490</v>
      </c>
      <c r="Y3947" s="1" t="s">
        <v>7653</v>
      </c>
      <c r="Z3947" s="1" t="s">
        <v>37</v>
      </c>
    </row>
    <row r="3948" hidden="1">
      <c r="A3948" s="1" t="s">
        <v>11345</v>
      </c>
      <c r="B3948" s="1" t="s">
        <v>1991</v>
      </c>
      <c r="C3948" s="1" t="s">
        <v>11346</v>
      </c>
      <c r="D3948" s="1" t="s">
        <v>27</v>
      </c>
      <c r="E3948" s="1" t="s">
        <v>28</v>
      </c>
      <c r="F3948" s="2">
        <v>200000.0</v>
      </c>
      <c r="G3948" s="1" t="s">
        <v>2572</v>
      </c>
      <c r="H3948" s="4">
        <f>IFERROR(__xludf.DUMMYFUNCTION("DATE(INDEX(SPLIT(G3948,""/""),,3),INDEX(SPLIT(G3948,""/""),,2),INDEX(SPLIT(G3948,""/""),,1))"),44581.0)</f>
        <v>44581</v>
      </c>
      <c r="I3948" s="1" t="s">
        <v>11347</v>
      </c>
      <c r="J3948" s="4">
        <f>IFERROR(__xludf.DUMMYFUNCTION("DATE(INDEX(SPLIT(I3948,""/""),,3),INDEX(SPLIT(I3948,""/""),,2),INDEX(SPLIT(I3948,""/""),,1))"),44860.0)</f>
        <v>44860</v>
      </c>
      <c r="L3948" s="1">
        <v>0.0</v>
      </c>
      <c r="M3948" s="1" t="s">
        <v>1649</v>
      </c>
      <c r="N3948" s="1"/>
      <c r="O3948" s="1" t="s">
        <v>30</v>
      </c>
      <c r="P3948" s="1" t="s">
        <v>31</v>
      </c>
      <c r="Q3948" s="1" t="s">
        <v>157</v>
      </c>
      <c r="R3948" s="1" t="s">
        <v>157</v>
      </c>
      <c r="S3948" s="1" t="s">
        <v>158</v>
      </c>
      <c r="U3948" s="1">
        <v>1.00643454E8</v>
      </c>
      <c r="X3948" s="1" t="s">
        <v>490</v>
      </c>
      <c r="Y3948" s="1" t="s">
        <v>1649</v>
      </c>
      <c r="Z3948" s="1" t="s">
        <v>37</v>
      </c>
    </row>
    <row r="3949" hidden="1">
      <c r="A3949" s="1" t="s">
        <v>11348</v>
      </c>
      <c r="B3949" s="1" t="s">
        <v>11349</v>
      </c>
      <c r="C3949" s="1" t="s">
        <v>11350</v>
      </c>
      <c r="D3949" s="1" t="s">
        <v>122</v>
      </c>
      <c r="E3949" s="1" t="s">
        <v>28</v>
      </c>
      <c r="F3949" s="2">
        <v>200000.0</v>
      </c>
      <c r="G3949" s="1" t="s">
        <v>1767</v>
      </c>
      <c r="H3949" s="4">
        <f>IFERROR(__xludf.DUMMYFUNCTION("DATE(INDEX(SPLIT(G3949,""/""),,3),INDEX(SPLIT(G3949,""/""),,2),INDEX(SPLIT(G3949,""/""),,1))"),44698.0)</f>
        <v>44698</v>
      </c>
      <c r="I3949" s="4">
        <v>44903.0</v>
      </c>
      <c r="J3949" s="4">
        <f>IFERROR(__xludf.DUMMYFUNCTION("DATE(INDEX(SPLIT(I3949,""/""),,3),INDEX(SPLIT(I3949,""/""),,2),INDEX(SPLIT(I3949,""/""),,1))"),44785.0)</f>
        <v>44785</v>
      </c>
      <c r="L3949" s="1">
        <v>0.0</v>
      </c>
      <c r="M3949" s="1" t="s">
        <v>6587</v>
      </c>
      <c r="N3949" s="1"/>
      <c r="O3949" s="1" t="s">
        <v>30</v>
      </c>
      <c r="P3949" s="1" t="s">
        <v>31</v>
      </c>
      <c r="Q3949" s="1" t="s">
        <v>71</v>
      </c>
      <c r="R3949" s="1" t="s">
        <v>71</v>
      </c>
      <c r="S3949" s="1" t="s">
        <v>72</v>
      </c>
      <c r="T3949" s="1" t="s">
        <v>136</v>
      </c>
      <c r="U3949" s="1">
        <v>1.00618376E8</v>
      </c>
      <c r="X3949" s="1" t="s">
        <v>74</v>
      </c>
      <c r="Y3949" s="1" t="s">
        <v>6587</v>
      </c>
      <c r="Z3949" s="1" t="s">
        <v>37</v>
      </c>
    </row>
    <row r="3950">
      <c r="A3950" s="1" t="s">
        <v>11351</v>
      </c>
      <c r="B3950" s="1" t="s">
        <v>11352</v>
      </c>
      <c r="C3950" s="1" t="s">
        <v>11353</v>
      </c>
      <c r="D3950" s="1" t="s">
        <v>78</v>
      </c>
      <c r="E3950" s="1" t="s">
        <v>28</v>
      </c>
      <c r="F3950" s="2">
        <v>200000.0</v>
      </c>
      <c r="G3950" s="1" t="s">
        <v>518</v>
      </c>
      <c r="H3950" s="4">
        <f>IFERROR(__xludf.DUMMYFUNCTION("DATE(INDEX(SPLIT(G3950,""/""),,3),INDEX(SPLIT(G3950,""/""),,2),INDEX(SPLIT(G3950,""/""),,1))"),44757.0)</f>
        <v>44757</v>
      </c>
      <c r="I3950" s="1" t="s">
        <v>226</v>
      </c>
      <c r="J3950" s="4">
        <f>IFERROR(__xludf.DUMMYFUNCTION("DATE(INDEX(SPLIT(I3950,""/""),,3),INDEX(SPLIT(I3950,""/""),,2),INDEX(SPLIT(I3950,""/""),,1))"),44771.0)</f>
        <v>44771</v>
      </c>
      <c r="L3950" s="1">
        <v>0.0</v>
      </c>
      <c r="M3950" s="1" t="s">
        <v>2214</v>
      </c>
      <c r="N3950" s="1"/>
      <c r="O3950" s="1" t="s">
        <v>30</v>
      </c>
      <c r="P3950" s="1" t="s">
        <v>31</v>
      </c>
      <c r="Q3950" s="1" t="s">
        <v>95</v>
      </c>
      <c r="R3950" s="1" t="s">
        <v>95</v>
      </c>
      <c r="S3950" s="1" t="s">
        <v>96</v>
      </c>
      <c r="T3950" s="1" t="s">
        <v>111</v>
      </c>
      <c r="U3950" s="1">
        <v>1.00580065E8</v>
      </c>
      <c r="X3950" s="1" t="s">
        <v>98</v>
      </c>
      <c r="Y3950" s="1" t="s">
        <v>1868</v>
      </c>
      <c r="Z3950" s="1" t="s">
        <v>37</v>
      </c>
    </row>
    <row r="3951" hidden="1">
      <c r="A3951" s="1" t="s">
        <v>11354</v>
      </c>
      <c r="B3951" s="1" t="s">
        <v>1492</v>
      </c>
      <c r="C3951" s="1" t="s">
        <v>11355</v>
      </c>
      <c r="D3951" s="1" t="s">
        <v>78</v>
      </c>
      <c r="E3951" s="1" t="s">
        <v>28</v>
      </c>
      <c r="F3951" s="2">
        <v>200000.0</v>
      </c>
      <c r="G3951" s="1" t="s">
        <v>330</v>
      </c>
      <c r="H3951" s="4">
        <f>IFERROR(__xludf.DUMMYFUNCTION("DATE(INDEX(SPLIT(G3951,""/""),,3),INDEX(SPLIT(G3951,""/""),,2),INDEX(SPLIT(G3951,""/""),,1))"),44728.0)</f>
        <v>44728</v>
      </c>
      <c r="I3951" s="1" t="s">
        <v>102</v>
      </c>
      <c r="J3951" s="4">
        <f>IFERROR(__xludf.DUMMYFUNCTION("DATE(INDEX(SPLIT(I3951,""/""),,3),INDEX(SPLIT(I3951,""/""),,2),INDEX(SPLIT(I3951,""/""),,1))"),45046.0)</f>
        <v>45046</v>
      </c>
      <c r="L3951" s="1">
        <v>0.0</v>
      </c>
      <c r="M3951" s="1" t="s">
        <v>1685</v>
      </c>
      <c r="N3951" s="1"/>
      <c r="O3951" s="1" t="s">
        <v>30</v>
      </c>
      <c r="P3951" s="1" t="s">
        <v>31</v>
      </c>
      <c r="Q3951" s="1" t="s">
        <v>228</v>
      </c>
      <c r="R3951" s="1" t="s">
        <v>228</v>
      </c>
      <c r="S3951" s="1" t="s">
        <v>229</v>
      </c>
      <c r="T3951" s="1" t="s">
        <v>640</v>
      </c>
      <c r="U3951" s="1">
        <v>1.00612055E8</v>
      </c>
      <c r="X3951" s="1" t="s">
        <v>81</v>
      </c>
      <c r="Y3951" s="1" t="s">
        <v>8256</v>
      </c>
      <c r="Z3951" s="1" t="s">
        <v>37</v>
      </c>
    </row>
    <row r="3952" hidden="1">
      <c r="A3952" s="1" t="s">
        <v>11356</v>
      </c>
      <c r="B3952" s="1" t="s">
        <v>1216</v>
      </c>
      <c r="C3952" s="1" t="s">
        <v>11357</v>
      </c>
      <c r="D3952" s="1" t="s">
        <v>78</v>
      </c>
      <c r="E3952" s="1" t="s">
        <v>28</v>
      </c>
      <c r="F3952" s="2">
        <v>200000.0</v>
      </c>
      <c r="G3952" s="4">
        <v>44902.0</v>
      </c>
      <c r="H3952" s="4">
        <f>IFERROR(__xludf.DUMMYFUNCTION("DATE(INDEX(SPLIT(G3952,""/""),,3),INDEX(SPLIT(G3952,""/""),,2),INDEX(SPLIT(G3952,""/""),,1))"),44754.0)</f>
        <v>44754</v>
      </c>
      <c r="I3952" s="1" t="s">
        <v>1799</v>
      </c>
      <c r="J3952" s="4">
        <f>IFERROR(__xludf.DUMMYFUNCTION("DATE(INDEX(SPLIT(I3952,""/""),,3),INDEX(SPLIT(I3952,""/""),,2),INDEX(SPLIT(I3952,""/""),,1))"),44788.0)</f>
        <v>44788</v>
      </c>
      <c r="L3952" s="1">
        <v>0.0</v>
      </c>
      <c r="M3952" s="1" t="s">
        <v>10200</v>
      </c>
      <c r="N3952" s="1"/>
      <c r="O3952" s="1" t="s">
        <v>30</v>
      </c>
      <c r="P3952" s="1" t="s">
        <v>31</v>
      </c>
      <c r="Q3952" s="1" t="s">
        <v>235</v>
      </c>
      <c r="R3952" s="1" t="s">
        <v>235</v>
      </c>
      <c r="S3952" s="1" t="s">
        <v>236</v>
      </c>
      <c r="U3952" s="1">
        <v>1.0059348E8</v>
      </c>
      <c r="X3952" s="1" t="s">
        <v>88</v>
      </c>
      <c r="Y3952" s="1" t="s">
        <v>10200</v>
      </c>
      <c r="Z3952" s="1" t="s">
        <v>527</v>
      </c>
    </row>
    <row r="3953" hidden="1">
      <c r="A3953" s="1" t="s">
        <v>11358</v>
      </c>
      <c r="B3953" s="1" t="s">
        <v>605</v>
      </c>
      <c r="C3953" s="1" t="s">
        <v>9125</v>
      </c>
      <c r="D3953" s="1" t="s">
        <v>78</v>
      </c>
      <c r="E3953" s="1" t="s">
        <v>28</v>
      </c>
      <c r="F3953" s="2">
        <v>200000.0</v>
      </c>
      <c r="G3953" s="1" t="s">
        <v>3896</v>
      </c>
      <c r="H3953" s="4">
        <f>IFERROR(__xludf.DUMMYFUNCTION("DATE(INDEX(SPLIT(G3953,""/""),,3),INDEX(SPLIT(G3953,""/""),,2),INDEX(SPLIT(G3953,""/""),,1))"),44697.0)</f>
        <v>44697</v>
      </c>
      <c r="I3953" s="1" t="s">
        <v>569</v>
      </c>
      <c r="J3953" s="4">
        <f>IFERROR(__xludf.DUMMYFUNCTION("DATE(INDEX(SPLIT(I3953,""/""),,3),INDEX(SPLIT(I3953,""/""),,2),INDEX(SPLIT(I3953,""/""),,1))"),45016.0)</f>
        <v>45016</v>
      </c>
      <c r="L3953" s="1">
        <v>0.0</v>
      </c>
      <c r="M3953" s="1" t="s">
        <v>3133</v>
      </c>
      <c r="N3953" s="1"/>
      <c r="O3953" s="1" t="s">
        <v>30</v>
      </c>
      <c r="P3953" s="1" t="s">
        <v>31</v>
      </c>
      <c r="Q3953" s="1" t="s">
        <v>228</v>
      </c>
      <c r="R3953" s="1" t="s">
        <v>228</v>
      </c>
      <c r="S3953" s="1" t="s">
        <v>229</v>
      </c>
      <c r="T3953" s="1" t="s">
        <v>513</v>
      </c>
      <c r="U3953" s="1">
        <v>1.00611158E8</v>
      </c>
      <c r="X3953" s="1" t="s">
        <v>63</v>
      </c>
      <c r="Y3953" s="1" t="s">
        <v>3133</v>
      </c>
      <c r="Z3953" s="1" t="s">
        <v>37</v>
      </c>
    </row>
    <row r="3954" hidden="1">
      <c r="A3954" s="1" t="s">
        <v>11359</v>
      </c>
      <c r="B3954" s="1" t="s">
        <v>1479</v>
      </c>
      <c r="C3954" s="1" t="s">
        <v>11360</v>
      </c>
      <c r="D3954" s="1" t="s">
        <v>27</v>
      </c>
      <c r="E3954" s="1" t="s">
        <v>28</v>
      </c>
      <c r="F3954" s="2">
        <v>200000.0</v>
      </c>
      <c r="G3954" s="1" t="s">
        <v>1569</v>
      </c>
      <c r="H3954" s="4">
        <f>IFERROR(__xludf.DUMMYFUNCTION("DATE(INDEX(SPLIT(G3954,""/""),,3),INDEX(SPLIT(G3954,""/""),,2),INDEX(SPLIT(G3954,""/""),,1))"),44645.0)</f>
        <v>44645</v>
      </c>
      <c r="I3954" s="1" t="s">
        <v>487</v>
      </c>
      <c r="J3954" s="4">
        <f>IFERROR(__xludf.DUMMYFUNCTION("DATE(INDEX(SPLIT(I3954,""/""),,3),INDEX(SPLIT(I3954,""/""),,2),INDEX(SPLIT(I3954,""/""),,1))"),44855.0)</f>
        <v>44855</v>
      </c>
      <c r="L3954" s="1">
        <v>0.0</v>
      </c>
      <c r="M3954" s="1" t="s">
        <v>11361</v>
      </c>
      <c r="N3954" s="1"/>
      <c r="O3954" s="1" t="s">
        <v>30</v>
      </c>
      <c r="P3954" s="1" t="s">
        <v>31</v>
      </c>
      <c r="Q3954" s="1" t="s">
        <v>157</v>
      </c>
      <c r="R3954" s="1" t="s">
        <v>157</v>
      </c>
      <c r="S3954" s="1" t="s">
        <v>158</v>
      </c>
      <c r="U3954" s="1">
        <v>1.00612715E8</v>
      </c>
      <c r="X3954" s="1" t="s">
        <v>305</v>
      </c>
      <c r="Y3954" s="1" t="s">
        <v>1481</v>
      </c>
      <c r="Z3954" s="1" t="s">
        <v>37</v>
      </c>
    </row>
    <row r="3955" hidden="1">
      <c r="A3955" s="1" t="s">
        <v>11362</v>
      </c>
      <c r="B3955" s="1" t="s">
        <v>4572</v>
      </c>
      <c r="C3955" s="1" t="s">
        <v>11363</v>
      </c>
      <c r="D3955" s="1" t="s">
        <v>27</v>
      </c>
      <c r="E3955" s="1" t="s">
        <v>28</v>
      </c>
      <c r="F3955" s="2">
        <v>200000.0</v>
      </c>
      <c r="G3955" s="1" t="s">
        <v>518</v>
      </c>
      <c r="H3955" s="4">
        <f>IFERROR(__xludf.DUMMYFUNCTION("DATE(INDEX(SPLIT(G3955,""/""),,3),INDEX(SPLIT(G3955,""/""),,2),INDEX(SPLIT(G3955,""/""),,1))"),44757.0)</f>
        <v>44757</v>
      </c>
      <c r="I3955" s="1" t="s">
        <v>1361</v>
      </c>
      <c r="J3955" s="4">
        <f>IFERROR(__xludf.DUMMYFUNCTION("DATE(INDEX(SPLIT(I3955,""/""),,3),INDEX(SPLIT(I3955,""/""),,2),INDEX(SPLIT(I3955,""/""),,1))"),44827.0)</f>
        <v>44827</v>
      </c>
      <c r="L3955" s="1">
        <v>0.0</v>
      </c>
      <c r="M3955" s="1" t="s">
        <v>7830</v>
      </c>
      <c r="N3955" s="1"/>
      <c r="O3955" s="1" t="s">
        <v>30</v>
      </c>
      <c r="P3955" s="1" t="s">
        <v>31</v>
      </c>
      <c r="Q3955" s="1" t="s">
        <v>235</v>
      </c>
      <c r="R3955" s="1" t="s">
        <v>235</v>
      </c>
      <c r="S3955" s="1" t="s">
        <v>236</v>
      </c>
      <c r="U3955" s="1">
        <v>1.00658814E8</v>
      </c>
      <c r="X3955" s="1" t="s">
        <v>375</v>
      </c>
      <c r="Y3955" s="1" t="s">
        <v>3861</v>
      </c>
      <c r="Z3955" s="1" t="s">
        <v>37</v>
      </c>
    </row>
    <row r="3956">
      <c r="A3956" s="1" t="s">
        <v>11364</v>
      </c>
      <c r="B3956" s="1" t="s">
        <v>9503</v>
      </c>
      <c r="C3956" s="1" t="s">
        <v>11365</v>
      </c>
      <c r="D3956" s="1" t="s">
        <v>122</v>
      </c>
      <c r="E3956" s="1" t="s">
        <v>28</v>
      </c>
      <c r="F3956" s="2">
        <v>200000.0</v>
      </c>
      <c r="G3956" s="1" t="s">
        <v>1442</v>
      </c>
      <c r="H3956" s="4">
        <f>IFERROR(__xludf.DUMMYFUNCTION("DATE(INDEX(SPLIT(G3956,""/""),,3),INDEX(SPLIT(G3956,""/""),,2),INDEX(SPLIT(G3956,""/""),,1))"),44727.0)</f>
        <v>44727</v>
      </c>
      <c r="I3956" s="1" t="s">
        <v>472</v>
      </c>
      <c r="J3956" s="4">
        <f>IFERROR(__xludf.DUMMYFUNCTION("DATE(INDEX(SPLIT(I3956,""/""),,3),INDEX(SPLIT(I3956,""/""),,2),INDEX(SPLIT(I3956,""/""),,1))"),44760.0)</f>
        <v>44760</v>
      </c>
      <c r="L3956" s="1">
        <v>0.0</v>
      </c>
      <c r="M3956" s="1" t="s">
        <v>11366</v>
      </c>
      <c r="N3956" s="1"/>
      <c r="O3956" s="1" t="s">
        <v>30</v>
      </c>
      <c r="P3956" s="1" t="s">
        <v>31</v>
      </c>
      <c r="Q3956" s="1" t="s">
        <v>228</v>
      </c>
      <c r="R3956" s="1" t="s">
        <v>228</v>
      </c>
      <c r="S3956" s="1" t="s">
        <v>229</v>
      </c>
      <c r="T3956" s="1" t="s">
        <v>640</v>
      </c>
      <c r="U3956" s="1">
        <v>1.00889596E8</v>
      </c>
      <c r="X3956" s="1" t="s">
        <v>98</v>
      </c>
      <c r="Y3956" s="1" t="s">
        <v>11366</v>
      </c>
      <c r="Z3956" s="1" t="s">
        <v>206</v>
      </c>
    </row>
    <row r="3957" hidden="1">
      <c r="A3957" s="1" t="s">
        <v>11367</v>
      </c>
      <c r="B3957" s="1" t="s">
        <v>1586</v>
      </c>
      <c r="C3957" s="1" t="s">
        <v>11368</v>
      </c>
      <c r="D3957" s="1" t="s">
        <v>122</v>
      </c>
      <c r="E3957" s="1" t="s">
        <v>28</v>
      </c>
      <c r="F3957" s="2">
        <v>200000.0</v>
      </c>
      <c r="G3957" s="1" t="s">
        <v>3467</v>
      </c>
      <c r="H3957" s="4">
        <f>IFERROR(__xludf.DUMMYFUNCTION("DATE(INDEX(SPLIT(G3957,""/""),,3),INDEX(SPLIT(G3957,""/""),,2),INDEX(SPLIT(G3957,""/""),,1))"),44615.0)</f>
        <v>44615</v>
      </c>
      <c r="I3957" s="1" t="s">
        <v>130</v>
      </c>
      <c r="J3957" s="4">
        <f>IFERROR(__xludf.DUMMYFUNCTION("DATE(INDEX(SPLIT(I3957,""/""),,3),INDEX(SPLIT(I3957,""/""),,2),INDEX(SPLIT(I3957,""/""),,1))"),44804.0)</f>
        <v>44804</v>
      </c>
      <c r="L3957" s="1">
        <v>0.0</v>
      </c>
      <c r="M3957" s="1" t="s">
        <v>1565</v>
      </c>
      <c r="N3957" s="1"/>
      <c r="O3957" s="1" t="s">
        <v>30</v>
      </c>
      <c r="P3957" s="1" t="s">
        <v>31</v>
      </c>
      <c r="Q3957" s="1" t="s">
        <v>157</v>
      </c>
      <c r="R3957" s="1" t="s">
        <v>157</v>
      </c>
      <c r="S3957" s="1" t="s">
        <v>158</v>
      </c>
      <c r="T3957" s="1" t="s">
        <v>442</v>
      </c>
      <c r="U3957" s="1">
        <v>1.00646908E8</v>
      </c>
      <c r="X3957" s="1" t="s">
        <v>117</v>
      </c>
      <c r="Y3957" s="1" t="s">
        <v>852</v>
      </c>
      <c r="Z3957" s="1" t="s">
        <v>37</v>
      </c>
    </row>
    <row r="3958" hidden="1">
      <c r="A3958" s="1" t="s">
        <v>11369</v>
      </c>
      <c r="B3958" s="1" t="s">
        <v>7571</v>
      </c>
      <c r="C3958" s="1" t="s">
        <v>11370</v>
      </c>
      <c r="D3958" s="1" t="s">
        <v>27</v>
      </c>
      <c r="E3958" s="1" t="s">
        <v>28</v>
      </c>
      <c r="F3958" s="2">
        <v>200000.0</v>
      </c>
      <c r="G3958" s="1" t="s">
        <v>1767</v>
      </c>
      <c r="H3958" s="4">
        <f>IFERROR(__xludf.DUMMYFUNCTION("DATE(INDEX(SPLIT(G3958,""/""),,3),INDEX(SPLIT(G3958,""/""),,2),INDEX(SPLIT(G3958,""/""),,1))"),44698.0)</f>
        <v>44698</v>
      </c>
      <c r="I3958" s="1" t="s">
        <v>130</v>
      </c>
      <c r="J3958" s="4">
        <f>IFERROR(__xludf.DUMMYFUNCTION("DATE(INDEX(SPLIT(I3958,""/""),,3),INDEX(SPLIT(I3958,""/""),,2),INDEX(SPLIT(I3958,""/""),,1))"),44804.0)</f>
        <v>44804</v>
      </c>
      <c r="L3958" s="1">
        <v>0.0</v>
      </c>
      <c r="M3958" s="1" t="s">
        <v>6587</v>
      </c>
      <c r="N3958" s="1"/>
      <c r="O3958" s="1" t="s">
        <v>30</v>
      </c>
      <c r="P3958" s="1" t="s">
        <v>31</v>
      </c>
      <c r="Q3958" s="1" t="s">
        <v>71</v>
      </c>
      <c r="R3958" s="1" t="s">
        <v>71</v>
      </c>
      <c r="S3958" s="1" t="s">
        <v>72</v>
      </c>
      <c r="T3958" s="1" t="s">
        <v>136</v>
      </c>
      <c r="U3958" s="1">
        <v>1.00618376E8</v>
      </c>
      <c r="X3958" s="1" t="s">
        <v>74</v>
      </c>
      <c r="Y3958" s="1" t="s">
        <v>6587</v>
      </c>
      <c r="Z3958" s="1" t="s">
        <v>37</v>
      </c>
    </row>
    <row r="3959" hidden="1">
      <c r="A3959" s="1" t="s">
        <v>11371</v>
      </c>
      <c r="B3959" s="1" t="s">
        <v>106</v>
      </c>
      <c r="C3959" s="1" t="s">
        <v>11372</v>
      </c>
      <c r="D3959" s="1" t="s">
        <v>78</v>
      </c>
      <c r="E3959" s="1" t="s">
        <v>28</v>
      </c>
      <c r="F3959" s="2">
        <v>200000.0</v>
      </c>
      <c r="G3959" s="4">
        <v>44902.0</v>
      </c>
      <c r="H3959" s="4">
        <f>IFERROR(__xludf.DUMMYFUNCTION("DATE(INDEX(SPLIT(G3959,""/""),,3),INDEX(SPLIT(G3959,""/""),,2),INDEX(SPLIT(G3959,""/""),,1))"),44754.0)</f>
        <v>44754</v>
      </c>
      <c r="I3959" s="1" t="s">
        <v>130</v>
      </c>
      <c r="J3959" s="4">
        <f>IFERROR(__xludf.DUMMYFUNCTION("DATE(INDEX(SPLIT(I3959,""/""),,3),INDEX(SPLIT(I3959,""/""),,2),INDEX(SPLIT(I3959,""/""),,1))"),44804.0)</f>
        <v>44804</v>
      </c>
      <c r="L3959" s="1">
        <v>0.0</v>
      </c>
      <c r="M3959" s="1" t="s">
        <v>3182</v>
      </c>
      <c r="N3959" s="1"/>
      <c r="O3959" s="1" t="s">
        <v>30</v>
      </c>
      <c r="P3959" s="1" t="s">
        <v>31</v>
      </c>
      <c r="Q3959" s="1" t="s">
        <v>32</v>
      </c>
      <c r="R3959" s="1" t="s">
        <v>32</v>
      </c>
      <c r="S3959" s="1" t="s">
        <v>33</v>
      </c>
      <c r="U3959" s="1">
        <v>1.00592587E8</v>
      </c>
      <c r="X3959" s="1" t="s">
        <v>63</v>
      </c>
      <c r="Y3959" s="1" t="s">
        <v>11373</v>
      </c>
      <c r="Z3959" s="1" t="s">
        <v>37</v>
      </c>
    </row>
    <row r="3960" hidden="1">
      <c r="A3960" s="1" t="s">
        <v>11374</v>
      </c>
      <c r="B3960" s="1" t="s">
        <v>3044</v>
      </c>
      <c r="C3960" s="1" t="s">
        <v>11375</v>
      </c>
      <c r="D3960" s="1" t="s">
        <v>78</v>
      </c>
      <c r="E3960" s="1" t="s">
        <v>28</v>
      </c>
      <c r="F3960" s="2">
        <v>200000.0</v>
      </c>
      <c r="G3960" s="1" t="s">
        <v>1851</v>
      </c>
      <c r="H3960" s="4">
        <f>IFERROR(__xludf.DUMMYFUNCTION("DATE(INDEX(SPLIT(G3960,""/""),,3),INDEX(SPLIT(G3960,""/""),,2),INDEX(SPLIT(G3960,""/""),,1))"),44646.0)</f>
        <v>44646</v>
      </c>
      <c r="I3960" s="4">
        <v>44630.0</v>
      </c>
      <c r="J3960" s="4">
        <f>IFERROR(__xludf.DUMMYFUNCTION("DATE(INDEX(SPLIT(I3960,""/""),,3),INDEX(SPLIT(I3960,""/""),,2),INDEX(SPLIT(I3960,""/""),,1))"),44837.0)</f>
        <v>44837</v>
      </c>
      <c r="L3960" s="1">
        <v>0.0</v>
      </c>
      <c r="M3960" s="1" t="s">
        <v>2171</v>
      </c>
      <c r="N3960" s="1"/>
      <c r="O3960" s="1" t="s">
        <v>30</v>
      </c>
      <c r="P3960" s="1" t="s">
        <v>31</v>
      </c>
      <c r="Q3960" s="1" t="s">
        <v>53</v>
      </c>
      <c r="R3960" s="1" t="s">
        <v>53</v>
      </c>
      <c r="S3960" s="1" t="s">
        <v>54</v>
      </c>
      <c r="T3960" s="1" t="s">
        <v>1386</v>
      </c>
      <c r="U3960" s="1">
        <v>1.00638494E8</v>
      </c>
      <c r="X3960" s="1" t="s">
        <v>63</v>
      </c>
      <c r="Y3960" s="1" t="s">
        <v>2172</v>
      </c>
      <c r="Z3960" s="1" t="s">
        <v>527</v>
      </c>
    </row>
    <row r="3961" hidden="1">
      <c r="A3961" s="1" t="s">
        <v>11376</v>
      </c>
      <c r="B3961" s="1" t="s">
        <v>6936</v>
      </c>
      <c r="C3961" s="1" t="s">
        <v>11377</v>
      </c>
      <c r="D3961" s="1" t="s">
        <v>27</v>
      </c>
      <c r="E3961" s="1" t="s">
        <v>28</v>
      </c>
      <c r="F3961" s="2">
        <v>200000.0</v>
      </c>
      <c r="G3961" s="1" t="s">
        <v>1259</v>
      </c>
      <c r="H3961" s="4">
        <f>IFERROR(__xludf.DUMMYFUNCTION("DATE(INDEX(SPLIT(G3961,""/""),,3),INDEX(SPLIT(G3961,""/""),,2),INDEX(SPLIT(G3961,""/""),,1))"),44763.0)</f>
        <v>44763</v>
      </c>
      <c r="I3961" s="1" t="s">
        <v>317</v>
      </c>
      <c r="J3961" s="4">
        <f>IFERROR(__xludf.DUMMYFUNCTION("DATE(INDEX(SPLIT(I3961,""/""),,3),INDEX(SPLIT(I3961,""/""),,2),INDEX(SPLIT(I3961,""/""),,1))"),44862.0)</f>
        <v>44862</v>
      </c>
      <c r="L3961" s="1">
        <v>0.0</v>
      </c>
      <c r="M3961" s="1" t="s">
        <v>2147</v>
      </c>
      <c r="N3961" s="1"/>
      <c r="O3961" s="1" t="s">
        <v>30</v>
      </c>
      <c r="P3961" s="1" t="s">
        <v>31</v>
      </c>
      <c r="Q3961" s="1" t="s">
        <v>235</v>
      </c>
      <c r="R3961" s="1" t="s">
        <v>235</v>
      </c>
      <c r="S3961" s="1" t="s">
        <v>236</v>
      </c>
      <c r="T3961" s="1" t="s">
        <v>237</v>
      </c>
      <c r="U3961" s="1">
        <v>1.00647935E8</v>
      </c>
      <c r="V3961" s="1" t="s">
        <v>11378</v>
      </c>
      <c r="W3961" s="1" t="s">
        <v>199</v>
      </c>
      <c r="X3961" s="1" t="s">
        <v>239</v>
      </c>
      <c r="Y3961" s="1" t="s">
        <v>2147</v>
      </c>
      <c r="Z3961" s="1" t="s">
        <v>37</v>
      </c>
    </row>
    <row r="3962" hidden="1">
      <c r="A3962" s="1" t="s">
        <v>11379</v>
      </c>
      <c r="B3962" s="1" t="s">
        <v>4603</v>
      </c>
      <c r="C3962" s="1" t="s">
        <v>11380</v>
      </c>
      <c r="D3962" s="1" t="s">
        <v>78</v>
      </c>
      <c r="E3962" s="1" t="s">
        <v>28</v>
      </c>
      <c r="F3962" s="2">
        <v>200000.0</v>
      </c>
      <c r="G3962" s="1" t="s">
        <v>6074</v>
      </c>
      <c r="H3962" s="4">
        <f>IFERROR(__xludf.DUMMYFUNCTION("DATE(INDEX(SPLIT(G3962,""/""),,3),INDEX(SPLIT(G3962,""/""),,2),INDEX(SPLIT(G3962,""/""),,1))"),44284.0)</f>
        <v>44284</v>
      </c>
      <c r="I3962" s="1" t="s">
        <v>109</v>
      </c>
      <c r="J3962" s="4">
        <f>IFERROR(__xludf.DUMMYFUNCTION("DATE(INDEX(SPLIT(I3962,""/""),,3),INDEX(SPLIT(I3962,""/""),,2),INDEX(SPLIT(I3962,""/""),,1))"),44834.0)</f>
        <v>44834</v>
      </c>
      <c r="L3962" s="1">
        <v>0.0</v>
      </c>
      <c r="M3962" s="1" t="s">
        <v>4498</v>
      </c>
      <c r="N3962" s="1"/>
      <c r="O3962" s="1" t="s">
        <v>30</v>
      </c>
      <c r="P3962" s="1" t="s">
        <v>31</v>
      </c>
      <c r="Q3962" s="1" t="s">
        <v>157</v>
      </c>
      <c r="R3962" s="1" t="s">
        <v>157</v>
      </c>
      <c r="S3962" s="1" t="s">
        <v>158</v>
      </c>
      <c r="U3962" s="1">
        <v>1.00869674E8</v>
      </c>
      <c r="X3962" s="1" t="s">
        <v>88</v>
      </c>
      <c r="Y3962" s="1" t="s">
        <v>11381</v>
      </c>
      <c r="Z3962" s="1" t="s">
        <v>37</v>
      </c>
    </row>
    <row r="3963" hidden="1">
      <c r="A3963" s="1" t="s">
        <v>11382</v>
      </c>
      <c r="B3963" s="1" t="s">
        <v>8795</v>
      </c>
      <c r="C3963" s="1" t="s">
        <v>11383</v>
      </c>
      <c r="D3963" s="1" t="s">
        <v>27</v>
      </c>
      <c r="E3963" s="1" t="s">
        <v>28</v>
      </c>
      <c r="F3963" s="2">
        <v>200000.0</v>
      </c>
      <c r="G3963" s="1" t="s">
        <v>1259</v>
      </c>
      <c r="H3963" s="4">
        <f>IFERROR(__xludf.DUMMYFUNCTION("DATE(INDEX(SPLIT(G3963,""/""),,3),INDEX(SPLIT(G3963,""/""),,2),INDEX(SPLIT(G3963,""/""),,1))"),44763.0)</f>
        <v>44763</v>
      </c>
      <c r="I3963" s="4">
        <v>44601.0</v>
      </c>
      <c r="J3963" s="4">
        <f>IFERROR(__xludf.DUMMYFUNCTION("DATE(INDEX(SPLIT(I3963,""/""),,3),INDEX(SPLIT(I3963,""/""),,2),INDEX(SPLIT(I3963,""/""),,1))"),44806.0)</f>
        <v>44806</v>
      </c>
      <c r="L3963" s="1">
        <v>0.0</v>
      </c>
      <c r="M3963" s="1" t="s">
        <v>2147</v>
      </c>
      <c r="N3963" s="1"/>
      <c r="O3963" s="1" t="s">
        <v>30</v>
      </c>
      <c r="P3963" s="1" t="s">
        <v>31</v>
      </c>
      <c r="Q3963" s="1" t="s">
        <v>235</v>
      </c>
      <c r="R3963" s="1" t="s">
        <v>235</v>
      </c>
      <c r="S3963" s="1" t="s">
        <v>236</v>
      </c>
      <c r="T3963" s="1" t="s">
        <v>237</v>
      </c>
      <c r="U3963" s="1">
        <v>1.00647935E8</v>
      </c>
      <c r="V3963" s="1" t="s">
        <v>8797</v>
      </c>
      <c r="W3963" s="1" t="s">
        <v>45</v>
      </c>
      <c r="X3963" s="1" t="s">
        <v>239</v>
      </c>
      <c r="Y3963" s="1" t="s">
        <v>2147</v>
      </c>
      <c r="Z3963" s="1" t="s">
        <v>37</v>
      </c>
    </row>
    <row r="3964" hidden="1">
      <c r="A3964" s="1" t="s">
        <v>11384</v>
      </c>
      <c r="B3964" s="1" t="s">
        <v>11385</v>
      </c>
      <c r="C3964" s="1" t="s">
        <v>11386</v>
      </c>
      <c r="D3964" s="1" t="s">
        <v>27</v>
      </c>
      <c r="E3964" s="1" t="s">
        <v>28</v>
      </c>
      <c r="F3964" s="2">
        <v>200000.0</v>
      </c>
      <c r="G3964" s="1" t="s">
        <v>935</v>
      </c>
      <c r="H3964" s="4">
        <f>IFERROR(__xludf.DUMMYFUNCTION("DATE(INDEX(SPLIT(G3964,""/""),,3),INDEX(SPLIT(G3964,""/""),,2),INDEX(SPLIT(G3964,""/""),,1))"),44764.0)</f>
        <v>44764</v>
      </c>
      <c r="I3964" s="1" t="s">
        <v>134</v>
      </c>
      <c r="J3964" s="4">
        <f>IFERROR(__xludf.DUMMYFUNCTION("DATE(INDEX(SPLIT(I3964,""/""),,3),INDEX(SPLIT(I3964,""/""),,2),INDEX(SPLIT(I3964,""/""),,1))"),44792.0)</f>
        <v>44792</v>
      </c>
      <c r="L3964" s="1">
        <v>0.0</v>
      </c>
      <c r="M3964" s="1" t="s">
        <v>11254</v>
      </c>
      <c r="N3964" s="1"/>
      <c r="O3964" s="1" t="s">
        <v>30</v>
      </c>
      <c r="P3964" s="1" t="s">
        <v>31</v>
      </c>
      <c r="Q3964" s="1" t="s">
        <v>228</v>
      </c>
      <c r="R3964" s="1" t="s">
        <v>228</v>
      </c>
      <c r="S3964" s="1" t="s">
        <v>229</v>
      </c>
      <c r="U3964" s="1">
        <v>1.00602248E8</v>
      </c>
      <c r="X3964" s="1" t="s">
        <v>781</v>
      </c>
      <c r="Y3964" s="1" t="s">
        <v>11387</v>
      </c>
      <c r="Z3964" s="1" t="s">
        <v>37</v>
      </c>
    </row>
    <row r="3965" hidden="1">
      <c r="A3965" s="1" t="s">
        <v>11388</v>
      </c>
      <c r="B3965" s="1" t="s">
        <v>650</v>
      </c>
      <c r="C3965" s="1" t="s">
        <v>11389</v>
      </c>
      <c r="D3965" s="1" t="s">
        <v>78</v>
      </c>
      <c r="E3965" s="1" t="s">
        <v>28</v>
      </c>
      <c r="F3965" s="2">
        <v>200000.0</v>
      </c>
      <c r="G3965" s="4">
        <v>44748.0</v>
      </c>
      <c r="H3965" s="4">
        <f>IFERROR(__xludf.DUMMYFUNCTION("DATE(INDEX(SPLIT(G3965,""/""),,3),INDEX(SPLIT(G3965,""/""),,2),INDEX(SPLIT(G3965,""/""),,1))"),44719.0)</f>
        <v>44719</v>
      </c>
      <c r="I3965" s="1" t="s">
        <v>130</v>
      </c>
      <c r="J3965" s="4">
        <f>IFERROR(__xludf.DUMMYFUNCTION("DATE(INDEX(SPLIT(I3965,""/""),,3),INDEX(SPLIT(I3965,""/""),,2),INDEX(SPLIT(I3965,""/""),,1))"),44804.0)</f>
        <v>44804</v>
      </c>
      <c r="L3965" s="1">
        <v>0.0</v>
      </c>
      <c r="M3965" s="1" t="s">
        <v>4530</v>
      </c>
      <c r="N3965" s="1"/>
      <c r="O3965" s="1" t="s">
        <v>30</v>
      </c>
      <c r="P3965" s="1" t="s">
        <v>31</v>
      </c>
      <c r="Q3965" s="1" t="s">
        <v>157</v>
      </c>
      <c r="R3965" s="1" t="s">
        <v>157</v>
      </c>
      <c r="S3965" s="1" t="s">
        <v>158</v>
      </c>
      <c r="U3965" s="1">
        <v>1.00659846E8</v>
      </c>
      <c r="X3965" s="1" t="s">
        <v>63</v>
      </c>
      <c r="Y3965" s="1" t="s">
        <v>3056</v>
      </c>
      <c r="Z3965" s="1" t="s">
        <v>37</v>
      </c>
    </row>
    <row r="3966" hidden="1">
      <c r="A3966" s="1" t="s">
        <v>11390</v>
      </c>
      <c r="B3966" s="1" t="s">
        <v>4426</v>
      </c>
      <c r="C3966" s="1" t="s">
        <v>11391</v>
      </c>
      <c r="D3966" s="1" t="s">
        <v>78</v>
      </c>
      <c r="E3966" s="1" t="s">
        <v>28</v>
      </c>
      <c r="F3966" s="2">
        <v>200000.0</v>
      </c>
      <c r="G3966" s="1" t="s">
        <v>298</v>
      </c>
      <c r="H3966" s="4">
        <f>IFERROR(__xludf.DUMMYFUNCTION("DATE(INDEX(SPLIT(G3966,""/""),,3),INDEX(SPLIT(G3966,""/""),,2),INDEX(SPLIT(G3966,""/""),,1))"),44762.0)</f>
        <v>44762</v>
      </c>
      <c r="I3966" s="4">
        <v>44689.0</v>
      </c>
      <c r="J3966" s="4">
        <f>IFERROR(__xludf.DUMMYFUNCTION("DATE(INDEX(SPLIT(I3966,""/""),,3),INDEX(SPLIT(I3966,""/""),,2),INDEX(SPLIT(I3966,""/""),,1))"),44778.0)</f>
        <v>44778</v>
      </c>
      <c r="L3966" s="1">
        <v>0.0</v>
      </c>
      <c r="M3966" s="1" t="s">
        <v>5135</v>
      </c>
      <c r="N3966" s="1"/>
      <c r="O3966" s="1" t="s">
        <v>30</v>
      </c>
      <c r="P3966" s="1" t="s">
        <v>31</v>
      </c>
      <c r="Q3966" s="1" t="s">
        <v>228</v>
      </c>
      <c r="R3966" s="1" t="s">
        <v>228</v>
      </c>
      <c r="S3966" s="1" t="s">
        <v>229</v>
      </c>
      <c r="U3966" s="1">
        <v>1.0064195E8</v>
      </c>
      <c r="X3966" s="1" t="s">
        <v>63</v>
      </c>
      <c r="Y3966" s="1" t="s">
        <v>5135</v>
      </c>
      <c r="Z3966" s="1" t="s">
        <v>37</v>
      </c>
    </row>
    <row r="3967" hidden="1">
      <c r="A3967" s="1" t="s">
        <v>11392</v>
      </c>
      <c r="B3967" s="1" t="s">
        <v>997</v>
      </c>
      <c r="C3967" s="1" t="s">
        <v>11393</v>
      </c>
      <c r="D3967" s="1" t="s">
        <v>27</v>
      </c>
      <c r="E3967" s="1" t="s">
        <v>28</v>
      </c>
      <c r="F3967" s="2">
        <v>200000.0</v>
      </c>
      <c r="G3967" s="4">
        <v>44626.0</v>
      </c>
      <c r="H3967" s="4">
        <f>IFERROR(__xludf.DUMMYFUNCTION("DATE(INDEX(SPLIT(G3967,""/""),,3),INDEX(SPLIT(G3967,""/""),,2),INDEX(SPLIT(G3967,""/""),,1))"),44715.0)</f>
        <v>44715</v>
      </c>
      <c r="I3967" s="1" t="s">
        <v>281</v>
      </c>
      <c r="J3967" s="4">
        <f>IFERROR(__xludf.DUMMYFUNCTION("DATE(INDEX(SPLIT(I3967,""/""),,3),INDEX(SPLIT(I3967,""/""),,2),INDEX(SPLIT(I3967,""/""),,1))"),44865.0)</f>
        <v>44865</v>
      </c>
      <c r="L3967" s="1">
        <v>0.0</v>
      </c>
      <c r="M3967" s="1" t="s">
        <v>2043</v>
      </c>
      <c r="N3967" s="1"/>
      <c r="O3967" s="1" t="s">
        <v>30</v>
      </c>
      <c r="P3967" s="1" t="s">
        <v>31</v>
      </c>
      <c r="Q3967" s="1" t="s">
        <v>53</v>
      </c>
      <c r="R3967" s="1" t="s">
        <v>53</v>
      </c>
      <c r="S3967" s="1" t="s">
        <v>54</v>
      </c>
      <c r="U3967" s="1">
        <v>1.00624533E8</v>
      </c>
      <c r="X3967" s="1" t="s">
        <v>410</v>
      </c>
      <c r="Y3967" s="1" t="s">
        <v>2061</v>
      </c>
      <c r="Z3967" s="1" t="s">
        <v>206</v>
      </c>
    </row>
    <row r="3968" hidden="1">
      <c r="A3968" s="1" t="s">
        <v>11394</v>
      </c>
      <c r="B3968" s="1" t="s">
        <v>11395</v>
      </c>
      <c r="C3968" s="1" t="s">
        <v>11396</v>
      </c>
      <c r="D3968" s="1" t="s">
        <v>122</v>
      </c>
      <c r="E3968" s="1" t="s">
        <v>28</v>
      </c>
      <c r="F3968" s="2">
        <v>200000.0</v>
      </c>
      <c r="G3968" s="1" t="s">
        <v>11397</v>
      </c>
      <c r="H3968" s="4">
        <f>IFERROR(__xludf.DUMMYFUNCTION("DATE(INDEX(SPLIT(G3968,""/""),,3),INDEX(SPLIT(G3968,""/""),,2),INDEX(SPLIT(G3968,""/""),,1))"),44251.0)</f>
        <v>44251</v>
      </c>
      <c r="I3968" s="1" t="s">
        <v>569</v>
      </c>
      <c r="J3968" s="4">
        <f>IFERROR(__xludf.DUMMYFUNCTION("DATE(INDEX(SPLIT(I3968,""/""),,3),INDEX(SPLIT(I3968,""/""),,2),INDEX(SPLIT(I3968,""/""),,1))"),45016.0)</f>
        <v>45016</v>
      </c>
      <c r="L3968" s="1">
        <v>0.0</v>
      </c>
      <c r="M3968" s="1" t="s">
        <v>863</v>
      </c>
      <c r="N3968" s="1"/>
      <c r="O3968" s="1" t="s">
        <v>30</v>
      </c>
      <c r="P3968" s="1" t="s">
        <v>31</v>
      </c>
      <c r="Q3968" s="1" t="s">
        <v>32</v>
      </c>
      <c r="R3968" s="1" t="s">
        <v>32</v>
      </c>
      <c r="S3968" s="1" t="s">
        <v>33</v>
      </c>
      <c r="T3968" s="1" t="s">
        <v>402</v>
      </c>
      <c r="U3968" s="1">
        <v>1.00650568E8</v>
      </c>
      <c r="X3968" s="1" t="s">
        <v>125</v>
      </c>
      <c r="Y3968" s="1" t="s">
        <v>6966</v>
      </c>
      <c r="Z3968" s="1" t="s">
        <v>37</v>
      </c>
    </row>
    <row r="3969" hidden="1">
      <c r="A3969" s="1" t="s">
        <v>11398</v>
      </c>
      <c r="B3969" s="1" t="s">
        <v>3867</v>
      </c>
      <c r="C3969" s="1" t="s">
        <v>11399</v>
      </c>
      <c r="D3969" s="1" t="s">
        <v>78</v>
      </c>
      <c r="E3969" s="1" t="s">
        <v>28</v>
      </c>
      <c r="F3969" s="2">
        <v>200000.0</v>
      </c>
      <c r="G3969" s="1" t="s">
        <v>11400</v>
      </c>
      <c r="H3969" s="4">
        <f>IFERROR(__xludf.DUMMYFUNCTION("DATE(INDEX(SPLIT(G3969,""/""),,3),INDEX(SPLIT(G3969,""/""),,2),INDEX(SPLIT(G3969,""/""),,1))"),44040.0)</f>
        <v>44040</v>
      </c>
      <c r="I3969" s="1" t="s">
        <v>42</v>
      </c>
      <c r="J3969" s="4">
        <f>IFERROR(__xludf.DUMMYFUNCTION("DATE(INDEX(SPLIT(I3969,""/""),,3),INDEX(SPLIT(I3969,""/""),,2),INDEX(SPLIT(I3969,""/""),,1))"),44926.0)</f>
        <v>44926</v>
      </c>
      <c r="L3969" s="1">
        <v>0.0</v>
      </c>
      <c r="M3969" s="1" t="s">
        <v>1582</v>
      </c>
      <c r="N3969" s="1"/>
      <c r="O3969" s="1" t="s">
        <v>30</v>
      </c>
      <c r="P3969" s="1" t="s">
        <v>31</v>
      </c>
      <c r="Q3969" s="1" t="s">
        <v>235</v>
      </c>
      <c r="R3969" s="1" t="s">
        <v>235</v>
      </c>
      <c r="S3969" s="1" t="s">
        <v>236</v>
      </c>
      <c r="T3969" s="1" t="s">
        <v>438</v>
      </c>
      <c r="U3969" s="1">
        <v>1.00639226E8</v>
      </c>
      <c r="X3969" s="1" t="s">
        <v>88</v>
      </c>
      <c r="Y3969" s="1" t="s">
        <v>1582</v>
      </c>
      <c r="Z3969" s="1" t="s">
        <v>527</v>
      </c>
    </row>
    <row r="3970" hidden="1">
      <c r="A3970" s="1" t="s">
        <v>11401</v>
      </c>
      <c r="B3970" s="1" t="s">
        <v>11402</v>
      </c>
      <c r="C3970" s="1" t="s">
        <v>11403</v>
      </c>
      <c r="D3970" s="1" t="s">
        <v>27</v>
      </c>
      <c r="E3970" s="1" t="s">
        <v>28</v>
      </c>
      <c r="F3970" s="2">
        <v>200000.0</v>
      </c>
      <c r="G3970" s="1" t="s">
        <v>10795</v>
      </c>
      <c r="H3970" s="4">
        <f>IFERROR(__xludf.DUMMYFUNCTION("DATE(INDEX(SPLIT(G3970,""/""),,3),INDEX(SPLIT(G3970,""/""),,2),INDEX(SPLIT(G3970,""/""),,1))"),44089.0)</f>
        <v>44089</v>
      </c>
      <c r="I3970" s="1" t="s">
        <v>109</v>
      </c>
      <c r="J3970" s="4">
        <f>IFERROR(__xludf.DUMMYFUNCTION("DATE(INDEX(SPLIT(I3970,""/""),,3),INDEX(SPLIT(I3970,""/""),,2),INDEX(SPLIT(I3970,""/""),,1))"),44834.0)</f>
        <v>44834</v>
      </c>
      <c r="L3970" s="1">
        <v>0.0</v>
      </c>
      <c r="M3970" s="1" t="s">
        <v>7830</v>
      </c>
      <c r="N3970" s="1"/>
      <c r="O3970" s="1" t="s">
        <v>30</v>
      </c>
      <c r="P3970" s="1" t="s">
        <v>31</v>
      </c>
      <c r="Q3970" s="1" t="s">
        <v>235</v>
      </c>
      <c r="R3970" s="1" t="s">
        <v>235</v>
      </c>
      <c r="S3970" s="1" t="s">
        <v>236</v>
      </c>
      <c r="T3970" s="1" t="s">
        <v>438</v>
      </c>
      <c r="U3970" s="1">
        <v>1.00658814E8</v>
      </c>
      <c r="X3970" s="1" t="s">
        <v>88</v>
      </c>
      <c r="Y3970" s="1" t="s">
        <v>7830</v>
      </c>
      <c r="Z3970" s="1" t="s">
        <v>37</v>
      </c>
    </row>
    <row r="3971">
      <c r="A3971" s="1" t="s">
        <v>11404</v>
      </c>
      <c r="B3971" s="1" t="s">
        <v>11405</v>
      </c>
      <c r="C3971" s="1" t="s">
        <v>11406</v>
      </c>
      <c r="D3971" s="1" t="s">
        <v>122</v>
      </c>
      <c r="E3971" s="1" t="s">
        <v>28</v>
      </c>
      <c r="F3971" s="2">
        <v>200000.0</v>
      </c>
      <c r="G3971" s="1" t="s">
        <v>1442</v>
      </c>
      <c r="H3971" s="4">
        <f>IFERROR(__xludf.DUMMYFUNCTION("DATE(INDEX(SPLIT(G3971,""/""),,3),INDEX(SPLIT(G3971,""/""),,2),INDEX(SPLIT(G3971,""/""),,1))"),44727.0)</f>
        <v>44727</v>
      </c>
      <c r="I3971" s="1" t="s">
        <v>298</v>
      </c>
      <c r="J3971" s="4">
        <f>IFERROR(__xludf.DUMMYFUNCTION("DATE(INDEX(SPLIT(I3971,""/""),,3),INDEX(SPLIT(I3971,""/""),,2),INDEX(SPLIT(I3971,""/""),,1))"),44762.0)</f>
        <v>44762</v>
      </c>
      <c r="L3971" s="1">
        <v>0.0</v>
      </c>
      <c r="M3971" s="1" t="s">
        <v>1333</v>
      </c>
      <c r="N3971" s="1"/>
      <c r="O3971" s="1" t="s">
        <v>30</v>
      </c>
      <c r="P3971" s="1" t="s">
        <v>31</v>
      </c>
      <c r="Q3971" s="1" t="s">
        <v>71</v>
      </c>
      <c r="R3971" s="1" t="s">
        <v>71</v>
      </c>
      <c r="S3971" s="1" t="s">
        <v>72</v>
      </c>
      <c r="T3971" s="1" t="s">
        <v>136</v>
      </c>
      <c r="U3971" s="1">
        <v>1.006299E8</v>
      </c>
      <c r="X3971" s="1" t="s">
        <v>74</v>
      </c>
      <c r="Y3971" s="1" t="s">
        <v>1334</v>
      </c>
      <c r="Z3971" s="1" t="s">
        <v>37</v>
      </c>
    </row>
    <row r="3972" hidden="1">
      <c r="A3972" s="1" t="s">
        <v>11407</v>
      </c>
      <c r="B3972" s="1" t="s">
        <v>532</v>
      </c>
      <c r="C3972" s="1" t="s">
        <v>11408</v>
      </c>
      <c r="D3972" s="1" t="s">
        <v>27</v>
      </c>
      <c r="E3972" s="1" t="s">
        <v>28</v>
      </c>
      <c r="F3972" s="2">
        <v>200000.0</v>
      </c>
      <c r="G3972" s="1" t="s">
        <v>11409</v>
      </c>
      <c r="H3972" s="4">
        <f>IFERROR(__xludf.DUMMYFUNCTION("DATE(INDEX(SPLIT(G3972,""/""),,3),INDEX(SPLIT(G3972,""/""),,2),INDEX(SPLIT(G3972,""/""),,1))"),43880.0)</f>
        <v>43880</v>
      </c>
      <c r="I3972" s="1" t="s">
        <v>109</v>
      </c>
      <c r="J3972" s="4">
        <f>IFERROR(__xludf.DUMMYFUNCTION("DATE(INDEX(SPLIT(I3972,""/""),,3),INDEX(SPLIT(I3972,""/""),,2),INDEX(SPLIT(I3972,""/""),,1))"),44834.0)</f>
        <v>44834</v>
      </c>
      <c r="L3972" s="1">
        <v>0.0</v>
      </c>
      <c r="M3972" s="1" t="s">
        <v>1115</v>
      </c>
      <c r="N3972" s="1"/>
      <c r="O3972" s="1" t="s">
        <v>30</v>
      </c>
      <c r="P3972" s="1" t="s">
        <v>31</v>
      </c>
      <c r="Q3972" s="1" t="s">
        <v>157</v>
      </c>
      <c r="R3972" s="1" t="s">
        <v>157</v>
      </c>
      <c r="S3972" s="1" t="s">
        <v>158</v>
      </c>
      <c r="T3972" s="1" t="s">
        <v>159</v>
      </c>
      <c r="U3972" s="1">
        <v>1.00609827E8</v>
      </c>
      <c r="X3972" s="1" t="s">
        <v>490</v>
      </c>
      <c r="Y3972" s="1" t="s">
        <v>1649</v>
      </c>
      <c r="Z3972" s="1" t="s">
        <v>37</v>
      </c>
    </row>
    <row r="3973" hidden="1">
      <c r="A3973" s="1" t="s">
        <v>11410</v>
      </c>
      <c r="B3973" s="1" t="s">
        <v>11411</v>
      </c>
      <c r="C3973" s="1" t="s">
        <v>11412</v>
      </c>
      <c r="D3973" s="1" t="s">
        <v>78</v>
      </c>
      <c r="E3973" s="1" t="s">
        <v>28</v>
      </c>
      <c r="F3973" s="2">
        <v>200000.0</v>
      </c>
      <c r="G3973" s="1" t="s">
        <v>3595</v>
      </c>
      <c r="H3973" s="4">
        <f>IFERROR(__xludf.DUMMYFUNCTION("DATE(INDEX(SPLIT(G3973,""/""),,3),INDEX(SPLIT(G3973,""/""),,2),INDEX(SPLIT(G3973,""/""),,1))"),44460.0)</f>
        <v>44460</v>
      </c>
      <c r="I3973" s="1" t="s">
        <v>179</v>
      </c>
      <c r="J3973" s="4">
        <f>IFERROR(__xludf.DUMMYFUNCTION("DATE(INDEX(SPLIT(I3973,""/""),,3),INDEX(SPLIT(I3973,""/""),,2),INDEX(SPLIT(I3973,""/""),,1))"),44890.0)</f>
        <v>44890</v>
      </c>
      <c r="L3973" s="1">
        <v>0.0</v>
      </c>
      <c r="M3973" s="1" t="s">
        <v>653</v>
      </c>
      <c r="N3973" s="1"/>
      <c r="O3973" s="1" t="s">
        <v>30</v>
      </c>
      <c r="P3973" s="1" t="s">
        <v>31</v>
      </c>
      <c r="Q3973" s="1" t="s">
        <v>157</v>
      </c>
      <c r="R3973" s="1" t="s">
        <v>157</v>
      </c>
      <c r="S3973" s="1" t="s">
        <v>158</v>
      </c>
      <c r="U3973" s="1">
        <v>1.00591141E8</v>
      </c>
      <c r="X3973" s="1" t="s">
        <v>63</v>
      </c>
      <c r="Y3973" s="1" t="s">
        <v>6229</v>
      </c>
      <c r="Z3973" s="1" t="s">
        <v>37</v>
      </c>
    </row>
    <row r="3974" hidden="1">
      <c r="A3974" s="1" t="s">
        <v>11413</v>
      </c>
      <c r="B3974" s="1" t="s">
        <v>5051</v>
      </c>
      <c r="C3974" s="1" t="s">
        <v>11414</v>
      </c>
      <c r="D3974" s="1" t="s">
        <v>27</v>
      </c>
      <c r="E3974" s="1" t="s">
        <v>28</v>
      </c>
      <c r="F3974" s="2">
        <v>200000.0</v>
      </c>
      <c r="G3974" s="1" t="s">
        <v>4985</v>
      </c>
      <c r="H3974" s="4">
        <f>IFERROR(__xludf.DUMMYFUNCTION("DATE(INDEX(SPLIT(G3974,""/""),,3),INDEX(SPLIT(G3974,""/""),,2),INDEX(SPLIT(G3974,""/""),,1))"),44273.0)</f>
        <v>44273</v>
      </c>
      <c r="I3974" s="1" t="s">
        <v>130</v>
      </c>
      <c r="J3974" s="4">
        <f>IFERROR(__xludf.DUMMYFUNCTION("DATE(INDEX(SPLIT(I3974,""/""),,3),INDEX(SPLIT(I3974,""/""),,2),INDEX(SPLIT(I3974,""/""),,1))"),44804.0)</f>
        <v>44804</v>
      </c>
      <c r="L3974" s="1">
        <v>0.0</v>
      </c>
      <c r="M3974" s="1" t="s">
        <v>3507</v>
      </c>
      <c r="N3974" s="1"/>
      <c r="O3974" s="1" t="s">
        <v>30</v>
      </c>
      <c r="P3974" s="1" t="s">
        <v>31</v>
      </c>
      <c r="Q3974" s="1" t="s">
        <v>235</v>
      </c>
      <c r="R3974" s="1" t="s">
        <v>235</v>
      </c>
      <c r="S3974" s="1" t="s">
        <v>236</v>
      </c>
      <c r="T3974" s="1" t="s">
        <v>1349</v>
      </c>
      <c r="U3974" s="1">
        <v>1.00585834E8</v>
      </c>
      <c r="X3974" s="1" t="s">
        <v>375</v>
      </c>
      <c r="Y3974" s="1" t="s">
        <v>3507</v>
      </c>
      <c r="Z3974" s="1" t="s">
        <v>37</v>
      </c>
    </row>
    <row r="3975" hidden="1">
      <c r="A3975" s="1" t="s">
        <v>11415</v>
      </c>
      <c r="B3975" s="1" t="s">
        <v>11416</v>
      </c>
      <c r="C3975" s="1" t="s">
        <v>11417</v>
      </c>
      <c r="D3975" s="1" t="s">
        <v>27</v>
      </c>
      <c r="E3975" s="1" t="s">
        <v>28</v>
      </c>
      <c r="F3975" s="2">
        <v>200000.0</v>
      </c>
      <c r="G3975" s="1" t="s">
        <v>359</v>
      </c>
      <c r="H3975" s="4">
        <f>IFERROR(__xludf.DUMMYFUNCTION("DATE(INDEX(SPLIT(G3975,""/""),,3),INDEX(SPLIT(G3975,""/""),,2),INDEX(SPLIT(G3975,""/""),,1))"),44740.0)</f>
        <v>44740</v>
      </c>
      <c r="I3975" s="1" t="s">
        <v>109</v>
      </c>
      <c r="J3975" s="4">
        <f>IFERROR(__xludf.DUMMYFUNCTION("DATE(INDEX(SPLIT(I3975,""/""),,3),INDEX(SPLIT(I3975,""/""),,2),INDEX(SPLIT(I3975,""/""),,1))"),44834.0)</f>
        <v>44834</v>
      </c>
      <c r="L3975" s="1">
        <v>0.0</v>
      </c>
      <c r="M3975" s="1" t="s">
        <v>1548</v>
      </c>
      <c r="N3975" s="1"/>
      <c r="O3975" s="1" t="s">
        <v>30</v>
      </c>
      <c r="P3975" s="1" t="s">
        <v>31</v>
      </c>
      <c r="Q3975" s="1" t="s">
        <v>32</v>
      </c>
      <c r="R3975" s="1" t="s">
        <v>32</v>
      </c>
      <c r="S3975" s="1" t="s">
        <v>33</v>
      </c>
      <c r="U3975" s="1">
        <v>1.01215106E8</v>
      </c>
      <c r="X3975" s="1" t="s">
        <v>74</v>
      </c>
      <c r="Y3975" s="1" t="s">
        <v>1548</v>
      </c>
      <c r="Z3975" s="1" t="s">
        <v>37</v>
      </c>
    </row>
    <row r="3976">
      <c r="A3976" s="1" t="s">
        <v>11418</v>
      </c>
      <c r="B3976" s="1" t="s">
        <v>9437</v>
      </c>
      <c r="C3976" s="1" t="s">
        <v>11419</v>
      </c>
      <c r="D3976" s="1" t="s">
        <v>78</v>
      </c>
      <c r="E3976" s="1" t="s">
        <v>28</v>
      </c>
      <c r="F3976" s="2">
        <v>200000.0</v>
      </c>
      <c r="G3976" s="4">
        <v>44871.0</v>
      </c>
      <c r="H3976" s="4">
        <f>IFERROR(__xludf.DUMMYFUNCTION("DATE(INDEX(SPLIT(G3976,""/""),,3),INDEX(SPLIT(G3976,""/""),,2),INDEX(SPLIT(G3976,""/""),,1))"),44723.0)</f>
        <v>44723</v>
      </c>
      <c r="I3976" s="1" t="s">
        <v>1244</v>
      </c>
      <c r="J3976" s="4">
        <f>IFERROR(__xludf.DUMMYFUNCTION("DATE(INDEX(SPLIT(I3976,""/""),,3),INDEX(SPLIT(I3976,""/""),,2),INDEX(SPLIT(I3976,""/""),,1))"),44742.0)</f>
        <v>44742</v>
      </c>
      <c r="L3976" s="1">
        <v>0.0</v>
      </c>
      <c r="M3976" s="1" t="s">
        <v>216</v>
      </c>
      <c r="N3976" s="1"/>
      <c r="O3976" s="1" t="s">
        <v>30</v>
      </c>
      <c r="P3976" s="1" t="s">
        <v>31</v>
      </c>
      <c r="Q3976" s="1" t="s">
        <v>95</v>
      </c>
      <c r="R3976" s="1" t="s">
        <v>95</v>
      </c>
      <c r="S3976" s="1" t="s">
        <v>96</v>
      </c>
      <c r="T3976" s="1" t="s">
        <v>97</v>
      </c>
      <c r="U3976" s="1">
        <v>1.01200292E8</v>
      </c>
      <c r="V3976" s="1" t="s">
        <v>11420</v>
      </c>
      <c r="W3976" s="1" t="s">
        <v>45</v>
      </c>
      <c r="X3976" s="1" t="s">
        <v>125</v>
      </c>
      <c r="Y3976" s="1" t="s">
        <v>1868</v>
      </c>
      <c r="Z3976" s="1" t="s">
        <v>37</v>
      </c>
    </row>
    <row r="3977" hidden="1">
      <c r="A3977" s="1" t="s">
        <v>11421</v>
      </c>
      <c r="B3977" s="1" t="s">
        <v>3655</v>
      </c>
      <c r="C3977" s="1" t="s">
        <v>11422</v>
      </c>
      <c r="D3977" s="1" t="s">
        <v>27</v>
      </c>
      <c r="E3977" s="1" t="s">
        <v>28</v>
      </c>
      <c r="F3977" s="2">
        <v>200000.0</v>
      </c>
      <c r="G3977" s="4">
        <v>44836.0</v>
      </c>
      <c r="H3977" s="4">
        <f>IFERROR(__xludf.DUMMYFUNCTION("DATE(INDEX(SPLIT(G3977,""/""),,3),INDEX(SPLIT(G3977,""/""),,2),INDEX(SPLIT(G3977,""/""),,1))"),44602.0)</f>
        <v>44602</v>
      </c>
      <c r="I3977" s="1" t="s">
        <v>85</v>
      </c>
      <c r="J3977" s="4">
        <f>IFERROR(__xludf.DUMMYFUNCTION("DATE(INDEX(SPLIT(I3977,""/""),,3),INDEX(SPLIT(I3977,""/""),,2),INDEX(SPLIT(I3977,""/""),,1))"),44799.0)</f>
        <v>44799</v>
      </c>
      <c r="L3977" s="1">
        <v>0.0</v>
      </c>
      <c r="M3977" s="1" t="s">
        <v>1303</v>
      </c>
      <c r="N3977" s="1"/>
      <c r="O3977" s="1" t="s">
        <v>30</v>
      </c>
      <c r="P3977" s="1" t="s">
        <v>31</v>
      </c>
      <c r="Q3977" s="1" t="s">
        <v>235</v>
      </c>
      <c r="R3977" s="1" t="s">
        <v>235</v>
      </c>
      <c r="S3977" s="1" t="s">
        <v>236</v>
      </c>
      <c r="T3977" s="1" t="s">
        <v>438</v>
      </c>
      <c r="U3977" s="1">
        <v>1.00609073E8</v>
      </c>
      <c r="X3977" s="1" t="s">
        <v>88</v>
      </c>
      <c r="Y3977" s="1" t="s">
        <v>11423</v>
      </c>
      <c r="Z3977" s="1" t="s">
        <v>37</v>
      </c>
    </row>
    <row r="3978" hidden="1">
      <c r="A3978" s="1" t="s">
        <v>11424</v>
      </c>
      <c r="B3978" s="1" t="s">
        <v>11425</v>
      </c>
      <c r="C3978" s="1" t="s">
        <v>11426</v>
      </c>
      <c r="D3978" s="1" t="s">
        <v>27</v>
      </c>
      <c r="E3978" s="1" t="s">
        <v>28</v>
      </c>
      <c r="F3978" s="2">
        <v>200000.0</v>
      </c>
      <c r="G3978" s="1" t="s">
        <v>359</v>
      </c>
      <c r="H3978" s="4">
        <f>IFERROR(__xludf.DUMMYFUNCTION("DATE(INDEX(SPLIT(G3978,""/""),,3),INDEX(SPLIT(G3978,""/""),,2),INDEX(SPLIT(G3978,""/""),,1))"),44740.0)</f>
        <v>44740</v>
      </c>
      <c r="I3978" s="4">
        <v>44569.0</v>
      </c>
      <c r="J3978" s="4">
        <f>IFERROR(__xludf.DUMMYFUNCTION("DATE(INDEX(SPLIT(I3978,""/""),,3),INDEX(SPLIT(I3978,""/""),,2),INDEX(SPLIT(I3978,""/""),,1))"),44774.0)</f>
        <v>44774</v>
      </c>
      <c r="L3978" s="1">
        <v>0.0</v>
      </c>
      <c r="M3978" s="1" t="s">
        <v>3617</v>
      </c>
      <c r="N3978" s="1"/>
      <c r="O3978" s="1" t="s">
        <v>30</v>
      </c>
      <c r="P3978" s="1" t="s">
        <v>31</v>
      </c>
      <c r="Q3978" s="1" t="s">
        <v>53</v>
      </c>
      <c r="R3978" s="1" t="s">
        <v>53</v>
      </c>
      <c r="S3978" s="1" t="s">
        <v>54</v>
      </c>
      <c r="U3978" s="1">
        <v>1.00568413E8</v>
      </c>
      <c r="X3978" s="1" t="s">
        <v>74</v>
      </c>
      <c r="Y3978" s="1" t="s">
        <v>3617</v>
      </c>
      <c r="Z3978" s="1" t="s">
        <v>37</v>
      </c>
    </row>
    <row r="3979" hidden="1">
      <c r="A3979" s="1" t="s">
        <v>11427</v>
      </c>
      <c r="B3979" s="1" t="s">
        <v>5890</v>
      </c>
      <c r="C3979" s="1" t="s">
        <v>11428</v>
      </c>
      <c r="D3979" s="1" t="s">
        <v>78</v>
      </c>
      <c r="E3979" s="1" t="s">
        <v>28</v>
      </c>
      <c r="F3979" s="2">
        <v>200000.0</v>
      </c>
      <c r="G3979" s="4">
        <v>44564.0</v>
      </c>
      <c r="H3979" s="4">
        <f>IFERROR(__xludf.DUMMYFUNCTION("DATE(INDEX(SPLIT(G3979,""/""),,3),INDEX(SPLIT(G3979,""/""),,2),INDEX(SPLIT(G3979,""/""),,1))"),44621.0)</f>
        <v>44621</v>
      </c>
      <c r="I3979" s="1" t="s">
        <v>130</v>
      </c>
      <c r="J3979" s="4">
        <f>IFERROR(__xludf.DUMMYFUNCTION("DATE(INDEX(SPLIT(I3979,""/""),,3),INDEX(SPLIT(I3979,""/""),,2),INDEX(SPLIT(I3979,""/""),,1))"),44804.0)</f>
        <v>44804</v>
      </c>
      <c r="L3979" s="1">
        <v>0.0</v>
      </c>
      <c r="M3979" s="1" t="s">
        <v>5588</v>
      </c>
      <c r="N3979" s="1"/>
      <c r="O3979" s="1" t="s">
        <v>30</v>
      </c>
      <c r="P3979" s="1" t="s">
        <v>31</v>
      </c>
      <c r="Q3979" s="1" t="s">
        <v>1320</v>
      </c>
      <c r="R3979" s="1" t="s">
        <v>1320</v>
      </c>
      <c r="S3979" s="1" t="s">
        <v>54</v>
      </c>
      <c r="U3979" s="1">
        <v>1.00625588E8</v>
      </c>
      <c r="X3979" s="1" t="s">
        <v>46</v>
      </c>
      <c r="Y3979" s="1" t="s">
        <v>1321</v>
      </c>
      <c r="Z3979" s="1" t="s">
        <v>37</v>
      </c>
    </row>
    <row r="3980" hidden="1">
      <c r="A3980" s="1" t="s">
        <v>11429</v>
      </c>
      <c r="B3980" s="1" t="s">
        <v>11430</v>
      </c>
      <c r="C3980" s="1" t="s">
        <v>10988</v>
      </c>
      <c r="D3980" s="1" t="s">
        <v>27</v>
      </c>
      <c r="E3980" s="1" t="s">
        <v>28</v>
      </c>
      <c r="F3980" s="2">
        <v>200000.0</v>
      </c>
      <c r="G3980" s="1" t="s">
        <v>359</v>
      </c>
      <c r="H3980" s="4">
        <f>IFERROR(__xludf.DUMMYFUNCTION("DATE(INDEX(SPLIT(G3980,""/""),,3),INDEX(SPLIT(G3980,""/""),,2),INDEX(SPLIT(G3980,""/""),,1))"),44740.0)</f>
        <v>44740</v>
      </c>
      <c r="I3980" s="1" t="s">
        <v>317</v>
      </c>
      <c r="J3980" s="4">
        <f>IFERROR(__xludf.DUMMYFUNCTION("DATE(INDEX(SPLIT(I3980,""/""),,3),INDEX(SPLIT(I3980,""/""),,2),INDEX(SPLIT(I3980,""/""),,1))"),44862.0)</f>
        <v>44862</v>
      </c>
      <c r="L3980" s="1">
        <v>0.0</v>
      </c>
      <c r="M3980" s="1" t="s">
        <v>1548</v>
      </c>
      <c r="N3980" s="1"/>
      <c r="O3980" s="1" t="s">
        <v>30</v>
      </c>
      <c r="P3980" s="1" t="s">
        <v>31</v>
      </c>
      <c r="Q3980" s="1" t="s">
        <v>32</v>
      </c>
      <c r="R3980" s="1" t="s">
        <v>32</v>
      </c>
      <c r="S3980" s="1" t="s">
        <v>33</v>
      </c>
      <c r="U3980" s="1">
        <v>1.01215106E8</v>
      </c>
      <c r="X3980" s="1" t="s">
        <v>125</v>
      </c>
      <c r="Y3980" s="1" t="s">
        <v>1548</v>
      </c>
      <c r="Z3980" s="1" t="s">
        <v>37</v>
      </c>
    </row>
    <row r="3981" hidden="1">
      <c r="A3981" s="1" t="s">
        <v>11431</v>
      </c>
      <c r="B3981" s="1" t="s">
        <v>11023</v>
      </c>
      <c r="C3981" s="1" t="s">
        <v>11432</v>
      </c>
      <c r="D3981" s="1" t="s">
        <v>27</v>
      </c>
      <c r="E3981" s="1" t="s">
        <v>28</v>
      </c>
      <c r="F3981" s="2">
        <v>200000.0</v>
      </c>
      <c r="G3981" s="1" t="s">
        <v>2077</v>
      </c>
      <c r="H3981" s="4">
        <f>IFERROR(__xludf.DUMMYFUNCTION("DATE(INDEX(SPLIT(G3981,""/""),,3),INDEX(SPLIT(G3981,""/""),,2),INDEX(SPLIT(G3981,""/""),,1))"),44700.0)</f>
        <v>44700</v>
      </c>
      <c r="I3981" s="1" t="s">
        <v>109</v>
      </c>
      <c r="J3981" s="4">
        <f>IFERROR(__xludf.DUMMYFUNCTION("DATE(INDEX(SPLIT(I3981,""/""),,3),INDEX(SPLIT(I3981,""/""),,2),INDEX(SPLIT(I3981,""/""),,1))"),44834.0)</f>
        <v>44834</v>
      </c>
      <c r="L3981" s="1">
        <v>0.0</v>
      </c>
      <c r="M3981" s="1" t="s">
        <v>8088</v>
      </c>
      <c r="N3981" s="1"/>
      <c r="O3981" s="1" t="s">
        <v>30</v>
      </c>
      <c r="P3981" s="1" t="s">
        <v>31</v>
      </c>
      <c r="Q3981" s="1" t="s">
        <v>228</v>
      </c>
      <c r="R3981" s="1" t="s">
        <v>228</v>
      </c>
      <c r="S3981" s="1" t="s">
        <v>229</v>
      </c>
      <c r="T3981" s="1" t="s">
        <v>640</v>
      </c>
      <c r="U3981" s="1">
        <v>1.00882877E8</v>
      </c>
      <c r="X3981" s="1" t="s">
        <v>239</v>
      </c>
      <c r="Y3981" s="1" t="s">
        <v>11433</v>
      </c>
      <c r="Z3981" s="1" t="s">
        <v>206</v>
      </c>
    </row>
    <row r="3982">
      <c r="A3982" s="1" t="s">
        <v>11434</v>
      </c>
      <c r="B3982" s="1" t="s">
        <v>11435</v>
      </c>
      <c r="C3982" s="1" t="s">
        <v>11436</v>
      </c>
      <c r="D3982" s="1" t="s">
        <v>78</v>
      </c>
      <c r="E3982" s="1" t="s">
        <v>28</v>
      </c>
      <c r="F3982" s="2">
        <v>200000.0</v>
      </c>
      <c r="G3982" s="1" t="s">
        <v>3438</v>
      </c>
      <c r="H3982" s="4">
        <f>IFERROR(__xludf.DUMMYFUNCTION("DATE(INDEX(SPLIT(G3982,""/""),,3),INDEX(SPLIT(G3982,""/""),,2),INDEX(SPLIT(G3982,""/""),,1))"),44407.0)</f>
        <v>44407</v>
      </c>
      <c r="I3982" s="1" t="s">
        <v>69</v>
      </c>
      <c r="J3982" s="4">
        <f>IFERROR(__xludf.DUMMYFUNCTION("DATE(INDEX(SPLIT(I3982,""/""),,3),INDEX(SPLIT(I3982,""/""),,2),INDEX(SPLIT(I3982,""/""),,1))"),44773.0)</f>
        <v>44773</v>
      </c>
      <c r="L3982" s="1">
        <v>0.0</v>
      </c>
      <c r="M3982" s="1" t="s">
        <v>2371</v>
      </c>
      <c r="N3982" s="1"/>
      <c r="O3982" s="1" t="s">
        <v>30</v>
      </c>
      <c r="P3982" s="1" t="s">
        <v>31</v>
      </c>
      <c r="Q3982" s="1" t="s">
        <v>53</v>
      </c>
      <c r="R3982" s="1" t="s">
        <v>53</v>
      </c>
      <c r="S3982" s="1" t="s">
        <v>54</v>
      </c>
      <c r="T3982" s="1" t="s">
        <v>2372</v>
      </c>
      <c r="U3982" s="1">
        <v>1.00649936E8</v>
      </c>
      <c r="X3982" s="1" t="s">
        <v>239</v>
      </c>
      <c r="Y3982" s="1" t="s">
        <v>2371</v>
      </c>
      <c r="Z3982" s="1" t="s">
        <v>37</v>
      </c>
    </row>
    <row r="3983" hidden="1">
      <c r="A3983" s="1" t="s">
        <v>11437</v>
      </c>
      <c r="B3983" s="1" t="s">
        <v>1355</v>
      </c>
      <c r="C3983" s="1" t="s">
        <v>11438</v>
      </c>
      <c r="D3983" s="1" t="s">
        <v>122</v>
      </c>
      <c r="E3983" s="1" t="s">
        <v>28</v>
      </c>
      <c r="F3983" s="2">
        <v>200000.0</v>
      </c>
      <c r="G3983" s="4">
        <v>44531.0</v>
      </c>
      <c r="H3983" s="4">
        <f>IFERROR(__xludf.DUMMYFUNCTION("DATE(INDEX(SPLIT(G3983,""/""),,3),INDEX(SPLIT(G3983,""/""),,2),INDEX(SPLIT(G3983,""/""),,1))"),44208.0)</f>
        <v>44208</v>
      </c>
      <c r="I3983" s="1" t="s">
        <v>130</v>
      </c>
      <c r="J3983" s="4">
        <f>IFERROR(__xludf.DUMMYFUNCTION("DATE(INDEX(SPLIT(I3983,""/""),,3),INDEX(SPLIT(I3983,""/""),,2),INDEX(SPLIT(I3983,""/""),,1))"),44804.0)</f>
        <v>44804</v>
      </c>
      <c r="L3983" s="1">
        <v>0.0</v>
      </c>
      <c r="M3983" s="1" t="s">
        <v>1358</v>
      </c>
      <c r="N3983" s="1"/>
      <c r="O3983" s="1" t="s">
        <v>30</v>
      </c>
      <c r="P3983" s="1" t="s">
        <v>31</v>
      </c>
      <c r="Q3983" s="1" t="s">
        <v>32</v>
      </c>
      <c r="R3983" s="1" t="s">
        <v>32</v>
      </c>
      <c r="S3983" s="1" t="s">
        <v>33</v>
      </c>
      <c r="T3983" s="1" t="s">
        <v>34</v>
      </c>
      <c r="U3983" s="1">
        <v>1.00613915E8</v>
      </c>
      <c r="X3983" s="1" t="s">
        <v>35</v>
      </c>
      <c r="Y3983" s="1" t="s">
        <v>985</v>
      </c>
      <c r="Z3983" s="1" t="s">
        <v>37</v>
      </c>
    </row>
    <row r="3984" hidden="1">
      <c r="A3984" s="1" t="s">
        <v>11439</v>
      </c>
      <c r="B3984" s="1" t="s">
        <v>66</v>
      </c>
      <c r="C3984" s="1" t="s">
        <v>11440</v>
      </c>
      <c r="D3984" s="1" t="s">
        <v>27</v>
      </c>
      <c r="E3984" s="1" t="s">
        <v>28</v>
      </c>
      <c r="F3984" s="2">
        <v>200000.0</v>
      </c>
      <c r="G3984" s="1" t="s">
        <v>11441</v>
      </c>
      <c r="H3984" s="4">
        <f>IFERROR(__xludf.DUMMYFUNCTION("DATE(INDEX(SPLIT(G3984,""/""),,3),INDEX(SPLIT(G3984,""/""),,2),INDEX(SPLIT(G3984,""/""),,1))"),44344.0)</f>
        <v>44344</v>
      </c>
      <c r="I3984" s="4">
        <v>44601.0</v>
      </c>
      <c r="J3984" s="4">
        <f>IFERROR(__xludf.DUMMYFUNCTION("DATE(INDEX(SPLIT(I3984,""/""),,3),INDEX(SPLIT(I3984,""/""),,2),INDEX(SPLIT(I3984,""/""),,1))"),44806.0)</f>
        <v>44806</v>
      </c>
      <c r="L3984" s="1">
        <v>0.0</v>
      </c>
      <c r="M3984" s="1" t="s">
        <v>929</v>
      </c>
      <c r="N3984" s="1"/>
      <c r="O3984" s="1" t="s">
        <v>30</v>
      </c>
      <c r="P3984" s="1" t="s">
        <v>31</v>
      </c>
      <c r="Q3984" s="1" t="s">
        <v>71</v>
      </c>
      <c r="R3984" s="1" t="s">
        <v>71</v>
      </c>
      <c r="S3984" s="1" t="s">
        <v>72</v>
      </c>
      <c r="T3984" s="1" t="s">
        <v>73</v>
      </c>
      <c r="U3984" s="1">
        <v>1.00649698E8</v>
      </c>
      <c r="X3984" s="1" t="s">
        <v>74</v>
      </c>
      <c r="Y3984" s="1" t="s">
        <v>929</v>
      </c>
      <c r="Z3984" s="1" t="s">
        <v>37</v>
      </c>
    </row>
    <row r="3985">
      <c r="A3985" s="1" t="s">
        <v>11442</v>
      </c>
      <c r="B3985" s="1" t="s">
        <v>223</v>
      </c>
      <c r="C3985" s="1" t="s">
        <v>11443</v>
      </c>
      <c r="D3985" s="1" t="s">
        <v>78</v>
      </c>
      <c r="E3985" s="1" t="s">
        <v>28</v>
      </c>
      <c r="F3985" s="2">
        <v>200000.0</v>
      </c>
      <c r="G3985" s="1" t="s">
        <v>1136</v>
      </c>
      <c r="H3985" s="4">
        <f>IFERROR(__xludf.DUMMYFUNCTION("DATE(INDEX(SPLIT(G3985,""/""),,3),INDEX(SPLIT(G3985,""/""),,2),INDEX(SPLIT(G3985,""/""),,1))"),44608.0)</f>
        <v>44608</v>
      </c>
      <c r="I3985" s="1" t="s">
        <v>518</v>
      </c>
      <c r="J3985" s="4">
        <f>IFERROR(__xludf.DUMMYFUNCTION("DATE(INDEX(SPLIT(I3985,""/""),,3),INDEX(SPLIT(I3985,""/""),,2),INDEX(SPLIT(I3985,""/""),,1))"),44757.0)</f>
        <v>44757</v>
      </c>
      <c r="L3985" s="1">
        <v>0.0</v>
      </c>
      <c r="M3985" s="1" t="s">
        <v>1019</v>
      </c>
      <c r="N3985" s="1"/>
      <c r="O3985" s="1" t="s">
        <v>30</v>
      </c>
      <c r="P3985" s="1" t="s">
        <v>31</v>
      </c>
      <c r="Q3985" s="1" t="s">
        <v>95</v>
      </c>
      <c r="R3985" s="1" t="s">
        <v>95</v>
      </c>
      <c r="S3985" s="1" t="s">
        <v>96</v>
      </c>
      <c r="T3985" s="1" t="s">
        <v>217</v>
      </c>
      <c r="U3985" s="1">
        <v>1.00607644E8</v>
      </c>
      <c r="X3985" s="1" t="s">
        <v>81</v>
      </c>
      <c r="Y3985" s="1" t="s">
        <v>1019</v>
      </c>
      <c r="Z3985" s="1" t="s">
        <v>37</v>
      </c>
    </row>
    <row r="3986" hidden="1">
      <c r="A3986" s="1" t="s">
        <v>11444</v>
      </c>
      <c r="B3986" s="1" t="s">
        <v>2358</v>
      </c>
      <c r="C3986" s="1" t="s">
        <v>11445</v>
      </c>
      <c r="D3986" s="1" t="s">
        <v>78</v>
      </c>
      <c r="E3986" s="1" t="s">
        <v>28</v>
      </c>
      <c r="F3986" s="2">
        <v>200000.0</v>
      </c>
      <c r="G3986" s="1" t="s">
        <v>185</v>
      </c>
      <c r="H3986" s="4">
        <f>IFERROR(__xludf.DUMMYFUNCTION("DATE(INDEX(SPLIT(G3986,""/""),,3),INDEX(SPLIT(G3986,""/""),,2),INDEX(SPLIT(G3986,""/""),,1))"),44741.0)</f>
        <v>44741</v>
      </c>
      <c r="I3986" s="1" t="s">
        <v>130</v>
      </c>
      <c r="J3986" s="4">
        <f>IFERROR(__xludf.DUMMYFUNCTION("DATE(INDEX(SPLIT(I3986,""/""),,3),INDEX(SPLIT(I3986,""/""),,2),INDEX(SPLIT(I3986,""/""),,1))"),44804.0)</f>
        <v>44804</v>
      </c>
      <c r="L3986" s="1">
        <v>0.0</v>
      </c>
      <c r="M3986" s="1" t="s">
        <v>984</v>
      </c>
      <c r="N3986" s="1"/>
      <c r="O3986" s="1" t="s">
        <v>30</v>
      </c>
      <c r="P3986" s="1" t="s">
        <v>31</v>
      </c>
      <c r="Q3986" s="1" t="s">
        <v>157</v>
      </c>
      <c r="R3986" s="1" t="s">
        <v>157</v>
      </c>
      <c r="S3986" s="1" t="s">
        <v>158</v>
      </c>
      <c r="U3986" s="1">
        <v>1.00611358E8</v>
      </c>
      <c r="X3986" s="1" t="s">
        <v>490</v>
      </c>
      <c r="Y3986" s="1" t="s">
        <v>11446</v>
      </c>
      <c r="Z3986" s="1" t="s">
        <v>37</v>
      </c>
    </row>
    <row r="3987" hidden="1">
      <c r="A3987" s="1" t="s">
        <v>11447</v>
      </c>
      <c r="B3987" s="1" t="s">
        <v>1131</v>
      </c>
      <c r="C3987" s="1" t="s">
        <v>11448</v>
      </c>
      <c r="D3987" s="1" t="s">
        <v>78</v>
      </c>
      <c r="E3987" s="1" t="s">
        <v>28</v>
      </c>
      <c r="F3987" s="2">
        <v>200000.0</v>
      </c>
      <c r="G3987" s="1" t="s">
        <v>8863</v>
      </c>
      <c r="H3987" s="4">
        <f>IFERROR(__xludf.DUMMYFUNCTION("DATE(INDEX(SPLIT(G3987,""/""),,3),INDEX(SPLIT(G3987,""/""),,2),INDEX(SPLIT(G3987,""/""),,1))"),44459.0)</f>
        <v>44459</v>
      </c>
      <c r="I3987" s="1" t="s">
        <v>425</v>
      </c>
      <c r="J3987" s="4">
        <f>IFERROR(__xludf.DUMMYFUNCTION("DATE(INDEX(SPLIT(I3987,""/""),,3),INDEX(SPLIT(I3987,""/""),,2),INDEX(SPLIT(I3987,""/""),,1))"),44911.0)</f>
        <v>44911</v>
      </c>
      <c r="L3987" s="1">
        <v>0.0</v>
      </c>
      <c r="M3987" s="1" t="s">
        <v>5525</v>
      </c>
      <c r="N3987" s="1"/>
      <c r="O3987" s="1" t="s">
        <v>30</v>
      </c>
      <c r="P3987" s="1" t="s">
        <v>31</v>
      </c>
      <c r="Q3987" s="1" t="s">
        <v>157</v>
      </c>
      <c r="R3987" s="1" t="s">
        <v>157</v>
      </c>
      <c r="S3987" s="1" t="s">
        <v>158</v>
      </c>
      <c r="T3987" s="1" t="s">
        <v>442</v>
      </c>
      <c r="U3987" s="1">
        <v>1.00609393E8</v>
      </c>
      <c r="X3987" s="1" t="s">
        <v>74</v>
      </c>
      <c r="Y3987" s="1" t="s">
        <v>2241</v>
      </c>
      <c r="Z3987" s="1" t="s">
        <v>37</v>
      </c>
    </row>
    <row r="3988" hidden="1">
      <c r="A3988" s="1" t="s">
        <v>11449</v>
      </c>
      <c r="B3988" s="1" t="s">
        <v>3399</v>
      </c>
      <c r="C3988" s="1" t="s">
        <v>11450</v>
      </c>
      <c r="D3988" s="1" t="s">
        <v>78</v>
      </c>
      <c r="E3988" s="1" t="s">
        <v>28</v>
      </c>
      <c r="F3988" s="2">
        <v>200000.0</v>
      </c>
      <c r="G3988" s="1" t="s">
        <v>1521</v>
      </c>
      <c r="H3988" s="4">
        <f>IFERROR(__xludf.DUMMYFUNCTION("DATE(INDEX(SPLIT(G3988,""/""),,3),INDEX(SPLIT(G3988,""/""),,2),INDEX(SPLIT(G3988,""/""),,1))"),44756.0)</f>
        <v>44756</v>
      </c>
      <c r="I3988" s="1" t="s">
        <v>109</v>
      </c>
      <c r="J3988" s="4">
        <f>IFERROR(__xludf.DUMMYFUNCTION("DATE(INDEX(SPLIT(I3988,""/""),,3),INDEX(SPLIT(I3988,""/""),,2),INDEX(SPLIT(I3988,""/""),,1))"),44834.0)</f>
        <v>44834</v>
      </c>
      <c r="L3988" s="1">
        <v>0.0</v>
      </c>
      <c r="M3988" s="1" t="s">
        <v>10697</v>
      </c>
      <c r="N3988" s="1"/>
      <c r="O3988" s="1" t="s">
        <v>30</v>
      </c>
      <c r="P3988" s="1" t="s">
        <v>31</v>
      </c>
      <c r="Q3988" s="1" t="s">
        <v>228</v>
      </c>
      <c r="R3988" s="1" t="s">
        <v>228</v>
      </c>
      <c r="S3988" s="1" t="s">
        <v>229</v>
      </c>
      <c r="T3988" s="1" t="s">
        <v>513</v>
      </c>
      <c r="U3988" s="1">
        <v>1.00612201E8</v>
      </c>
      <c r="X3988" s="1" t="s">
        <v>63</v>
      </c>
      <c r="Y3988" s="1" t="s">
        <v>5215</v>
      </c>
      <c r="Z3988" s="1" t="s">
        <v>37</v>
      </c>
    </row>
    <row r="3989">
      <c r="A3989" s="1" t="s">
        <v>11451</v>
      </c>
      <c r="B3989" s="1" t="s">
        <v>1634</v>
      </c>
      <c r="C3989" s="1" t="s">
        <v>11452</v>
      </c>
      <c r="D3989" s="1" t="s">
        <v>27</v>
      </c>
      <c r="E3989" s="1" t="s">
        <v>28</v>
      </c>
      <c r="F3989" s="2">
        <v>200000.0</v>
      </c>
      <c r="G3989" s="1" t="s">
        <v>1521</v>
      </c>
      <c r="H3989" s="4">
        <f>IFERROR(__xludf.DUMMYFUNCTION("DATE(INDEX(SPLIT(G3989,""/""),,3),INDEX(SPLIT(G3989,""/""),,2),INDEX(SPLIT(G3989,""/""),,1))"),44756.0)</f>
        <v>44756</v>
      </c>
      <c r="I3989" s="1" t="s">
        <v>935</v>
      </c>
      <c r="J3989" s="4">
        <f>IFERROR(__xludf.DUMMYFUNCTION("DATE(INDEX(SPLIT(I3989,""/""),,3),INDEX(SPLIT(I3989,""/""),,2),INDEX(SPLIT(I3989,""/""),,1))"),44764.0)</f>
        <v>44764</v>
      </c>
      <c r="L3989" s="1">
        <v>0.0</v>
      </c>
      <c r="M3989" s="1" t="s">
        <v>11453</v>
      </c>
      <c r="N3989" s="1"/>
      <c r="O3989" s="1" t="s">
        <v>30</v>
      </c>
      <c r="P3989" s="1" t="s">
        <v>31</v>
      </c>
      <c r="Q3989" s="1" t="s">
        <v>157</v>
      </c>
      <c r="R3989" s="1" t="s">
        <v>157</v>
      </c>
      <c r="S3989" s="1" t="s">
        <v>158</v>
      </c>
      <c r="U3989" s="1">
        <v>1.00640084E8</v>
      </c>
      <c r="X3989" s="1" t="s">
        <v>490</v>
      </c>
      <c r="Y3989" s="1" t="s">
        <v>11454</v>
      </c>
      <c r="Z3989" s="1" t="s">
        <v>37</v>
      </c>
    </row>
    <row r="3990" hidden="1">
      <c r="A3990" s="1" t="s">
        <v>11455</v>
      </c>
      <c r="B3990" s="1" t="s">
        <v>11456</v>
      </c>
      <c r="C3990" s="1" t="s">
        <v>11457</v>
      </c>
      <c r="D3990" s="1" t="s">
        <v>78</v>
      </c>
      <c r="E3990" s="1" t="s">
        <v>28</v>
      </c>
      <c r="F3990" s="2">
        <v>200000.0</v>
      </c>
      <c r="G3990" s="1" t="s">
        <v>1259</v>
      </c>
      <c r="H3990" s="4">
        <f>IFERROR(__xludf.DUMMYFUNCTION("DATE(INDEX(SPLIT(G3990,""/""),,3),INDEX(SPLIT(G3990,""/""),,2),INDEX(SPLIT(G3990,""/""),,1))"),44763.0)</f>
        <v>44763</v>
      </c>
      <c r="I3990" s="1" t="s">
        <v>134</v>
      </c>
      <c r="J3990" s="4">
        <f>IFERROR(__xludf.DUMMYFUNCTION("DATE(INDEX(SPLIT(I3990,""/""),,3),INDEX(SPLIT(I3990,""/""),,2),INDEX(SPLIT(I3990,""/""),,1))"),44792.0)</f>
        <v>44792</v>
      </c>
      <c r="L3990" s="1">
        <v>0.0</v>
      </c>
      <c r="M3990" s="1" t="s">
        <v>6938</v>
      </c>
      <c r="N3990" s="1"/>
      <c r="O3990" s="1" t="s">
        <v>30</v>
      </c>
      <c r="P3990" s="1" t="s">
        <v>31</v>
      </c>
      <c r="Q3990" s="1" t="s">
        <v>235</v>
      </c>
      <c r="R3990" s="1" t="s">
        <v>235</v>
      </c>
      <c r="S3990" s="1" t="s">
        <v>236</v>
      </c>
      <c r="U3990" s="1">
        <v>1.01161608E8</v>
      </c>
      <c r="X3990" s="1" t="s">
        <v>239</v>
      </c>
      <c r="Y3990" s="1" t="s">
        <v>1053</v>
      </c>
      <c r="Z3990" s="1" t="s">
        <v>37</v>
      </c>
    </row>
    <row r="3991">
      <c r="A3991" s="1" t="s">
        <v>11458</v>
      </c>
      <c r="B3991" s="1" t="s">
        <v>11459</v>
      </c>
      <c r="C3991" s="1" t="s">
        <v>11460</v>
      </c>
      <c r="D3991" s="1" t="s">
        <v>78</v>
      </c>
      <c r="E3991" s="1" t="s">
        <v>28</v>
      </c>
      <c r="F3991" s="2">
        <v>200000.0</v>
      </c>
      <c r="G3991" s="4">
        <v>44686.0</v>
      </c>
      <c r="H3991" s="4">
        <f>IFERROR(__xludf.DUMMYFUNCTION("DATE(INDEX(SPLIT(G3991,""/""),,3),INDEX(SPLIT(G3991,""/""),,2),INDEX(SPLIT(G3991,""/""),,1))"),44686.0)</f>
        <v>44686</v>
      </c>
      <c r="I3991" s="1" t="s">
        <v>226</v>
      </c>
      <c r="J3991" s="4">
        <f>IFERROR(__xludf.DUMMYFUNCTION("DATE(INDEX(SPLIT(I3991,""/""),,3),INDEX(SPLIT(I3991,""/""),,2),INDEX(SPLIT(I3991,""/""),,1))"),44771.0)</f>
        <v>44771</v>
      </c>
      <c r="L3991" s="1">
        <v>0.0</v>
      </c>
      <c r="M3991" s="1" t="s">
        <v>6587</v>
      </c>
      <c r="N3991" s="1"/>
      <c r="O3991" s="1" t="s">
        <v>30</v>
      </c>
      <c r="P3991" s="1" t="s">
        <v>31</v>
      </c>
      <c r="Q3991" s="1" t="s">
        <v>71</v>
      </c>
      <c r="R3991" s="1" t="s">
        <v>71</v>
      </c>
      <c r="S3991" s="1" t="s">
        <v>72</v>
      </c>
      <c r="T3991" s="1" t="s">
        <v>136</v>
      </c>
      <c r="U3991" s="1">
        <v>1.00618376E8</v>
      </c>
      <c r="X3991" s="1" t="s">
        <v>74</v>
      </c>
      <c r="Y3991" s="1" t="s">
        <v>6587</v>
      </c>
      <c r="Z3991" s="1" t="s">
        <v>37</v>
      </c>
    </row>
    <row r="3992">
      <c r="A3992" s="1" t="s">
        <v>11461</v>
      </c>
      <c r="B3992" s="1" t="s">
        <v>11462</v>
      </c>
      <c r="C3992" s="1" t="s">
        <v>11463</v>
      </c>
      <c r="D3992" s="1" t="s">
        <v>78</v>
      </c>
      <c r="E3992" s="1" t="s">
        <v>28</v>
      </c>
      <c r="F3992" s="2">
        <v>200000.0</v>
      </c>
      <c r="G3992" s="1" t="s">
        <v>836</v>
      </c>
      <c r="H3992" s="4">
        <f>IFERROR(__xludf.DUMMYFUNCTION("DATE(INDEX(SPLIT(G3992,""/""),,3),INDEX(SPLIT(G3992,""/""),,2),INDEX(SPLIT(G3992,""/""),,1))"),44610.0)</f>
        <v>44610</v>
      </c>
      <c r="I3992" s="4">
        <v>44749.0</v>
      </c>
      <c r="J3992" s="4">
        <f>IFERROR(__xludf.DUMMYFUNCTION("DATE(INDEX(SPLIT(I3992,""/""),,3),INDEX(SPLIT(I3992,""/""),,2),INDEX(SPLIT(I3992,""/""),,1))"),44749.0)</f>
        <v>44749</v>
      </c>
      <c r="L3992" s="1">
        <v>0.0</v>
      </c>
      <c r="M3992" s="1" t="s">
        <v>8859</v>
      </c>
      <c r="N3992" s="1"/>
      <c r="O3992" s="1" t="s">
        <v>30</v>
      </c>
      <c r="P3992" s="1" t="s">
        <v>31</v>
      </c>
      <c r="Q3992" s="1" t="s">
        <v>228</v>
      </c>
      <c r="R3992" s="1" t="s">
        <v>228</v>
      </c>
      <c r="S3992" s="1" t="s">
        <v>229</v>
      </c>
      <c r="T3992" s="1" t="s">
        <v>513</v>
      </c>
      <c r="U3992" s="1">
        <v>1.00604296E8</v>
      </c>
      <c r="X3992" s="1" t="s">
        <v>74</v>
      </c>
      <c r="Y3992" s="1" t="s">
        <v>3949</v>
      </c>
      <c r="Z3992" s="1" t="s">
        <v>37</v>
      </c>
    </row>
    <row r="3993" hidden="1">
      <c r="A3993" s="1" t="s">
        <v>11464</v>
      </c>
      <c r="B3993" s="1" t="s">
        <v>5652</v>
      </c>
      <c r="C3993" s="1" t="s">
        <v>11465</v>
      </c>
      <c r="D3993" s="1" t="s">
        <v>27</v>
      </c>
      <c r="E3993" s="1" t="s">
        <v>28</v>
      </c>
      <c r="F3993" s="2">
        <v>200000.0</v>
      </c>
      <c r="G3993" s="4">
        <v>44840.0</v>
      </c>
      <c r="H3993" s="4">
        <f>IFERROR(__xludf.DUMMYFUNCTION("DATE(INDEX(SPLIT(G3993,""/""),,3),INDEX(SPLIT(G3993,""/""),,2),INDEX(SPLIT(G3993,""/""),,1))"),44722.0)</f>
        <v>44722</v>
      </c>
      <c r="I3993" s="1" t="s">
        <v>109</v>
      </c>
      <c r="J3993" s="4">
        <f>IFERROR(__xludf.DUMMYFUNCTION("DATE(INDEX(SPLIT(I3993,""/""),,3),INDEX(SPLIT(I3993,""/""),,2),INDEX(SPLIT(I3993,""/""),,1))"),44834.0)</f>
        <v>44834</v>
      </c>
      <c r="L3993" s="1">
        <v>0.0</v>
      </c>
      <c r="M3993" s="1" t="s">
        <v>216</v>
      </c>
      <c r="N3993" s="1"/>
      <c r="O3993" s="1" t="s">
        <v>30</v>
      </c>
      <c r="P3993" s="1" t="s">
        <v>31</v>
      </c>
      <c r="Q3993" s="1" t="s">
        <v>95</v>
      </c>
      <c r="R3993" s="1" t="s">
        <v>95</v>
      </c>
      <c r="S3993" s="1" t="s">
        <v>96</v>
      </c>
      <c r="T3993" s="1" t="s">
        <v>311</v>
      </c>
      <c r="U3993" s="1">
        <v>1.01200292E8</v>
      </c>
      <c r="X3993" s="1" t="s">
        <v>361</v>
      </c>
      <c r="Y3993" s="1" t="s">
        <v>216</v>
      </c>
      <c r="Z3993" s="1" t="s">
        <v>37</v>
      </c>
    </row>
    <row r="3994" hidden="1">
      <c r="A3994" s="1" t="s">
        <v>11466</v>
      </c>
      <c r="B3994" s="1" t="s">
        <v>11467</v>
      </c>
      <c r="C3994" s="1" t="s">
        <v>11468</v>
      </c>
      <c r="D3994" s="1" t="s">
        <v>78</v>
      </c>
      <c r="E3994" s="1" t="s">
        <v>28</v>
      </c>
      <c r="F3994" s="2">
        <v>200000.0</v>
      </c>
      <c r="G3994" s="1" t="s">
        <v>418</v>
      </c>
      <c r="H3994" s="4">
        <f>IFERROR(__xludf.DUMMYFUNCTION("DATE(INDEX(SPLIT(G3994,""/""),,3),INDEX(SPLIT(G3994,""/""),,2),INDEX(SPLIT(G3994,""/""),,1))"),44755.0)</f>
        <v>44755</v>
      </c>
      <c r="I3994" s="1" t="s">
        <v>109</v>
      </c>
      <c r="J3994" s="4">
        <f>IFERROR(__xludf.DUMMYFUNCTION("DATE(INDEX(SPLIT(I3994,""/""),,3),INDEX(SPLIT(I3994,""/""),,2),INDEX(SPLIT(I3994,""/""),,1))"),44834.0)</f>
        <v>44834</v>
      </c>
      <c r="L3994" s="1">
        <v>0.0</v>
      </c>
      <c r="M3994" s="1" t="s">
        <v>294</v>
      </c>
      <c r="N3994" s="1"/>
      <c r="O3994" s="1" t="s">
        <v>30</v>
      </c>
      <c r="P3994" s="1" t="s">
        <v>31</v>
      </c>
      <c r="Q3994" s="1" t="s">
        <v>157</v>
      </c>
      <c r="R3994" s="1" t="s">
        <v>157</v>
      </c>
      <c r="S3994" s="1" t="s">
        <v>158</v>
      </c>
      <c r="T3994" s="1" t="s">
        <v>237</v>
      </c>
      <c r="U3994" s="1">
        <v>1.00642806E8</v>
      </c>
      <c r="X3994" s="1" t="s">
        <v>239</v>
      </c>
      <c r="Y3994" s="1" t="s">
        <v>11469</v>
      </c>
      <c r="Z3994" s="1" t="s">
        <v>37</v>
      </c>
    </row>
    <row r="3995">
      <c r="A3995" s="1" t="s">
        <v>11470</v>
      </c>
      <c r="B3995" s="1" t="s">
        <v>1734</v>
      </c>
      <c r="C3995" s="1" t="s">
        <v>11471</v>
      </c>
      <c r="D3995" s="1" t="s">
        <v>78</v>
      </c>
      <c r="E3995" s="1" t="s">
        <v>28</v>
      </c>
      <c r="F3995" s="2">
        <v>200000.0</v>
      </c>
      <c r="G3995" s="1" t="s">
        <v>418</v>
      </c>
      <c r="H3995" s="4">
        <f>IFERROR(__xludf.DUMMYFUNCTION("DATE(INDEX(SPLIT(G3995,""/""),,3),INDEX(SPLIT(G3995,""/""),,2),INDEX(SPLIT(G3995,""/""),,1))"),44755.0)</f>
        <v>44755</v>
      </c>
      <c r="I3995" s="1" t="s">
        <v>226</v>
      </c>
      <c r="J3995" s="4">
        <f>IFERROR(__xludf.DUMMYFUNCTION("DATE(INDEX(SPLIT(I3995,""/""),,3),INDEX(SPLIT(I3995,""/""),,2),INDEX(SPLIT(I3995,""/""),,1))"),44771.0)</f>
        <v>44771</v>
      </c>
      <c r="L3995" s="1">
        <v>0.0</v>
      </c>
      <c r="M3995" s="1" t="s">
        <v>823</v>
      </c>
      <c r="N3995" s="1"/>
      <c r="O3995" s="1" t="s">
        <v>30</v>
      </c>
      <c r="P3995" s="1" t="s">
        <v>31</v>
      </c>
      <c r="Q3995" s="1" t="s">
        <v>95</v>
      </c>
      <c r="R3995" s="1" t="s">
        <v>95</v>
      </c>
      <c r="S3995" s="1" t="s">
        <v>96</v>
      </c>
      <c r="T3995" s="1" t="s">
        <v>97</v>
      </c>
      <c r="U3995" s="1">
        <v>1.00629729E8</v>
      </c>
      <c r="X3995" s="1" t="s">
        <v>125</v>
      </c>
      <c r="Y3995" s="1" t="s">
        <v>2674</v>
      </c>
      <c r="Z3995" s="1" t="s">
        <v>37</v>
      </c>
    </row>
    <row r="3996" hidden="1">
      <c r="A3996" s="1" t="s">
        <v>11472</v>
      </c>
      <c r="B3996" s="1" t="s">
        <v>948</v>
      </c>
      <c r="C3996" s="1" t="s">
        <v>11473</v>
      </c>
      <c r="D3996" s="1" t="s">
        <v>78</v>
      </c>
      <c r="E3996" s="1" t="s">
        <v>28</v>
      </c>
      <c r="F3996" s="2">
        <v>200000.0</v>
      </c>
      <c r="G3996" s="4">
        <v>44177.0</v>
      </c>
      <c r="H3996" s="4">
        <f>IFERROR(__xludf.DUMMYFUNCTION("DATE(INDEX(SPLIT(G3996,""/""),,3),INDEX(SPLIT(G3996,""/""),,2),INDEX(SPLIT(G3996,""/""),,1))"),44177.0)</f>
        <v>44177</v>
      </c>
      <c r="I3996" s="1" t="s">
        <v>281</v>
      </c>
      <c r="J3996" s="4">
        <f>IFERROR(__xludf.DUMMYFUNCTION("DATE(INDEX(SPLIT(I3996,""/""),,3),INDEX(SPLIT(I3996,""/""),,2),INDEX(SPLIT(I3996,""/""),,1))"),44865.0)</f>
        <v>44865</v>
      </c>
      <c r="L3996" s="1">
        <v>0.0</v>
      </c>
      <c r="M3996" s="1" t="s">
        <v>1150</v>
      </c>
      <c r="N3996" s="1"/>
      <c r="O3996" s="1" t="s">
        <v>30</v>
      </c>
      <c r="P3996" s="1" t="s">
        <v>31</v>
      </c>
      <c r="Q3996" s="1" t="s">
        <v>53</v>
      </c>
      <c r="R3996" s="1" t="s">
        <v>53</v>
      </c>
      <c r="S3996" s="1" t="s">
        <v>54</v>
      </c>
      <c r="T3996" s="1" t="s">
        <v>181</v>
      </c>
      <c r="U3996" s="1">
        <v>1.00651298E8</v>
      </c>
      <c r="X3996" s="1" t="s">
        <v>74</v>
      </c>
      <c r="Y3996" s="1" t="s">
        <v>9105</v>
      </c>
      <c r="Z3996" s="1" t="s">
        <v>37</v>
      </c>
    </row>
    <row r="3997">
      <c r="A3997" s="1" t="s">
        <v>11474</v>
      </c>
      <c r="B3997" s="1" t="s">
        <v>301</v>
      </c>
      <c r="C3997" s="1" t="s">
        <v>11475</v>
      </c>
      <c r="D3997" s="1" t="s">
        <v>27</v>
      </c>
      <c r="E3997" s="1" t="s">
        <v>28</v>
      </c>
      <c r="F3997" s="2">
        <v>200000.0</v>
      </c>
      <c r="G3997" s="1" t="s">
        <v>1302</v>
      </c>
      <c r="H3997" s="4">
        <f>IFERROR(__xludf.DUMMYFUNCTION("DATE(INDEX(SPLIT(G3997,""/""),,3),INDEX(SPLIT(G3997,""/""),,2),INDEX(SPLIT(G3997,""/""),,1))"),44589.0)</f>
        <v>44589</v>
      </c>
      <c r="I3997" s="1" t="s">
        <v>1244</v>
      </c>
      <c r="J3997" s="4">
        <f>IFERROR(__xludf.DUMMYFUNCTION("DATE(INDEX(SPLIT(I3997,""/""),,3),INDEX(SPLIT(I3997,""/""),,2),INDEX(SPLIT(I3997,""/""),,1))"),44742.0)</f>
        <v>44742</v>
      </c>
      <c r="L3997" s="1">
        <v>0.0</v>
      </c>
      <c r="M3997" s="1" t="s">
        <v>7088</v>
      </c>
      <c r="N3997" s="1"/>
      <c r="O3997" s="1" t="s">
        <v>30</v>
      </c>
      <c r="P3997" s="1" t="s">
        <v>31</v>
      </c>
      <c r="Q3997" s="1" t="s">
        <v>228</v>
      </c>
      <c r="R3997" s="1" t="s">
        <v>228</v>
      </c>
      <c r="S3997" s="1" t="s">
        <v>229</v>
      </c>
      <c r="T3997" s="1" t="s">
        <v>513</v>
      </c>
      <c r="U3997" s="1">
        <v>1.00597339E8</v>
      </c>
      <c r="X3997" s="1" t="s">
        <v>305</v>
      </c>
      <c r="Y3997" s="1" t="s">
        <v>11476</v>
      </c>
      <c r="Z3997" s="1" t="s">
        <v>37</v>
      </c>
    </row>
    <row r="3998" hidden="1">
      <c r="A3998" s="1" t="s">
        <v>11477</v>
      </c>
      <c r="B3998" s="1" t="s">
        <v>301</v>
      </c>
      <c r="C3998" s="1" t="s">
        <v>11478</v>
      </c>
      <c r="D3998" s="1" t="s">
        <v>78</v>
      </c>
      <c r="E3998" s="1" t="s">
        <v>28</v>
      </c>
      <c r="F3998" s="2">
        <v>200000.0</v>
      </c>
      <c r="G3998" s="4">
        <v>44686.0</v>
      </c>
      <c r="H3998" s="4">
        <f>IFERROR(__xludf.DUMMYFUNCTION("DATE(INDEX(SPLIT(G3998,""/""),,3),INDEX(SPLIT(G3998,""/""),,2),INDEX(SPLIT(G3998,""/""),,1))"),44686.0)</f>
        <v>44686</v>
      </c>
      <c r="I3998" s="1" t="s">
        <v>1312</v>
      </c>
      <c r="J3998" s="4">
        <f>IFERROR(__xludf.DUMMYFUNCTION("DATE(INDEX(SPLIT(I3998,""/""),,3),INDEX(SPLIT(I3998,""/""),,2),INDEX(SPLIT(I3998,""/""),,1))"),44791.0)</f>
        <v>44791</v>
      </c>
      <c r="L3998" s="1">
        <v>0.0</v>
      </c>
      <c r="M3998" s="1" t="s">
        <v>873</v>
      </c>
      <c r="N3998" s="1"/>
      <c r="O3998" s="1" t="s">
        <v>30</v>
      </c>
      <c r="P3998" s="1" t="s">
        <v>31</v>
      </c>
      <c r="Q3998" s="1" t="s">
        <v>157</v>
      </c>
      <c r="R3998" s="1" t="s">
        <v>157</v>
      </c>
      <c r="S3998" s="1" t="s">
        <v>158</v>
      </c>
      <c r="U3998" s="1">
        <v>1.00586701E8</v>
      </c>
      <c r="X3998" s="1" t="s">
        <v>305</v>
      </c>
      <c r="Y3998" s="1" t="s">
        <v>874</v>
      </c>
      <c r="Z3998" s="1" t="s">
        <v>37</v>
      </c>
    </row>
    <row r="3999" hidden="1">
      <c r="A3999" s="1" t="s">
        <v>11479</v>
      </c>
      <c r="B3999" s="1" t="s">
        <v>363</v>
      </c>
      <c r="C3999" s="1" t="s">
        <v>11480</v>
      </c>
      <c r="D3999" s="1" t="s">
        <v>27</v>
      </c>
      <c r="E3999" s="1" t="s">
        <v>28</v>
      </c>
      <c r="F3999" s="2">
        <v>200000.0</v>
      </c>
      <c r="G3999" s="1" t="s">
        <v>1357</v>
      </c>
      <c r="H3999" s="4">
        <f>IFERROR(__xludf.DUMMYFUNCTION("DATE(INDEX(SPLIT(G3999,""/""),,3),INDEX(SPLIT(G3999,""/""),,2),INDEX(SPLIT(G3999,""/""),,1))"),44398.0)</f>
        <v>44398</v>
      </c>
      <c r="I3999" s="1" t="s">
        <v>130</v>
      </c>
      <c r="J3999" s="4">
        <f>IFERROR(__xludf.DUMMYFUNCTION("DATE(INDEX(SPLIT(I3999,""/""),,3),INDEX(SPLIT(I3999,""/""),,2),INDEX(SPLIT(I3999,""/""),,1))"),44804.0)</f>
        <v>44804</v>
      </c>
      <c r="L3999" s="1">
        <v>0.0</v>
      </c>
      <c r="M3999" s="1" t="s">
        <v>367</v>
      </c>
      <c r="N3999" s="1"/>
      <c r="O3999" s="1" t="s">
        <v>30</v>
      </c>
      <c r="P3999" s="1" t="s">
        <v>31</v>
      </c>
      <c r="Q3999" s="1" t="s">
        <v>235</v>
      </c>
      <c r="R3999" s="1" t="s">
        <v>235</v>
      </c>
      <c r="S3999" s="1" t="s">
        <v>236</v>
      </c>
      <c r="T3999" s="1" t="s">
        <v>237</v>
      </c>
      <c r="U3999" s="1">
        <v>1.01072617E8</v>
      </c>
      <c r="X3999" s="1" t="s">
        <v>239</v>
      </c>
      <c r="Y3999" s="1" t="s">
        <v>368</v>
      </c>
      <c r="Z3999" s="1" t="s">
        <v>206</v>
      </c>
    </row>
    <row r="4000" hidden="1">
      <c r="A4000" s="1" t="s">
        <v>11481</v>
      </c>
      <c r="B4000" s="1" t="s">
        <v>617</v>
      </c>
      <c r="C4000" s="1" t="s">
        <v>11482</v>
      </c>
      <c r="D4000" s="1" t="s">
        <v>122</v>
      </c>
      <c r="E4000" s="1" t="s">
        <v>28</v>
      </c>
      <c r="F4000" s="2">
        <v>200000.0</v>
      </c>
      <c r="G4000" s="1" t="s">
        <v>298</v>
      </c>
      <c r="H4000" s="4">
        <f>IFERROR(__xludf.DUMMYFUNCTION("DATE(INDEX(SPLIT(G4000,""/""),,3),INDEX(SPLIT(G4000,""/""),,2),INDEX(SPLIT(G4000,""/""),,1))"),44762.0)</f>
        <v>44762</v>
      </c>
      <c r="I4000" s="4">
        <v>44813.0</v>
      </c>
      <c r="J4000" s="4">
        <f>IFERROR(__xludf.DUMMYFUNCTION("DATE(INDEX(SPLIT(I4000,""/""),,3),INDEX(SPLIT(I4000,""/""),,2),INDEX(SPLIT(I4000,""/""),,1))"),44813.0)</f>
        <v>44813</v>
      </c>
      <c r="L4000" s="1">
        <v>0.0</v>
      </c>
      <c r="M4000" s="1" t="s">
        <v>1925</v>
      </c>
      <c r="N4000" s="1"/>
      <c r="O4000" s="1" t="s">
        <v>30</v>
      </c>
      <c r="P4000" s="1" t="s">
        <v>31</v>
      </c>
      <c r="Q4000" s="1" t="s">
        <v>32</v>
      </c>
      <c r="R4000" s="1" t="s">
        <v>32</v>
      </c>
      <c r="S4000" s="1" t="s">
        <v>33</v>
      </c>
      <c r="U4000" s="1">
        <v>1.00626539E8</v>
      </c>
      <c r="X4000" s="1" t="s">
        <v>81</v>
      </c>
      <c r="Y4000" s="1" t="s">
        <v>1925</v>
      </c>
      <c r="Z4000" s="1" t="s">
        <v>527</v>
      </c>
    </row>
    <row r="4001">
      <c r="A4001" s="1" t="s">
        <v>11483</v>
      </c>
      <c r="B4001" s="1" t="s">
        <v>4941</v>
      </c>
      <c r="C4001" s="1" t="s">
        <v>11484</v>
      </c>
      <c r="D4001" s="1" t="s">
        <v>78</v>
      </c>
      <c r="E4001" s="1" t="s">
        <v>28</v>
      </c>
      <c r="F4001" s="2">
        <v>200000.0</v>
      </c>
      <c r="G4001" s="1" t="s">
        <v>4047</v>
      </c>
      <c r="H4001" s="4">
        <f>IFERROR(__xludf.DUMMYFUNCTION("DATE(INDEX(SPLIT(G4001,""/""),,3),INDEX(SPLIT(G4001,""/""),,2),INDEX(SPLIT(G4001,""/""),,1))"),44580.0)</f>
        <v>44580</v>
      </c>
      <c r="I4001" s="1" t="s">
        <v>69</v>
      </c>
      <c r="J4001" s="4">
        <f>IFERROR(__xludf.DUMMYFUNCTION("DATE(INDEX(SPLIT(I4001,""/""),,3),INDEX(SPLIT(I4001,""/""),,2),INDEX(SPLIT(I4001,""/""),,1))"),44773.0)</f>
        <v>44773</v>
      </c>
      <c r="L4001" s="1">
        <v>0.0</v>
      </c>
      <c r="M4001" s="1" t="s">
        <v>5017</v>
      </c>
      <c r="N4001" s="1"/>
      <c r="O4001" s="1" t="s">
        <v>30</v>
      </c>
      <c r="P4001" s="1" t="s">
        <v>31</v>
      </c>
      <c r="Q4001" s="1" t="s">
        <v>228</v>
      </c>
      <c r="R4001" s="1" t="s">
        <v>228</v>
      </c>
      <c r="S4001" s="1" t="s">
        <v>229</v>
      </c>
      <c r="T4001" s="1" t="s">
        <v>513</v>
      </c>
      <c r="U4001" s="1">
        <v>1.00620023E8</v>
      </c>
      <c r="X4001" s="1" t="s">
        <v>117</v>
      </c>
      <c r="Y4001" s="1" t="s">
        <v>11485</v>
      </c>
      <c r="Z4001" s="1" t="s">
        <v>37</v>
      </c>
    </row>
    <row r="4002" hidden="1">
      <c r="A4002" s="1" t="s">
        <v>11486</v>
      </c>
      <c r="B4002" s="1" t="s">
        <v>3799</v>
      </c>
      <c r="C4002" s="1" t="s">
        <v>11487</v>
      </c>
      <c r="D4002" s="1" t="s">
        <v>27</v>
      </c>
      <c r="E4002" s="1" t="s">
        <v>28</v>
      </c>
      <c r="F4002" s="2">
        <v>200000.0</v>
      </c>
      <c r="G4002" s="1" t="s">
        <v>568</v>
      </c>
      <c r="H4002" s="4">
        <f>IFERROR(__xludf.DUMMYFUNCTION("DATE(INDEX(SPLIT(G4002,""/""),,3),INDEX(SPLIT(G4002,""/""),,2),INDEX(SPLIT(G4002,""/""),,1))"),44587.0)</f>
        <v>44587</v>
      </c>
      <c r="I4002" s="1" t="s">
        <v>130</v>
      </c>
      <c r="J4002" s="4">
        <f>IFERROR(__xludf.DUMMYFUNCTION("DATE(INDEX(SPLIT(I4002,""/""),,3),INDEX(SPLIT(I4002,""/""),,2),INDEX(SPLIT(I4002,""/""),,1))"),44804.0)</f>
        <v>44804</v>
      </c>
      <c r="L4002" s="1">
        <v>0.0</v>
      </c>
      <c r="M4002" s="1" t="s">
        <v>4960</v>
      </c>
      <c r="N4002" s="1"/>
      <c r="O4002" s="1" t="s">
        <v>30</v>
      </c>
      <c r="P4002" s="1" t="s">
        <v>31</v>
      </c>
      <c r="Q4002" s="1" t="s">
        <v>157</v>
      </c>
      <c r="R4002" s="1" t="s">
        <v>157</v>
      </c>
      <c r="S4002" s="1" t="s">
        <v>158</v>
      </c>
      <c r="U4002" s="1">
        <v>1.00617864E8</v>
      </c>
      <c r="X4002" s="1" t="s">
        <v>88</v>
      </c>
      <c r="Y4002" s="1" t="s">
        <v>1175</v>
      </c>
      <c r="Z4002" s="1" t="s">
        <v>527</v>
      </c>
    </row>
    <row r="4003">
      <c r="A4003" s="1" t="s">
        <v>11488</v>
      </c>
      <c r="B4003" s="1" t="s">
        <v>784</v>
      </c>
      <c r="C4003" s="1" t="s">
        <v>11489</v>
      </c>
      <c r="D4003" s="1" t="s">
        <v>122</v>
      </c>
      <c r="E4003" s="1" t="s">
        <v>28</v>
      </c>
      <c r="F4003" s="2">
        <v>200000.0</v>
      </c>
      <c r="G4003" s="4">
        <v>44626.0</v>
      </c>
      <c r="H4003" s="4">
        <f>IFERROR(__xludf.DUMMYFUNCTION("DATE(INDEX(SPLIT(G4003,""/""),,3),INDEX(SPLIT(G4003,""/""),,2),INDEX(SPLIT(G4003,""/""),,1))"),44715.0)</f>
        <v>44715</v>
      </c>
      <c r="I4003" s="1" t="s">
        <v>69</v>
      </c>
      <c r="J4003" s="4">
        <f>IFERROR(__xludf.DUMMYFUNCTION("DATE(INDEX(SPLIT(I4003,""/""),,3),INDEX(SPLIT(I4003,""/""),,2),INDEX(SPLIT(I4003,""/""),,1))"),44773.0)</f>
        <v>44773</v>
      </c>
      <c r="L4003" s="1">
        <v>0.0</v>
      </c>
      <c r="M4003" s="1" t="s">
        <v>1398</v>
      </c>
      <c r="N4003" s="1"/>
      <c r="O4003" s="1" t="s">
        <v>30</v>
      </c>
      <c r="P4003" s="1" t="s">
        <v>31</v>
      </c>
      <c r="Q4003" s="1" t="s">
        <v>95</v>
      </c>
      <c r="R4003" s="1" t="s">
        <v>95</v>
      </c>
      <c r="S4003" s="1" t="s">
        <v>96</v>
      </c>
      <c r="T4003" s="1" t="s">
        <v>103</v>
      </c>
      <c r="U4003" s="1">
        <v>1.0061941E8</v>
      </c>
      <c r="X4003" s="1" t="s">
        <v>63</v>
      </c>
      <c r="Y4003" s="1" t="s">
        <v>11490</v>
      </c>
      <c r="Z4003" s="1" t="s">
        <v>37</v>
      </c>
    </row>
    <row r="4004">
      <c r="A4004" s="1" t="s">
        <v>11491</v>
      </c>
      <c r="B4004" s="1" t="s">
        <v>11492</v>
      </c>
      <c r="C4004" s="1" t="s">
        <v>11493</v>
      </c>
      <c r="D4004" s="1" t="s">
        <v>122</v>
      </c>
      <c r="E4004" s="1" t="s">
        <v>28</v>
      </c>
      <c r="F4004" s="2">
        <v>200000.0</v>
      </c>
      <c r="G4004" s="1" t="s">
        <v>5115</v>
      </c>
      <c r="H4004" s="4">
        <f>IFERROR(__xludf.DUMMYFUNCTION("DATE(INDEX(SPLIT(G4004,""/""),,3),INDEX(SPLIT(G4004,""/""),,2),INDEX(SPLIT(G4004,""/""),,1))"),44530.0)</f>
        <v>44530</v>
      </c>
      <c r="I4004" s="1" t="s">
        <v>226</v>
      </c>
      <c r="J4004" s="4">
        <f>IFERROR(__xludf.DUMMYFUNCTION("DATE(INDEX(SPLIT(I4004,""/""),,3),INDEX(SPLIT(I4004,""/""),,2),INDEX(SPLIT(I4004,""/""),,1))"),44771.0)</f>
        <v>44771</v>
      </c>
      <c r="L4004" s="1">
        <v>0.0</v>
      </c>
      <c r="M4004" s="1" t="s">
        <v>318</v>
      </c>
      <c r="N4004" s="1"/>
      <c r="O4004" s="1" t="s">
        <v>30</v>
      </c>
      <c r="P4004" s="1" t="s">
        <v>31</v>
      </c>
      <c r="Q4004" s="1" t="s">
        <v>71</v>
      </c>
      <c r="R4004" s="1" t="s">
        <v>71</v>
      </c>
      <c r="S4004" s="1" t="s">
        <v>72</v>
      </c>
      <c r="T4004" s="1" t="s">
        <v>73</v>
      </c>
      <c r="U4004" s="1">
        <v>1.00654705E8</v>
      </c>
      <c r="X4004" s="1" t="s">
        <v>305</v>
      </c>
      <c r="Y4004" s="1" t="s">
        <v>318</v>
      </c>
      <c r="Z4004" s="1" t="s">
        <v>37</v>
      </c>
    </row>
    <row r="4005" hidden="1">
      <c r="A4005" s="1" t="s">
        <v>11494</v>
      </c>
      <c r="B4005" s="1" t="s">
        <v>11495</v>
      </c>
      <c r="C4005" s="1" t="s">
        <v>11496</v>
      </c>
      <c r="D4005" s="1" t="s">
        <v>122</v>
      </c>
      <c r="E4005" s="1" t="s">
        <v>28</v>
      </c>
      <c r="F4005" s="2">
        <v>200000.0</v>
      </c>
      <c r="G4005" s="4">
        <v>44746.0</v>
      </c>
      <c r="H4005" s="4">
        <f>IFERROR(__xludf.DUMMYFUNCTION("DATE(INDEX(SPLIT(G4005,""/""),,3),INDEX(SPLIT(G4005,""/""),,2),INDEX(SPLIT(G4005,""/""),,1))"),44658.0)</f>
        <v>44658</v>
      </c>
      <c r="I4005" s="1" t="s">
        <v>317</v>
      </c>
      <c r="J4005" s="4">
        <f>IFERROR(__xludf.DUMMYFUNCTION("DATE(INDEX(SPLIT(I4005,""/""),,3),INDEX(SPLIT(I4005,""/""),,2),INDEX(SPLIT(I4005,""/""),,1))"),44862.0)</f>
        <v>44862</v>
      </c>
      <c r="L4005" s="1">
        <v>0.0</v>
      </c>
      <c r="M4005" s="1" t="s">
        <v>4563</v>
      </c>
      <c r="N4005" s="1"/>
      <c r="O4005" s="1" t="s">
        <v>30</v>
      </c>
      <c r="P4005" s="1" t="s">
        <v>31</v>
      </c>
      <c r="Q4005" s="1" t="s">
        <v>53</v>
      </c>
      <c r="R4005" s="1" t="s">
        <v>53</v>
      </c>
      <c r="S4005" s="1" t="s">
        <v>54</v>
      </c>
      <c r="T4005" s="1" t="s">
        <v>103</v>
      </c>
      <c r="U4005" s="1">
        <v>1.00651638E8</v>
      </c>
      <c r="X4005" s="1" t="s">
        <v>98</v>
      </c>
      <c r="Y4005" s="1" t="s">
        <v>8979</v>
      </c>
      <c r="Z4005" s="1" t="s">
        <v>37</v>
      </c>
    </row>
    <row r="4006" hidden="1">
      <c r="A4006" s="1" t="s">
        <v>11497</v>
      </c>
      <c r="B4006" s="1" t="s">
        <v>11498</v>
      </c>
      <c r="C4006" s="1" t="s">
        <v>9988</v>
      </c>
      <c r="D4006" s="1" t="s">
        <v>78</v>
      </c>
      <c r="E4006" s="1" t="s">
        <v>28</v>
      </c>
      <c r="F4006" s="2">
        <v>200000.0</v>
      </c>
      <c r="G4006" s="1" t="s">
        <v>11499</v>
      </c>
      <c r="H4006" s="4">
        <f>IFERROR(__xludf.DUMMYFUNCTION("DATE(INDEX(SPLIT(G4006,""/""),,3),INDEX(SPLIT(G4006,""/""),,2),INDEX(SPLIT(G4006,""/""),,1))"),44038.0)</f>
        <v>44038</v>
      </c>
      <c r="I4006" s="1" t="s">
        <v>1097</v>
      </c>
      <c r="J4006" s="4">
        <f>IFERROR(__xludf.DUMMYFUNCTION("DATE(INDEX(SPLIT(I4006,""/""),,3),INDEX(SPLIT(I4006,""/""),,2),INDEX(SPLIT(I4006,""/""),,1))"),45107.0)</f>
        <v>45107</v>
      </c>
      <c r="L4006" s="1">
        <v>0.0</v>
      </c>
      <c r="M4006" s="1" t="s">
        <v>4477</v>
      </c>
      <c r="N4006" s="1"/>
      <c r="O4006" s="1" t="s">
        <v>30</v>
      </c>
      <c r="P4006" s="1" t="s">
        <v>31</v>
      </c>
      <c r="Q4006" s="1" t="s">
        <v>228</v>
      </c>
      <c r="R4006" s="1" t="s">
        <v>228</v>
      </c>
      <c r="S4006" s="1" t="s">
        <v>229</v>
      </c>
      <c r="T4006" s="1" t="s">
        <v>513</v>
      </c>
      <c r="U4006" s="1">
        <v>1.00592715E8</v>
      </c>
      <c r="X4006" s="1" t="s">
        <v>98</v>
      </c>
      <c r="Y4006" s="1" t="s">
        <v>4477</v>
      </c>
      <c r="Z4006" s="1" t="s">
        <v>37</v>
      </c>
    </row>
    <row r="4007" hidden="1">
      <c r="A4007" s="1" t="s">
        <v>11500</v>
      </c>
      <c r="B4007" s="1" t="s">
        <v>4854</v>
      </c>
      <c r="C4007" s="1" t="s">
        <v>11501</v>
      </c>
      <c r="D4007" s="1" t="s">
        <v>78</v>
      </c>
      <c r="E4007" s="1" t="s">
        <v>28</v>
      </c>
      <c r="F4007" s="2">
        <v>200000.0</v>
      </c>
      <c r="G4007" s="1" t="s">
        <v>2455</v>
      </c>
      <c r="H4007" s="4">
        <f>IFERROR(__xludf.DUMMYFUNCTION("DATE(INDEX(SPLIT(G4007,""/""),,3),INDEX(SPLIT(G4007,""/""),,2),INDEX(SPLIT(G4007,""/""),,1))"),44606.0)</f>
        <v>44606</v>
      </c>
      <c r="I4007" s="1" t="s">
        <v>6259</v>
      </c>
      <c r="J4007" s="4">
        <f>IFERROR(__xludf.DUMMYFUNCTION("DATE(INDEX(SPLIT(I4007,""/""),,3),INDEX(SPLIT(I4007,""/""),,2),INDEX(SPLIT(I4007,""/""),,1))"),44793.0)</f>
        <v>44793</v>
      </c>
      <c r="L4007" s="1">
        <v>0.0</v>
      </c>
      <c r="M4007" s="1" t="s">
        <v>4857</v>
      </c>
      <c r="N4007" s="1"/>
      <c r="O4007" s="1" t="s">
        <v>30</v>
      </c>
      <c r="P4007" s="1" t="s">
        <v>31</v>
      </c>
      <c r="Q4007" s="1" t="s">
        <v>32</v>
      </c>
      <c r="R4007" s="1" t="s">
        <v>32</v>
      </c>
      <c r="S4007" s="1" t="s">
        <v>33</v>
      </c>
      <c r="T4007" s="1" t="s">
        <v>103</v>
      </c>
      <c r="U4007" s="1">
        <v>1.00639569E8</v>
      </c>
      <c r="X4007" s="1" t="s">
        <v>375</v>
      </c>
      <c r="Y4007" s="1" t="s">
        <v>4857</v>
      </c>
      <c r="Z4007" s="1" t="s">
        <v>527</v>
      </c>
    </row>
    <row r="4008">
      <c r="A4008" s="1" t="s">
        <v>11502</v>
      </c>
      <c r="B4008" s="1" t="s">
        <v>11503</v>
      </c>
      <c r="C4008" s="1" t="s">
        <v>11504</v>
      </c>
      <c r="D4008" s="1" t="s">
        <v>122</v>
      </c>
      <c r="E4008" s="1" t="s">
        <v>28</v>
      </c>
      <c r="F4008" s="2">
        <v>200000.0</v>
      </c>
      <c r="G4008" s="1" t="s">
        <v>1569</v>
      </c>
      <c r="H4008" s="4">
        <f>IFERROR(__xludf.DUMMYFUNCTION("DATE(INDEX(SPLIT(G4008,""/""),,3),INDEX(SPLIT(G4008,""/""),,2),INDEX(SPLIT(G4008,""/""),,1))"),44645.0)</f>
        <v>44645</v>
      </c>
      <c r="I4008" s="1" t="s">
        <v>1244</v>
      </c>
      <c r="J4008" s="4">
        <f>IFERROR(__xludf.DUMMYFUNCTION("DATE(INDEX(SPLIT(I4008,""/""),,3),INDEX(SPLIT(I4008,""/""),,2),INDEX(SPLIT(I4008,""/""),,1))"),44742.0)</f>
        <v>44742</v>
      </c>
      <c r="L4008" s="1">
        <v>0.0</v>
      </c>
      <c r="M4008" s="1" t="s">
        <v>3112</v>
      </c>
      <c r="N4008" s="1"/>
      <c r="O4008" s="1" t="s">
        <v>30</v>
      </c>
      <c r="P4008" s="1" t="s">
        <v>31</v>
      </c>
      <c r="Q4008" s="1" t="s">
        <v>157</v>
      </c>
      <c r="R4008" s="1" t="s">
        <v>157</v>
      </c>
      <c r="S4008" s="1" t="s">
        <v>158</v>
      </c>
      <c r="U4008" s="1">
        <v>1.01141463E8</v>
      </c>
      <c r="Y4008" s="1" t="s">
        <v>11505</v>
      </c>
      <c r="Z4008" s="1" t="s">
        <v>37</v>
      </c>
    </row>
    <row r="4009" hidden="1">
      <c r="A4009" s="1" t="s">
        <v>11506</v>
      </c>
      <c r="B4009" s="1" t="s">
        <v>296</v>
      </c>
      <c r="C4009" s="1" t="s">
        <v>11507</v>
      </c>
      <c r="D4009" s="1" t="s">
        <v>122</v>
      </c>
      <c r="E4009" s="1" t="s">
        <v>28</v>
      </c>
      <c r="F4009" s="2">
        <v>200000.0</v>
      </c>
      <c r="G4009" s="1" t="s">
        <v>3178</v>
      </c>
      <c r="H4009" s="4">
        <f>IFERROR(__xludf.DUMMYFUNCTION("DATE(INDEX(SPLIT(G4009,""/""),,3),INDEX(SPLIT(G4009,""/""),,2),INDEX(SPLIT(G4009,""/""),,1))"),44644.0)</f>
        <v>44644</v>
      </c>
      <c r="I4009" s="1" t="s">
        <v>203</v>
      </c>
      <c r="J4009" s="4">
        <f>IFERROR(__xludf.DUMMYFUNCTION("DATE(INDEX(SPLIT(I4009,""/""),,3),INDEX(SPLIT(I4009,""/""),,2),INDEX(SPLIT(I4009,""/""),,1))"),44925.0)</f>
        <v>44925</v>
      </c>
      <c r="L4009" s="1">
        <v>0.0</v>
      </c>
      <c r="M4009" s="1" t="s">
        <v>211</v>
      </c>
      <c r="N4009" s="1"/>
      <c r="O4009" s="1" t="s">
        <v>30</v>
      </c>
      <c r="P4009" s="1" t="s">
        <v>31</v>
      </c>
      <c r="Q4009" s="1" t="s">
        <v>71</v>
      </c>
      <c r="R4009" s="1" t="s">
        <v>71</v>
      </c>
      <c r="S4009" s="1" t="s">
        <v>72</v>
      </c>
      <c r="T4009" s="1" t="s">
        <v>136</v>
      </c>
      <c r="U4009" s="1">
        <v>1.00590896E8</v>
      </c>
      <c r="X4009" s="1" t="s">
        <v>74</v>
      </c>
      <c r="Y4009" s="1" t="s">
        <v>3280</v>
      </c>
      <c r="Z4009" s="1" t="s">
        <v>37</v>
      </c>
    </row>
    <row r="4010">
      <c r="A4010" s="1" t="s">
        <v>11508</v>
      </c>
      <c r="B4010" s="1" t="s">
        <v>516</v>
      </c>
      <c r="C4010" s="1" t="s">
        <v>11509</v>
      </c>
      <c r="D4010" s="1" t="s">
        <v>78</v>
      </c>
      <c r="E4010" s="1" t="s">
        <v>28</v>
      </c>
      <c r="F4010" s="2">
        <v>200000.0</v>
      </c>
      <c r="G4010" s="1" t="s">
        <v>429</v>
      </c>
      <c r="H4010" s="4">
        <f>IFERROR(__xludf.DUMMYFUNCTION("DATE(INDEX(SPLIT(G4010,""/""),,3),INDEX(SPLIT(G4010,""/""),,2),INDEX(SPLIT(G4010,""/""),,1))"),44739.0)</f>
        <v>44739</v>
      </c>
      <c r="I4010" s="4">
        <v>44872.0</v>
      </c>
      <c r="J4010" s="4">
        <f>IFERROR(__xludf.DUMMYFUNCTION("DATE(INDEX(SPLIT(I4010,""/""),,3),INDEX(SPLIT(I4010,""/""),,2),INDEX(SPLIT(I4010,""/""),,1))"),44753.0)</f>
        <v>44753</v>
      </c>
      <c r="L4010" s="1">
        <v>0.0</v>
      </c>
      <c r="M4010" s="1" t="s">
        <v>570</v>
      </c>
      <c r="N4010" s="1"/>
      <c r="O4010" s="1" t="s">
        <v>30</v>
      </c>
      <c r="P4010" s="1" t="s">
        <v>31</v>
      </c>
      <c r="Q4010" s="1" t="s">
        <v>157</v>
      </c>
      <c r="R4010" s="1" t="s">
        <v>157</v>
      </c>
      <c r="S4010" s="1" t="s">
        <v>158</v>
      </c>
      <c r="U4010" s="1">
        <v>1.00586314E8</v>
      </c>
      <c r="X4010" s="1" t="s">
        <v>46</v>
      </c>
      <c r="Y4010" s="1" t="s">
        <v>4960</v>
      </c>
      <c r="Z4010" s="1" t="s">
        <v>37</v>
      </c>
    </row>
    <row r="4011">
      <c r="A4011" s="1" t="s">
        <v>11510</v>
      </c>
      <c r="B4011" s="1" t="s">
        <v>11511</v>
      </c>
      <c r="C4011" s="1" t="s">
        <v>11512</v>
      </c>
      <c r="D4011" s="1" t="s">
        <v>78</v>
      </c>
      <c r="E4011" s="1" t="s">
        <v>28</v>
      </c>
      <c r="F4011" s="2">
        <v>200000.0</v>
      </c>
      <c r="G4011" s="4">
        <v>44716.0</v>
      </c>
      <c r="H4011" s="4">
        <f>IFERROR(__xludf.DUMMYFUNCTION("DATE(INDEX(SPLIT(G4011,""/""),,3),INDEX(SPLIT(G4011,""/""),,2),INDEX(SPLIT(G4011,""/""),,1))"),44657.0)</f>
        <v>44657</v>
      </c>
      <c r="I4011" s="1" t="s">
        <v>1438</v>
      </c>
      <c r="J4011" s="4">
        <f>IFERROR(__xludf.DUMMYFUNCTION("DATE(INDEX(SPLIT(I4011,""/""),,3),INDEX(SPLIT(I4011,""/""),,2),INDEX(SPLIT(I4011,""/""),,1))"),44708.0)</f>
        <v>44708</v>
      </c>
      <c r="L4011" s="1">
        <v>0.0</v>
      </c>
      <c r="M4011" s="1" t="s">
        <v>1689</v>
      </c>
      <c r="N4011" s="1"/>
      <c r="O4011" s="1" t="s">
        <v>30</v>
      </c>
      <c r="P4011" s="1" t="s">
        <v>31</v>
      </c>
      <c r="Q4011" s="1" t="s">
        <v>53</v>
      </c>
      <c r="R4011" s="1" t="s">
        <v>53</v>
      </c>
      <c r="S4011" s="1" t="s">
        <v>54</v>
      </c>
      <c r="U4011" s="1">
        <v>1.00650657E8</v>
      </c>
      <c r="X4011" s="1" t="s">
        <v>312</v>
      </c>
      <c r="Y4011" s="1" t="s">
        <v>1689</v>
      </c>
      <c r="Z4011" s="1" t="s">
        <v>37</v>
      </c>
    </row>
    <row r="4012">
      <c r="A4012" s="1" t="s">
        <v>11513</v>
      </c>
      <c r="B4012" s="1" t="s">
        <v>11514</v>
      </c>
      <c r="C4012" s="1" t="s">
        <v>11515</v>
      </c>
      <c r="D4012" s="1" t="s">
        <v>78</v>
      </c>
      <c r="E4012" s="1" t="s">
        <v>28</v>
      </c>
      <c r="F4012" s="2">
        <v>200000.0</v>
      </c>
      <c r="G4012" s="4">
        <v>44840.0</v>
      </c>
      <c r="H4012" s="4">
        <f>IFERROR(__xludf.DUMMYFUNCTION("DATE(INDEX(SPLIT(G4012,""/""),,3),INDEX(SPLIT(G4012,""/""),,2),INDEX(SPLIT(G4012,""/""),,1))"),44722.0)</f>
        <v>44722</v>
      </c>
      <c r="I4012" s="1" t="s">
        <v>226</v>
      </c>
      <c r="J4012" s="4">
        <f>IFERROR(__xludf.DUMMYFUNCTION("DATE(INDEX(SPLIT(I4012,""/""),,3),INDEX(SPLIT(I4012,""/""),,2),INDEX(SPLIT(I4012,""/""),,1))"),44771.0)</f>
        <v>44771</v>
      </c>
      <c r="L4012" s="1">
        <v>0.0</v>
      </c>
      <c r="M4012" s="1" t="s">
        <v>8315</v>
      </c>
      <c r="N4012" s="1"/>
      <c r="O4012" s="1" t="s">
        <v>30</v>
      </c>
      <c r="P4012" s="1" t="s">
        <v>31</v>
      </c>
      <c r="Q4012" s="1" t="s">
        <v>95</v>
      </c>
      <c r="R4012" s="1" t="s">
        <v>95</v>
      </c>
      <c r="S4012" s="1" t="s">
        <v>96</v>
      </c>
      <c r="T4012" s="1" t="s">
        <v>111</v>
      </c>
      <c r="U4012" s="1">
        <v>1.00625107E8</v>
      </c>
      <c r="X4012" s="1" t="s">
        <v>63</v>
      </c>
      <c r="Y4012" s="1" t="s">
        <v>255</v>
      </c>
      <c r="Z4012" s="1" t="s">
        <v>206</v>
      </c>
    </row>
    <row r="4013" hidden="1">
      <c r="A4013" s="1" t="s">
        <v>11516</v>
      </c>
      <c r="B4013" s="1" t="s">
        <v>4361</v>
      </c>
      <c r="C4013" s="1" t="s">
        <v>11517</v>
      </c>
      <c r="D4013" s="1" t="s">
        <v>27</v>
      </c>
      <c r="E4013" s="1" t="s">
        <v>28</v>
      </c>
      <c r="F4013" s="2">
        <v>200000.0</v>
      </c>
      <c r="G4013" s="1" t="s">
        <v>1190</v>
      </c>
      <c r="H4013" s="4">
        <f>IFERROR(__xludf.DUMMYFUNCTION("DATE(INDEX(SPLIT(G4013,""/""),,3),INDEX(SPLIT(G4013,""/""),,2),INDEX(SPLIT(G4013,""/""),,1))"),44397.0)</f>
        <v>44397</v>
      </c>
      <c r="I4013" s="1" t="s">
        <v>535</v>
      </c>
      <c r="J4013" s="4">
        <f>IFERROR(__xludf.DUMMYFUNCTION("DATE(INDEX(SPLIT(I4013,""/""),,3),INDEX(SPLIT(I4013,""/""),,2),INDEX(SPLIT(I4013,""/""),,1))"),44957.0)</f>
        <v>44957</v>
      </c>
      <c r="L4013" s="1">
        <v>0.0</v>
      </c>
      <c r="M4013" s="1" t="s">
        <v>8315</v>
      </c>
      <c r="N4013" s="1"/>
      <c r="O4013" s="1" t="s">
        <v>30</v>
      </c>
      <c r="P4013" s="1" t="s">
        <v>31</v>
      </c>
      <c r="Q4013" s="1" t="s">
        <v>95</v>
      </c>
      <c r="R4013" s="1" t="s">
        <v>95</v>
      </c>
      <c r="S4013" s="1" t="s">
        <v>96</v>
      </c>
      <c r="T4013" s="1" t="s">
        <v>111</v>
      </c>
      <c r="U4013" s="1">
        <v>1.00625107E8</v>
      </c>
      <c r="X4013" s="1" t="s">
        <v>63</v>
      </c>
      <c r="Y4013" s="1" t="s">
        <v>985</v>
      </c>
      <c r="Z4013" s="1" t="s">
        <v>206</v>
      </c>
    </row>
    <row r="4014">
      <c r="A4014" s="1" t="s">
        <v>11518</v>
      </c>
      <c r="B4014" s="1" t="s">
        <v>11519</v>
      </c>
      <c r="C4014" s="1" t="s">
        <v>11520</v>
      </c>
      <c r="D4014" s="1" t="s">
        <v>78</v>
      </c>
      <c r="E4014" s="1" t="s">
        <v>28</v>
      </c>
      <c r="F4014" s="2">
        <v>200000.0</v>
      </c>
      <c r="G4014" s="1" t="s">
        <v>271</v>
      </c>
      <c r="H4014" s="4">
        <f>IFERROR(__xludf.DUMMYFUNCTION("DATE(INDEX(SPLIT(G4014,""/""),,3),INDEX(SPLIT(G4014,""/""),,2),INDEX(SPLIT(G4014,""/""),,1))"),44680.0)</f>
        <v>44680</v>
      </c>
      <c r="I4014" s="1" t="s">
        <v>69</v>
      </c>
      <c r="J4014" s="4">
        <f>IFERROR(__xludf.DUMMYFUNCTION("DATE(INDEX(SPLIT(I4014,""/""),,3),INDEX(SPLIT(I4014,""/""),,2),INDEX(SPLIT(I4014,""/""),,1))"),44773.0)</f>
        <v>44773</v>
      </c>
      <c r="L4014" s="1">
        <v>0.0</v>
      </c>
      <c r="M4014" s="1" t="s">
        <v>11521</v>
      </c>
      <c r="N4014" s="1"/>
      <c r="O4014" s="1" t="s">
        <v>30</v>
      </c>
      <c r="P4014" s="1" t="s">
        <v>31</v>
      </c>
      <c r="Q4014" s="1" t="s">
        <v>53</v>
      </c>
      <c r="R4014" s="1" t="s">
        <v>53</v>
      </c>
      <c r="S4014" s="1" t="s">
        <v>54</v>
      </c>
      <c r="T4014" s="1" t="s">
        <v>634</v>
      </c>
      <c r="U4014" s="1">
        <v>1.01230885E8</v>
      </c>
      <c r="X4014" s="1" t="s">
        <v>490</v>
      </c>
      <c r="Y4014" s="1" t="s">
        <v>11521</v>
      </c>
      <c r="Z4014" s="1" t="s">
        <v>37</v>
      </c>
    </row>
    <row r="4015" hidden="1">
      <c r="A4015" s="1" t="s">
        <v>11522</v>
      </c>
      <c r="B4015" s="1" t="s">
        <v>2369</v>
      </c>
      <c r="C4015" s="1" t="s">
        <v>11523</v>
      </c>
      <c r="D4015" s="1" t="s">
        <v>27</v>
      </c>
      <c r="E4015" s="1" t="s">
        <v>28</v>
      </c>
      <c r="F4015" s="2">
        <v>200000.0</v>
      </c>
      <c r="G4015" s="4">
        <v>44810.0</v>
      </c>
      <c r="H4015" s="4">
        <f>IFERROR(__xludf.DUMMYFUNCTION("DATE(INDEX(SPLIT(G4015,""/""),,3),INDEX(SPLIT(G4015,""/""),,2),INDEX(SPLIT(G4015,""/""),,1))"),44721.0)</f>
        <v>44721</v>
      </c>
      <c r="I4015" s="1" t="s">
        <v>130</v>
      </c>
      <c r="J4015" s="4">
        <f>IFERROR(__xludf.DUMMYFUNCTION("DATE(INDEX(SPLIT(I4015,""/""),,3),INDEX(SPLIT(I4015,""/""),,2),INDEX(SPLIT(I4015,""/""),,1))"),44804.0)</f>
        <v>44804</v>
      </c>
      <c r="L4015" s="1">
        <v>0.0</v>
      </c>
      <c r="M4015" s="1" t="s">
        <v>9664</v>
      </c>
      <c r="N4015" s="1"/>
      <c r="O4015" s="1" t="s">
        <v>30</v>
      </c>
      <c r="P4015" s="1" t="s">
        <v>31</v>
      </c>
      <c r="Q4015" s="1" t="s">
        <v>235</v>
      </c>
      <c r="R4015" s="1" t="s">
        <v>235</v>
      </c>
      <c r="S4015" s="1" t="s">
        <v>236</v>
      </c>
      <c r="U4015" s="1">
        <v>1.01235519E8</v>
      </c>
      <c r="X4015" s="1" t="s">
        <v>239</v>
      </c>
      <c r="Y4015" s="1" t="s">
        <v>9664</v>
      </c>
      <c r="Z4015" s="1" t="s">
        <v>37</v>
      </c>
    </row>
    <row r="4016" hidden="1">
      <c r="A4016" s="1" t="s">
        <v>11524</v>
      </c>
      <c r="B4016" s="1" t="s">
        <v>2369</v>
      </c>
      <c r="C4016" s="1" t="s">
        <v>11525</v>
      </c>
      <c r="D4016" s="1" t="s">
        <v>27</v>
      </c>
      <c r="E4016" s="1" t="s">
        <v>28</v>
      </c>
      <c r="F4016" s="2">
        <v>200000.0</v>
      </c>
      <c r="G4016" s="4">
        <v>44810.0</v>
      </c>
      <c r="H4016" s="4">
        <f>IFERROR(__xludf.DUMMYFUNCTION("DATE(INDEX(SPLIT(G4016,""/""),,3),INDEX(SPLIT(G4016,""/""),,2),INDEX(SPLIT(G4016,""/""),,1))"),44721.0)</f>
        <v>44721</v>
      </c>
      <c r="I4016" s="1" t="s">
        <v>360</v>
      </c>
      <c r="J4016" s="4">
        <f>IFERROR(__xludf.DUMMYFUNCTION("DATE(INDEX(SPLIT(I4016,""/""),,3),INDEX(SPLIT(I4016,""/""),,2),INDEX(SPLIT(I4016,""/""),,1))"),44895.0)</f>
        <v>44895</v>
      </c>
      <c r="L4016" s="1">
        <v>0.0</v>
      </c>
      <c r="M4016" s="1" t="s">
        <v>9664</v>
      </c>
      <c r="N4016" s="1"/>
      <c r="O4016" s="1" t="s">
        <v>30</v>
      </c>
      <c r="P4016" s="1" t="s">
        <v>31</v>
      </c>
      <c r="Q4016" s="1" t="s">
        <v>235</v>
      </c>
      <c r="R4016" s="1" t="s">
        <v>235</v>
      </c>
      <c r="S4016" s="1" t="s">
        <v>236</v>
      </c>
      <c r="U4016" s="1">
        <v>1.01235519E8</v>
      </c>
      <c r="X4016" s="1" t="s">
        <v>239</v>
      </c>
      <c r="Y4016" s="1" t="s">
        <v>9664</v>
      </c>
      <c r="Z4016" s="1" t="s">
        <v>37</v>
      </c>
    </row>
    <row r="4017" hidden="1">
      <c r="A4017" s="1" t="s">
        <v>11526</v>
      </c>
      <c r="B4017" s="1" t="s">
        <v>6001</v>
      </c>
      <c r="C4017" s="1" t="s">
        <v>11527</v>
      </c>
      <c r="D4017" s="1" t="s">
        <v>27</v>
      </c>
      <c r="E4017" s="1" t="s">
        <v>28</v>
      </c>
      <c r="F4017" s="2">
        <v>200000.0</v>
      </c>
      <c r="G4017" s="1" t="s">
        <v>862</v>
      </c>
      <c r="H4017" s="4">
        <f>IFERROR(__xludf.DUMMYFUNCTION("DATE(INDEX(SPLIT(G4017,""/""),,3),INDEX(SPLIT(G4017,""/""),,2),INDEX(SPLIT(G4017,""/""),,1))"),44699.0)</f>
        <v>44699</v>
      </c>
      <c r="I4017" s="1" t="s">
        <v>11528</v>
      </c>
      <c r="J4017" s="4">
        <f>IFERROR(__xludf.DUMMYFUNCTION("DATE(INDEX(SPLIT(I4017,""/""),,3),INDEX(SPLIT(I4017,""/""),,2),INDEX(SPLIT(I4017,""/""),,1))"),44795.0)</f>
        <v>44795</v>
      </c>
      <c r="L4017" s="1">
        <v>0.0</v>
      </c>
      <c r="M4017" s="1" t="s">
        <v>6003</v>
      </c>
      <c r="N4017" s="1"/>
      <c r="O4017" s="1" t="s">
        <v>30</v>
      </c>
      <c r="P4017" s="1" t="s">
        <v>31</v>
      </c>
      <c r="Q4017" s="1" t="s">
        <v>235</v>
      </c>
      <c r="R4017" s="1" t="s">
        <v>235</v>
      </c>
      <c r="S4017" s="1" t="s">
        <v>236</v>
      </c>
      <c r="T4017" s="1" t="s">
        <v>753</v>
      </c>
      <c r="U4017" s="1">
        <v>1.00623535E8</v>
      </c>
      <c r="X4017" s="1" t="s">
        <v>88</v>
      </c>
      <c r="Y4017" s="1" t="s">
        <v>6003</v>
      </c>
      <c r="Z4017" s="1" t="s">
        <v>37</v>
      </c>
    </row>
    <row r="4018" hidden="1">
      <c r="A4018" s="1" t="s">
        <v>11529</v>
      </c>
      <c r="B4018" s="1" t="s">
        <v>11530</v>
      </c>
      <c r="C4018" s="1" t="s">
        <v>11531</v>
      </c>
      <c r="D4018" s="1" t="s">
        <v>122</v>
      </c>
      <c r="E4018" s="1" t="s">
        <v>28</v>
      </c>
      <c r="F4018" s="2">
        <v>200000.0</v>
      </c>
      <c r="G4018" s="1" t="s">
        <v>11532</v>
      </c>
      <c r="H4018" s="4">
        <f>IFERROR(__xludf.DUMMYFUNCTION("DATE(INDEX(SPLIT(G4018,""/""),,3),INDEX(SPLIT(G4018,""/""),,2),INDEX(SPLIT(G4018,""/""),,1))"),43693.0)</f>
        <v>43693</v>
      </c>
      <c r="I4018" s="1" t="s">
        <v>109</v>
      </c>
      <c r="J4018" s="4">
        <f>IFERROR(__xludf.DUMMYFUNCTION("DATE(INDEX(SPLIT(I4018,""/""),,3),INDEX(SPLIT(I4018,""/""),,2),INDEX(SPLIT(I4018,""/""),,1))"),44834.0)</f>
        <v>44834</v>
      </c>
      <c r="L4018" s="1">
        <v>0.0</v>
      </c>
      <c r="M4018" s="1" t="s">
        <v>11533</v>
      </c>
      <c r="N4018" s="1"/>
      <c r="O4018" s="1" t="s">
        <v>30</v>
      </c>
      <c r="P4018" s="1" t="s">
        <v>31</v>
      </c>
      <c r="Q4018" s="1" t="s">
        <v>235</v>
      </c>
      <c r="R4018" s="1" t="s">
        <v>235</v>
      </c>
      <c r="S4018" s="1" t="s">
        <v>236</v>
      </c>
      <c r="T4018" s="1" t="s">
        <v>640</v>
      </c>
      <c r="U4018" s="1">
        <v>1.00608282E8</v>
      </c>
      <c r="X4018" s="1" t="s">
        <v>239</v>
      </c>
      <c r="Y4018" s="1" t="s">
        <v>11534</v>
      </c>
      <c r="Z4018" s="1" t="s">
        <v>37</v>
      </c>
    </row>
    <row r="4019" hidden="1">
      <c r="A4019" s="1" t="s">
        <v>11535</v>
      </c>
      <c r="B4019" s="1" t="s">
        <v>2680</v>
      </c>
      <c r="C4019" s="1" t="s">
        <v>11536</v>
      </c>
      <c r="D4019" s="1" t="s">
        <v>27</v>
      </c>
      <c r="E4019" s="1" t="s">
        <v>28</v>
      </c>
      <c r="F4019" s="2">
        <v>200000.0</v>
      </c>
      <c r="G4019" s="4">
        <v>44233.0</v>
      </c>
      <c r="H4019" s="4">
        <f>IFERROR(__xludf.DUMMYFUNCTION("DATE(INDEX(SPLIT(G4019,""/""),,3),INDEX(SPLIT(G4019,""/""),,2),INDEX(SPLIT(G4019,""/""),,1))"),44349.0)</f>
        <v>44349</v>
      </c>
      <c r="I4019" s="1" t="s">
        <v>1909</v>
      </c>
      <c r="J4019" s="4">
        <f>IFERROR(__xludf.DUMMYFUNCTION("DATE(INDEX(SPLIT(I4019,""/""),,3),INDEX(SPLIT(I4019,""/""),,2),INDEX(SPLIT(I4019,""/""),,1))"),44883.0)</f>
        <v>44883</v>
      </c>
      <c r="L4019" s="1">
        <v>0.0</v>
      </c>
      <c r="M4019" s="1" t="s">
        <v>2123</v>
      </c>
      <c r="N4019" s="1"/>
      <c r="O4019" s="1" t="s">
        <v>30</v>
      </c>
      <c r="P4019" s="1" t="s">
        <v>31</v>
      </c>
      <c r="Q4019" s="1" t="s">
        <v>157</v>
      </c>
      <c r="R4019" s="1" t="s">
        <v>157</v>
      </c>
      <c r="S4019" s="1" t="s">
        <v>158</v>
      </c>
      <c r="U4019" s="1">
        <v>1.00589248E8</v>
      </c>
      <c r="X4019" s="1" t="s">
        <v>63</v>
      </c>
      <c r="Y4019" s="1" t="s">
        <v>11537</v>
      </c>
      <c r="Z4019" s="1" t="s">
        <v>37</v>
      </c>
    </row>
    <row r="4020">
      <c r="A4020" s="1" t="s">
        <v>11538</v>
      </c>
      <c r="B4020" s="1" t="s">
        <v>9248</v>
      </c>
      <c r="C4020" s="1" t="s">
        <v>11539</v>
      </c>
      <c r="D4020" s="1" t="s">
        <v>27</v>
      </c>
      <c r="E4020" s="1" t="s">
        <v>28</v>
      </c>
      <c r="F4020" s="2">
        <v>200000.0</v>
      </c>
      <c r="G4020" s="4">
        <v>44716.0</v>
      </c>
      <c r="H4020" s="4">
        <f>IFERROR(__xludf.DUMMYFUNCTION("DATE(INDEX(SPLIT(G4020,""/""),,3),INDEX(SPLIT(G4020,""/""),,2),INDEX(SPLIT(G4020,""/""),,1))"),44657.0)</f>
        <v>44657</v>
      </c>
      <c r="I4020" s="1" t="s">
        <v>69</v>
      </c>
      <c r="J4020" s="4">
        <f>IFERROR(__xludf.DUMMYFUNCTION("DATE(INDEX(SPLIT(I4020,""/""),,3),INDEX(SPLIT(I4020,""/""),,2),INDEX(SPLIT(I4020,""/""),,1))"),44773.0)</f>
        <v>44773</v>
      </c>
      <c r="L4020" s="1">
        <v>0.0</v>
      </c>
      <c r="M4020" s="1" t="s">
        <v>1350</v>
      </c>
      <c r="N4020" s="1"/>
      <c r="O4020" s="1" t="s">
        <v>30</v>
      </c>
      <c r="P4020" s="1" t="s">
        <v>31</v>
      </c>
      <c r="Q4020" s="1" t="s">
        <v>235</v>
      </c>
      <c r="R4020" s="1" t="s">
        <v>235</v>
      </c>
      <c r="S4020" s="1" t="s">
        <v>236</v>
      </c>
      <c r="T4020" s="1" t="s">
        <v>1349</v>
      </c>
      <c r="U4020" s="1">
        <v>1.0059866E8</v>
      </c>
      <c r="X4020" s="1" t="s">
        <v>375</v>
      </c>
      <c r="Y4020" s="1" t="s">
        <v>1350</v>
      </c>
      <c r="Z4020" s="1" t="s">
        <v>527</v>
      </c>
    </row>
    <row r="4021" hidden="1">
      <c r="A4021" s="1" t="s">
        <v>11540</v>
      </c>
      <c r="B4021" s="1" t="s">
        <v>6936</v>
      </c>
      <c r="C4021" s="1" t="s">
        <v>11378</v>
      </c>
      <c r="D4021" s="1" t="s">
        <v>122</v>
      </c>
      <c r="E4021" s="1" t="s">
        <v>28</v>
      </c>
      <c r="F4021" s="2">
        <v>200000.0</v>
      </c>
      <c r="G4021" s="1" t="s">
        <v>418</v>
      </c>
      <c r="H4021" s="4">
        <f>IFERROR(__xludf.DUMMYFUNCTION("DATE(INDEX(SPLIT(G4021,""/""),,3),INDEX(SPLIT(G4021,""/""),,2),INDEX(SPLIT(G4021,""/""),,1))"),44755.0)</f>
        <v>44755</v>
      </c>
      <c r="I4021" s="1" t="s">
        <v>134</v>
      </c>
      <c r="J4021" s="4">
        <f>IFERROR(__xludf.DUMMYFUNCTION("DATE(INDEX(SPLIT(I4021,""/""),,3),INDEX(SPLIT(I4021,""/""),,2),INDEX(SPLIT(I4021,""/""),,1))"),44792.0)</f>
        <v>44792</v>
      </c>
      <c r="L4021" s="1">
        <v>0.0</v>
      </c>
      <c r="M4021" s="1" t="s">
        <v>2147</v>
      </c>
      <c r="N4021" s="1"/>
      <c r="O4021" s="1" t="s">
        <v>30</v>
      </c>
      <c r="P4021" s="1" t="s">
        <v>31</v>
      </c>
      <c r="Q4021" s="1" t="s">
        <v>235</v>
      </c>
      <c r="R4021" s="1" t="s">
        <v>235</v>
      </c>
      <c r="S4021" s="1" t="s">
        <v>236</v>
      </c>
      <c r="T4021" s="1" t="s">
        <v>237</v>
      </c>
      <c r="U4021" s="1">
        <v>1.00647935E8</v>
      </c>
      <c r="W4021" s="1" t="s">
        <v>56</v>
      </c>
      <c r="X4021" s="1" t="s">
        <v>239</v>
      </c>
      <c r="Y4021" s="1" t="s">
        <v>2147</v>
      </c>
      <c r="Z4021" s="1" t="s">
        <v>37</v>
      </c>
    </row>
    <row r="4022">
      <c r="A4022" s="1" t="s">
        <v>11541</v>
      </c>
      <c r="B4022" s="1" t="s">
        <v>11542</v>
      </c>
      <c r="C4022" s="1" t="s">
        <v>11543</v>
      </c>
      <c r="D4022" s="1" t="s">
        <v>122</v>
      </c>
      <c r="E4022" s="1" t="s">
        <v>28</v>
      </c>
      <c r="F4022" s="2">
        <v>200000.0</v>
      </c>
      <c r="G4022" s="4">
        <v>44899.0</v>
      </c>
      <c r="H4022" s="4">
        <f>IFERROR(__xludf.DUMMYFUNCTION("DATE(INDEX(SPLIT(G4022,""/""),,3),INDEX(SPLIT(G4022,""/""),,2),INDEX(SPLIT(G4022,""/""),,1))"),44663.0)</f>
        <v>44663</v>
      </c>
      <c r="I4022" s="1" t="s">
        <v>1244</v>
      </c>
      <c r="J4022" s="4">
        <f>IFERROR(__xludf.DUMMYFUNCTION("DATE(INDEX(SPLIT(I4022,""/""),,3),INDEX(SPLIT(I4022,""/""),,2),INDEX(SPLIT(I4022,""/""),,1))"),44742.0)</f>
        <v>44742</v>
      </c>
      <c r="L4022" s="1">
        <v>0.0</v>
      </c>
      <c r="M4022" s="1" t="s">
        <v>524</v>
      </c>
      <c r="N4022" s="1"/>
      <c r="O4022" s="1" t="s">
        <v>30</v>
      </c>
      <c r="P4022" s="1" t="s">
        <v>31</v>
      </c>
      <c r="Q4022" s="1" t="s">
        <v>32</v>
      </c>
      <c r="R4022" s="1" t="s">
        <v>32</v>
      </c>
      <c r="S4022" s="1" t="s">
        <v>33</v>
      </c>
      <c r="U4022" s="1">
        <v>1.00627768E8</v>
      </c>
      <c r="X4022" s="1" t="s">
        <v>81</v>
      </c>
      <c r="Y4022" s="1" t="s">
        <v>524</v>
      </c>
      <c r="Z4022" s="1" t="s">
        <v>527</v>
      </c>
    </row>
    <row r="4023">
      <c r="A4023" s="1" t="s">
        <v>11544</v>
      </c>
      <c r="B4023" s="1" t="s">
        <v>3026</v>
      </c>
      <c r="C4023" s="1" t="s">
        <v>11545</v>
      </c>
      <c r="D4023" s="1" t="s">
        <v>122</v>
      </c>
      <c r="E4023" s="1" t="s">
        <v>28</v>
      </c>
      <c r="F4023" s="2">
        <v>200000.0</v>
      </c>
      <c r="G4023" s="1" t="s">
        <v>418</v>
      </c>
      <c r="H4023" s="4">
        <f>IFERROR(__xludf.DUMMYFUNCTION("DATE(INDEX(SPLIT(G4023,""/""),,3),INDEX(SPLIT(G4023,""/""),,2),INDEX(SPLIT(G4023,""/""),,1))"),44755.0)</f>
        <v>44755</v>
      </c>
      <c r="I4023" s="1" t="s">
        <v>226</v>
      </c>
      <c r="J4023" s="4">
        <f>IFERROR(__xludf.DUMMYFUNCTION("DATE(INDEX(SPLIT(I4023,""/""),,3),INDEX(SPLIT(I4023,""/""),,2),INDEX(SPLIT(I4023,""/""),,1))"),44771.0)</f>
        <v>44771</v>
      </c>
      <c r="L4023" s="1">
        <v>0.0</v>
      </c>
      <c r="M4023" s="1" t="s">
        <v>4243</v>
      </c>
      <c r="N4023" s="1"/>
      <c r="O4023" s="1" t="s">
        <v>30</v>
      </c>
      <c r="P4023" s="1" t="s">
        <v>31</v>
      </c>
      <c r="Q4023" s="1" t="s">
        <v>157</v>
      </c>
      <c r="R4023" s="1" t="s">
        <v>157</v>
      </c>
      <c r="S4023" s="1" t="s">
        <v>158</v>
      </c>
      <c r="U4023" s="1">
        <v>1.0058537E8</v>
      </c>
      <c r="X4023" s="1" t="s">
        <v>490</v>
      </c>
      <c r="Y4023" s="1" t="s">
        <v>9877</v>
      </c>
      <c r="Z4023" s="1" t="s">
        <v>37</v>
      </c>
    </row>
    <row r="4024">
      <c r="A4024" s="1" t="s">
        <v>11546</v>
      </c>
      <c r="B4024" s="1" t="s">
        <v>7533</v>
      </c>
      <c r="C4024" s="1" t="s">
        <v>11547</v>
      </c>
      <c r="D4024" s="1" t="s">
        <v>78</v>
      </c>
      <c r="E4024" s="1" t="s">
        <v>28</v>
      </c>
      <c r="F4024" s="2">
        <v>200000.0</v>
      </c>
      <c r="G4024" s="1" t="s">
        <v>586</v>
      </c>
      <c r="H4024" s="4">
        <f>IFERROR(__xludf.DUMMYFUNCTION("DATE(INDEX(SPLIT(G4024,""/""),,3),INDEX(SPLIT(G4024,""/""),,2),INDEX(SPLIT(G4024,""/""),,1))"),44726.0)</f>
        <v>44726</v>
      </c>
      <c r="I4024" s="1" t="s">
        <v>226</v>
      </c>
      <c r="J4024" s="4">
        <f>IFERROR(__xludf.DUMMYFUNCTION("DATE(INDEX(SPLIT(I4024,""/""),,3),INDEX(SPLIT(I4024,""/""),,2),INDEX(SPLIT(I4024,""/""),,1))"),44771.0)</f>
        <v>44771</v>
      </c>
      <c r="L4024" s="1">
        <v>0.0</v>
      </c>
      <c r="M4024" s="1" t="s">
        <v>211</v>
      </c>
      <c r="N4024" s="1"/>
      <c r="O4024" s="1" t="s">
        <v>30</v>
      </c>
      <c r="P4024" s="1" t="s">
        <v>31</v>
      </c>
      <c r="Q4024" s="1" t="s">
        <v>71</v>
      </c>
      <c r="R4024" s="1" t="s">
        <v>71</v>
      </c>
      <c r="S4024" s="1" t="s">
        <v>72</v>
      </c>
      <c r="T4024" s="1" t="s">
        <v>136</v>
      </c>
      <c r="U4024" s="1">
        <v>1.00590896E8</v>
      </c>
      <c r="X4024" s="1" t="s">
        <v>74</v>
      </c>
      <c r="Y4024" s="1" t="s">
        <v>2176</v>
      </c>
      <c r="Z4024" s="1" t="s">
        <v>37</v>
      </c>
    </row>
    <row r="4025">
      <c r="A4025" s="1" t="s">
        <v>11548</v>
      </c>
      <c r="B4025" s="1" t="s">
        <v>11549</v>
      </c>
      <c r="C4025" s="1" t="s">
        <v>11550</v>
      </c>
      <c r="D4025" s="1" t="s">
        <v>27</v>
      </c>
      <c r="E4025" s="1" t="s">
        <v>28</v>
      </c>
      <c r="F4025" s="2">
        <v>200000.0</v>
      </c>
      <c r="G4025" s="1" t="s">
        <v>271</v>
      </c>
      <c r="H4025" s="4">
        <f>IFERROR(__xludf.DUMMYFUNCTION("DATE(INDEX(SPLIT(G4025,""/""),,3),INDEX(SPLIT(G4025,""/""),,2),INDEX(SPLIT(G4025,""/""),,1))"),44680.0)</f>
        <v>44680</v>
      </c>
      <c r="I4025" s="1" t="s">
        <v>2300</v>
      </c>
      <c r="J4025" s="4">
        <f>IFERROR(__xludf.DUMMYFUNCTION("DATE(INDEX(SPLIT(I4025,""/""),,3),INDEX(SPLIT(I4025,""/""),,2),INDEX(SPLIT(I4025,""/""),,1))"),44712.0)</f>
        <v>44712</v>
      </c>
      <c r="L4025" s="1">
        <v>0.0</v>
      </c>
      <c r="M4025" s="1" t="s">
        <v>11551</v>
      </c>
      <c r="N4025" s="1"/>
      <c r="O4025" s="1" t="s">
        <v>30</v>
      </c>
      <c r="P4025" s="1" t="s">
        <v>31</v>
      </c>
      <c r="Q4025" s="1" t="s">
        <v>188</v>
      </c>
      <c r="R4025" s="1" t="s">
        <v>188</v>
      </c>
      <c r="S4025" s="1" t="s">
        <v>189</v>
      </c>
      <c r="U4025" s="1">
        <v>1.009043E8</v>
      </c>
      <c r="X4025" s="1" t="s">
        <v>239</v>
      </c>
      <c r="Y4025" s="1" t="s">
        <v>11551</v>
      </c>
      <c r="Z4025" s="1" t="s">
        <v>37</v>
      </c>
    </row>
    <row r="4026" hidden="1">
      <c r="A4026" s="1" t="s">
        <v>11552</v>
      </c>
      <c r="B4026" s="1" t="s">
        <v>2265</v>
      </c>
      <c r="C4026" s="1" t="s">
        <v>11553</v>
      </c>
      <c r="D4026" s="1" t="s">
        <v>27</v>
      </c>
      <c r="E4026" s="1" t="s">
        <v>28</v>
      </c>
      <c r="F4026" s="2">
        <v>200000.0</v>
      </c>
      <c r="G4026" s="1" t="s">
        <v>1740</v>
      </c>
      <c r="H4026" s="4">
        <f>IFERROR(__xludf.DUMMYFUNCTION("DATE(INDEX(SPLIT(G4026,""/""),,3),INDEX(SPLIT(G4026,""/""),,2),INDEX(SPLIT(G4026,""/""),,1))"),44456.0)</f>
        <v>44456</v>
      </c>
      <c r="I4026" s="1" t="s">
        <v>109</v>
      </c>
      <c r="J4026" s="4">
        <f>IFERROR(__xludf.DUMMYFUNCTION("DATE(INDEX(SPLIT(I4026,""/""),,3),INDEX(SPLIT(I4026,""/""),,2),INDEX(SPLIT(I4026,""/""),,1))"),44834.0)</f>
        <v>44834</v>
      </c>
      <c r="L4026" s="1">
        <v>0.0</v>
      </c>
      <c r="M4026" s="1" t="s">
        <v>5564</v>
      </c>
      <c r="N4026" s="1"/>
      <c r="O4026" s="1" t="s">
        <v>30</v>
      </c>
      <c r="P4026" s="1" t="s">
        <v>31</v>
      </c>
      <c r="Q4026" s="1" t="s">
        <v>235</v>
      </c>
      <c r="R4026" s="1" t="s">
        <v>235</v>
      </c>
      <c r="S4026" s="1" t="s">
        <v>236</v>
      </c>
      <c r="T4026" s="1" t="s">
        <v>11554</v>
      </c>
      <c r="U4026" s="1">
        <v>1.00623111E8</v>
      </c>
      <c r="X4026" s="1" t="s">
        <v>239</v>
      </c>
      <c r="Y4026" s="1" t="s">
        <v>11555</v>
      </c>
      <c r="Z4026" s="1" t="s">
        <v>37</v>
      </c>
    </row>
    <row r="4027" hidden="1">
      <c r="A4027" s="1" t="s">
        <v>11556</v>
      </c>
      <c r="B4027" s="1" t="s">
        <v>3655</v>
      </c>
      <c r="C4027" s="1" t="s">
        <v>11557</v>
      </c>
      <c r="D4027" s="1" t="s">
        <v>27</v>
      </c>
      <c r="E4027" s="1" t="s">
        <v>28</v>
      </c>
      <c r="F4027" s="2">
        <v>200000.0</v>
      </c>
      <c r="G4027" s="1" t="s">
        <v>6537</v>
      </c>
      <c r="H4027" s="4">
        <f>IFERROR(__xludf.DUMMYFUNCTION("DATE(INDEX(SPLIT(G4027,""/""),,3),INDEX(SPLIT(G4027,""/""),,2),INDEX(SPLIT(G4027,""/""),,1))"),44097.0)</f>
        <v>44097</v>
      </c>
      <c r="I4027" s="1" t="s">
        <v>109</v>
      </c>
      <c r="J4027" s="4">
        <f>IFERROR(__xludf.DUMMYFUNCTION("DATE(INDEX(SPLIT(I4027,""/""),,3),INDEX(SPLIT(I4027,""/""),,2),INDEX(SPLIT(I4027,""/""),,1))"),44834.0)</f>
        <v>44834</v>
      </c>
      <c r="L4027" s="1">
        <v>0.0</v>
      </c>
      <c r="M4027" s="1" t="s">
        <v>3123</v>
      </c>
      <c r="N4027" s="1"/>
      <c r="O4027" s="1" t="s">
        <v>30</v>
      </c>
      <c r="P4027" s="1" t="s">
        <v>31</v>
      </c>
      <c r="Q4027" s="1" t="s">
        <v>157</v>
      </c>
      <c r="R4027" s="1" t="s">
        <v>157</v>
      </c>
      <c r="S4027" s="1" t="s">
        <v>158</v>
      </c>
      <c r="T4027" s="1" t="s">
        <v>442</v>
      </c>
      <c r="U4027" s="1">
        <v>1.00875111E8</v>
      </c>
      <c r="X4027" s="1" t="s">
        <v>88</v>
      </c>
      <c r="Y4027" s="1" t="s">
        <v>6260</v>
      </c>
      <c r="Z4027" s="1" t="s">
        <v>37</v>
      </c>
    </row>
    <row r="4028" hidden="1">
      <c r="A4028" s="1" t="s">
        <v>11558</v>
      </c>
      <c r="B4028" s="1" t="s">
        <v>59</v>
      </c>
      <c r="C4028" s="1" t="s">
        <v>11559</v>
      </c>
      <c r="D4028" s="1" t="s">
        <v>78</v>
      </c>
      <c r="E4028" s="1" t="s">
        <v>28</v>
      </c>
      <c r="F4028" s="2">
        <v>200000.0</v>
      </c>
      <c r="G4028" s="1" t="s">
        <v>9952</v>
      </c>
      <c r="H4028" s="4">
        <f>IFERROR(__xludf.DUMMYFUNCTION("DATE(INDEX(SPLIT(G4028,""/""),,3),INDEX(SPLIT(G4028,""/""),,2),INDEX(SPLIT(G4028,""/""),,1))"),44124.0)</f>
        <v>44124</v>
      </c>
      <c r="I4028" s="1" t="s">
        <v>109</v>
      </c>
      <c r="J4028" s="4">
        <f>IFERROR(__xludf.DUMMYFUNCTION("DATE(INDEX(SPLIT(I4028,""/""),,3),INDEX(SPLIT(I4028,""/""),,2),INDEX(SPLIT(I4028,""/""),,1))"),44834.0)</f>
        <v>44834</v>
      </c>
      <c r="L4028" s="1">
        <v>0.0</v>
      </c>
      <c r="M4028" s="1" t="s">
        <v>61</v>
      </c>
      <c r="N4028" s="1"/>
      <c r="O4028" s="1" t="s">
        <v>30</v>
      </c>
      <c r="P4028" s="1" t="s">
        <v>31</v>
      </c>
      <c r="Q4028" s="1" t="s">
        <v>32</v>
      </c>
      <c r="R4028" s="1" t="s">
        <v>32</v>
      </c>
      <c r="S4028" s="1" t="s">
        <v>33</v>
      </c>
      <c r="T4028" s="1" t="s">
        <v>103</v>
      </c>
      <c r="U4028" s="1">
        <v>1.0060843E8</v>
      </c>
      <c r="X4028" s="1" t="s">
        <v>63</v>
      </c>
      <c r="Y4028" s="1" t="s">
        <v>61</v>
      </c>
      <c r="Z4028" s="1" t="s">
        <v>37</v>
      </c>
    </row>
    <row r="4029" hidden="1">
      <c r="A4029" s="1" t="s">
        <v>11560</v>
      </c>
      <c r="B4029" s="1" t="s">
        <v>8788</v>
      </c>
      <c r="C4029" s="1" t="s">
        <v>11561</v>
      </c>
      <c r="D4029" s="1" t="s">
        <v>78</v>
      </c>
      <c r="E4029" s="1" t="s">
        <v>28</v>
      </c>
      <c r="F4029" s="2">
        <v>200000.0</v>
      </c>
      <c r="G4029" s="4">
        <v>44810.0</v>
      </c>
      <c r="H4029" s="4">
        <f>IFERROR(__xludf.DUMMYFUNCTION("DATE(INDEX(SPLIT(G4029,""/""),,3),INDEX(SPLIT(G4029,""/""),,2),INDEX(SPLIT(G4029,""/""),,1))"),44721.0)</f>
        <v>44721</v>
      </c>
      <c r="I4029" s="1" t="s">
        <v>109</v>
      </c>
      <c r="J4029" s="4">
        <f>IFERROR(__xludf.DUMMYFUNCTION("DATE(INDEX(SPLIT(I4029,""/""),,3),INDEX(SPLIT(I4029,""/""),,2),INDEX(SPLIT(I4029,""/""),,1))"),44834.0)</f>
        <v>44834</v>
      </c>
      <c r="L4029" s="1">
        <v>0.0</v>
      </c>
      <c r="M4029" s="1" t="s">
        <v>1137</v>
      </c>
      <c r="N4029" s="1"/>
      <c r="O4029" s="1" t="s">
        <v>30</v>
      </c>
      <c r="P4029" s="1" t="s">
        <v>31</v>
      </c>
      <c r="Q4029" s="1" t="s">
        <v>71</v>
      </c>
      <c r="R4029" s="1" t="s">
        <v>71</v>
      </c>
      <c r="S4029" s="1" t="s">
        <v>72</v>
      </c>
      <c r="T4029" s="1" t="s">
        <v>136</v>
      </c>
      <c r="U4029" s="1">
        <v>1.00589728E8</v>
      </c>
      <c r="X4029" s="1" t="s">
        <v>74</v>
      </c>
      <c r="Y4029" s="1" t="s">
        <v>11562</v>
      </c>
      <c r="Z4029" s="1" t="s">
        <v>37</v>
      </c>
    </row>
    <row r="4030">
      <c r="A4030" s="1" t="s">
        <v>11563</v>
      </c>
      <c r="B4030" s="1" t="s">
        <v>11564</v>
      </c>
      <c r="C4030" s="1" t="s">
        <v>11565</v>
      </c>
      <c r="D4030" s="1" t="s">
        <v>78</v>
      </c>
      <c r="E4030" s="1" t="s">
        <v>28</v>
      </c>
      <c r="F4030" s="2">
        <v>200000.0</v>
      </c>
      <c r="G4030" s="1" t="s">
        <v>429</v>
      </c>
      <c r="H4030" s="4">
        <f>IFERROR(__xludf.DUMMYFUNCTION("DATE(INDEX(SPLIT(G4030,""/""),,3),INDEX(SPLIT(G4030,""/""),,2),INDEX(SPLIT(G4030,""/""),,1))"),44739.0)</f>
        <v>44739</v>
      </c>
      <c r="I4030" s="1" t="s">
        <v>226</v>
      </c>
      <c r="J4030" s="4">
        <f>IFERROR(__xludf.DUMMYFUNCTION("DATE(INDEX(SPLIT(I4030,""/""),,3),INDEX(SPLIT(I4030,""/""),,2),INDEX(SPLIT(I4030,""/""),,1))"),44771.0)</f>
        <v>44771</v>
      </c>
      <c r="L4030" s="1">
        <v>0.0</v>
      </c>
      <c r="M4030" s="1" t="s">
        <v>3794</v>
      </c>
      <c r="N4030" s="1"/>
      <c r="O4030" s="1" t="s">
        <v>30</v>
      </c>
      <c r="P4030" s="1" t="s">
        <v>31</v>
      </c>
      <c r="Q4030" s="1" t="s">
        <v>32</v>
      </c>
      <c r="R4030" s="1" t="s">
        <v>32</v>
      </c>
      <c r="S4030" s="1" t="s">
        <v>33</v>
      </c>
      <c r="U4030" s="1">
        <v>1.00658994E8</v>
      </c>
      <c r="X4030" s="1" t="s">
        <v>375</v>
      </c>
      <c r="Y4030" s="1" t="s">
        <v>3794</v>
      </c>
      <c r="Z4030" s="1" t="s">
        <v>206</v>
      </c>
    </row>
    <row r="4031" hidden="1">
      <c r="A4031" s="1" t="s">
        <v>11566</v>
      </c>
      <c r="B4031" s="1" t="s">
        <v>177</v>
      </c>
      <c r="C4031" s="1" t="s">
        <v>11567</v>
      </c>
      <c r="D4031" s="1" t="s">
        <v>78</v>
      </c>
      <c r="E4031" s="1" t="s">
        <v>28</v>
      </c>
      <c r="F4031" s="2">
        <v>200000.0</v>
      </c>
      <c r="G4031" s="4">
        <v>44775.0</v>
      </c>
      <c r="H4031" s="4">
        <f>IFERROR(__xludf.DUMMYFUNCTION("DATE(INDEX(SPLIT(G4031,""/""),,3),INDEX(SPLIT(G4031,""/""),,2),INDEX(SPLIT(G4031,""/""),,1))"),44600.0)</f>
        <v>44600</v>
      </c>
      <c r="I4031" s="4">
        <v>44752.0</v>
      </c>
      <c r="J4031" s="4">
        <f>IFERROR(__xludf.DUMMYFUNCTION("DATE(INDEX(SPLIT(I4031,""/""),,3),INDEX(SPLIT(I4031,""/""),,2),INDEX(SPLIT(I4031,""/""),,1))"),44841.0)</f>
        <v>44841</v>
      </c>
      <c r="L4031" s="1">
        <v>0.0</v>
      </c>
      <c r="M4031" s="1" t="s">
        <v>180</v>
      </c>
      <c r="N4031" s="1"/>
      <c r="O4031" s="1" t="s">
        <v>30</v>
      </c>
      <c r="P4031" s="1" t="s">
        <v>31</v>
      </c>
      <c r="Q4031" s="1" t="s">
        <v>53</v>
      </c>
      <c r="R4031" s="1" t="s">
        <v>53</v>
      </c>
      <c r="S4031" s="1" t="s">
        <v>54</v>
      </c>
      <c r="T4031" s="1" t="s">
        <v>181</v>
      </c>
      <c r="U4031" s="1">
        <v>1.00650619E8</v>
      </c>
      <c r="X4031" s="1" t="s">
        <v>74</v>
      </c>
      <c r="Y4031" s="1" t="s">
        <v>180</v>
      </c>
      <c r="Z4031" s="1" t="s">
        <v>37</v>
      </c>
    </row>
    <row r="4032">
      <c r="A4032" s="1" t="s">
        <v>11568</v>
      </c>
      <c r="B4032" s="1" t="s">
        <v>10455</v>
      </c>
      <c r="C4032" s="1" t="s">
        <v>11569</v>
      </c>
      <c r="D4032" s="1" t="s">
        <v>122</v>
      </c>
      <c r="E4032" s="1" t="s">
        <v>28</v>
      </c>
      <c r="F4032" s="2">
        <v>200000.0</v>
      </c>
      <c r="G4032" s="4">
        <v>44686.0</v>
      </c>
      <c r="H4032" s="4">
        <f>IFERROR(__xludf.DUMMYFUNCTION("DATE(INDEX(SPLIT(G4032,""/""),,3),INDEX(SPLIT(G4032,""/""),,2),INDEX(SPLIT(G4032,""/""),,1))"),44686.0)</f>
        <v>44686</v>
      </c>
      <c r="I4032" s="1" t="s">
        <v>1442</v>
      </c>
      <c r="J4032" s="4">
        <f>IFERROR(__xludf.DUMMYFUNCTION("DATE(INDEX(SPLIT(I4032,""/""),,3),INDEX(SPLIT(I4032,""/""),,2),INDEX(SPLIT(I4032,""/""),,1))"),44727.0)</f>
        <v>44727</v>
      </c>
      <c r="L4032" s="1">
        <v>0.0</v>
      </c>
      <c r="M4032" s="1" t="s">
        <v>9922</v>
      </c>
      <c r="N4032" s="1"/>
      <c r="O4032" s="1" t="s">
        <v>30</v>
      </c>
      <c r="P4032" s="1" t="s">
        <v>31</v>
      </c>
      <c r="Q4032" s="1" t="s">
        <v>228</v>
      </c>
      <c r="R4032" s="1" t="s">
        <v>228</v>
      </c>
      <c r="S4032" s="1" t="s">
        <v>229</v>
      </c>
      <c r="T4032" s="1" t="s">
        <v>513</v>
      </c>
      <c r="U4032" s="1">
        <v>1.00609628E8</v>
      </c>
      <c r="X4032" s="1" t="s">
        <v>2769</v>
      </c>
      <c r="Y4032" s="1" t="s">
        <v>11181</v>
      </c>
      <c r="Z4032" s="1" t="s">
        <v>37</v>
      </c>
    </row>
    <row r="4033" hidden="1">
      <c r="A4033" s="1" t="s">
        <v>11570</v>
      </c>
      <c r="B4033" s="1" t="s">
        <v>11571</v>
      </c>
      <c r="C4033" s="1" t="s">
        <v>11572</v>
      </c>
      <c r="D4033" s="1" t="s">
        <v>27</v>
      </c>
      <c r="E4033" s="1" t="s">
        <v>28</v>
      </c>
      <c r="F4033" s="2">
        <v>200000.0</v>
      </c>
      <c r="G4033" s="1" t="s">
        <v>1154</v>
      </c>
      <c r="H4033" s="4">
        <f>IFERROR(__xludf.DUMMYFUNCTION("DATE(INDEX(SPLIT(G4033,""/""),,3),INDEX(SPLIT(G4033,""/""),,2),INDEX(SPLIT(G4033,""/""),,1))"),44735.0)</f>
        <v>44735</v>
      </c>
      <c r="I4033" s="1" t="s">
        <v>42</v>
      </c>
      <c r="J4033" s="4">
        <f>IFERROR(__xludf.DUMMYFUNCTION("DATE(INDEX(SPLIT(I4033,""/""),,3),INDEX(SPLIT(I4033,""/""),,2),INDEX(SPLIT(I4033,""/""),,1))"),44926.0)</f>
        <v>44926</v>
      </c>
      <c r="L4033" s="1">
        <v>0.0</v>
      </c>
      <c r="M4033" s="1" t="s">
        <v>4705</v>
      </c>
      <c r="N4033" s="1"/>
      <c r="O4033" s="1" t="s">
        <v>30</v>
      </c>
      <c r="P4033" s="1" t="s">
        <v>31</v>
      </c>
      <c r="Q4033" s="1" t="s">
        <v>95</v>
      </c>
      <c r="R4033" s="1" t="s">
        <v>95</v>
      </c>
      <c r="S4033" s="1" t="s">
        <v>96</v>
      </c>
      <c r="U4033" s="1">
        <v>1.00615309E8</v>
      </c>
      <c r="X4033" s="1" t="s">
        <v>254</v>
      </c>
      <c r="Y4033" s="1" t="s">
        <v>4705</v>
      </c>
      <c r="Z4033" s="1" t="s">
        <v>527</v>
      </c>
    </row>
    <row r="4034" hidden="1">
      <c r="A4034" s="1" t="s">
        <v>11573</v>
      </c>
      <c r="B4034" s="1" t="s">
        <v>284</v>
      </c>
      <c r="C4034" s="1" t="s">
        <v>11574</v>
      </c>
      <c r="D4034" s="1" t="s">
        <v>27</v>
      </c>
      <c r="E4034" s="1" t="s">
        <v>28</v>
      </c>
      <c r="F4034" s="2">
        <v>200000.0</v>
      </c>
      <c r="G4034" s="4">
        <v>44685.0</v>
      </c>
      <c r="H4034" s="4">
        <f>IFERROR(__xludf.DUMMYFUNCTION("DATE(INDEX(SPLIT(G4034,""/""),,3),INDEX(SPLIT(G4034,""/""),,2),INDEX(SPLIT(G4034,""/""),,1))"),44656.0)</f>
        <v>44656</v>
      </c>
      <c r="I4034" s="1" t="s">
        <v>3767</v>
      </c>
      <c r="J4034" s="4">
        <f>IFERROR(__xludf.DUMMYFUNCTION("DATE(INDEX(SPLIT(I4034,""/""),,3),INDEX(SPLIT(I4034,""/""),,2),INDEX(SPLIT(I4034,""/""),,1))"),44847.0)</f>
        <v>44847</v>
      </c>
      <c r="L4034" s="1">
        <v>0.0</v>
      </c>
      <c r="M4034" s="1" t="s">
        <v>187</v>
      </c>
      <c r="N4034" s="1"/>
      <c r="O4034" s="1" t="s">
        <v>30</v>
      </c>
      <c r="P4034" s="1" t="s">
        <v>31</v>
      </c>
      <c r="Q4034" s="1" t="s">
        <v>188</v>
      </c>
      <c r="R4034" s="1" t="s">
        <v>188</v>
      </c>
      <c r="S4034" s="1" t="s">
        <v>189</v>
      </c>
      <c r="U4034" s="1">
        <v>1.00613095E8</v>
      </c>
      <c r="X4034" s="1" t="s">
        <v>289</v>
      </c>
      <c r="Y4034" s="1" t="s">
        <v>5348</v>
      </c>
      <c r="Z4034" s="1" t="s">
        <v>37</v>
      </c>
    </row>
    <row r="4035" hidden="1">
      <c r="A4035" s="1" t="s">
        <v>11575</v>
      </c>
      <c r="B4035" s="1" t="s">
        <v>301</v>
      </c>
      <c r="C4035" s="1" t="s">
        <v>11576</v>
      </c>
      <c r="D4035" s="1" t="s">
        <v>27</v>
      </c>
      <c r="E4035" s="1" t="s">
        <v>28</v>
      </c>
      <c r="F4035" s="2">
        <v>200000.0</v>
      </c>
      <c r="G4035" s="1" t="s">
        <v>271</v>
      </c>
      <c r="H4035" s="4">
        <f>IFERROR(__xludf.DUMMYFUNCTION("DATE(INDEX(SPLIT(G4035,""/""),,3),INDEX(SPLIT(G4035,""/""),,2),INDEX(SPLIT(G4035,""/""),,1))"),44680.0)</f>
        <v>44680</v>
      </c>
      <c r="I4035" s="4">
        <v>44989.0</v>
      </c>
      <c r="J4035" s="4">
        <f>IFERROR(__xludf.DUMMYFUNCTION("DATE(INDEX(SPLIT(I4035,""/""),,3),INDEX(SPLIT(I4035,""/""),,2),INDEX(SPLIT(I4035,""/""),,1))"),45019.0)</f>
        <v>45019</v>
      </c>
      <c r="L4035" s="1">
        <v>0.0</v>
      </c>
      <c r="M4035" s="1" t="s">
        <v>873</v>
      </c>
      <c r="N4035" s="1"/>
      <c r="O4035" s="1" t="s">
        <v>30</v>
      </c>
      <c r="P4035" s="1" t="s">
        <v>31</v>
      </c>
      <c r="Q4035" s="1" t="s">
        <v>157</v>
      </c>
      <c r="R4035" s="1" t="s">
        <v>157</v>
      </c>
      <c r="S4035" s="1" t="s">
        <v>158</v>
      </c>
      <c r="U4035" s="1">
        <v>1.00586701E8</v>
      </c>
      <c r="X4035" s="1" t="s">
        <v>305</v>
      </c>
      <c r="Y4035" s="1" t="s">
        <v>874</v>
      </c>
      <c r="Z4035" s="1" t="s">
        <v>37</v>
      </c>
    </row>
    <row r="4036">
      <c r="A4036" s="1" t="s">
        <v>11577</v>
      </c>
      <c r="B4036" s="1" t="s">
        <v>650</v>
      </c>
      <c r="C4036" s="1" t="s">
        <v>11578</v>
      </c>
      <c r="D4036" s="1" t="s">
        <v>27</v>
      </c>
      <c r="E4036" s="1" t="s">
        <v>28</v>
      </c>
      <c r="F4036" s="2">
        <v>200000.0</v>
      </c>
      <c r="G4036" s="1" t="s">
        <v>3467</v>
      </c>
      <c r="H4036" s="4">
        <f>IFERROR(__xludf.DUMMYFUNCTION("DATE(INDEX(SPLIT(G4036,""/""),,3),INDEX(SPLIT(G4036,""/""),,2),INDEX(SPLIT(G4036,""/""),,1))"),44615.0)</f>
        <v>44615</v>
      </c>
      <c r="I4036" s="1" t="s">
        <v>226</v>
      </c>
      <c r="J4036" s="4">
        <f>IFERROR(__xludf.DUMMYFUNCTION("DATE(INDEX(SPLIT(I4036,""/""),,3),INDEX(SPLIT(I4036,""/""),,2),INDEX(SPLIT(I4036,""/""),,1))"),44771.0)</f>
        <v>44771</v>
      </c>
      <c r="L4036" s="1">
        <v>0.0</v>
      </c>
      <c r="M4036" s="1" t="s">
        <v>3052</v>
      </c>
      <c r="N4036" s="1"/>
      <c r="O4036" s="1" t="s">
        <v>30</v>
      </c>
      <c r="P4036" s="1" t="s">
        <v>31</v>
      </c>
      <c r="Q4036" s="1" t="s">
        <v>32</v>
      </c>
      <c r="R4036" s="1" t="s">
        <v>32</v>
      </c>
      <c r="S4036" s="1" t="s">
        <v>33</v>
      </c>
      <c r="T4036" s="1" t="s">
        <v>103</v>
      </c>
      <c r="U4036" s="1">
        <v>1.00610367E8</v>
      </c>
      <c r="X4036" s="1" t="s">
        <v>63</v>
      </c>
      <c r="Y4036" s="1" t="s">
        <v>3056</v>
      </c>
      <c r="Z4036" s="1" t="s">
        <v>37</v>
      </c>
    </row>
    <row r="4037" hidden="1">
      <c r="A4037" s="1" t="s">
        <v>11579</v>
      </c>
      <c r="B4037" s="1" t="s">
        <v>11580</v>
      </c>
      <c r="C4037" s="1" t="s">
        <v>11581</v>
      </c>
      <c r="D4037" s="1" t="s">
        <v>78</v>
      </c>
      <c r="E4037" s="1" t="s">
        <v>28</v>
      </c>
      <c r="F4037" s="2">
        <v>200000.0</v>
      </c>
      <c r="G4037" s="1" t="s">
        <v>5224</v>
      </c>
      <c r="H4037" s="4">
        <f>IFERROR(__xludf.DUMMYFUNCTION("DATE(INDEX(SPLIT(G4037,""/""),,3),INDEX(SPLIT(G4037,""/""),,2),INDEX(SPLIT(G4037,""/""),,1))"),44421.0)</f>
        <v>44421</v>
      </c>
      <c r="I4037" s="1" t="s">
        <v>42</v>
      </c>
      <c r="J4037" s="4">
        <f>IFERROR(__xludf.DUMMYFUNCTION("DATE(INDEX(SPLIT(I4037,""/""),,3),INDEX(SPLIT(I4037,""/""),,2),INDEX(SPLIT(I4037,""/""),,1))"),44926.0)</f>
        <v>44926</v>
      </c>
      <c r="L4037" s="1">
        <v>0.0</v>
      </c>
      <c r="M4037" s="1" t="s">
        <v>2752</v>
      </c>
      <c r="N4037" s="1"/>
      <c r="O4037" s="1" t="s">
        <v>30</v>
      </c>
      <c r="P4037" s="1" t="s">
        <v>31</v>
      </c>
      <c r="Q4037" s="1" t="s">
        <v>235</v>
      </c>
      <c r="R4037" s="1" t="s">
        <v>235</v>
      </c>
      <c r="S4037" s="1" t="s">
        <v>236</v>
      </c>
      <c r="T4037" s="1" t="s">
        <v>1349</v>
      </c>
      <c r="U4037" s="1">
        <v>1.0062606E8</v>
      </c>
      <c r="X4037" s="1" t="s">
        <v>375</v>
      </c>
      <c r="Y4037" s="1" t="s">
        <v>11582</v>
      </c>
      <c r="Z4037" s="1" t="s">
        <v>37</v>
      </c>
    </row>
    <row r="4038">
      <c r="A4038" s="1" t="s">
        <v>11583</v>
      </c>
      <c r="B4038" s="1" t="s">
        <v>4511</v>
      </c>
      <c r="C4038" s="1" t="s">
        <v>11584</v>
      </c>
      <c r="D4038" s="1" t="s">
        <v>122</v>
      </c>
      <c r="E4038" s="1" t="s">
        <v>28</v>
      </c>
      <c r="F4038" s="2">
        <v>200000.0</v>
      </c>
      <c r="G4038" s="1" t="s">
        <v>5224</v>
      </c>
      <c r="H4038" s="4">
        <f>IFERROR(__xludf.DUMMYFUNCTION("DATE(INDEX(SPLIT(G4038,""/""),,3),INDEX(SPLIT(G4038,""/""),,2),INDEX(SPLIT(G4038,""/""),,1))"),44421.0)</f>
        <v>44421</v>
      </c>
      <c r="I4038" s="1" t="s">
        <v>226</v>
      </c>
      <c r="J4038" s="4">
        <f>IFERROR(__xludf.DUMMYFUNCTION("DATE(INDEX(SPLIT(I4038,""/""),,3),INDEX(SPLIT(I4038,""/""),,2),INDEX(SPLIT(I4038,""/""),,1))"),44771.0)</f>
        <v>44771</v>
      </c>
      <c r="L4038" s="1">
        <v>0.0</v>
      </c>
      <c r="M4038" s="1" t="s">
        <v>4513</v>
      </c>
      <c r="N4038" s="1"/>
      <c r="O4038" s="1" t="s">
        <v>30</v>
      </c>
      <c r="P4038" s="1" t="s">
        <v>31</v>
      </c>
      <c r="Q4038" s="1" t="s">
        <v>157</v>
      </c>
      <c r="R4038" s="1" t="s">
        <v>157</v>
      </c>
      <c r="S4038" s="1" t="s">
        <v>158</v>
      </c>
      <c r="T4038" s="1" t="s">
        <v>159</v>
      </c>
      <c r="U4038" s="1">
        <v>1.00914325E8</v>
      </c>
      <c r="X4038" s="1" t="s">
        <v>490</v>
      </c>
      <c r="Y4038" s="1" t="s">
        <v>4513</v>
      </c>
      <c r="Z4038" s="1" t="s">
        <v>206</v>
      </c>
    </row>
    <row r="4039">
      <c r="A4039" s="1" t="s">
        <v>11585</v>
      </c>
      <c r="B4039" s="1" t="s">
        <v>5077</v>
      </c>
      <c r="C4039" s="1" t="s">
        <v>11586</v>
      </c>
      <c r="D4039" s="1" t="s">
        <v>78</v>
      </c>
      <c r="E4039" s="1" t="s">
        <v>28</v>
      </c>
      <c r="F4039" s="2">
        <v>200000.0</v>
      </c>
      <c r="G4039" s="1" t="s">
        <v>418</v>
      </c>
      <c r="H4039" s="4">
        <f>IFERROR(__xludf.DUMMYFUNCTION("DATE(INDEX(SPLIT(G4039,""/""),,3),INDEX(SPLIT(G4039,""/""),,2),INDEX(SPLIT(G4039,""/""),,1))"),44755.0)</f>
        <v>44755</v>
      </c>
      <c r="I4039" s="1" t="s">
        <v>935</v>
      </c>
      <c r="J4039" s="4">
        <f>IFERROR(__xludf.DUMMYFUNCTION("DATE(INDEX(SPLIT(I4039,""/""),,3),INDEX(SPLIT(I4039,""/""),,2),INDEX(SPLIT(I4039,""/""),,1))"),44764.0)</f>
        <v>44764</v>
      </c>
      <c r="L4039" s="1">
        <v>0.0</v>
      </c>
      <c r="M4039" s="1" t="s">
        <v>823</v>
      </c>
      <c r="N4039" s="1"/>
      <c r="O4039" s="1" t="s">
        <v>30</v>
      </c>
      <c r="P4039" s="1" t="s">
        <v>31</v>
      </c>
      <c r="Q4039" s="1" t="s">
        <v>95</v>
      </c>
      <c r="R4039" s="1" t="s">
        <v>95</v>
      </c>
      <c r="S4039" s="1" t="s">
        <v>96</v>
      </c>
      <c r="T4039" s="1" t="s">
        <v>489</v>
      </c>
      <c r="U4039" s="1">
        <v>1.00629729E8</v>
      </c>
      <c r="X4039" s="1" t="s">
        <v>490</v>
      </c>
      <c r="Y4039" s="1" t="s">
        <v>2674</v>
      </c>
      <c r="Z4039" s="1" t="s">
        <v>37</v>
      </c>
    </row>
    <row r="4040">
      <c r="A4040" s="1" t="s">
        <v>11587</v>
      </c>
      <c r="B4040" s="1" t="s">
        <v>4013</v>
      </c>
      <c r="C4040" s="1" t="s">
        <v>11588</v>
      </c>
      <c r="D4040" s="1" t="s">
        <v>122</v>
      </c>
      <c r="E4040" s="1" t="s">
        <v>28</v>
      </c>
      <c r="F4040" s="2">
        <v>200000.0</v>
      </c>
      <c r="G4040" s="1" t="s">
        <v>1740</v>
      </c>
      <c r="H4040" s="4">
        <f>IFERROR(__xludf.DUMMYFUNCTION("DATE(INDEX(SPLIT(G4040,""/""),,3),INDEX(SPLIT(G4040,""/""),,2),INDEX(SPLIT(G4040,""/""),,1))"),44456.0)</f>
        <v>44456</v>
      </c>
      <c r="I4040" s="1" t="s">
        <v>226</v>
      </c>
      <c r="J4040" s="4">
        <f>IFERROR(__xludf.DUMMYFUNCTION("DATE(INDEX(SPLIT(I4040,""/""),,3),INDEX(SPLIT(I4040,""/""),,2),INDEX(SPLIT(I4040,""/""),,1))"),44771.0)</f>
        <v>44771</v>
      </c>
      <c r="L4040" s="1">
        <v>0.0</v>
      </c>
      <c r="M4040" s="1" t="s">
        <v>2381</v>
      </c>
      <c r="N4040" s="1"/>
      <c r="O4040" s="1" t="s">
        <v>30</v>
      </c>
      <c r="P4040" s="1" t="s">
        <v>31</v>
      </c>
      <c r="Q4040" s="1" t="s">
        <v>95</v>
      </c>
      <c r="R4040" s="1" t="s">
        <v>95</v>
      </c>
      <c r="S4040" s="1" t="s">
        <v>96</v>
      </c>
      <c r="T4040" s="1" t="s">
        <v>97</v>
      </c>
      <c r="U4040" s="1">
        <v>1.00694304E8</v>
      </c>
      <c r="X4040" s="1" t="s">
        <v>190</v>
      </c>
      <c r="Y4040" s="1" t="s">
        <v>11589</v>
      </c>
      <c r="Z4040" s="1" t="s">
        <v>206</v>
      </c>
    </row>
    <row r="4041" hidden="1">
      <c r="A4041" s="1" t="s">
        <v>11590</v>
      </c>
      <c r="B4041" s="1" t="s">
        <v>3126</v>
      </c>
      <c r="C4041" s="1" t="s">
        <v>11591</v>
      </c>
      <c r="D4041" s="1" t="s">
        <v>78</v>
      </c>
      <c r="E4041" s="1" t="s">
        <v>28</v>
      </c>
      <c r="F4041" s="2">
        <v>200000.0</v>
      </c>
      <c r="G4041" s="1" t="s">
        <v>418</v>
      </c>
      <c r="H4041" s="4">
        <f>IFERROR(__xludf.DUMMYFUNCTION("DATE(INDEX(SPLIT(G4041,""/""),,3),INDEX(SPLIT(G4041,""/""),,2),INDEX(SPLIT(G4041,""/""),,1))"),44755.0)</f>
        <v>44755</v>
      </c>
      <c r="I4041" s="4">
        <v>44689.0</v>
      </c>
      <c r="J4041" s="4">
        <f>IFERROR(__xludf.DUMMYFUNCTION("DATE(INDEX(SPLIT(I4041,""/""),,3),INDEX(SPLIT(I4041,""/""),,2),INDEX(SPLIT(I4041,""/""),,1))"),44778.0)</f>
        <v>44778</v>
      </c>
      <c r="L4041" s="1">
        <v>0.0</v>
      </c>
      <c r="M4041" s="1" t="s">
        <v>4860</v>
      </c>
      <c r="N4041" s="1"/>
      <c r="O4041" s="1" t="s">
        <v>30</v>
      </c>
      <c r="P4041" s="1" t="s">
        <v>31</v>
      </c>
      <c r="Q4041" s="1" t="s">
        <v>157</v>
      </c>
      <c r="R4041" s="1" t="s">
        <v>157</v>
      </c>
      <c r="S4041" s="1" t="s">
        <v>158</v>
      </c>
      <c r="U4041" s="1">
        <v>1.00621287E8</v>
      </c>
      <c r="X4041" s="1" t="s">
        <v>63</v>
      </c>
      <c r="Y4041" s="1" t="s">
        <v>4861</v>
      </c>
      <c r="Z4041" s="1" t="s">
        <v>37</v>
      </c>
    </row>
    <row r="4042" hidden="1">
      <c r="A4042" s="1" t="s">
        <v>11592</v>
      </c>
      <c r="B4042" s="1" t="s">
        <v>4854</v>
      </c>
      <c r="C4042" s="1" t="s">
        <v>11593</v>
      </c>
      <c r="D4042" s="1" t="s">
        <v>27</v>
      </c>
      <c r="E4042" s="1" t="s">
        <v>28</v>
      </c>
      <c r="F4042" s="2">
        <v>200000.0</v>
      </c>
      <c r="G4042" s="1" t="s">
        <v>3853</v>
      </c>
      <c r="H4042" s="4">
        <f>IFERROR(__xludf.DUMMYFUNCTION("DATE(INDEX(SPLIT(G4042,""/""),,3),INDEX(SPLIT(G4042,""/""),,2),INDEX(SPLIT(G4042,""/""),,1))"),44679.0)</f>
        <v>44679</v>
      </c>
      <c r="I4042" s="1" t="s">
        <v>6259</v>
      </c>
      <c r="J4042" s="4">
        <f>IFERROR(__xludf.DUMMYFUNCTION("DATE(INDEX(SPLIT(I4042,""/""),,3),INDEX(SPLIT(I4042,""/""),,2),INDEX(SPLIT(I4042,""/""),,1))"),44793.0)</f>
        <v>44793</v>
      </c>
      <c r="L4042" s="1">
        <v>0.0</v>
      </c>
      <c r="M4042" s="1" t="s">
        <v>4857</v>
      </c>
      <c r="N4042" s="1"/>
      <c r="O4042" s="1" t="s">
        <v>30</v>
      </c>
      <c r="P4042" s="1" t="s">
        <v>31</v>
      </c>
      <c r="Q4042" s="1" t="s">
        <v>32</v>
      </c>
      <c r="R4042" s="1" t="s">
        <v>32</v>
      </c>
      <c r="S4042" s="1" t="s">
        <v>33</v>
      </c>
      <c r="T4042" s="1" t="s">
        <v>103</v>
      </c>
      <c r="U4042" s="1">
        <v>1.00639569E8</v>
      </c>
      <c r="V4042" s="1" t="s">
        <v>4855</v>
      </c>
      <c r="W4042" s="1" t="s">
        <v>45</v>
      </c>
      <c r="X4042" s="1" t="s">
        <v>375</v>
      </c>
      <c r="Y4042" s="1" t="s">
        <v>4857</v>
      </c>
      <c r="Z4042" s="1" t="s">
        <v>527</v>
      </c>
    </row>
    <row r="4043">
      <c r="A4043" s="1" t="s">
        <v>11594</v>
      </c>
      <c r="B4043" s="1" t="s">
        <v>1748</v>
      </c>
      <c r="C4043" s="1" t="s">
        <v>11595</v>
      </c>
      <c r="D4043" s="1" t="s">
        <v>122</v>
      </c>
      <c r="E4043" s="1" t="s">
        <v>28</v>
      </c>
      <c r="F4043" s="2">
        <v>200000.0</v>
      </c>
      <c r="G4043" s="1" t="s">
        <v>3853</v>
      </c>
      <c r="H4043" s="4">
        <f>IFERROR(__xludf.DUMMYFUNCTION("DATE(INDEX(SPLIT(G4043,""/""),,3),INDEX(SPLIT(G4043,""/""),,2),INDEX(SPLIT(G4043,""/""),,1))"),44679.0)</f>
        <v>44679</v>
      </c>
      <c r="I4043" s="1" t="s">
        <v>226</v>
      </c>
      <c r="J4043" s="4">
        <f>IFERROR(__xludf.DUMMYFUNCTION("DATE(INDEX(SPLIT(I4043,""/""),,3),INDEX(SPLIT(I4043,""/""),,2),INDEX(SPLIT(I4043,""/""),,1))"),44771.0)</f>
        <v>44771</v>
      </c>
      <c r="L4043" s="1">
        <v>0.0</v>
      </c>
      <c r="M4043" s="1" t="s">
        <v>5525</v>
      </c>
      <c r="N4043" s="1"/>
      <c r="O4043" s="1" t="s">
        <v>30</v>
      </c>
      <c r="P4043" s="1" t="s">
        <v>31</v>
      </c>
      <c r="Q4043" s="1" t="s">
        <v>157</v>
      </c>
      <c r="R4043" s="1" t="s">
        <v>157</v>
      </c>
      <c r="S4043" s="1" t="s">
        <v>158</v>
      </c>
      <c r="T4043" s="1" t="s">
        <v>571</v>
      </c>
      <c r="U4043" s="1">
        <v>1.00609393E8</v>
      </c>
      <c r="V4043" s="1" t="s">
        <v>11596</v>
      </c>
      <c r="W4043" s="1" t="s">
        <v>199</v>
      </c>
      <c r="X4043" s="1" t="s">
        <v>88</v>
      </c>
      <c r="Y4043" s="1" t="s">
        <v>4920</v>
      </c>
      <c r="Z4043" s="1" t="s">
        <v>37</v>
      </c>
    </row>
    <row r="4044" hidden="1">
      <c r="A4044" s="1" t="s">
        <v>11597</v>
      </c>
      <c r="B4044" s="1" t="s">
        <v>6711</v>
      </c>
      <c r="C4044" s="1" t="s">
        <v>11598</v>
      </c>
      <c r="D4044" s="1" t="s">
        <v>27</v>
      </c>
      <c r="E4044" s="1" t="s">
        <v>28</v>
      </c>
      <c r="F4044" s="2">
        <v>200000.0</v>
      </c>
      <c r="G4044" s="1" t="s">
        <v>3037</v>
      </c>
      <c r="H4044" s="4">
        <f>IFERROR(__xludf.DUMMYFUNCTION("DATE(INDEX(SPLIT(G4044,""/""),,3),INDEX(SPLIT(G4044,""/""),,2),INDEX(SPLIT(G4044,""/""),,1))"),44487.0)</f>
        <v>44487</v>
      </c>
      <c r="I4044" s="1" t="s">
        <v>130</v>
      </c>
      <c r="J4044" s="4">
        <f>IFERROR(__xludf.DUMMYFUNCTION("DATE(INDEX(SPLIT(I4044,""/""),,3),INDEX(SPLIT(I4044,""/""),,2),INDEX(SPLIT(I4044,""/""),,1))"),44804.0)</f>
        <v>44804</v>
      </c>
      <c r="L4044" s="1">
        <v>0.0</v>
      </c>
      <c r="M4044" s="1" t="s">
        <v>3187</v>
      </c>
      <c r="N4044" s="1"/>
      <c r="O4044" s="1" t="s">
        <v>30</v>
      </c>
      <c r="P4044" s="1" t="s">
        <v>31</v>
      </c>
      <c r="Q4044" s="1" t="s">
        <v>228</v>
      </c>
      <c r="R4044" s="1" t="s">
        <v>228</v>
      </c>
      <c r="S4044" s="1" t="s">
        <v>229</v>
      </c>
      <c r="T4044" s="1" t="s">
        <v>80</v>
      </c>
      <c r="U4044" s="1">
        <v>1.00638978E8</v>
      </c>
      <c r="X4044" s="1" t="s">
        <v>781</v>
      </c>
      <c r="Y4044" s="1" t="s">
        <v>173</v>
      </c>
      <c r="Z4044" s="1" t="s">
        <v>37</v>
      </c>
    </row>
    <row r="4045" hidden="1">
      <c r="A4045" s="1" t="s">
        <v>11599</v>
      </c>
      <c r="B4045" s="1" t="s">
        <v>3786</v>
      </c>
      <c r="C4045" s="1" t="s">
        <v>11600</v>
      </c>
      <c r="D4045" s="1" t="s">
        <v>27</v>
      </c>
      <c r="E4045" s="1" t="s">
        <v>28</v>
      </c>
      <c r="F4045" s="2">
        <v>200000.0</v>
      </c>
      <c r="G4045" s="1" t="s">
        <v>3186</v>
      </c>
      <c r="H4045" s="4">
        <f>IFERROR(__xludf.DUMMYFUNCTION("DATE(INDEX(SPLIT(G4045,""/""),,3),INDEX(SPLIT(G4045,""/""),,2),INDEX(SPLIT(G4045,""/""),,1))"),44529.0)</f>
        <v>44529</v>
      </c>
      <c r="I4045" s="1" t="s">
        <v>130</v>
      </c>
      <c r="J4045" s="4">
        <f>IFERROR(__xludf.DUMMYFUNCTION("DATE(INDEX(SPLIT(I4045,""/""),,3),INDEX(SPLIT(I4045,""/""),,2),INDEX(SPLIT(I4045,""/""),,1))"),44804.0)</f>
        <v>44804</v>
      </c>
      <c r="L4045" s="1">
        <v>0.0</v>
      </c>
      <c r="M4045" s="1" t="s">
        <v>1527</v>
      </c>
      <c r="N4045" s="1"/>
      <c r="O4045" s="1" t="s">
        <v>30</v>
      </c>
      <c r="P4045" s="1" t="s">
        <v>31</v>
      </c>
      <c r="Q4045" s="1" t="s">
        <v>95</v>
      </c>
      <c r="R4045" s="1" t="s">
        <v>95</v>
      </c>
      <c r="S4045" s="1" t="s">
        <v>96</v>
      </c>
      <c r="T4045" s="1" t="s">
        <v>489</v>
      </c>
      <c r="U4045" s="1">
        <v>1.00651554E8</v>
      </c>
      <c r="X4045" s="1" t="s">
        <v>490</v>
      </c>
      <c r="Y4045" s="1" t="s">
        <v>1527</v>
      </c>
      <c r="Z4045" s="1" t="s">
        <v>37</v>
      </c>
    </row>
    <row r="4046" hidden="1">
      <c r="A4046" s="1" t="s">
        <v>11601</v>
      </c>
      <c r="B4046" s="1" t="s">
        <v>373</v>
      </c>
      <c r="C4046" s="1" t="s">
        <v>11602</v>
      </c>
      <c r="D4046" s="1" t="s">
        <v>78</v>
      </c>
      <c r="E4046" s="1" t="s">
        <v>28</v>
      </c>
      <c r="F4046" s="2">
        <v>200000.0</v>
      </c>
      <c r="G4046" s="4">
        <v>44173.0</v>
      </c>
      <c r="H4046" s="4">
        <f>IFERROR(__xludf.DUMMYFUNCTION("DATE(INDEX(SPLIT(G4046,""/""),,3),INDEX(SPLIT(G4046,""/""),,2),INDEX(SPLIT(G4046,""/""),,1))"),44055.0)</f>
        <v>44055</v>
      </c>
      <c r="I4046" s="1" t="s">
        <v>109</v>
      </c>
      <c r="J4046" s="4">
        <f>IFERROR(__xludf.DUMMYFUNCTION("DATE(INDEX(SPLIT(I4046,""/""),,3),INDEX(SPLIT(I4046,""/""),,2),INDEX(SPLIT(I4046,""/""),,1))"),44834.0)</f>
        <v>44834</v>
      </c>
      <c r="L4046" s="1">
        <v>0.0</v>
      </c>
      <c r="M4046" s="1" t="s">
        <v>1588</v>
      </c>
      <c r="N4046" s="1"/>
      <c r="O4046" s="1" t="s">
        <v>30</v>
      </c>
      <c r="P4046" s="1" t="s">
        <v>31</v>
      </c>
      <c r="Q4046" s="1" t="s">
        <v>32</v>
      </c>
      <c r="R4046" s="1" t="s">
        <v>32</v>
      </c>
      <c r="S4046" s="1" t="s">
        <v>33</v>
      </c>
      <c r="T4046" s="1" t="s">
        <v>402</v>
      </c>
      <c r="U4046" s="1">
        <v>1.00611316E8</v>
      </c>
      <c r="X4046" s="1" t="s">
        <v>781</v>
      </c>
      <c r="Y4046" s="1" t="s">
        <v>7598</v>
      </c>
      <c r="Z4046" s="1" t="s">
        <v>37</v>
      </c>
    </row>
    <row r="4047" hidden="1">
      <c r="A4047" s="1" t="s">
        <v>11603</v>
      </c>
      <c r="B4047" s="1" t="s">
        <v>3673</v>
      </c>
      <c r="C4047" s="1" t="s">
        <v>11604</v>
      </c>
      <c r="D4047" s="1" t="s">
        <v>27</v>
      </c>
      <c r="E4047" s="1" t="s">
        <v>28</v>
      </c>
      <c r="F4047" s="2">
        <v>200000.0</v>
      </c>
      <c r="G4047" s="1" t="s">
        <v>9860</v>
      </c>
      <c r="H4047" s="4">
        <f>IFERROR(__xludf.DUMMYFUNCTION("DATE(INDEX(SPLIT(G4047,""/""),,3),INDEX(SPLIT(G4047,""/""),,2),INDEX(SPLIT(G4047,""/""),,1))"),44605.0)</f>
        <v>44605</v>
      </c>
      <c r="I4047" s="1" t="s">
        <v>42</v>
      </c>
      <c r="J4047" s="4">
        <f>IFERROR(__xludf.DUMMYFUNCTION("DATE(INDEX(SPLIT(I4047,""/""),,3),INDEX(SPLIT(I4047,""/""),,2),INDEX(SPLIT(I4047,""/""),,1))"),44926.0)</f>
        <v>44926</v>
      </c>
      <c r="L4047" s="1">
        <v>0.0</v>
      </c>
      <c r="M4047" s="1" t="s">
        <v>891</v>
      </c>
      <c r="N4047" s="1"/>
      <c r="O4047" s="1" t="s">
        <v>30</v>
      </c>
      <c r="P4047" s="1" t="s">
        <v>31</v>
      </c>
      <c r="Q4047" s="1" t="s">
        <v>32</v>
      </c>
      <c r="R4047" s="1" t="s">
        <v>32</v>
      </c>
      <c r="S4047" s="1" t="s">
        <v>33</v>
      </c>
      <c r="T4047" s="1" t="s">
        <v>402</v>
      </c>
      <c r="U4047" s="1">
        <v>1.00866856E8</v>
      </c>
      <c r="X4047" s="1" t="s">
        <v>125</v>
      </c>
      <c r="Y4047" s="1" t="s">
        <v>891</v>
      </c>
      <c r="Z4047" s="1" t="s">
        <v>37</v>
      </c>
    </row>
    <row r="4048" hidden="1">
      <c r="A4048" s="1" t="s">
        <v>11605</v>
      </c>
      <c r="B4048" s="1" t="s">
        <v>11606</v>
      </c>
      <c r="C4048" s="1" t="s">
        <v>11607</v>
      </c>
      <c r="D4048" s="1" t="s">
        <v>78</v>
      </c>
      <c r="E4048" s="1" t="s">
        <v>28</v>
      </c>
      <c r="F4048" s="2">
        <v>200000.0</v>
      </c>
      <c r="G4048" s="4">
        <v>44779.0</v>
      </c>
      <c r="H4048" s="4">
        <f>IFERROR(__xludf.DUMMYFUNCTION("DATE(INDEX(SPLIT(G4048,""/""),,3),INDEX(SPLIT(G4048,""/""),,2),INDEX(SPLIT(G4048,""/""),,1))"),44720.0)</f>
        <v>44720</v>
      </c>
      <c r="I4048" s="1" t="s">
        <v>476</v>
      </c>
      <c r="J4048" s="4">
        <f>IFERROR(__xludf.DUMMYFUNCTION("DATE(INDEX(SPLIT(I4048,""/""),,3),INDEX(SPLIT(I4048,""/""),,2),INDEX(SPLIT(I4048,""/""),,1))"),44833.0)</f>
        <v>44833</v>
      </c>
      <c r="L4048" s="1">
        <v>0.0</v>
      </c>
      <c r="M4048" s="1" t="s">
        <v>2600</v>
      </c>
      <c r="N4048" s="1"/>
      <c r="O4048" s="1" t="s">
        <v>30</v>
      </c>
      <c r="P4048" s="1" t="s">
        <v>31</v>
      </c>
      <c r="Q4048" s="1" t="s">
        <v>32</v>
      </c>
      <c r="R4048" s="1" t="s">
        <v>32</v>
      </c>
      <c r="S4048" s="1" t="s">
        <v>33</v>
      </c>
      <c r="U4048" s="1">
        <v>1.00642238E8</v>
      </c>
      <c r="X4048" s="1" t="s">
        <v>63</v>
      </c>
      <c r="Y4048" s="1" t="s">
        <v>11608</v>
      </c>
      <c r="Z4048" s="1" t="s">
        <v>37</v>
      </c>
    </row>
    <row r="4049" hidden="1">
      <c r="A4049" s="1" t="s">
        <v>11609</v>
      </c>
      <c r="B4049" s="1" t="s">
        <v>11610</v>
      </c>
      <c r="C4049" s="1" t="s">
        <v>11611</v>
      </c>
      <c r="D4049" s="1" t="s">
        <v>78</v>
      </c>
      <c r="E4049" s="1" t="s">
        <v>28</v>
      </c>
      <c r="F4049" s="2">
        <v>200000.0</v>
      </c>
      <c r="G4049" s="4">
        <v>44234.0</v>
      </c>
      <c r="H4049" s="4">
        <f>IFERROR(__xludf.DUMMYFUNCTION("DATE(INDEX(SPLIT(G4049,""/""),,3),INDEX(SPLIT(G4049,""/""),,2),INDEX(SPLIT(G4049,""/""),,1))"),44379.0)</f>
        <v>44379</v>
      </c>
      <c r="I4049" s="4">
        <v>44689.0</v>
      </c>
      <c r="J4049" s="4">
        <f>IFERROR(__xludf.DUMMYFUNCTION("DATE(INDEX(SPLIT(I4049,""/""),,3),INDEX(SPLIT(I4049,""/""),,2),INDEX(SPLIT(I4049,""/""),,1))"),44778.0)</f>
        <v>44778</v>
      </c>
      <c r="L4049" s="1">
        <v>0.0</v>
      </c>
      <c r="M4049" s="1" t="s">
        <v>2592</v>
      </c>
      <c r="N4049" s="1"/>
      <c r="O4049" s="1" t="s">
        <v>30</v>
      </c>
      <c r="P4049" s="1" t="s">
        <v>31</v>
      </c>
      <c r="Q4049" s="1" t="s">
        <v>71</v>
      </c>
      <c r="R4049" s="1" t="s">
        <v>71</v>
      </c>
      <c r="S4049" s="1" t="s">
        <v>72</v>
      </c>
      <c r="T4049" s="1" t="s">
        <v>136</v>
      </c>
      <c r="U4049" s="1">
        <v>1.00586452E8</v>
      </c>
      <c r="X4049" s="1" t="s">
        <v>74</v>
      </c>
      <c r="Y4049" s="1" t="s">
        <v>9681</v>
      </c>
      <c r="Z4049" s="1" t="s">
        <v>37</v>
      </c>
    </row>
    <row r="4050">
      <c r="A4050" s="1" t="s">
        <v>11612</v>
      </c>
      <c r="B4050" s="1" t="s">
        <v>4665</v>
      </c>
      <c r="C4050" s="1" t="s">
        <v>11613</v>
      </c>
      <c r="D4050" s="1" t="s">
        <v>27</v>
      </c>
      <c r="E4050" s="1" t="s">
        <v>28</v>
      </c>
      <c r="F4050" s="2">
        <v>200000.0</v>
      </c>
      <c r="G4050" s="1" t="s">
        <v>3853</v>
      </c>
      <c r="H4050" s="4">
        <f>IFERROR(__xludf.DUMMYFUNCTION("DATE(INDEX(SPLIT(G4050,""/""),,3),INDEX(SPLIT(G4050,""/""),,2),INDEX(SPLIT(G4050,""/""),,1))"),44679.0)</f>
        <v>44679</v>
      </c>
      <c r="I4050" s="1" t="s">
        <v>1244</v>
      </c>
      <c r="J4050" s="4">
        <f>IFERROR(__xludf.DUMMYFUNCTION("DATE(INDEX(SPLIT(I4050,""/""),,3),INDEX(SPLIT(I4050,""/""),,2),INDEX(SPLIT(I4050,""/""),,1))"),44742.0)</f>
        <v>44742</v>
      </c>
      <c r="L4050" s="1">
        <v>0.0</v>
      </c>
      <c r="M4050" s="1" t="s">
        <v>5493</v>
      </c>
      <c r="N4050" s="1"/>
      <c r="O4050" s="1" t="s">
        <v>30</v>
      </c>
      <c r="P4050" s="1" t="s">
        <v>31</v>
      </c>
      <c r="Q4050" s="1" t="s">
        <v>95</v>
      </c>
      <c r="R4050" s="1" t="s">
        <v>95</v>
      </c>
      <c r="S4050" s="1" t="s">
        <v>96</v>
      </c>
      <c r="T4050" s="1" t="s">
        <v>97</v>
      </c>
      <c r="U4050" s="1">
        <v>1.00591654E8</v>
      </c>
      <c r="X4050" s="1" t="s">
        <v>125</v>
      </c>
      <c r="Y4050" s="1" t="s">
        <v>282</v>
      </c>
      <c r="Z4050" s="1" t="s">
        <v>37</v>
      </c>
    </row>
    <row r="4051" hidden="1">
      <c r="A4051" s="1" t="s">
        <v>11614</v>
      </c>
      <c r="B4051" s="1" t="s">
        <v>1275</v>
      </c>
      <c r="C4051" s="1" t="s">
        <v>11615</v>
      </c>
      <c r="D4051" s="1" t="s">
        <v>27</v>
      </c>
      <c r="E4051" s="1" t="s">
        <v>28</v>
      </c>
      <c r="F4051" s="2">
        <v>200000.0</v>
      </c>
      <c r="G4051" s="1" t="s">
        <v>2309</v>
      </c>
      <c r="H4051" s="4">
        <f>IFERROR(__xludf.DUMMYFUNCTION("DATE(INDEX(SPLIT(G4051,""/""),,3),INDEX(SPLIT(G4051,""/""),,2),INDEX(SPLIT(G4051,""/""),,1))"),44672.0)</f>
        <v>44672</v>
      </c>
      <c r="I4051" s="1" t="s">
        <v>9853</v>
      </c>
      <c r="J4051" s="4">
        <f>IFERROR(__xludf.DUMMYFUNCTION("DATE(INDEX(SPLIT(I4051,""/""),,3),INDEX(SPLIT(I4051,""/""),,2),INDEX(SPLIT(I4051,""/""),,1))"),44853.0)</f>
        <v>44853</v>
      </c>
      <c r="L4051" s="1">
        <v>0.0</v>
      </c>
      <c r="M4051" s="1" t="s">
        <v>4631</v>
      </c>
      <c r="N4051" s="1"/>
      <c r="O4051" s="1" t="s">
        <v>30</v>
      </c>
      <c r="P4051" s="1" t="s">
        <v>31</v>
      </c>
      <c r="Q4051" s="1" t="s">
        <v>71</v>
      </c>
      <c r="R4051" s="1" t="s">
        <v>71</v>
      </c>
      <c r="S4051" s="1" t="s">
        <v>72</v>
      </c>
      <c r="T4051" s="1" t="s">
        <v>136</v>
      </c>
      <c r="U4051" s="1">
        <v>1.01025735E8</v>
      </c>
      <c r="X4051" s="1" t="s">
        <v>74</v>
      </c>
      <c r="Y4051" s="1" t="s">
        <v>1746</v>
      </c>
      <c r="Z4051" s="1" t="s">
        <v>37</v>
      </c>
    </row>
    <row r="4052" hidden="1">
      <c r="A4052" s="1" t="s">
        <v>11616</v>
      </c>
      <c r="B4052" s="1" t="s">
        <v>532</v>
      </c>
      <c r="C4052" s="1" t="s">
        <v>11617</v>
      </c>
      <c r="D4052" s="1" t="s">
        <v>27</v>
      </c>
      <c r="E4052" s="1" t="s">
        <v>28</v>
      </c>
      <c r="F4052" s="2">
        <v>200000.0</v>
      </c>
      <c r="G4052" s="1" t="s">
        <v>458</v>
      </c>
      <c r="H4052" s="4">
        <f>IFERROR(__xludf.DUMMYFUNCTION("DATE(INDEX(SPLIT(G4052,""/""),,3),INDEX(SPLIT(G4052,""/""),,2),INDEX(SPLIT(G4052,""/""),,1))"),44649.0)</f>
        <v>44649</v>
      </c>
      <c r="I4052" s="4">
        <v>44569.0</v>
      </c>
      <c r="J4052" s="4">
        <f>IFERROR(__xludf.DUMMYFUNCTION("DATE(INDEX(SPLIT(I4052,""/""),,3),INDEX(SPLIT(I4052,""/""),,2),INDEX(SPLIT(I4052,""/""),,1))"),44774.0)</f>
        <v>44774</v>
      </c>
      <c r="L4052" s="1">
        <v>0.0</v>
      </c>
      <c r="M4052" s="1" t="s">
        <v>5880</v>
      </c>
      <c r="N4052" s="1"/>
      <c r="O4052" s="1" t="s">
        <v>30</v>
      </c>
      <c r="P4052" s="1" t="s">
        <v>31</v>
      </c>
      <c r="Q4052" s="1" t="s">
        <v>228</v>
      </c>
      <c r="R4052" s="1" t="s">
        <v>228</v>
      </c>
      <c r="S4052" s="1" t="s">
        <v>229</v>
      </c>
      <c r="T4052" s="1" t="s">
        <v>640</v>
      </c>
      <c r="U4052" s="1">
        <v>1.00933537E8</v>
      </c>
      <c r="X4052" s="1" t="s">
        <v>490</v>
      </c>
      <c r="Y4052" s="1" t="s">
        <v>11618</v>
      </c>
      <c r="Z4052" s="1" t="s">
        <v>37</v>
      </c>
    </row>
    <row r="4053">
      <c r="A4053" s="1" t="s">
        <v>11619</v>
      </c>
      <c r="B4053" s="1" t="s">
        <v>2735</v>
      </c>
      <c r="C4053" s="1" t="s">
        <v>3380</v>
      </c>
      <c r="D4053" s="1" t="s">
        <v>78</v>
      </c>
      <c r="E4053" s="1" t="s">
        <v>28</v>
      </c>
      <c r="F4053" s="2">
        <v>200000.0</v>
      </c>
      <c r="G4053" s="4">
        <v>44540.0</v>
      </c>
      <c r="H4053" s="4">
        <f>IFERROR(__xludf.DUMMYFUNCTION("DATE(INDEX(SPLIT(G4053,""/""),,3),INDEX(SPLIT(G4053,""/""),,2),INDEX(SPLIT(G4053,""/""),,1))"),44481.0)</f>
        <v>44481</v>
      </c>
      <c r="I4053" s="4">
        <v>44568.0</v>
      </c>
      <c r="J4053" s="4">
        <f>IFERROR(__xludf.DUMMYFUNCTION("DATE(INDEX(SPLIT(I4053,""/""),,3),INDEX(SPLIT(I4053,""/""),,2),INDEX(SPLIT(I4053,""/""),,1))"),44743.0)</f>
        <v>44743</v>
      </c>
      <c r="L4053" s="1">
        <v>0.0</v>
      </c>
      <c r="M4053" s="1" t="s">
        <v>1552</v>
      </c>
      <c r="N4053" s="1"/>
      <c r="O4053" s="1" t="s">
        <v>30</v>
      </c>
      <c r="P4053" s="1" t="s">
        <v>31</v>
      </c>
      <c r="Q4053" s="1" t="s">
        <v>32</v>
      </c>
      <c r="R4053" s="1" t="s">
        <v>32</v>
      </c>
      <c r="S4053" s="1" t="s">
        <v>33</v>
      </c>
      <c r="T4053" s="1" t="s">
        <v>1195</v>
      </c>
      <c r="U4053" s="1">
        <v>1.00637597E8</v>
      </c>
      <c r="W4053" s="1" t="s">
        <v>56</v>
      </c>
      <c r="X4053" s="1" t="s">
        <v>490</v>
      </c>
      <c r="Y4053" s="1" t="s">
        <v>1552</v>
      </c>
      <c r="Z4053" s="1" t="s">
        <v>37</v>
      </c>
    </row>
    <row r="4054" hidden="1">
      <c r="A4054" s="1" t="s">
        <v>11620</v>
      </c>
      <c r="B4054" s="1" t="s">
        <v>11621</v>
      </c>
      <c r="C4054" s="1" t="s">
        <v>11622</v>
      </c>
      <c r="D4054" s="1" t="s">
        <v>122</v>
      </c>
      <c r="E4054" s="1" t="s">
        <v>28</v>
      </c>
      <c r="F4054" s="2">
        <v>200000.0</v>
      </c>
      <c r="G4054" s="1" t="s">
        <v>343</v>
      </c>
      <c r="H4054" s="4">
        <f>IFERROR(__xludf.DUMMYFUNCTION("DATE(INDEX(SPLIT(G4054,""/""),,3),INDEX(SPLIT(G4054,""/""),,2),INDEX(SPLIT(G4054,""/""),,1))"),44761.0)</f>
        <v>44761</v>
      </c>
      <c r="I4054" s="1" t="s">
        <v>130</v>
      </c>
      <c r="J4054" s="4">
        <f>IFERROR(__xludf.DUMMYFUNCTION("DATE(INDEX(SPLIT(I4054,""/""),,3),INDEX(SPLIT(I4054,""/""),,2),INDEX(SPLIT(I4054,""/""),,1))"),44804.0)</f>
        <v>44804</v>
      </c>
      <c r="L4054" s="1">
        <v>0.0</v>
      </c>
      <c r="M4054" s="1" t="s">
        <v>11623</v>
      </c>
      <c r="N4054" s="1"/>
      <c r="O4054" s="1" t="s">
        <v>30</v>
      </c>
      <c r="P4054" s="1" t="s">
        <v>31</v>
      </c>
      <c r="Q4054" s="1" t="s">
        <v>228</v>
      </c>
      <c r="R4054" s="1" t="s">
        <v>228</v>
      </c>
      <c r="S4054" s="1" t="s">
        <v>229</v>
      </c>
      <c r="T4054" s="1" t="s">
        <v>513</v>
      </c>
      <c r="U4054" s="1">
        <v>1.01154609E8</v>
      </c>
      <c r="X4054" s="1" t="s">
        <v>98</v>
      </c>
      <c r="Y4054" s="1" t="s">
        <v>6046</v>
      </c>
      <c r="Z4054" s="1" t="s">
        <v>37</v>
      </c>
    </row>
    <row r="4055" hidden="1">
      <c r="A4055" s="1" t="s">
        <v>11624</v>
      </c>
      <c r="B4055" s="1" t="s">
        <v>11621</v>
      </c>
      <c r="C4055" s="1" t="s">
        <v>11625</v>
      </c>
      <c r="D4055" s="1" t="s">
        <v>78</v>
      </c>
      <c r="E4055" s="1" t="s">
        <v>28</v>
      </c>
      <c r="F4055" s="2">
        <v>200000.0</v>
      </c>
      <c r="G4055" s="1" t="s">
        <v>343</v>
      </c>
      <c r="H4055" s="4">
        <f>IFERROR(__xludf.DUMMYFUNCTION("DATE(INDEX(SPLIT(G4055,""/""),,3),INDEX(SPLIT(G4055,""/""),,2),INDEX(SPLIT(G4055,""/""),,1))"),44761.0)</f>
        <v>44761</v>
      </c>
      <c r="I4055" s="1" t="s">
        <v>130</v>
      </c>
      <c r="J4055" s="4">
        <f>IFERROR(__xludf.DUMMYFUNCTION("DATE(INDEX(SPLIT(I4055,""/""),,3),INDEX(SPLIT(I4055,""/""),,2),INDEX(SPLIT(I4055,""/""),,1))"),44804.0)</f>
        <v>44804</v>
      </c>
      <c r="L4055" s="1">
        <v>0.0</v>
      </c>
      <c r="M4055" s="1" t="s">
        <v>11623</v>
      </c>
      <c r="N4055" s="1"/>
      <c r="O4055" s="1" t="s">
        <v>30</v>
      </c>
      <c r="P4055" s="1" t="s">
        <v>31</v>
      </c>
      <c r="Q4055" s="1" t="s">
        <v>228</v>
      </c>
      <c r="R4055" s="1" t="s">
        <v>228</v>
      </c>
      <c r="S4055" s="1" t="s">
        <v>229</v>
      </c>
      <c r="U4055" s="1">
        <v>1.01154609E8</v>
      </c>
      <c r="X4055" s="1" t="s">
        <v>98</v>
      </c>
      <c r="Y4055" s="1" t="s">
        <v>6046</v>
      </c>
      <c r="Z4055" s="1" t="s">
        <v>37</v>
      </c>
    </row>
    <row r="4056" hidden="1">
      <c r="A4056" s="1" t="s">
        <v>11626</v>
      </c>
      <c r="B4056" s="1" t="s">
        <v>774</v>
      </c>
      <c r="C4056" s="1" t="s">
        <v>11627</v>
      </c>
      <c r="D4056" s="1" t="s">
        <v>27</v>
      </c>
      <c r="E4056" s="1" t="s">
        <v>28</v>
      </c>
      <c r="F4056" s="2">
        <v>200000.0</v>
      </c>
      <c r="G4056" s="1" t="s">
        <v>10046</v>
      </c>
      <c r="H4056" s="4">
        <f>IFERROR(__xludf.DUMMYFUNCTION("DATE(INDEX(SPLIT(G4056,""/""),,3),INDEX(SPLIT(G4056,""/""),,2),INDEX(SPLIT(G4056,""/""),,1))"),44130.0)</f>
        <v>44130</v>
      </c>
      <c r="I4056" s="1" t="s">
        <v>3202</v>
      </c>
      <c r="J4056" s="4">
        <f>IFERROR(__xludf.DUMMYFUNCTION("DATE(INDEX(SPLIT(I4056,""/""),,3),INDEX(SPLIT(I4056,""/""),,2),INDEX(SPLIT(I4056,""/""),,1))"),44830.0)</f>
        <v>44830</v>
      </c>
      <c r="L4056" s="1">
        <v>0.0</v>
      </c>
      <c r="M4056" s="1" t="s">
        <v>259</v>
      </c>
      <c r="N4056" s="1"/>
      <c r="O4056" s="1" t="s">
        <v>30</v>
      </c>
      <c r="P4056" s="1" t="s">
        <v>31</v>
      </c>
      <c r="Q4056" s="1" t="s">
        <v>95</v>
      </c>
      <c r="R4056" s="1" t="s">
        <v>95</v>
      </c>
      <c r="S4056" s="1" t="s">
        <v>96</v>
      </c>
      <c r="T4056" s="1" t="s">
        <v>260</v>
      </c>
      <c r="U4056" s="1">
        <v>1.00659114E8</v>
      </c>
      <c r="X4056" s="1" t="s">
        <v>239</v>
      </c>
      <c r="Y4056" s="1" t="s">
        <v>350</v>
      </c>
      <c r="Z4056" s="1" t="s">
        <v>37</v>
      </c>
    </row>
    <row r="4057" hidden="1">
      <c r="A4057" s="1" t="s">
        <v>11628</v>
      </c>
      <c r="B4057" s="1" t="s">
        <v>11629</v>
      </c>
      <c r="C4057" s="1" t="s">
        <v>11630</v>
      </c>
      <c r="D4057" s="1" t="s">
        <v>122</v>
      </c>
      <c r="E4057" s="1" t="s">
        <v>28</v>
      </c>
      <c r="F4057" s="2">
        <v>200000.0</v>
      </c>
      <c r="G4057" s="1" t="s">
        <v>2900</v>
      </c>
      <c r="H4057" s="4">
        <f>IFERROR(__xludf.DUMMYFUNCTION("DATE(INDEX(SPLIT(G4057,""/""),,3),INDEX(SPLIT(G4057,""/""),,2),INDEX(SPLIT(G4057,""/""),,1))"),44678.0)</f>
        <v>44678</v>
      </c>
      <c r="I4057" s="1" t="s">
        <v>130</v>
      </c>
      <c r="J4057" s="4">
        <f>IFERROR(__xludf.DUMMYFUNCTION("DATE(INDEX(SPLIT(I4057,""/""),,3),INDEX(SPLIT(I4057,""/""),,2),INDEX(SPLIT(I4057,""/""),,1))"),44804.0)</f>
        <v>44804</v>
      </c>
      <c r="L4057" s="1">
        <v>0.0</v>
      </c>
      <c r="M4057" s="1" t="s">
        <v>1307</v>
      </c>
      <c r="N4057" s="1"/>
      <c r="O4057" s="1" t="s">
        <v>30</v>
      </c>
      <c r="P4057" s="1" t="s">
        <v>31</v>
      </c>
      <c r="Q4057" s="1" t="s">
        <v>235</v>
      </c>
      <c r="R4057" s="1" t="s">
        <v>235</v>
      </c>
      <c r="S4057" s="1" t="s">
        <v>236</v>
      </c>
      <c r="U4057" s="1">
        <v>1.00585952E8</v>
      </c>
      <c r="X4057" s="1" t="s">
        <v>117</v>
      </c>
      <c r="Y4057" s="1" t="s">
        <v>1307</v>
      </c>
      <c r="Z4057" s="1" t="s">
        <v>37</v>
      </c>
    </row>
    <row r="4058">
      <c r="A4058" s="1" t="s">
        <v>11631</v>
      </c>
      <c r="B4058" s="1" t="s">
        <v>464</v>
      </c>
      <c r="C4058" s="1" t="s">
        <v>11632</v>
      </c>
      <c r="D4058" s="1" t="s">
        <v>68</v>
      </c>
      <c r="E4058" s="1" t="s">
        <v>28</v>
      </c>
      <c r="F4058" s="2">
        <v>200000.0</v>
      </c>
      <c r="G4058" s="4">
        <v>44451.0</v>
      </c>
      <c r="H4058" s="4">
        <f>IFERROR(__xludf.DUMMYFUNCTION("DATE(INDEX(SPLIT(G4058,""/""),,3),INDEX(SPLIT(G4058,""/""),,2),INDEX(SPLIT(G4058,""/""),,1))"),44539.0)</f>
        <v>44539</v>
      </c>
      <c r="I4058" s="1" t="s">
        <v>503</v>
      </c>
      <c r="J4058" s="4">
        <f>IFERROR(__xludf.DUMMYFUNCTION("DATE(INDEX(SPLIT(I4058,""/""),,3),INDEX(SPLIT(I4058,""/""),,2),INDEX(SPLIT(I4058,""/""),,1))"),44736.0)</f>
        <v>44736</v>
      </c>
      <c r="L4058" s="1">
        <v>0.0</v>
      </c>
      <c r="M4058" s="1" t="s">
        <v>6691</v>
      </c>
      <c r="N4058" s="1"/>
      <c r="O4058" s="1" t="s">
        <v>30</v>
      </c>
      <c r="P4058" s="1" t="s">
        <v>31</v>
      </c>
      <c r="Q4058" s="1" t="s">
        <v>95</v>
      </c>
      <c r="R4058" s="1" t="s">
        <v>95</v>
      </c>
      <c r="S4058" s="1" t="s">
        <v>96</v>
      </c>
      <c r="T4058" s="1" t="s">
        <v>311</v>
      </c>
      <c r="U4058" s="1">
        <v>1.00694651E8</v>
      </c>
      <c r="X4058" s="1" t="s">
        <v>468</v>
      </c>
      <c r="Y4058" s="1" t="s">
        <v>11633</v>
      </c>
      <c r="Z4058" s="1" t="s">
        <v>37</v>
      </c>
    </row>
    <row r="4059" hidden="1">
      <c r="A4059" s="1" t="s">
        <v>11634</v>
      </c>
      <c r="B4059" s="1" t="s">
        <v>1144</v>
      </c>
      <c r="C4059" s="1" t="s">
        <v>11635</v>
      </c>
      <c r="D4059" s="1" t="s">
        <v>27</v>
      </c>
      <c r="E4059" s="1" t="s">
        <v>28</v>
      </c>
      <c r="F4059" s="2">
        <v>200000.0</v>
      </c>
      <c r="G4059" s="4">
        <v>44319.0</v>
      </c>
      <c r="H4059" s="4">
        <f>IFERROR(__xludf.DUMMYFUNCTION("DATE(INDEX(SPLIT(G4059,""/""),,3),INDEX(SPLIT(G4059,""/""),,2),INDEX(SPLIT(G4059,""/""),,1))"),44260.0)</f>
        <v>44260</v>
      </c>
      <c r="I4059" s="1" t="s">
        <v>1097</v>
      </c>
      <c r="J4059" s="4">
        <f>IFERROR(__xludf.DUMMYFUNCTION("DATE(INDEX(SPLIT(I4059,""/""),,3),INDEX(SPLIT(I4059,""/""),,2),INDEX(SPLIT(I4059,""/""),,1))"),45107.0)</f>
        <v>45107</v>
      </c>
      <c r="L4059" s="1">
        <v>0.0</v>
      </c>
      <c r="M4059" s="1" t="s">
        <v>2614</v>
      </c>
      <c r="N4059" s="1"/>
      <c r="O4059" s="1" t="s">
        <v>30</v>
      </c>
      <c r="P4059" s="1" t="s">
        <v>31</v>
      </c>
      <c r="Q4059" s="1" t="s">
        <v>53</v>
      </c>
      <c r="R4059" s="1" t="s">
        <v>53</v>
      </c>
      <c r="S4059" s="1" t="s">
        <v>54</v>
      </c>
      <c r="T4059" s="1" t="s">
        <v>197</v>
      </c>
      <c r="U4059" s="1">
        <v>1.00592932E8</v>
      </c>
      <c r="X4059" s="1" t="s">
        <v>63</v>
      </c>
      <c r="Y4059" s="1" t="s">
        <v>2614</v>
      </c>
      <c r="Z4059" s="1" t="s">
        <v>37</v>
      </c>
    </row>
    <row r="4060" hidden="1">
      <c r="A4060" s="1" t="s">
        <v>11636</v>
      </c>
      <c r="B4060" s="1" t="s">
        <v>377</v>
      </c>
      <c r="C4060" s="1" t="s">
        <v>11637</v>
      </c>
      <c r="D4060" s="1" t="s">
        <v>27</v>
      </c>
      <c r="E4060" s="1" t="s">
        <v>28</v>
      </c>
      <c r="F4060" s="2">
        <v>200000.0</v>
      </c>
      <c r="G4060" s="1" t="s">
        <v>1500</v>
      </c>
      <c r="H4060" s="4">
        <f>IFERROR(__xludf.DUMMYFUNCTION("DATE(INDEX(SPLIT(G4060,""/""),,3),INDEX(SPLIT(G4060,""/""),,2),INDEX(SPLIT(G4060,""/""),,1))"),44695.0)</f>
        <v>44695</v>
      </c>
      <c r="I4060" s="1" t="s">
        <v>281</v>
      </c>
      <c r="J4060" s="4">
        <f>IFERROR(__xludf.DUMMYFUNCTION("DATE(INDEX(SPLIT(I4060,""/""),,3),INDEX(SPLIT(I4060,""/""),,2),INDEX(SPLIT(I4060,""/""),,1))"),44865.0)</f>
        <v>44865</v>
      </c>
      <c r="L4060" s="1">
        <v>0.0</v>
      </c>
      <c r="M4060" s="1" t="s">
        <v>11638</v>
      </c>
      <c r="N4060" s="1"/>
      <c r="O4060" s="1" t="s">
        <v>30</v>
      </c>
      <c r="P4060" s="1" t="s">
        <v>31</v>
      </c>
      <c r="Q4060" s="1" t="s">
        <v>228</v>
      </c>
      <c r="R4060" s="1" t="s">
        <v>228</v>
      </c>
      <c r="S4060" s="1" t="s">
        <v>229</v>
      </c>
      <c r="U4060" s="1">
        <v>1.00592873E8</v>
      </c>
      <c r="X4060" s="1" t="s">
        <v>239</v>
      </c>
      <c r="Y4060" s="1" t="s">
        <v>11638</v>
      </c>
      <c r="Z4060" s="1" t="s">
        <v>206</v>
      </c>
    </row>
    <row r="4061">
      <c r="A4061" s="1" t="s">
        <v>11639</v>
      </c>
      <c r="B4061" s="1" t="s">
        <v>11640</v>
      </c>
      <c r="C4061" s="1" t="s">
        <v>11641</v>
      </c>
      <c r="D4061" s="1" t="s">
        <v>27</v>
      </c>
      <c r="E4061" s="1" t="s">
        <v>28</v>
      </c>
      <c r="F4061" s="2">
        <v>200000.0</v>
      </c>
      <c r="G4061" s="4">
        <v>44809.0</v>
      </c>
      <c r="H4061" s="4">
        <f>IFERROR(__xludf.DUMMYFUNCTION("DATE(INDEX(SPLIT(G4061,""/""),,3),INDEX(SPLIT(G4061,""/""),,2),INDEX(SPLIT(G4061,""/""),,1))"),44690.0)</f>
        <v>44690</v>
      </c>
      <c r="I4061" s="1" t="s">
        <v>69</v>
      </c>
      <c r="J4061" s="4">
        <f>IFERROR(__xludf.DUMMYFUNCTION("DATE(INDEX(SPLIT(I4061,""/""),,3),INDEX(SPLIT(I4061,""/""),,2),INDEX(SPLIT(I4061,""/""),,1))"),44773.0)</f>
        <v>44773</v>
      </c>
      <c r="L4061" s="1">
        <v>0.0</v>
      </c>
      <c r="M4061" s="1" t="s">
        <v>702</v>
      </c>
      <c r="N4061" s="1"/>
      <c r="O4061" s="1" t="s">
        <v>30</v>
      </c>
      <c r="P4061" s="1" t="s">
        <v>31</v>
      </c>
      <c r="Q4061" s="1" t="s">
        <v>95</v>
      </c>
      <c r="R4061" s="1" t="s">
        <v>95</v>
      </c>
      <c r="S4061" s="1" t="s">
        <v>96</v>
      </c>
      <c r="T4061" s="1" t="s">
        <v>311</v>
      </c>
      <c r="U4061" s="1">
        <v>1.00616804E8</v>
      </c>
      <c r="X4061" s="1" t="s">
        <v>5049</v>
      </c>
      <c r="Y4061" s="1" t="s">
        <v>702</v>
      </c>
      <c r="Z4061" s="1" t="s">
        <v>37</v>
      </c>
    </row>
    <row r="4062">
      <c r="A4062" s="1" t="s">
        <v>11642</v>
      </c>
      <c r="B4062" s="1" t="s">
        <v>7651</v>
      </c>
      <c r="C4062" s="1" t="s">
        <v>11643</v>
      </c>
      <c r="D4062" s="1" t="s">
        <v>27</v>
      </c>
      <c r="E4062" s="1" t="s">
        <v>28</v>
      </c>
      <c r="F4062" s="2">
        <v>200000.0</v>
      </c>
      <c r="G4062" s="1" t="s">
        <v>862</v>
      </c>
      <c r="H4062" s="4">
        <f>IFERROR(__xludf.DUMMYFUNCTION("DATE(INDEX(SPLIT(G4062,""/""),,3),INDEX(SPLIT(G4062,""/""),,2),INDEX(SPLIT(G4062,""/""),,1))"),44699.0)</f>
        <v>44699</v>
      </c>
      <c r="I4062" s="1" t="s">
        <v>1244</v>
      </c>
      <c r="J4062" s="4">
        <f>IFERROR(__xludf.DUMMYFUNCTION("DATE(INDEX(SPLIT(I4062,""/""),,3),INDEX(SPLIT(I4062,""/""),,2),INDEX(SPLIT(I4062,""/""),,1))"),44742.0)</f>
        <v>44742</v>
      </c>
      <c r="L4062" s="1">
        <v>0.0</v>
      </c>
      <c r="M4062" s="1" t="s">
        <v>1573</v>
      </c>
      <c r="N4062" s="1"/>
      <c r="O4062" s="1" t="s">
        <v>30</v>
      </c>
      <c r="P4062" s="1" t="s">
        <v>31</v>
      </c>
      <c r="Q4062" s="1" t="s">
        <v>95</v>
      </c>
      <c r="R4062" s="1" t="s">
        <v>95</v>
      </c>
      <c r="S4062" s="1" t="s">
        <v>96</v>
      </c>
      <c r="T4062" s="1" t="s">
        <v>1386</v>
      </c>
      <c r="U4062" s="1">
        <v>1.00595231E8</v>
      </c>
      <c r="X4062" s="1" t="s">
        <v>63</v>
      </c>
      <c r="Y4062" s="1" t="s">
        <v>3689</v>
      </c>
      <c r="Z4062" s="1" t="s">
        <v>37</v>
      </c>
    </row>
    <row r="4063">
      <c r="A4063" s="1" t="s">
        <v>11644</v>
      </c>
      <c r="B4063" s="1" t="s">
        <v>5627</v>
      </c>
      <c r="C4063" s="1" t="s">
        <v>11645</v>
      </c>
      <c r="D4063" s="1" t="s">
        <v>27</v>
      </c>
      <c r="E4063" s="1" t="s">
        <v>28</v>
      </c>
      <c r="F4063" s="2">
        <v>200000.0</v>
      </c>
      <c r="G4063" s="1" t="s">
        <v>862</v>
      </c>
      <c r="H4063" s="4">
        <f>IFERROR(__xludf.DUMMYFUNCTION("DATE(INDEX(SPLIT(G4063,""/""),,3),INDEX(SPLIT(G4063,""/""),,2),INDEX(SPLIT(G4063,""/""),,1))"),44699.0)</f>
        <v>44699</v>
      </c>
      <c r="I4063" s="1" t="s">
        <v>1244</v>
      </c>
      <c r="J4063" s="4">
        <f>IFERROR(__xludf.DUMMYFUNCTION("DATE(INDEX(SPLIT(I4063,""/""),,3),INDEX(SPLIT(I4063,""/""),,2),INDEX(SPLIT(I4063,""/""),,1))"),44742.0)</f>
        <v>44742</v>
      </c>
      <c r="L4063" s="1">
        <v>0.0</v>
      </c>
      <c r="M4063" s="1" t="s">
        <v>1573</v>
      </c>
      <c r="N4063" s="1"/>
      <c r="O4063" s="1" t="s">
        <v>30</v>
      </c>
      <c r="P4063" s="1" t="s">
        <v>31</v>
      </c>
      <c r="Q4063" s="1" t="s">
        <v>95</v>
      </c>
      <c r="R4063" s="1" t="s">
        <v>95</v>
      </c>
      <c r="S4063" s="1" t="s">
        <v>96</v>
      </c>
      <c r="T4063" s="1" t="s">
        <v>1386</v>
      </c>
      <c r="U4063" s="1">
        <v>1.00595231E8</v>
      </c>
      <c r="X4063" s="1" t="s">
        <v>63</v>
      </c>
      <c r="Y4063" s="1" t="s">
        <v>3689</v>
      </c>
      <c r="Z4063" s="1" t="s">
        <v>37</v>
      </c>
    </row>
    <row r="4064" hidden="1">
      <c r="A4064" s="1" t="s">
        <v>11646</v>
      </c>
      <c r="B4064" s="1" t="s">
        <v>3591</v>
      </c>
      <c r="C4064" s="1" t="s">
        <v>11647</v>
      </c>
      <c r="D4064" s="1" t="s">
        <v>78</v>
      </c>
      <c r="E4064" s="1" t="s">
        <v>28</v>
      </c>
      <c r="F4064" s="2">
        <v>200000.0</v>
      </c>
      <c r="G4064" s="1" t="s">
        <v>2329</v>
      </c>
      <c r="H4064" s="4">
        <f>IFERROR(__xludf.DUMMYFUNCTION("DATE(INDEX(SPLIT(G4064,""/""),,3),INDEX(SPLIT(G4064,""/""),,2),INDEX(SPLIT(G4064,""/""),,1))"),44732.0)</f>
        <v>44732</v>
      </c>
      <c r="I4064" s="1" t="s">
        <v>872</v>
      </c>
      <c r="J4064" s="4">
        <f>IFERROR(__xludf.DUMMYFUNCTION("DATE(INDEX(SPLIT(I4064,""/""),,3),INDEX(SPLIT(I4064,""/""),,2),INDEX(SPLIT(I4064,""/""),,1))"),44820.0)</f>
        <v>44820</v>
      </c>
      <c r="L4064" s="1">
        <v>0.0</v>
      </c>
      <c r="M4064" s="1" t="s">
        <v>8015</v>
      </c>
      <c r="N4064" s="1"/>
      <c r="O4064" s="1" t="s">
        <v>30</v>
      </c>
      <c r="P4064" s="1" t="s">
        <v>31</v>
      </c>
      <c r="Q4064" s="1" t="s">
        <v>71</v>
      </c>
      <c r="R4064" s="1" t="s">
        <v>71</v>
      </c>
      <c r="S4064" s="1" t="s">
        <v>72</v>
      </c>
      <c r="T4064" s="1" t="s">
        <v>73</v>
      </c>
      <c r="U4064" s="1">
        <v>1.00654066E8</v>
      </c>
      <c r="X4064" s="1" t="s">
        <v>74</v>
      </c>
      <c r="Y4064" s="1" t="s">
        <v>8015</v>
      </c>
      <c r="Z4064" s="1" t="s">
        <v>206</v>
      </c>
    </row>
    <row r="4065" hidden="1">
      <c r="A4065" s="1" t="s">
        <v>11648</v>
      </c>
      <c r="B4065" s="1" t="s">
        <v>9616</v>
      </c>
      <c r="C4065" s="1" t="s">
        <v>11649</v>
      </c>
      <c r="D4065" s="1" t="s">
        <v>78</v>
      </c>
      <c r="E4065" s="1" t="s">
        <v>28</v>
      </c>
      <c r="F4065" s="2">
        <v>200000.0</v>
      </c>
      <c r="G4065" s="4">
        <v>44807.0</v>
      </c>
      <c r="H4065" s="4">
        <f>IFERROR(__xludf.DUMMYFUNCTION("DATE(INDEX(SPLIT(G4065,""/""),,3),INDEX(SPLIT(G4065,""/""),,2),INDEX(SPLIT(G4065,""/""),,1))"),44629.0)</f>
        <v>44629</v>
      </c>
      <c r="I4065" s="1" t="s">
        <v>109</v>
      </c>
      <c r="J4065" s="4">
        <f>IFERROR(__xludf.DUMMYFUNCTION("DATE(INDEX(SPLIT(I4065,""/""),,3),INDEX(SPLIT(I4065,""/""),,2),INDEX(SPLIT(I4065,""/""),,1))"),44834.0)</f>
        <v>44834</v>
      </c>
      <c r="L4065" s="1">
        <v>0.0</v>
      </c>
      <c r="M4065" s="1" t="s">
        <v>10257</v>
      </c>
      <c r="N4065" s="1"/>
      <c r="O4065" s="1" t="s">
        <v>30</v>
      </c>
      <c r="P4065" s="1" t="s">
        <v>31</v>
      </c>
      <c r="Q4065" s="1" t="s">
        <v>157</v>
      </c>
      <c r="R4065" s="1" t="s">
        <v>157</v>
      </c>
      <c r="S4065" s="1" t="s">
        <v>158</v>
      </c>
      <c r="T4065" s="1" t="s">
        <v>438</v>
      </c>
      <c r="U4065" s="1">
        <v>1.0061717E8</v>
      </c>
      <c r="X4065" s="1" t="s">
        <v>125</v>
      </c>
      <c r="Y4065" s="1" t="s">
        <v>10257</v>
      </c>
      <c r="Z4065" s="1" t="s">
        <v>37</v>
      </c>
    </row>
    <row r="4066" hidden="1">
      <c r="A4066" s="1" t="s">
        <v>11650</v>
      </c>
      <c r="B4066" s="1" t="s">
        <v>1772</v>
      </c>
      <c r="C4066" s="1" t="s">
        <v>11651</v>
      </c>
      <c r="D4066" s="1" t="s">
        <v>122</v>
      </c>
      <c r="E4066" s="1" t="s">
        <v>28</v>
      </c>
      <c r="F4066" s="2">
        <v>200000.0</v>
      </c>
      <c r="G4066" s="4">
        <v>43622.0</v>
      </c>
      <c r="H4066" s="4">
        <f>IFERROR(__xludf.DUMMYFUNCTION("DATE(INDEX(SPLIT(G4066,""/""),,3),INDEX(SPLIT(G4066,""/""),,2),INDEX(SPLIT(G4066,""/""),,1))"),43622.0)</f>
        <v>43622</v>
      </c>
      <c r="I4066" s="4">
        <v>44689.0</v>
      </c>
      <c r="J4066" s="4">
        <f>IFERROR(__xludf.DUMMYFUNCTION("DATE(INDEX(SPLIT(I4066,""/""),,3),INDEX(SPLIT(I4066,""/""),,2),INDEX(SPLIT(I4066,""/""),,1))"),44778.0)</f>
        <v>44778</v>
      </c>
      <c r="L4066" s="1">
        <v>0.0</v>
      </c>
      <c r="M4066" s="1" t="s">
        <v>1925</v>
      </c>
      <c r="N4066" s="1"/>
      <c r="O4066" s="1" t="s">
        <v>30</v>
      </c>
      <c r="P4066" s="1" t="s">
        <v>31</v>
      </c>
      <c r="Q4066" s="1" t="s">
        <v>32</v>
      </c>
      <c r="R4066" s="1" t="s">
        <v>32</v>
      </c>
      <c r="S4066" s="1" t="s">
        <v>33</v>
      </c>
      <c r="U4066" s="1">
        <v>1.00626539E8</v>
      </c>
      <c r="X4066" s="1" t="s">
        <v>81</v>
      </c>
      <c r="Y4066" s="1" t="s">
        <v>11652</v>
      </c>
      <c r="Z4066" s="1" t="s">
        <v>527</v>
      </c>
    </row>
    <row r="4067" hidden="1">
      <c r="A4067" s="1" t="s">
        <v>11653</v>
      </c>
      <c r="B4067" s="1" t="s">
        <v>11654</v>
      </c>
      <c r="C4067" s="1" t="s">
        <v>11655</v>
      </c>
      <c r="D4067" s="1" t="s">
        <v>78</v>
      </c>
      <c r="E4067" s="1" t="s">
        <v>28</v>
      </c>
      <c r="F4067" s="2">
        <v>200000.0</v>
      </c>
      <c r="G4067" s="1" t="s">
        <v>1154</v>
      </c>
      <c r="H4067" s="4">
        <f>IFERROR(__xludf.DUMMYFUNCTION("DATE(INDEX(SPLIT(G4067,""/""),,3),INDEX(SPLIT(G4067,""/""),,2),INDEX(SPLIT(G4067,""/""),,1))"),44735.0)</f>
        <v>44735</v>
      </c>
      <c r="I4067" s="4">
        <v>44601.0</v>
      </c>
      <c r="J4067" s="4">
        <f>IFERROR(__xludf.DUMMYFUNCTION("DATE(INDEX(SPLIT(I4067,""/""),,3),INDEX(SPLIT(I4067,""/""),,2),INDEX(SPLIT(I4067,""/""),,1))"),44806.0)</f>
        <v>44806</v>
      </c>
      <c r="L4067" s="1">
        <v>0.0</v>
      </c>
      <c r="M4067" s="1" t="s">
        <v>1723</v>
      </c>
      <c r="N4067" s="1"/>
      <c r="O4067" s="1" t="s">
        <v>30</v>
      </c>
      <c r="P4067" s="1" t="s">
        <v>31</v>
      </c>
      <c r="Q4067" s="1" t="s">
        <v>157</v>
      </c>
      <c r="R4067" s="1" t="s">
        <v>157</v>
      </c>
      <c r="S4067" s="1" t="s">
        <v>158</v>
      </c>
      <c r="T4067" s="1" t="s">
        <v>159</v>
      </c>
      <c r="U4067" s="1">
        <v>1.00654085E8</v>
      </c>
      <c r="X4067" s="1" t="s">
        <v>63</v>
      </c>
      <c r="Y4067" s="1" t="s">
        <v>5269</v>
      </c>
      <c r="Z4067" s="1" t="s">
        <v>37</v>
      </c>
    </row>
    <row r="4068" hidden="1">
      <c r="A4068" s="1" t="s">
        <v>11656</v>
      </c>
      <c r="B4068" s="1" t="s">
        <v>2671</v>
      </c>
      <c r="C4068" s="1" t="s">
        <v>11657</v>
      </c>
      <c r="D4068" s="1" t="s">
        <v>78</v>
      </c>
      <c r="E4068" s="1" t="s">
        <v>28</v>
      </c>
      <c r="F4068" s="2">
        <v>200000.0</v>
      </c>
      <c r="G4068" s="1" t="s">
        <v>2324</v>
      </c>
      <c r="H4068" s="4">
        <f>IFERROR(__xludf.DUMMYFUNCTION("DATE(INDEX(SPLIT(G4068,""/""),,3),INDEX(SPLIT(G4068,""/""),,2),INDEX(SPLIT(G4068,""/""),,1))"),44705.0)</f>
        <v>44705</v>
      </c>
      <c r="I4068" s="1" t="s">
        <v>130</v>
      </c>
      <c r="J4068" s="4">
        <f>IFERROR(__xludf.DUMMYFUNCTION("DATE(INDEX(SPLIT(I4068,""/""),,3),INDEX(SPLIT(I4068,""/""),,2),INDEX(SPLIT(I4068,""/""),,1))"),44804.0)</f>
        <v>44804</v>
      </c>
      <c r="L4068" s="1">
        <v>0.0</v>
      </c>
      <c r="M4068" s="1" t="s">
        <v>4735</v>
      </c>
      <c r="N4068" s="1"/>
      <c r="O4068" s="1" t="s">
        <v>30</v>
      </c>
      <c r="P4068" s="1" t="s">
        <v>31</v>
      </c>
      <c r="Q4068" s="1" t="s">
        <v>71</v>
      </c>
      <c r="R4068" s="1" t="s">
        <v>71</v>
      </c>
      <c r="S4068" s="1" t="s">
        <v>72</v>
      </c>
      <c r="T4068" s="1" t="s">
        <v>136</v>
      </c>
      <c r="U4068" s="1">
        <v>1.00609615E8</v>
      </c>
      <c r="X4068" s="1" t="s">
        <v>74</v>
      </c>
      <c r="Y4068" s="1" t="s">
        <v>4735</v>
      </c>
      <c r="Z4068" s="1" t="s">
        <v>206</v>
      </c>
    </row>
    <row r="4069" hidden="1">
      <c r="A4069" s="1" t="s">
        <v>11658</v>
      </c>
      <c r="B4069" s="1" t="s">
        <v>645</v>
      </c>
      <c r="C4069" s="1" t="s">
        <v>4200</v>
      </c>
      <c r="D4069" s="1" t="s">
        <v>78</v>
      </c>
      <c r="E4069" s="1" t="s">
        <v>28</v>
      </c>
      <c r="F4069" s="2">
        <v>200000.0</v>
      </c>
      <c r="G4069" s="4">
        <v>44898.0</v>
      </c>
      <c r="H4069" s="4">
        <f>IFERROR(__xludf.DUMMYFUNCTION("DATE(INDEX(SPLIT(G4069,""/""),,3),INDEX(SPLIT(G4069,""/""),,2),INDEX(SPLIT(G4069,""/""),,1))"),44632.0)</f>
        <v>44632</v>
      </c>
      <c r="I4069" s="1" t="s">
        <v>317</v>
      </c>
      <c r="J4069" s="4">
        <f>IFERROR(__xludf.DUMMYFUNCTION("DATE(INDEX(SPLIT(I4069,""/""),,3),INDEX(SPLIT(I4069,""/""),,2),INDEX(SPLIT(I4069,""/""),,1))"),44862.0)</f>
        <v>44862</v>
      </c>
      <c r="L4069" s="1">
        <v>0.0</v>
      </c>
      <c r="M4069" s="1" t="s">
        <v>1532</v>
      </c>
      <c r="N4069" s="1"/>
      <c r="O4069" s="1" t="s">
        <v>30</v>
      </c>
      <c r="P4069" s="1" t="s">
        <v>31</v>
      </c>
      <c r="Q4069" s="1" t="s">
        <v>228</v>
      </c>
      <c r="R4069" s="1" t="s">
        <v>228</v>
      </c>
      <c r="S4069" s="1" t="s">
        <v>229</v>
      </c>
      <c r="T4069" s="1" t="s">
        <v>640</v>
      </c>
      <c r="U4069" s="1">
        <v>1.00711752E8</v>
      </c>
      <c r="X4069" s="1" t="s">
        <v>289</v>
      </c>
      <c r="Y4069" s="1" t="s">
        <v>467</v>
      </c>
      <c r="Z4069" s="1" t="s">
        <v>37</v>
      </c>
    </row>
    <row r="4070" hidden="1">
      <c r="A4070" s="1" t="s">
        <v>11659</v>
      </c>
      <c r="B4070" s="1" t="s">
        <v>4421</v>
      </c>
      <c r="C4070" s="1" t="s">
        <v>11660</v>
      </c>
      <c r="D4070" s="1" t="s">
        <v>27</v>
      </c>
      <c r="E4070" s="1" t="s">
        <v>28</v>
      </c>
      <c r="F4070" s="2">
        <v>200000.0</v>
      </c>
      <c r="G4070" s="4">
        <v>44716.0</v>
      </c>
      <c r="H4070" s="4">
        <f>IFERROR(__xludf.DUMMYFUNCTION("DATE(INDEX(SPLIT(G4070,""/""),,3),INDEX(SPLIT(G4070,""/""),,2),INDEX(SPLIT(G4070,""/""),,1))"),44657.0)</f>
        <v>44657</v>
      </c>
      <c r="I4070" s="1" t="s">
        <v>130</v>
      </c>
      <c r="J4070" s="4">
        <f>IFERROR(__xludf.DUMMYFUNCTION("DATE(INDEX(SPLIT(I4070,""/""),,3),INDEX(SPLIT(I4070,""/""),,2),INDEX(SPLIT(I4070,""/""),,1))"),44804.0)</f>
        <v>44804</v>
      </c>
      <c r="L4070" s="1">
        <v>0.0</v>
      </c>
      <c r="M4070" s="1" t="s">
        <v>7088</v>
      </c>
      <c r="N4070" s="1"/>
      <c r="O4070" s="1" t="s">
        <v>30</v>
      </c>
      <c r="P4070" s="1" t="s">
        <v>31</v>
      </c>
      <c r="Q4070" s="1" t="s">
        <v>228</v>
      </c>
      <c r="R4070" s="1" t="s">
        <v>228</v>
      </c>
      <c r="S4070" s="1" t="s">
        <v>229</v>
      </c>
      <c r="T4070" s="1" t="s">
        <v>513</v>
      </c>
      <c r="U4070" s="1">
        <v>1.00597339E8</v>
      </c>
      <c r="X4070" s="1" t="s">
        <v>490</v>
      </c>
      <c r="Y4070" s="1" t="s">
        <v>7089</v>
      </c>
      <c r="Z4070" s="1" t="s">
        <v>37</v>
      </c>
    </row>
    <row r="4071" hidden="1">
      <c r="A4071" s="1" t="s">
        <v>11661</v>
      </c>
      <c r="B4071" s="1" t="s">
        <v>11654</v>
      </c>
      <c r="C4071" s="1" t="s">
        <v>11662</v>
      </c>
      <c r="D4071" s="1" t="s">
        <v>78</v>
      </c>
      <c r="E4071" s="1" t="s">
        <v>28</v>
      </c>
      <c r="F4071" s="2">
        <v>200000.0</v>
      </c>
      <c r="G4071" s="1" t="s">
        <v>1154</v>
      </c>
      <c r="H4071" s="4">
        <f>IFERROR(__xludf.DUMMYFUNCTION("DATE(INDEX(SPLIT(G4071,""/""),,3),INDEX(SPLIT(G4071,""/""),,2),INDEX(SPLIT(G4071,""/""),,1))"),44735.0)</f>
        <v>44735</v>
      </c>
      <c r="I4071" s="4">
        <v>44601.0</v>
      </c>
      <c r="J4071" s="4">
        <f>IFERROR(__xludf.DUMMYFUNCTION("DATE(INDEX(SPLIT(I4071,""/""),,3),INDEX(SPLIT(I4071,""/""),,2),INDEX(SPLIT(I4071,""/""),,1))"),44806.0)</f>
        <v>44806</v>
      </c>
      <c r="L4071" s="1">
        <v>0.0</v>
      </c>
      <c r="M4071" s="1" t="s">
        <v>1723</v>
      </c>
      <c r="N4071" s="1"/>
      <c r="O4071" s="1" t="s">
        <v>30</v>
      </c>
      <c r="P4071" s="1" t="s">
        <v>31</v>
      </c>
      <c r="Q4071" s="1" t="s">
        <v>157</v>
      </c>
      <c r="R4071" s="1" t="s">
        <v>157</v>
      </c>
      <c r="S4071" s="1" t="s">
        <v>158</v>
      </c>
      <c r="T4071" s="1" t="s">
        <v>159</v>
      </c>
      <c r="U4071" s="1">
        <v>1.00654085E8</v>
      </c>
      <c r="X4071" s="1" t="s">
        <v>63</v>
      </c>
      <c r="Y4071" s="1" t="s">
        <v>5269</v>
      </c>
      <c r="Z4071" s="1" t="s">
        <v>37</v>
      </c>
    </row>
    <row r="4072">
      <c r="A4072" s="1" t="s">
        <v>11663</v>
      </c>
      <c r="B4072" s="1" t="s">
        <v>4196</v>
      </c>
      <c r="C4072" s="1" t="s">
        <v>11664</v>
      </c>
      <c r="D4072" s="1" t="s">
        <v>122</v>
      </c>
      <c r="E4072" s="1" t="s">
        <v>28</v>
      </c>
      <c r="F4072" s="2">
        <v>200000.0</v>
      </c>
      <c r="G4072" s="4">
        <v>44810.0</v>
      </c>
      <c r="H4072" s="4">
        <f>IFERROR(__xludf.DUMMYFUNCTION("DATE(INDEX(SPLIT(G4072,""/""),,3),INDEX(SPLIT(G4072,""/""),,2),INDEX(SPLIT(G4072,""/""),,1))"),44721.0)</f>
        <v>44721</v>
      </c>
      <c r="I4072" s="1" t="s">
        <v>69</v>
      </c>
      <c r="J4072" s="4">
        <f>IFERROR(__xludf.DUMMYFUNCTION("DATE(INDEX(SPLIT(I4072,""/""),,3),INDEX(SPLIT(I4072,""/""),,2),INDEX(SPLIT(I4072,""/""),,1))"),44773.0)</f>
        <v>44773</v>
      </c>
      <c r="L4072" s="1">
        <v>0.0</v>
      </c>
      <c r="M4072" s="1" t="s">
        <v>10627</v>
      </c>
      <c r="N4072" s="1"/>
      <c r="O4072" s="1" t="s">
        <v>30</v>
      </c>
      <c r="P4072" s="1" t="s">
        <v>31</v>
      </c>
      <c r="Q4072" s="1" t="s">
        <v>228</v>
      </c>
      <c r="R4072" s="1" t="s">
        <v>228</v>
      </c>
      <c r="S4072" s="1" t="s">
        <v>229</v>
      </c>
      <c r="T4072" s="1" t="s">
        <v>513</v>
      </c>
      <c r="U4072" s="1">
        <v>1.00614969E8</v>
      </c>
      <c r="X4072" s="1" t="s">
        <v>74</v>
      </c>
      <c r="Y4072" s="1" t="s">
        <v>11665</v>
      </c>
      <c r="Z4072" s="1" t="s">
        <v>37</v>
      </c>
    </row>
    <row r="4073" hidden="1">
      <c r="A4073" s="1" t="s">
        <v>11666</v>
      </c>
      <c r="B4073" s="1" t="s">
        <v>10868</v>
      </c>
      <c r="C4073" s="1" t="s">
        <v>11667</v>
      </c>
      <c r="D4073" s="1" t="s">
        <v>78</v>
      </c>
      <c r="E4073" s="1" t="s">
        <v>28</v>
      </c>
      <c r="F4073" s="2">
        <v>200000.0</v>
      </c>
      <c r="G4073" s="1" t="s">
        <v>2300</v>
      </c>
      <c r="H4073" s="4">
        <f>IFERROR(__xludf.DUMMYFUNCTION("DATE(INDEX(SPLIT(G4073,""/""),,3),INDEX(SPLIT(G4073,""/""),,2),INDEX(SPLIT(G4073,""/""),,1))"),44712.0)</f>
        <v>44712</v>
      </c>
      <c r="I4073" s="1" t="s">
        <v>281</v>
      </c>
      <c r="J4073" s="4">
        <f>IFERROR(__xludf.DUMMYFUNCTION("DATE(INDEX(SPLIT(I4073,""/""),,3),INDEX(SPLIT(I4073,""/""),,2),INDEX(SPLIT(I4073,""/""),,1))"),44865.0)</f>
        <v>44865</v>
      </c>
      <c r="L4073" s="1">
        <v>0.0</v>
      </c>
      <c r="M4073" s="1" t="s">
        <v>6045</v>
      </c>
      <c r="N4073" s="1"/>
      <c r="O4073" s="1" t="s">
        <v>30</v>
      </c>
      <c r="P4073" s="1" t="s">
        <v>31</v>
      </c>
      <c r="Q4073" s="1" t="s">
        <v>228</v>
      </c>
      <c r="R4073" s="1" t="s">
        <v>228</v>
      </c>
      <c r="S4073" s="1" t="s">
        <v>229</v>
      </c>
      <c r="T4073" s="1" t="s">
        <v>513</v>
      </c>
      <c r="U4073" s="1">
        <v>1.00652479E8</v>
      </c>
      <c r="X4073" s="1" t="s">
        <v>46</v>
      </c>
      <c r="Y4073" s="1" t="s">
        <v>11668</v>
      </c>
      <c r="Z4073" s="1" t="s">
        <v>37</v>
      </c>
    </row>
    <row r="4074" hidden="1">
      <c r="A4074" s="1" t="s">
        <v>11669</v>
      </c>
      <c r="B4074" s="1" t="s">
        <v>4321</v>
      </c>
      <c r="C4074" s="1" t="s">
        <v>11670</v>
      </c>
      <c r="D4074" s="1" t="s">
        <v>122</v>
      </c>
      <c r="E4074" s="1" t="s">
        <v>28</v>
      </c>
      <c r="F4074" s="2">
        <v>200000.0</v>
      </c>
      <c r="G4074" s="4">
        <v>44779.0</v>
      </c>
      <c r="H4074" s="4">
        <f>IFERROR(__xludf.DUMMYFUNCTION("DATE(INDEX(SPLIT(G4074,""/""),,3),INDEX(SPLIT(G4074,""/""),,2),INDEX(SPLIT(G4074,""/""),,1))"),44720.0)</f>
        <v>44720</v>
      </c>
      <c r="I4074" s="1" t="s">
        <v>109</v>
      </c>
      <c r="J4074" s="4">
        <f>IFERROR(__xludf.DUMMYFUNCTION("DATE(INDEX(SPLIT(I4074,""/""),,3),INDEX(SPLIT(I4074,""/""),,2),INDEX(SPLIT(I4074,""/""),,1))"),44834.0)</f>
        <v>44834</v>
      </c>
      <c r="L4074" s="1">
        <v>0.0</v>
      </c>
      <c r="M4074" s="1" t="s">
        <v>4323</v>
      </c>
      <c r="N4074" s="1"/>
      <c r="O4074" s="1" t="s">
        <v>30</v>
      </c>
      <c r="P4074" s="1" t="s">
        <v>31</v>
      </c>
      <c r="Q4074" s="1" t="s">
        <v>157</v>
      </c>
      <c r="R4074" s="1" t="s">
        <v>157</v>
      </c>
      <c r="S4074" s="1" t="s">
        <v>158</v>
      </c>
      <c r="U4074" s="1">
        <v>1.00607244E8</v>
      </c>
      <c r="X4074" s="1" t="s">
        <v>305</v>
      </c>
      <c r="Y4074" s="1" t="s">
        <v>6524</v>
      </c>
      <c r="Z4074" s="1" t="s">
        <v>37</v>
      </c>
    </row>
    <row r="4075">
      <c r="A4075" s="1" t="s">
        <v>11671</v>
      </c>
      <c r="B4075" s="1" t="s">
        <v>1762</v>
      </c>
      <c r="C4075" s="1" t="s">
        <v>11672</v>
      </c>
      <c r="D4075" s="1" t="s">
        <v>78</v>
      </c>
      <c r="E4075" s="1" t="s">
        <v>28</v>
      </c>
      <c r="F4075" s="2">
        <v>200000.0</v>
      </c>
      <c r="G4075" s="1" t="s">
        <v>2324</v>
      </c>
      <c r="H4075" s="4">
        <f>IFERROR(__xludf.DUMMYFUNCTION("DATE(INDEX(SPLIT(G4075,""/""),,3),INDEX(SPLIT(G4075,""/""),,2),INDEX(SPLIT(G4075,""/""),,1))"),44705.0)</f>
        <v>44705</v>
      </c>
      <c r="I4075" s="1" t="s">
        <v>1244</v>
      </c>
      <c r="J4075" s="4">
        <f>IFERROR(__xludf.DUMMYFUNCTION("DATE(INDEX(SPLIT(I4075,""/""),,3),INDEX(SPLIT(I4075,""/""),,2),INDEX(SPLIT(I4075,""/""),,1))"),44742.0)</f>
        <v>44742</v>
      </c>
      <c r="L4075" s="1">
        <v>0.0</v>
      </c>
      <c r="M4075" s="1" t="s">
        <v>5880</v>
      </c>
      <c r="N4075" s="1"/>
      <c r="O4075" s="1" t="s">
        <v>30</v>
      </c>
      <c r="P4075" s="1" t="s">
        <v>31</v>
      </c>
      <c r="Q4075" s="1" t="s">
        <v>228</v>
      </c>
      <c r="R4075" s="1" t="s">
        <v>228</v>
      </c>
      <c r="S4075" s="1" t="s">
        <v>229</v>
      </c>
      <c r="T4075" s="1" t="s">
        <v>640</v>
      </c>
      <c r="U4075" s="1">
        <v>1.00933537E8</v>
      </c>
      <c r="X4075" s="1" t="s">
        <v>490</v>
      </c>
      <c r="Y4075" s="1" t="s">
        <v>7653</v>
      </c>
      <c r="Z4075" s="1" t="s">
        <v>37</v>
      </c>
    </row>
    <row r="4076" hidden="1">
      <c r="A4076" s="1" t="s">
        <v>11673</v>
      </c>
      <c r="B4076" s="1" t="s">
        <v>7889</v>
      </c>
      <c r="C4076" s="1" t="s">
        <v>11674</v>
      </c>
      <c r="D4076" s="1" t="s">
        <v>27</v>
      </c>
      <c r="E4076" s="1" t="s">
        <v>28</v>
      </c>
      <c r="F4076" s="2">
        <v>200000.0</v>
      </c>
      <c r="G4076" s="4">
        <v>44779.0</v>
      </c>
      <c r="H4076" s="4">
        <f>IFERROR(__xludf.DUMMYFUNCTION("DATE(INDEX(SPLIT(G4076,""/""),,3),INDEX(SPLIT(G4076,""/""),,2),INDEX(SPLIT(G4076,""/""),,1))"),44720.0)</f>
        <v>44720</v>
      </c>
      <c r="I4076" s="1" t="s">
        <v>109</v>
      </c>
      <c r="J4076" s="4">
        <f>IFERROR(__xludf.DUMMYFUNCTION("DATE(INDEX(SPLIT(I4076,""/""),,3),INDEX(SPLIT(I4076,""/""),,2),INDEX(SPLIT(I4076,""/""),,1))"),44834.0)</f>
        <v>44834</v>
      </c>
      <c r="L4076" s="1">
        <v>0.0</v>
      </c>
      <c r="M4076" s="1" t="s">
        <v>929</v>
      </c>
      <c r="N4076" s="1"/>
      <c r="O4076" s="1" t="s">
        <v>30</v>
      </c>
      <c r="P4076" s="1" t="s">
        <v>31</v>
      </c>
      <c r="Q4076" s="1" t="s">
        <v>71</v>
      </c>
      <c r="R4076" s="1" t="s">
        <v>71</v>
      </c>
      <c r="S4076" s="1" t="s">
        <v>72</v>
      </c>
      <c r="T4076" s="1" t="s">
        <v>73</v>
      </c>
      <c r="U4076" s="1">
        <v>1.00649698E8</v>
      </c>
      <c r="Y4076" s="1" t="s">
        <v>929</v>
      </c>
      <c r="Z4076" s="1" t="s">
        <v>37</v>
      </c>
    </row>
    <row r="4077" hidden="1">
      <c r="A4077" s="1" t="s">
        <v>11675</v>
      </c>
      <c r="B4077" s="1" t="s">
        <v>11676</v>
      </c>
      <c r="C4077" s="1" t="s">
        <v>10058</v>
      </c>
      <c r="D4077" s="1" t="s">
        <v>27</v>
      </c>
      <c r="E4077" s="1" t="s">
        <v>28</v>
      </c>
      <c r="F4077" s="2">
        <v>200000.0</v>
      </c>
      <c r="G4077" s="4">
        <v>44568.0</v>
      </c>
      <c r="H4077" s="4">
        <f>IFERROR(__xludf.DUMMYFUNCTION("DATE(INDEX(SPLIT(G4077,""/""),,3),INDEX(SPLIT(G4077,""/""),,2),INDEX(SPLIT(G4077,""/""),,1))"),44743.0)</f>
        <v>44743</v>
      </c>
      <c r="I4077" s="1" t="s">
        <v>360</v>
      </c>
      <c r="J4077" s="4">
        <f>IFERROR(__xludf.DUMMYFUNCTION("DATE(INDEX(SPLIT(I4077,""/""),,3),INDEX(SPLIT(I4077,""/""),,2),INDEX(SPLIT(I4077,""/""),,1))"),44895.0)</f>
        <v>44895</v>
      </c>
      <c r="L4077" s="1">
        <v>0.0</v>
      </c>
      <c r="M4077" s="1" t="s">
        <v>299</v>
      </c>
      <c r="N4077" s="1"/>
      <c r="O4077" s="1" t="s">
        <v>30</v>
      </c>
      <c r="P4077" s="1" t="s">
        <v>31</v>
      </c>
      <c r="Q4077" s="1" t="s">
        <v>71</v>
      </c>
      <c r="R4077" s="1" t="s">
        <v>71</v>
      </c>
      <c r="S4077" s="1" t="s">
        <v>72</v>
      </c>
      <c r="U4077" s="1">
        <v>1.00610483E8</v>
      </c>
      <c r="X4077" s="1" t="s">
        <v>74</v>
      </c>
      <c r="Y4077" s="1" t="s">
        <v>1822</v>
      </c>
      <c r="Z4077" s="1" t="s">
        <v>37</v>
      </c>
    </row>
    <row r="4078" hidden="1">
      <c r="A4078" s="1" t="s">
        <v>11677</v>
      </c>
      <c r="B4078" s="1" t="s">
        <v>650</v>
      </c>
      <c r="C4078" s="1" t="s">
        <v>11678</v>
      </c>
      <c r="D4078" s="1" t="s">
        <v>78</v>
      </c>
      <c r="E4078" s="1" t="s">
        <v>28</v>
      </c>
      <c r="F4078" s="2">
        <v>200000.0</v>
      </c>
      <c r="G4078" s="1" t="s">
        <v>164</v>
      </c>
      <c r="H4078" s="4">
        <f>IFERROR(__xludf.DUMMYFUNCTION("DATE(INDEX(SPLIT(G4078,""/""),,3),INDEX(SPLIT(G4078,""/""),,2),INDEX(SPLIT(G4078,""/""),,1))"),44706.0)</f>
        <v>44706</v>
      </c>
      <c r="I4078" s="1" t="s">
        <v>130</v>
      </c>
      <c r="J4078" s="4">
        <f>IFERROR(__xludf.DUMMYFUNCTION("DATE(INDEX(SPLIT(I4078,""/""),,3),INDEX(SPLIT(I4078,""/""),,2),INDEX(SPLIT(I4078,""/""),,1))"),44804.0)</f>
        <v>44804</v>
      </c>
      <c r="L4078" s="1">
        <v>0.0</v>
      </c>
      <c r="M4078" s="1" t="s">
        <v>653</v>
      </c>
      <c r="N4078" s="1"/>
      <c r="O4078" s="1" t="s">
        <v>30</v>
      </c>
      <c r="P4078" s="1" t="s">
        <v>31</v>
      </c>
      <c r="Q4078" s="1" t="s">
        <v>157</v>
      </c>
      <c r="R4078" s="1" t="s">
        <v>157</v>
      </c>
      <c r="S4078" s="1" t="s">
        <v>158</v>
      </c>
      <c r="U4078" s="1">
        <v>1.00591141E8</v>
      </c>
      <c r="X4078" s="1" t="s">
        <v>63</v>
      </c>
      <c r="Y4078" s="1" t="s">
        <v>3056</v>
      </c>
      <c r="Z4078" s="1" t="s">
        <v>37</v>
      </c>
    </row>
    <row r="4079" hidden="1">
      <c r="A4079" s="1" t="s">
        <v>11679</v>
      </c>
      <c r="B4079" s="1" t="s">
        <v>650</v>
      </c>
      <c r="C4079" s="1" t="s">
        <v>11680</v>
      </c>
      <c r="D4079" s="1" t="s">
        <v>27</v>
      </c>
      <c r="E4079" s="1" t="s">
        <v>28</v>
      </c>
      <c r="F4079" s="2">
        <v>200000.0</v>
      </c>
      <c r="G4079" s="1" t="s">
        <v>164</v>
      </c>
      <c r="H4079" s="4">
        <f>IFERROR(__xludf.DUMMYFUNCTION("DATE(INDEX(SPLIT(G4079,""/""),,3),INDEX(SPLIT(G4079,""/""),,2),INDEX(SPLIT(G4079,""/""),,1))"),44706.0)</f>
        <v>44706</v>
      </c>
      <c r="I4079" s="1" t="s">
        <v>130</v>
      </c>
      <c r="J4079" s="4">
        <f>IFERROR(__xludf.DUMMYFUNCTION("DATE(INDEX(SPLIT(I4079,""/""),,3),INDEX(SPLIT(I4079,""/""),,2),INDEX(SPLIT(I4079,""/""),,1))"),44804.0)</f>
        <v>44804</v>
      </c>
      <c r="L4079" s="1">
        <v>0.0</v>
      </c>
      <c r="M4079" s="1" t="s">
        <v>653</v>
      </c>
      <c r="N4079" s="1"/>
      <c r="O4079" s="1" t="s">
        <v>30</v>
      </c>
      <c r="P4079" s="1" t="s">
        <v>31</v>
      </c>
      <c r="Q4079" s="1" t="s">
        <v>157</v>
      </c>
      <c r="R4079" s="1" t="s">
        <v>157</v>
      </c>
      <c r="S4079" s="1" t="s">
        <v>158</v>
      </c>
      <c r="U4079" s="1">
        <v>1.00591141E8</v>
      </c>
      <c r="X4079" s="1" t="s">
        <v>63</v>
      </c>
      <c r="Y4079" s="1" t="s">
        <v>3056</v>
      </c>
      <c r="Z4079" s="1" t="s">
        <v>37</v>
      </c>
    </row>
    <row r="4080">
      <c r="A4080" s="1" t="s">
        <v>11681</v>
      </c>
      <c r="B4080" s="1" t="s">
        <v>373</v>
      </c>
      <c r="C4080" s="1" t="s">
        <v>11682</v>
      </c>
      <c r="D4080" s="1" t="s">
        <v>27</v>
      </c>
      <c r="E4080" s="1" t="s">
        <v>28</v>
      </c>
      <c r="F4080" s="2">
        <v>200000.0</v>
      </c>
      <c r="G4080" s="1" t="s">
        <v>1716</v>
      </c>
      <c r="H4080" s="4">
        <f>IFERROR(__xludf.DUMMYFUNCTION("DATE(INDEX(SPLIT(G4080,""/""),,3),INDEX(SPLIT(G4080,""/""),,2),INDEX(SPLIT(G4080,""/""),,1))"),44619.0)</f>
        <v>44619</v>
      </c>
      <c r="I4080" s="1" t="s">
        <v>503</v>
      </c>
      <c r="J4080" s="4">
        <f>IFERROR(__xludf.DUMMYFUNCTION("DATE(INDEX(SPLIT(I4080,""/""),,3),INDEX(SPLIT(I4080,""/""),,2),INDEX(SPLIT(I4080,""/""),,1))"),44736.0)</f>
        <v>44736</v>
      </c>
      <c r="L4080" s="1">
        <v>0.0</v>
      </c>
      <c r="M4080" s="1" t="s">
        <v>7498</v>
      </c>
      <c r="N4080" s="1"/>
      <c r="O4080" s="1" t="s">
        <v>30</v>
      </c>
      <c r="P4080" s="1" t="s">
        <v>31</v>
      </c>
      <c r="Q4080" s="1" t="s">
        <v>235</v>
      </c>
      <c r="R4080" s="1" t="s">
        <v>235</v>
      </c>
      <c r="S4080" s="1" t="s">
        <v>236</v>
      </c>
      <c r="U4080" s="1">
        <v>1.01093101E8</v>
      </c>
      <c r="X4080" s="1" t="s">
        <v>781</v>
      </c>
      <c r="Y4080" s="1" t="s">
        <v>7498</v>
      </c>
      <c r="Z4080" s="1" t="s">
        <v>206</v>
      </c>
    </row>
    <row r="4081" hidden="1">
      <c r="A4081" s="1" t="s">
        <v>11683</v>
      </c>
      <c r="B4081" s="1" t="s">
        <v>650</v>
      </c>
      <c r="C4081" s="1" t="s">
        <v>11684</v>
      </c>
      <c r="D4081" s="1" t="s">
        <v>27</v>
      </c>
      <c r="E4081" s="1" t="s">
        <v>28</v>
      </c>
      <c r="F4081" s="2">
        <v>200000.0</v>
      </c>
      <c r="G4081" s="1" t="s">
        <v>164</v>
      </c>
      <c r="H4081" s="4">
        <f>IFERROR(__xludf.DUMMYFUNCTION("DATE(INDEX(SPLIT(G4081,""/""),,3),INDEX(SPLIT(G4081,""/""),,2),INDEX(SPLIT(G4081,""/""),,1))"),44706.0)</f>
        <v>44706</v>
      </c>
      <c r="I4081" s="1" t="s">
        <v>130</v>
      </c>
      <c r="J4081" s="4">
        <f>IFERROR(__xludf.DUMMYFUNCTION("DATE(INDEX(SPLIT(I4081,""/""),,3),INDEX(SPLIT(I4081,""/""),,2),INDEX(SPLIT(I4081,""/""),,1))"),44804.0)</f>
        <v>44804</v>
      </c>
      <c r="L4081" s="1">
        <v>0.0</v>
      </c>
      <c r="M4081" s="1" t="s">
        <v>653</v>
      </c>
      <c r="N4081" s="1"/>
      <c r="O4081" s="1" t="s">
        <v>30</v>
      </c>
      <c r="P4081" s="1" t="s">
        <v>31</v>
      </c>
      <c r="Q4081" s="1" t="s">
        <v>157</v>
      </c>
      <c r="R4081" s="1" t="s">
        <v>157</v>
      </c>
      <c r="S4081" s="1" t="s">
        <v>158</v>
      </c>
      <c r="U4081" s="1">
        <v>1.00591141E8</v>
      </c>
      <c r="X4081" s="1" t="s">
        <v>63</v>
      </c>
      <c r="Y4081" s="1" t="s">
        <v>3056</v>
      </c>
      <c r="Z4081" s="1" t="s">
        <v>37</v>
      </c>
    </row>
    <row r="4082">
      <c r="A4082" s="1" t="s">
        <v>11685</v>
      </c>
      <c r="B4082" s="1" t="s">
        <v>1144</v>
      </c>
      <c r="C4082" s="1" t="s">
        <v>11686</v>
      </c>
      <c r="D4082" s="1" t="s">
        <v>122</v>
      </c>
      <c r="E4082" s="1" t="s">
        <v>28</v>
      </c>
      <c r="F4082" s="2">
        <v>200000.0</v>
      </c>
      <c r="G4082" s="4">
        <v>44261.0</v>
      </c>
      <c r="H4082" s="4">
        <f>IFERROR(__xludf.DUMMYFUNCTION("DATE(INDEX(SPLIT(G4082,""/""),,3),INDEX(SPLIT(G4082,""/""),,2),INDEX(SPLIT(G4082,""/""),,1))"),44350.0)</f>
        <v>44350</v>
      </c>
      <c r="I4082" s="1" t="s">
        <v>1244</v>
      </c>
      <c r="J4082" s="4">
        <f>IFERROR(__xludf.DUMMYFUNCTION("DATE(INDEX(SPLIT(I4082,""/""),,3),INDEX(SPLIT(I4082,""/""),,2),INDEX(SPLIT(I4082,""/""),,1))"),44742.0)</f>
        <v>44742</v>
      </c>
      <c r="L4082" s="1">
        <v>0.0</v>
      </c>
      <c r="M4082" s="1" t="s">
        <v>3517</v>
      </c>
      <c r="N4082" s="1"/>
      <c r="O4082" s="1" t="s">
        <v>30</v>
      </c>
      <c r="P4082" s="1" t="s">
        <v>31</v>
      </c>
      <c r="Q4082" s="1" t="s">
        <v>95</v>
      </c>
      <c r="R4082" s="1" t="s">
        <v>95</v>
      </c>
      <c r="S4082" s="1" t="s">
        <v>96</v>
      </c>
      <c r="T4082" s="1" t="s">
        <v>111</v>
      </c>
      <c r="U4082" s="1">
        <v>1.00638855E8</v>
      </c>
      <c r="X4082" s="1" t="s">
        <v>63</v>
      </c>
      <c r="Y4082" s="1" t="s">
        <v>11687</v>
      </c>
      <c r="Z4082" s="1" t="s">
        <v>37</v>
      </c>
    </row>
    <row r="4083" hidden="1">
      <c r="A4083" s="1" t="s">
        <v>11688</v>
      </c>
      <c r="B4083" s="1" t="s">
        <v>11689</v>
      </c>
      <c r="C4083" s="1" t="s">
        <v>11690</v>
      </c>
      <c r="D4083" s="1" t="s">
        <v>122</v>
      </c>
      <c r="E4083" s="1" t="s">
        <v>28</v>
      </c>
      <c r="F4083" s="2">
        <v>200000.0</v>
      </c>
      <c r="G4083" s="4">
        <v>44899.0</v>
      </c>
      <c r="H4083" s="4">
        <f>IFERROR(__xludf.DUMMYFUNCTION("DATE(INDEX(SPLIT(G4083,""/""),,3),INDEX(SPLIT(G4083,""/""),,2),INDEX(SPLIT(G4083,""/""),,1))"),44663.0)</f>
        <v>44663</v>
      </c>
      <c r="I4083" s="1" t="s">
        <v>134</v>
      </c>
      <c r="J4083" s="4">
        <f>IFERROR(__xludf.DUMMYFUNCTION("DATE(INDEX(SPLIT(I4083,""/""),,3),INDEX(SPLIT(I4083,""/""),,2),INDEX(SPLIT(I4083,""/""),,1))"),44792.0)</f>
        <v>44792</v>
      </c>
      <c r="L4083" s="1">
        <v>0.0</v>
      </c>
      <c r="M4083" s="1" t="s">
        <v>4011</v>
      </c>
      <c r="N4083" s="1"/>
      <c r="O4083" s="1" t="s">
        <v>30</v>
      </c>
      <c r="P4083" s="1" t="s">
        <v>31</v>
      </c>
      <c r="Q4083" s="1" t="s">
        <v>95</v>
      </c>
      <c r="R4083" s="1" t="s">
        <v>95</v>
      </c>
      <c r="S4083" s="1" t="s">
        <v>96</v>
      </c>
      <c r="T4083" s="1" t="s">
        <v>97</v>
      </c>
      <c r="U4083" s="1">
        <v>1.00702554E8</v>
      </c>
      <c r="X4083" s="1" t="s">
        <v>125</v>
      </c>
      <c r="Y4083" s="1" t="s">
        <v>4011</v>
      </c>
      <c r="Z4083" s="1" t="s">
        <v>206</v>
      </c>
    </row>
    <row r="4084" hidden="1">
      <c r="A4084" s="1" t="s">
        <v>11691</v>
      </c>
      <c r="B4084" s="1" t="s">
        <v>650</v>
      </c>
      <c r="C4084" s="1" t="s">
        <v>11692</v>
      </c>
      <c r="D4084" s="1" t="s">
        <v>27</v>
      </c>
      <c r="E4084" s="1" t="s">
        <v>28</v>
      </c>
      <c r="F4084" s="2">
        <v>200000.0</v>
      </c>
      <c r="G4084" s="1" t="s">
        <v>164</v>
      </c>
      <c r="H4084" s="4">
        <f>IFERROR(__xludf.DUMMYFUNCTION("DATE(INDEX(SPLIT(G4084,""/""),,3),INDEX(SPLIT(G4084,""/""),,2),INDEX(SPLIT(G4084,""/""),,1))"),44706.0)</f>
        <v>44706</v>
      </c>
      <c r="I4084" s="1" t="s">
        <v>130</v>
      </c>
      <c r="J4084" s="4">
        <f>IFERROR(__xludf.DUMMYFUNCTION("DATE(INDEX(SPLIT(I4084,""/""),,3),INDEX(SPLIT(I4084,""/""),,2),INDEX(SPLIT(I4084,""/""),,1))"),44804.0)</f>
        <v>44804</v>
      </c>
      <c r="L4084" s="1">
        <v>0.0</v>
      </c>
      <c r="M4084" s="1" t="s">
        <v>653</v>
      </c>
      <c r="N4084" s="1"/>
      <c r="O4084" s="1" t="s">
        <v>30</v>
      </c>
      <c r="P4084" s="1" t="s">
        <v>31</v>
      </c>
      <c r="Q4084" s="1" t="s">
        <v>157</v>
      </c>
      <c r="R4084" s="1" t="s">
        <v>157</v>
      </c>
      <c r="S4084" s="1" t="s">
        <v>158</v>
      </c>
      <c r="U4084" s="1">
        <v>1.00591141E8</v>
      </c>
      <c r="X4084" s="1" t="s">
        <v>63</v>
      </c>
      <c r="Y4084" s="1" t="s">
        <v>3056</v>
      </c>
      <c r="Z4084" s="1" t="s">
        <v>37</v>
      </c>
    </row>
    <row r="4085" hidden="1">
      <c r="A4085" s="1" t="s">
        <v>11693</v>
      </c>
      <c r="B4085" s="1" t="s">
        <v>1355</v>
      </c>
      <c r="C4085" s="1" t="s">
        <v>11694</v>
      </c>
      <c r="D4085" s="1" t="s">
        <v>27</v>
      </c>
      <c r="E4085" s="1" t="s">
        <v>28</v>
      </c>
      <c r="F4085" s="2">
        <v>200000.0</v>
      </c>
      <c r="G4085" s="1" t="s">
        <v>1357</v>
      </c>
      <c r="H4085" s="4">
        <f>IFERROR(__xludf.DUMMYFUNCTION("DATE(INDEX(SPLIT(G4085,""/""),,3),INDEX(SPLIT(G4085,""/""),,2),INDEX(SPLIT(G4085,""/""),,1))"),44398.0)</f>
        <v>44398</v>
      </c>
      <c r="I4085" s="1" t="s">
        <v>130</v>
      </c>
      <c r="J4085" s="4">
        <f>IFERROR(__xludf.DUMMYFUNCTION("DATE(INDEX(SPLIT(I4085,""/""),,3),INDEX(SPLIT(I4085,""/""),,2),INDEX(SPLIT(I4085,""/""),,1))"),44804.0)</f>
        <v>44804</v>
      </c>
      <c r="L4085" s="1">
        <v>0.0</v>
      </c>
      <c r="M4085" s="1" t="s">
        <v>1358</v>
      </c>
      <c r="N4085" s="1"/>
      <c r="O4085" s="1" t="s">
        <v>30</v>
      </c>
      <c r="P4085" s="1" t="s">
        <v>31</v>
      </c>
      <c r="Q4085" s="1" t="s">
        <v>32</v>
      </c>
      <c r="R4085" s="1" t="s">
        <v>32</v>
      </c>
      <c r="S4085" s="1" t="s">
        <v>33</v>
      </c>
      <c r="T4085" s="1" t="s">
        <v>34</v>
      </c>
      <c r="U4085" s="1">
        <v>1.00613915E8</v>
      </c>
      <c r="X4085" s="1" t="s">
        <v>35</v>
      </c>
      <c r="Y4085" s="1" t="s">
        <v>985</v>
      </c>
      <c r="Z4085" s="1" t="s">
        <v>37</v>
      </c>
    </row>
    <row r="4086" hidden="1">
      <c r="A4086" s="1" t="s">
        <v>11695</v>
      </c>
      <c r="B4086" s="1" t="s">
        <v>6959</v>
      </c>
      <c r="C4086" s="1" t="s">
        <v>11696</v>
      </c>
      <c r="D4086" s="1" t="s">
        <v>78</v>
      </c>
      <c r="E4086" s="1" t="s">
        <v>28</v>
      </c>
      <c r="F4086" s="2">
        <v>200000.0</v>
      </c>
      <c r="G4086" s="1" t="s">
        <v>1716</v>
      </c>
      <c r="H4086" s="4">
        <f>IFERROR(__xludf.DUMMYFUNCTION("DATE(INDEX(SPLIT(G4086,""/""),,3),INDEX(SPLIT(G4086,""/""),,2),INDEX(SPLIT(G4086,""/""),,1))"),44619.0)</f>
        <v>44619</v>
      </c>
      <c r="I4086" s="1" t="s">
        <v>134</v>
      </c>
      <c r="J4086" s="4">
        <f>IFERROR(__xludf.DUMMYFUNCTION("DATE(INDEX(SPLIT(I4086,""/""),,3),INDEX(SPLIT(I4086,""/""),,2),INDEX(SPLIT(I4086,""/""),,1))"),44792.0)</f>
        <v>44792</v>
      </c>
      <c r="L4086" s="1">
        <v>0.0</v>
      </c>
      <c r="M4086" s="1" t="s">
        <v>7498</v>
      </c>
      <c r="N4086" s="1"/>
      <c r="O4086" s="1" t="s">
        <v>30</v>
      </c>
      <c r="P4086" s="1" t="s">
        <v>31</v>
      </c>
      <c r="Q4086" s="1" t="s">
        <v>235</v>
      </c>
      <c r="R4086" s="1" t="s">
        <v>235</v>
      </c>
      <c r="S4086" s="1" t="s">
        <v>236</v>
      </c>
      <c r="U4086" s="1">
        <v>1.01093101E8</v>
      </c>
      <c r="X4086" s="1" t="s">
        <v>254</v>
      </c>
      <c r="Y4086" s="1" t="s">
        <v>7498</v>
      </c>
      <c r="Z4086" s="1" t="s">
        <v>206</v>
      </c>
    </row>
    <row r="4087">
      <c r="A4087" s="1" t="s">
        <v>11697</v>
      </c>
      <c r="B4087" s="1" t="s">
        <v>2884</v>
      </c>
      <c r="C4087" s="1" t="s">
        <v>11698</v>
      </c>
      <c r="D4087" s="1" t="s">
        <v>78</v>
      </c>
      <c r="E4087" s="1" t="s">
        <v>28</v>
      </c>
      <c r="F4087" s="2">
        <v>200000.0</v>
      </c>
      <c r="G4087" s="1" t="s">
        <v>1154</v>
      </c>
      <c r="H4087" s="4">
        <f>IFERROR(__xludf.DUMMYFUNCTION("DATE(INDEX(SPLIT(G4087,""/""),,3),INDEX(SPLIT(G4087,""/""),,2),INDEX(SPLIT(G4087,""/""),,1))"),44735.0)</f>
        <v>44735</v>
      </c>
      <c r="I4087" s="1" t="s">
        <v>518</v>
      </c>
      <c r="J4087" s="4">
        <f>IFERROR(__xludf.DUMMYFUNCTION("DATE(INDEX(SPLIT(I4087,""/""),,3),INDEX(SPLIT(I4087,""/""),,2),INDEX(SPLIT(I4087,""/""),,1))"),44757.0)</f>
        <v>44757</v>
      </c>
      <c r="L4087" s="1">
        <v>0.0</v>
      </c>
      <c r="M4087" s="1" t="s">
        <v>2032</v>
      </c>
      <c r="N4087" s="1"/>
      <c r="O4087" s="1" t="s">
        <v>30</v>
      </c>
      <c r="P4087" s="1" t="s">
        <v>31</v>
      </c>
      <c r="Q4087" s="1" t="s">
        <v>71</v>
      </c>
      <c r="R4087" s="1" t="s">
        <v>71</v>
      </c>
      <c r="S4087" s="1" t="s">
        <v>72</v>
      </c>
      <c r="T4087" s="1" t="s">
        <v>73</v>
      </c>
      <c r="U4087" s="1">
        <v>1.00929557E8</v>
      </c>
      <c r="X4087" s="1" t="s">
        <v>74</v>
      </c>
      <c r="Y4087" s="1" t="s">
        <v>11699</v>
      </c>
      <c r="Z4087" s="1" t="s">
        <v>206</v>
      </c>
    </row>
    <row r="4088" hidden="1">
      <c r="A4088" s="1" t="s">
        <v>11700</v>
      </c>
      <c r="B4088" s="1" t="s">
        <v>1389</v>
      </c>
      <c r="C4088" s="1" t="s">
        <v>11696</v>
      </c>
      <c r="D4088" s="1" t="s">
        <v>27</v>
      </c>
      <c r="E4088" s="1" t="s">
        <v>28</v>
      </c>
      <c r="F4088" s="2">
        <v>200000.0</v>
      </c>
      <c r="G4088" s="1" t="s">
        <v>1716</v>
      </c>
      <c r="H4088" s="4">
        <f>IFERROR(__xludf.DUMMYFUNCTION("DATE(INDEX(SPLIT(G4088,""/""),,3),INDEX(SPLIT(G4088,""/""),,2),INDEX(SPLIT(G4088,""/""),,1))"),44619.0)</f>
        <v>44619</v>
      </c>
      <c r="I4088" s="4">
        <v>44689.0</v>
      </c>
      <c r="J4088" s="4">
        <f>IFERROR(__xludf.DUMMYFUNCTION("DATE(INDEX(SPLIT(I4088,""/""),,3),INDEX(SPLIT(I4088,""/""),,2),INDEX(SPLIT(I4088,""/""),,1))"),44778.0)</f>
        <v>44778</v>
      </c>
      <c r="L4088" s="1">
        <v>0.0</v>
      </c>
      <c r="M4088" s="1" t="s">
        <v>7498</v>
      </c>
      <c r="N4088" s="1"/>
      <c r="O4088" s="1" t="s">
        <v>30</v>
      </c>
      <c r="P4088" s="1" t="s">
        <v>31</v>
      </c>
      <c r="Q4088" s="1" t="s">
        <v>235</v>
      </c>
      <c r="R4088" s="1" t="s">
        <v>235</v>
      </c>
      <c r="S4088" s="1" t="s">
        <v>236</v>
      </c>
      <c r="U4088" s="1">
        <v>1.01093101E8</v>
      </c>
      <c r="X4088" s="1" t="s">
        <v>125</v>
      </c>
      <c r="Y4088" s="1" t="s">
        <v>7498</v>
      </c>
      <c r="Z4088" s="1" t="s">
        <v>206</v>
      </c>
    </row>
    <row r="4089" hidden="1">
      <c r="A4089" s="1" t="s">
        <v>11701</v>
      </c>
      <c r="B4089" s="1" t="s">
        <v>392</v>
      </c>
      <c r="C4089" s="1" t="s">
        <v>11702</v>
      </c>
      <c r="D4089" s="1" t="s">
        <v>78</v>
      </c>
      <c r="E4089" s="1" t="s">
        <v>28</v>
      </c>
      <c r="F4089" s="2">
        <v>200000.0</v>
      </c>
      <c r="G4089" s="4">
        <v>44717.0</v>
      </c>
      <c r="H4089" s="4">
        <f>IFERROR(__xludf.DUMMYFUNCTION("DATE(INDEX(SPLIT(G4089,""/""),,3),INDEX(SPLIT(G4089,""/""),,2),INDEX(SPLIT(G4089,""/""),,1))"),44687.0)</f>
        <v>44687</v>
      </c>
      <c r="I4089" s="1" t="s">
        <v>360</v>
      </c>
      <c r="J4089" s="4">
        <f>IFERROR(__xludf.DUMMYFUNCTION("DATE(INDEX(SPLIT(I4089,""/""),,3),INDEX(SPLIT(I4089,""/""),,2),INDEX(SPLIT(I4089,""/""),,1))"),44895.0)</f>
        <v>44895</v>
      </c>
      <c r="L4089" s="1">
        <v>0.0</v>
      </c>
      <c r="M4089" s="1" t="s">
        <v>4339</v>
      </c>
      <c r="N4089" s="1"/>
      <c r="O4089" s="1" t="s">
        <v>30</v>
      </c>
      <c r="P4089" s="1" t="s">
        <v>31</v>
      </c>
      <c r="Q4089" s="1" t="s">
        <v>53</v>
      </c>
      <c r="R4089" s="1" t="s">
        <v>53</v>
      </c>
      <c r="S4089" s="1" t="s">
        <v>54</v>
      </c>
      <c r="U4089" s="1">
        <v>1.00655236E8</v>
      </c>
      <c r="X4089" s="1" t="s">
        <v>239</v>
      </c>
      <c r="Y4089" s="1" t="s">
        <v>11703</v>
      </c>
      <c r="Z4089" s="1" t="s">
        <v>37</v>
      </c>
    </row>
    <row r="4090" hidden="1">
      <c r="A4090" s="1" t="s">
        <v>11704</v>
      </c>
      <c r="B4090" s="1" t="s">
        <v>291</v>
      </c>
      <c r="C4090" s="1" t="s">
        <v>11705</v>
      </c>
      <c r="D4090" s="1" t="s">
        <v>27</v>
      </c>
      <c r="E4090" s="1" t="s">
        <v>28</v>
      </c>
      <c r="F4090" s="2">
        <v>200000.0</v>
      </c>
      <c r="G4090" s="1" t="s">
        <v>2900</v>
      </c>
      <c r="H4090" s="4">
        <f>IFERROR(__xludf.DUMMYFUNCTION("DATE(INDEX(SPLIT(G4090,""/""),,3),INDEX(SPLIT(G4090,""/""),,2),INDEX(SPLIT(G4090,""/""),,1))"),44678.0)</f>
        <v>44678</v>
      </c>
      <c r="I4090" s="1" t="s">
        <v>109</v>
      </c>
      <c r="J4090" s="4">
        <f>IFERROR(__xludf.DUMMYFUNCTION("DATE(INDEX(SPLIT(I4090,""/""),,3),INDEX(SPLIT(I4090,""/""),,2),INDEX(SPLIT(I4090,""/""),,1))"),44834.0)</f>
        <v>44834</v>
      </c>
      <c r="L4090" s="1">
        <v>0.0</v>
      </c>
      <c r="M4090" s="1" t="s">
        <v>2147</v>
      </c>
      <c r="N4090" s="1"/>
      <c r="O4090" s="1" t="s">
        <v>30</v>
      </c>
      <c r="P4090" s="1" t="s">
        <v>31</v>
      </c>
      <c r="Q4090" s="1" t="s">
        <v>235</v>
      </c>
      <c r="R4090" s="1" t="s">
        <v>235</v>
      </c>
      <c r="S4090" s="1" t="s">
        <v>236</v>
      </c>
      <c r="T4090" s="1" t="s">
        <v>237</v>
      </c>
      <c r="U4090" s="1">
        <v>1.00647935E8</v>
      </c>
      <c r="X4090" s="1" t="s">
        <v>239</v>
      </c>
      <c r="Y4090" s="1" t="s">
        <v>2147</v>
      </c>
      <c r="Z4090" s="1" t="s">
        <v>37</v>
      </c>
    </row>
    <row r="4091" hidden="1">
      <c r="A4091" s="1" t="s">
        <v>11706</v>
      </c>
      <c r="B4091" s="1" t="s">
        <v>666</v>
      </c>
      <c r="C4091" s="1" t="s">
        <v>11707</v>
      </c>
      <c r="D4091" s="1" t="s">
        <v>78</v>
      </c>
      <c r="E4091" s="1" t="s">
        <v>28</v>
      </c>
      <c r="F4091" s="2">
        <v>200000.0</v>
      </c>
      <c r="G4091" s="1" t="s">
        <v>1767</v>
      </c>
      <c r="H4091" s="4">
        <f>IFERROR(__xludf.DUMMYFUNCTION("DATE(INDEX(SPLIT(G4091,""/""),,3),INDEX(SPLIT(G4091,""/""),,2),INDEX(SPLIT(G4091,""/""),,1))"),44698.0)</f>
        <v>44698</v>
      </c>
      <c r="I4091" s="4">
        <v>44903.0</v>
      </c>
      <c r="J4091" s="4">
        <f>IFERROR(__xludf.DUMMYFUNCTION("DATE(INDEX(SPLIT(I4091,""/""),,3),INDEX(SPLIT(I4091,""/""),,2),INDEX(SPLIT(I4091,""/""),,1))"),44785.0)</f>
        <v>44785</v>
      </c>
      <c r="L4091" s="1">
        <v>0.0</v>
      </c>
      <c r="M4091" s="1" t="s">
        <v>8611</v>
      </c>
      <c r="N4091" s="1"/>
      <c r="O4091" s="1" t="s">
        <v>30</v>
      </c>
      <c r="P4091" s="1" t="s">
        <v>31</v>
      </c>
      <c r="Q4091" s="1" t="s">
        <v>95</v>
      </c>
      <c r="R4091" s="1" t="s">
        <v>95</v>
      </c>
      <c r="S4091" s="1" t="s">
        <v>96</v>
      </c>
      <c r="T4091" s="1" t="s">
        <v>34</v>
      </c>
      <c r="U4091" s="1">
        <v>1.00624615E8</v>
      </c>
      <c r="X4091" s="1" t="s">
        <v>35</v>
      </c>
      <c r="Y4091" s="1" t="s">
        <v>8611</v>
      </c>
      <c r="Z4091" s="1" t="s">
        <v>527</v>
      </c>
    </row>
    <row r="4092" hidden="1">
      <c r="A4092" s="1" t="s">
        <v>11708</v>
      </c>
      <c r="B4092" s="1" t="s">
        <v>1590</v>
      </c>
      <c r="C4092" s="1" t="s">
        <v>11709</v>
      </c>
      <c r="D4092" s="1" t="s">
        <v>27</v>
      </c>
      <c r="E4092" s="1" t="s">
        <v>28</v>
      </c>
      <c r="F4092" s="2">
        <v>200000.0</v>
      </c>
      <c r="G4092" s="4">
        <v>44540.0</v>
      </c>
      <c r="H4092" s="4">
        <f>IFERROR(__xludf.DUMMYFUNCTION("DATE(INDEX(SPLIT(G4092,""/""),,3),INDEX(SPLIT(G4092,""/""),,2),INDEX(SPLIT(G4092,""/""),,1))"),44481.0)</f>
        <v>44481</v>
      </c>
      <c r="I4092" s="1" t="s">
        <v>42</v>
      </c>
      <c r="J4092" s="4">
        <f>IFERROR(__xludf.DUMMYFUNCTION("DATE(INDEX(SPLIT(I4092,""/""),,3),INDEX(SPLIT(I4092,""/""),,2),INDEX(SPLIT(I4092,""/""),,1))"),44926.0)</f>
        <v>44926</v>
      </c>
      <c r="L4092" s="1">
        <v>0.0</v>
      </c>
      <c r="M4092" s="1" t="s">
        <v>841</v>
      </c>
      <c r="N4092" s="1"/>
      <c r="O4092" s="1" t="s">
        <v>30</v>
      </c>
      <c r="P4092" s="1" t="s">
        <v>31</v>
      </c>
      <c r="Q4092" s="1" t="s">
        <v>95</v>
      </c>
      <c r="R4092" s="1" t="s">
        <v>95</v>
      </c>
      <c r="S4092" s="1" t="s">
        <v>96</v>
      </c>
      <c r="T4092" s="1" t="s">
        <v>311</v>
      </c>
      <c r="U4092" s="1">
        <v>1.00621664E8</v>
      </c>
      <c r="X4092" s="1" t="s">
        <v>46</v>
      </c>
      <c r="Y4092" s="1" t="s">
        <v>7327</v>
      </c>
      <c r="Z4092" s="1" t="s">
        <v>37</v>
      </c>
    </row>
    <row r="4093" hidden="1">
      <c r="A4093" s="1" t="s">
        <v>11710</v>
      </c>
      <c r="B4093" s="1" t="s">
        <v>11711</v>
      </c>
      <c r="C4093" s="1" t="s">
        <v>11712</v>
      </c>
      <c r="D4093" s="1" t="s">
        <v>27</v>
      </c>
      <c r="E4093" s="1" t="s">
        <v>28</v>
      </c>
      <c r="F4093" s="2">
        <v>200000.0</v>
      </c>
      <c r="G4093" s="4">
        <v>44747.0</v>
      </c>
      <c r="H4093" s="4">
        <f>IFERROR(__xludf.DUMMYFUNCTION("DATE(INDEX(SPLIT(G4093,""/""),,3),INDEX(SPLIT(G4093,""/""),,2),INDEX(SPLIT(G4093,""/""),,1))"),44688.0)</f>
        <v>44688</v>
      </c>
      <c r="I4093" s="1" t="s">
        <v>203</v>
      </c>
      <c r="J4093" s="4">
        <f>IFERROR(__xludf.DUMMYFUNCTION("DATE(INDEX(SPLIT(I4093,""/""),,3),INDEX(SPLIT(I4093,""/""),,2),INDEX(SPLIT(I4093,""/""),,1))"),44925.0)</f>
        <v>44925</v>
      </c>
      <c r="L4093" s="1">
        <v>0.0</v>
      </c>
      <c r="M4093" s="1" t="s">
        <v>5116</v>
      </c>
      <c r="N4093" s="1"/>
      <c r="O4093" s="1" t="s">
        <v>30</v>
      </c>
      <c r="P4093" s="1" t="s">
        <v>31</v>
      </c>
      <c r="Q4093" s="1" t="s">
        <v>157</v>
      </c>
      <c r="R4093" s="1" t="s">
        <v>157</v>
      </c>
      <c r="S4093" s="1" t="s">
        <v>158</v>
      </c>
      <c r="U4093" s="1">
        <v>1.00609226E8</v>
      </c>
      <c r="X4093" s="1" t="s">
        <v>312</v>
      </c>
      <c r="Y4093" s="1" t="s">
        <v>6637</v>
      </c>
      <c r="Z4093" s="1" t="s">
        <v>37</v>
      </c>
    </row>
    <row r="4094" hidden="1">
      <c r="A4094" s="1" t="s">
        <v>11713</v>
      </c>
      <c r="B4094" s="1" t="s">
        <v>7608</v>
      </c>
      <c r="C4094" s="1" t="s">
        <v>11714</v>
      </c>
      <c r="D4094" s="1" t="s">
        <v>27</v>
      </c>
      <c r="E4094" s="1" t="s">
        <v>28</v>
      </c>
      <c r="F4094" s="2">
        <v>200000.0</v>
      </c>
      <c r="G4094" s="1" t="s">
        <v>1716</v>
      </c>
      <c r="H4094" s="4">
        <f>IFERROR(__xludf.DUMMYFUNCTION("DATE(INDEX(SPLIT(G4094,""/""),,3),INDEX(SPLIT(G4094,""/""),,2),INDEX(SPLIT(G4094,""/""),,1))"),44619.0)</f>
        <v>44619</v>
      </c>
      <c r="I4094" s="4">
        <v>44903.0</v>
      </c>
      <c r="J4094" s="4">
        <f>IFERROR(__xludf.DUMMYFUNCTION("DATE(INDEX(SPLIT(I4094,""/""),,3),INDEX(SPLIT(I4094,""/""),,2),INDEX(SPLIT(I4094,""/""),,1))"),44785.0)</f>
        <v>44785</v>
      </c>
      <c r="L4094" s="1">
        <v>0.0</v>
      </c>
      <c r="M4094" s="1" t="s">
        <v>7498</v>
      </c>
      <c r="N4094" s="1"/>
      <c r="O4094" s="1" t="s">
        <v>30</v>
      </c>
      <c r="P4094" s="1" t="s">
        <v>31</v>
      </c>
      <c r="Q4094" s="1" t="s">
        <v>235</v>
      </c>
      <c r="R4094" s="1" t="s">
        <v>235</v>
      </c>
      <c r="S4094" s="1" t="s">
        <v>236</v>
      </c>
      <c r="T4094" s="1" t="s">
        <v>442</v>
      </c>
      <c r="U4094" s="1">
        <v>1.01093101E8</v>
      </c>
      <c r="X4094" s="1" t="s">
        <v>117</v>
      </c>
      <c r="Y4094" s="1" t="s">
        <v>7498</v>
      </c>
      <c r="Z4094" s="1" t="s">
        <v>206</v>
      </c>
    </row>
    <row r="4095">
      <c r="A4095" s="1" t="s">
        <v>11715</v>
      </c>
      <c r="B4095" s="1" t="s">
        <v>11716</v>
      </c>
      <c r="C4095" s="1" t="s">
        <v>11717</v>
      </c>
      <c r="D4095" s="1" t="s">
        <v>78</v>
      </c>
      <c r="E4095" s="1" t="s">
        <v>28</v>
      </c>
      <c r="F4095" s="2">
        <v>200000.0</v>
      </c>
      <c r="G4095" s="1" t="s">
        <v>2025</v>
      </c>
      <c r="H4095" s="4">
        <f>IFERROR(__xludf.DUMMYFUNCTION("DATE(INDEX(SPLIT(G4095,""/""),,3),INDEX(SPLIT(G4095,""/""),,2),INDEX(SPLIT(G4095,""/""),,1))"),44664.0)</f>
        <v>44664</v>
      </c>
      <c r="I4095" s="1" t="s">
        <v>226</v>
      </c>
      <c r="J4095" s="4">
        <f>IFERROR(__xludf.DUMMYFUNCTION("DATE(INDEX(SPLIT(I4095,""/""),,3),INDEX(SPLIT(I4095,""/""),,2),INDEX(SPLIT(I4095,""/""),,1))"),44771.0)</f>
        <v>44771</v>
      </c>
      <c r="L4095" s="1">
        <v>0.0</v>
      </c>
      <c r="M4095" s="1" t="s">
        <v>211</v>
      </c>
      <c r="N4095" s="1"/>
      <c r="O4095" s="1" t="s">
        <v>30</v>
      </c>
      <c r="P4095" s="1" t="s">
        <v>31</v>
      </c>
      <c r="Q4095" s="1" t="s">
        <v>71</v>
      </c>
      <c r="R4095" s="1" t="s">
        <v>71</v>
      </c>
      <c r="S4095" s="1" t="s">
        <v>72</v>
      </c>
      <c r="T4095" s="1" t="s">
        <v>136</v>
      </c>
      <c r="U4095" s="1">
        <v>1.00590896E8</v>
      </c>
      <c r="X4095" s="1" t="s">
        <v>74</v>
      </c>
      <c r="Y4095" s="1" t="s">
        <v>5827</v>
      </c>
      <c r="Z4095" s="1" t="s">
        <v>37</v>
      </c>
    </row>
    <row r="4096" hidden="1">
      <c r="A4096" s="1" t="s">
        <v>11718</v>
      </c>
      <c r="B4096" s="1" t="s">
        <v>492</v>
      </c>
      <c r="C4096" s="1" t="s">
        <v>11719</v>
      </c>
      <c r="D4096" s="1" t="s">
        <v>78</v>
      </c>
      <c r="E4096" s="1" t="s">
        <v>28</v>
      </c>
      <c r="F4096" s="2">
        <v>200000.0</v>
      </c>
      <c r="G4096" s="4">
        <v>44294.0</v>
      </c>
      <c r="H4096" s="4">
        <f>IFERROR(__xludf.DUMMYFUNCTION("DATE(INDEX(SPLIT(G4096,""/""),,3),INDEX(SPLIT(G4096,""/""),,2),INDEX(SPLIT(G4096,""/""),,1))"),44412.0)</f>
        <v>44412</v>
      </c>
      <c r="I4096" s="1" t="s">
        <v>281</v>
      </c>
      <c r="J4096" s="4">
        <f>IFERROR(__xludf.DUMMYFUNCTION("DATE(INDEX(SPLIT(I4096,""/""),,3),INDEX(SPLIT(I4096,""/""),,2),INDEX(SPLIT(I4096,""/""),,1))"),44865.0)</f>
        <v>44865</v>
      </c>
      <c r="L4096" s="1">
        <v>0.0</v>
      </c>
      <c r="M4096" s="1" t="s">
        <v>1741</v>
      </c>
      <c r="N4096" s="1"/>
      <c r="O4096" s="1" t="s">
        <v>30</v>
      </c>
      <c r="P4096" s="1" t="s">
        <v>31</v>
      </c>
      <c r="Q4096" s="1" t="s">
        <v>32</v>
      </c>
      <c r="R4096" s="1" t="s">
        <v>32</v>
      </c>
      <c r="S4096" s="1" t="s">
        <v>33</v>
      </c>
      <c r="T4096" s="1" t="s">
        <v>103</v>
      </c>
      <c r="U4096" s="1">
        <v>1.00645852E8</v>
      </c>
      <c r="X4096" s="1" t="s">
        <v>46</v>
      </c>
      <c r="Y4096" s="1" t="s">
        <v>698</v>
      </c>
      <c r="Z4096" s="1" t="s">
        <v>37</v>
      </c>
    </row>
    <row r="4097" hidden="1">
      <c r="A4097" s="1" t="s">
        <v>11720</v>
      </c>
      <c r="B4097" s="1" t="s">
        <v>720</v>
      </c>
      <c r="C4097" s="1" t="s">
        <v>11721</v>
      </c>
      <c r="D4097" s="1" t="s">
        <v>27</v>
      </c>
      <c r="E4097" s="1" t="s">
        <v>28</v>
      </c>
      <c r="F4097" s="2">
        <v>200000.0</v>
      </c>
      <c r="G4097" s="1" t="s">
        <v>1170</v>
      </c>
      <c r="H4097" s="4">
        <f>IFERROR(__xludf.DUMMYFUNCTION("DATE(INDEX(SPLIT(G4097,""/""),,3),INDEX(SPLIT(G4097,""/""),,2),INDEX(SPLIT(G4097,""/""),,1))"),44336.0)</f>
        <v>44336</v>
      </c>
      <c r="I4097" s="1" t="s">
        <v>425</v>
      </c>
      <c r="J4097" s="4">
        <f>IFERROR(__xludf.DUMMYFUNCTION("DATE(INDEX(SPLIT(I4097,""/""),,3),INDEX(SPLIT(I4097,""/""),,2),INDEX(SPLIT(I4097,""/""),,1))"),44911.0)</f>
        <v>44911</v>
      </c>
      <c r="L4097" s="1">
        <v>0.0</v>
      </c>
      <c r="M4097" s="1" t="s">
        <v>243</v>
      </c>
      <c r="N4097" s="1"/>
      <c r="O4097" s="1" t="s">
        <v>30</v>
      </c>
      <c r="P4097" s="1" t="s">
        <v>31</v>
      </c>
      <c r="Q4097" s="1" t="s">
        <v>32</v>
      </c>
      <c r="R4097" s="1" t="s">
        <v>32</v>
      </c>
      <c r="S4097" s="1" t="s">
        <v>33</v>
      </c>
      <c r="T4097" s="1" t="s">
        <v>34</v>
      </c>
      <c r="U4097" s="1">
        <v>1.00651722E8</v>
      </c>
      <c r="X4097" s="1" t="s">
        <v>35</v>
      </c>
      <c r="Y4097" s="1" t="s">
        <v>243</v>
      </c>
      <c r="Z4097" s="1" t="s">
        <v>37</v>
      </c>
    </row>
    <row r="4098" hidden="1">
      <c r="A4098" s="1" t="s">
        <v>11722</v>
      </c>
      <c r="B4098" s="1" t="s">
        <v>3293</v>
      </c>
      <c r="C4098" s="1" t="s">
        <v>11723</v>
      </c>
      <c r="D4098" s="1" t="s">
        <v>78</v>
      </c>
      <c r="E4098" s="1" t="s">
        <v>28</v>
      </c>
      <c r="F4098" s="2">
        <v>200000.0</v>
      </c>
      <c r="G4098" s="4">
        <v>44748.0</v>
      </c>
      <c r="H4098" s="4">
        <f>IFERROR(__xludf.DUMMYFUNCTION("DATE(INDEX(SPLIT(G4098,""/""),,3),INDEX(SPLIT(G4098,""/""),,2),INDEX(SPLIT(G4098,""/""),,1))"),44719.0)</f>
        <v>44719</v>
      </c>
      <c r="I4098" s="4">
        <v>44903.0</v>
      </c>
      <c r="J4098" s="4">
        <f>IFERROR(__xludf.DUMMYFUNCTION("DATE(INDEX(SPLIT(I4098,""/""),,3),INDEX(SPLIT(I4098,""/""),,2),INDEX(SPLIT(I4098,""/""),,1))"),44785.0)</f>
        <v>44785</v>
      </c>
      <c r="L4098" s="1">
        <v>0.0</v>
      </c>
      <c r="M4098" s="1" t="s">
        <v>7517</v>
      </c>
      <c r="N4098" s="1"/>
      <c r="O4098" s="1" t="s">
        <v>30</v>
      </c>
      <c r="P4098" s="1" t="s">
        <v>31</v>
      </c>
      <c r="Q4098" s="1" t="s">
        <v>235</v>
      </c>
      <c r="R4098" s="1" t="s">
        <v>235</v>
      </c>
      <c r="S4098" s="1" t="s">
        <v>236</v>
      </c>
      <c r="T4098" s="1" t="s">
        <v>438</v>
      </c>
      <c r="U4098" s="1">
        <v>1.0096162E8</v>
      </c>
      <c r="X4098" s="1" t="s">
        <v>63</v>
      </c>
      <c r="Y4098" s="1" t="s">
        <v>11724</v>
      </c>
      <c r="Z4098" s="1" t="s">
        <v>527</v>
      </c>
    </row>
    <row r="4099" hidden="1">
      <c r="A4099" s="1" t="s">
        <v>11725</v>
      </c>
      <c r="B4099" s="1" t="s">
        <v>1634</v>
      </c>
      <c r="C4099" s="1" t="s">
        <v>11726</v>
      </c>
      <c r="D4099" s="1" t="s">
        <v>27</v>
      </c>
      <c r="E4099" s="1" t="s">
        <v>28</v>
      </c>
      <c r="F4099" s="2">
        <v>200000.0</v>
      </c>
      <c r="G4099" s="4">
        <v>44748.0</v>
      </c>
      <c r="H4099" s="4">
        <f>IFERROR(__xludf.DUMMYFUNCTION("DATE(INDEX(SPLIT(G4099,""/""),,3),INDEX(SPLIT(G4099,""/""),,2),INDEX(SPLIT(G4099,""/""),,1))"),44719.0)</f>
        <v>44719</v>
      </c>
      <c r="I4099" s="1" t="s">
        <v>360</v>
      </c>
      <c r="J4099" s="4">
        <f>IFERROR(__xludf.DUMMYFUNCTION("DATE(INDEX(SPLIT(I4099,""/""),,3),INDEX(SPLIT(I4099,""/""),,2),INDEX(SPLIT(I4099,""/""),,1))"),44895.0)</f>
        <v>44895</v>
      </c>
      <c r="L4099" s="1">
        <v>0.0</v>
      </c>
      <c r="M4099" s="1" t="s">
        <v>2596</v>
      </c>
      <c r="N4099" s="1"/>
      <c r="O4099" s="1" t="s">
        <v>30</v>
      </c>
      <c r="P4099" s="1" t="s">
        <v>31</v>
      </c>
      <c r="Q4099" s="1" t="s">
        <v>157</v>
      </c>
      <c r="R4099" s="1" t="s">
        <v>157</v>
      </c>
      <c r="S4099" s="1" t="s">
        <v>158</v>
      </c>
      <c r="U4099" s="1">
        <v>1.00653074E8</v>
      </c>
      <c r="X4099" s="1" t="s">
        <v>490</v>
      </c>
      <c r="Y4099" s="1" t="s">
        <v>244</v>
      </c>
      <c r="Z4099" s="1" t="s">
        <v>37</v>
      </c>
    </row>
    <row r="4100" hidden="1">
      <c r="A4100" s="1" t="s">
        <v>11727</v>
      </c>
      <c r="B4100" s="1" t="s">
        <v>1445</v>
      </c>
      <c r="C4100" s="1" t="s">
        <v>11728</v>
      </c>
      <c r="D4100" s="1" t="s">
        <v>27</v>
      </c>
      <c r="E4100" s="1" t="s">
        <v>28</v>
      </c>
      <c r="F4100" s="2">
        <v>200000.0</v>
      </c>
      <c r="G4100" s="1" t="s">
        <v>11729</v>
      </c>
      <c r="H4100" s="4">
        <f>IFERROR(__xludf.DUMMYFUNCTION("DATE(INDEX(SPLIT(G4100,""/""),,3),INDEX(SPLIT(G4100,""/""),,2),INDEX(SPLIT(G4100,""/""),,1))"),43404.0)</f>
        <v>43404</v>
      </c>
      <c r="I4100" s="4">
        <v>45170.0</v>
      </c>
      <c r="J4100" s="4">
        <f>IFERROR(__xludf.DUMMYFUNCTION("DATE(INDEX(SPLIT(I4100,""/""),,3),INDEX(SPLIT(I4100,""/""),,2),INDEX(SPLIT(I4100,""/""),,1))"),44935.0)</f>
        <v>44935</v>
      </c>
      <c r="L4100" s="1">
        <v>0.0</v>
      </c>
      <c r="M4100" s="1" t="s">
        <v>2592</v>
      </c>
      <c r="N4100" s="1"/>
      <c r="O4100" s="1" t="s">
        <v>30</v>
      </c>
      <c r="P4100" s="1" t="s">
        <v>31</v>
      </c>
      <c r="Q4100" s="1" t="s">
        <v>71</v>
      </c>
      <c r="R4100" s="1" t="s">
        <v>71</v>
      </c>
      <c r="S4100" s="1" t="s">
        <v>72</v>
      </c>
      <c r="T4100" s="1" t="s">
        <v>136</v>
      </c>
      <c r="U4100" s="1">
        <v>1.00586452E8</v>
      </c>
      <c r="X4100" s="1" t="s">
        <v>74</v>
      </c>
      <c r="Y4100" s="1" t="s">
        <v>3650</v>
      </c>
      <c r="Z4100" s="1" t="s">
        <v>37</v>
      </c>
    </row>
    <row r="4101" hidden="1">
      <c r="A4101" s="1" t="s">
        <v>11730</v>
      </c>
      <c r="B4101" s="1" t="s">
        <v>1131</v>
      </c>
      <c r="C4101" s="1" t="s">
        <v>11731</v>
      </c>
      <c r="D4101" s="1" t="s">
        <v>27</v>
      </c>
      <c r="E4101" s="1" t="s">
        <v>28</v>
      </c>
      <c r="F4101" s="2">
        <v>200000.0</v>
      </c>
      <c r="G4101" s="1" t="s">
        <v>286</v>
      </c>
      <c r="H4101" s="4">
        <f>IFERROR(__xludf.DUMMYFUNCTION("DATE(INDEX(SPLIT(G4101,""/""),,3),INDEX(SPLIT(G4101,""/""),,2),INDEX(SPLIT(G4101,""/""),,1))"),44609.0)</f>
        <v>44609</v>
      </c>
      <c r="I4101" s="1" t="s">
        <v>203</v>
      </c>
      <c r="J4101" s="4">
        <f>IFERROR(__xludf.DUMMYFUNCTION("DATE(INDEX(SPLIT(I4101,""/""),,3),INDEX(SPLIT(I4101,""/""),,2),INDEX(SPLIT(I4101,""/""),,1))"),44925.0)</f>
        <v>44925</v>
      </c>
      <c r="L4101" s="1">
        <v>0.0</v>
      </c>
      <c r="M4101" s="1" t="s">
        <v>2622</v>
      </c>
      <c r="N4101" s="1"/>
      <c r="O4101" s="1" t="s">
        <v>30</v>
      </c>
      <c r="P4101" s="1" t="s">
        <v>31</v>
      </c>
      <c r="Q4101" s="1" t="s">
        <v>71</v>
      </c>
      <c r="R4101" s="1" t="s">
        <v>71</v>
      </c>
      <c r="S4101" s="1" t="s">
        <v>72</v>
      </c>
      <c r="T4101" s="1" t="s">
        <v>73</v>
      </c>
      <c r="U4101" s="1">
        <v>1.01082364E8</v>
      </c>
      <c r="V4101" s="1" t="s">
        <v>11732</v>
      </c>
      <c r="W4101" s="1" t="s">
        <v>199</v>
      </c>
      <c r="X4101" s="1" t="s">
        <v>74</v>
      </c>
      <c r="Y4101" s="1" t="s">
        <v>1622</v>
      </c>
      <c r="Z4101" s="1" t="s">
        <v>206</v>
      </c>
    </row>
    <row r="4102">
      <c r="A4102" s="1" t="s">
        <v>11733</v>
      </c>
      <c r="B4102" s="1" t="s">
        <v>1790</v>
      </c>
      <c r="C4102" s="1" t="s">
        <v>11734</v>
      </c>
      <c r="D4102" s="1" t="s">
        <v>78</v>
      </c>
      <c r="E4102" s="1" t="s">
        <v>28</v>
      </c>
      <c r="F4102" s="2">
        <v>200000.0</v>
      </c>
      <c r="G4102" s="1" t="s">
        <v>503</v>
      </c>
      <c r="H4102" s="4">
        <f>IFERROR(__xludf.DUMMYFUNCTION("DATE(INDEX(SPLIT(G4102,""/""),,3),INDEX(SPLIT(G4102,""/""),,2),INDEX(SPLIT(G4102,""/""),,1))"),44736.0)</f>
        <v>44736</v>
      </c>
      <c r="I4102" s="1" t="s">
        <v>607</v>
      </c>
      <c r="J4102" s="4">
        <f>IFERROR(__xludf.DUMMYFUNCTION("DATE(INDEX(SPLIT(I4102,""/""),,3),INDEX(SPLIT(I4102,""/""),,2),INDEX(SPLIT(I4102,""/""),,1))"),44770.0)</f>
        <v>44770</v>
      </c>
      <c r="L4102" s="1">
        <v>0.0</v>
      </c>
      <c r="M4102" s="1" t="s">
        <v>4493</v>
      </c>
      <c r="N4102" s="1"/>
      <c r="O4102" s="1" t="s">
        <v>30</v>
      </c>
      <c r="P4102" s="1" t="s">
        <v>31</v>
      </c>
      <c r="Q4102" s="1" t="s">
        <v>188</v>
      </c>
      <c r="R4102" s="1" t="s">
        <v>188</v>
      </c>
      <c r="S4102" s="1" t="s">
        <v>189</v>
      </c>
      <c r="U4102" s="1">
        <v>1.00647536E8</v>
      </c>
      <c r="X4102" s="1" t="s">
        <v>88</v>
      </c>
      <c r="Y4102" s="1" t="s">
        <v>1369</v>
      </c>
      <c r="Z4102" s="1" t="s">
        <v>37</v>
      </c>
    </row>
    <row r="4103" hidden="1">
      <c r="A4103" s="1" t="s">
        <v>11735</v>
      </c>
      <c r="B4103" s="1" t="s">
        <v>650</v>
      </c>
      <c r="C4103" s="1" t="s">
        <v>11736</v>
      </c>
      <c r="D4103" s="1" t="s">
        <v>27</v>
      </c>
      <c r="E4103" s="1" t="s">
        <v>28</v>
      </c>
      <c r="F4103" s="2">
        <v>200000.0</v>
      </c>
      <c r="G4103" s="1" t="s">
        <v>7053</v>
      </c>
      <c r="H4103" s="4">
        <f>IFERROR(__xludf.DUMMYFUNCTION("DATE(INDEX(SPLIT(G4103,""/""),,3),INDEX(SPLIT(G4103,""/""),,2),INDEX(SPLIT(G4103,""/""),,1))"),44696.0)</f>
        <v>44696</v>
      </c>
      <c r="I4103" s="1" t="s">
        <v>130</v>
      </c>
      <c r="J4103" s="4">
        <f>IFERROR(__xludf.DUMMYFUNCTION("DATE(INDEX(SPLIT(I4103,""/""),,3),INDEX(SPLIT(I4103,""/""),,2),INDEX(SPLIT(I4103,""/""),,1))"),44804.0)</f>
        <v>44804</v>
      </c>
      <c r="L4103" s="1">
        <v>0.0</v>
      </c>
      <c r="M4103" s="1" t="s">
        <v>653</v>
      </c>
      <c r="N4103" s="1"/>
      <c r="O4103" s="1" t="s">
        <v>30</v>
      </c>
      <c r="P4103" s="1" t="s">
        <v>31</v>
      </c>
      <c r="Q4103" s="1" t="s">
        <v>157</v>
      </c>
      <c r="R4103" s="1" t="s">
        <v>157</v>
      </c>
      <c r="S4103" s="1" t="s">
        <v>158</v>
      </c>
      <c r="U4103" s="1">
        <v>1.00591141E8</v>
      </c>
      <c r="X4103" s="1" t="s">
        <v>63</v>
      </c>
      <c r="Y4103" s="1" t="s">
        <v>3056</v>
      </c>
      <c r="Z4103" s="1" t="s">
        <v>37</v>
      </c>
    </row>
    <row r="4104" hidden="1">
      <c r="A4104" s="1" t="s">
        <v>11737</v>
      </c>
      <c r="B4104" s="1" t="s">
        <v>650</v>
      </c>
      <c r="C4104" s="1" t="s">
        <v>11738</v>
      </c>
      <c r="D4104" s="1" t="s">
        <v>27</v>
      </c>
      <c r="E4104" s="1" t="s">
        <v>28</v>
      </c>
      <c r="F4104" s="2">
        <v>200000.0</v>
      </c>
      <c r="G4104" s="1" t="s">
        <v>7053</v>
      </c>
      <c r="H4104" s="4">
        <f>IFERROR(__xludf.DUMMYFUNCTION("DATE(INDEX(SPLIT(G4104,""/""),,3),INDEX(SPLIT(G4104,""/""),,2),INDEX(SPLIT(G4104,""/""),,1))"),44696.0)</f>
        <v>44696</v>
      </c>
      <c r="I4104" s="1" t="s">
        <v>130</v>
      </c>
      <c r="J4104" s="4">
        <f>IFERROR(__xludf.DUMMYFUNCTION("DATE(INDEX(SPLIT(I4104,""/""),,3),INDEX(SPLIT(I4104,""/""),,2),INDEX(SPLIT(I4104,""/""),,1))"),44804.0)</f>
        <v>44804</v>
      </c>
      <c r="L4104" s="1">
        <v>0.0</v>
      </c>
      <c r="M4104" s="1" t="s">
        <v>653</v>
      </c>
      <c r="N4104" s="1"/>
      <c r="O4104" s="1" t="s">
        <v>30</v>
      </c>
      <c r="P4104" s="1" t="s">
        <v>31</v>
      </c>
      <c r="Q4104" s="1" t="s">
        <v>157</v>
      </c>
      <c r="R4104" s="1" t="s">
        <v>157</v>
      </c>
      <c r="S4104" s="1" t="s">
        <v>158</v>
      </c>
      <c r="U4104" s="1">
        <v>1.00591141E8</v>
      </c>
      <c r="X4104" s="1" t="s">
        <v>63</v>
      </c>
      <c r="Y4104" s="1" t="s">
        <v>3056</v>
      </c>
      <c r="Z4104" s="1" t="s">
        <v>37</v>
      </c>
    </row>
    <row r="4105" hidden="1">
      <c r="A4105" s="1" t="s">
        <v>11739</v>
      </c>
      <c r="B4105" s="1" t="s">
        <v>650</v>
      </c>
      <c r="C4105" s="1" t="s">
        <v>11740</v>
      </c>
      <c r="D4105" s="1" t="s">
        <v>27</v>
      </c>
      <c r="E4105" s="1" t="s">
        <v>28</v>
      </c>
      <c r="F4105" s="2">
        <v>200000.0</v>
      </c>
      <c r="G4105" s="1" t="s">
        <v>7053</v>
      </c>
      <c r="H4105" s="4">
        <f>IFERROR(__xludf.DUMMYFUNCTION("DATE(INDEX(SPLIT(G4105,""/""),,3),INDEX(SPLIT(G4105,""/""),,2),INDEX(SPLIT(G4105,""/""),,1))"),44696.0)</f>
        <v>44696</v>
      </c>
      <c r="I4105" s="1" t="s">
        <v>130</v>
      </c>
      <c r="J4105" s="4">
        <f>IFERROR(__xludf.DUMMYFUNCTION("DATE(INDEX(SPLIT(I4105,""/""),,3),INDEX(SPLIT(I4105,""/""),,2),INDEX(SPLIT(I4105,""/""),,1))"),44804.0)</f>
        <v>44804</v>
      </c>
      <c r="L4105" s="1">
        <v>0.0</v>
      </c>
      <c r="M4105" s="1" t="s">
        <v>653</v>
      </c>
      <c r="N4105" s="1"/>
      <c r="O4105" s="1" t="s">
        <v>30</v>
      </c>
      <c r="P4105" s="1" t="s">
        <v>31</v>
      </c>
      <c r="Q4105" s="1" t="s">
        <v>157</v>
      </c>
      <c r="R4105" s="1" t="s">
        <v>157</v>
      </c>
      <c r="S4105" s="1" t="s">
        <v>158</v>
      </c>
      <c r="U4105" s="1">
        <v>1.00591141E8</v>
      </c>
      <c r="X4105" s="1" t="s">
        <v>63</v>
      </c>
      <c r="Y4105" s="1" t="s">
        <v>3056</v>
      </c>
      <c r="Z4105" s="1" t="s">
        <v>37</v>
      </c>
    </row>
    <row r="4106" hidden="1">
      <c r="A4106" s="1" t="s">
        <v>11741</v>
      </c>
      <c r="B4106" s="1" t="s">
        <v>11742</v>
      </c>
      <c r="C4106" s="1" t="s">
        <v>11743</v>
      </c>
      <c r="D4106" s="1" t="s">
        <v>27</v>
      </c>
      <c r="E4106" s="1" t="s">
        <v>28</v>
      </c>
      <c r="F4106" s="2">
        <v>200000.0</v>
      </c>
      <c r="G4106" s="4">
        <v>44717.0</v>
      </c>
      <c r="H4106" s="4">
        <f>IFERROR(__xludf.DUMMYFUNCTION("DATE(INDEX(SPLIT(G4106,""/""),,3),INDEX(SPLIT(G4106,""/""),,2),INDEX(SPLIT(G4106,""/""),,1))"),44687.0)</f>
        <v>44687</v>
      </c>
      <c r="I4106" s="1" t="s">
        <v>109</v>
      </c>
      <c r="J4106" s="4">
        <f>IFERROR(__xludf.DUMMYFUNCTION("DATE(INDEX(SPLIT(I4106,""/""),,3),INDEX(SPLIT(I4106,""/""),,2),INDEX(SPLIT(I4106,""/""),,1))"),44834.0)</f>
        <v>44834</v>
      </c>
      <c r="L4106" s="1">
        <v>0.0</v>
      </c>
      <c r="M4106" s="1" t="s">
        <v>7296</v>
      </c>
      <c r="N4106" s="1"/>
      <c r="O4106" s="1" t="s">
        <v>30</v>
      </c>
      <c r="P4106" s="1" t="s">
        <v>31</v>
      </c>
      <c r="Q4106" s="1" t="s">
        <v>71</v>
      </c>
      <c r="R4106" s="1" t="s">
        <v>71</v>
      </c>
      <c r="S4106" s="1" t="s">
        <v>72</v>
      </c>
      <c r="T4106" s="1" t="s">
        <v>73</v>
      </c>
      <c r="U4106" s="1">
        <v>1.00594243E8</v>
      </c>
      <c r="X4106" s="1" t="s">
        <v>74</v>
      </c>
      <c r="Y4106" s="1" t="s">
        <v>7629</v>
      </c>
      <c r="Z4106" s="1" t="s">
        <v>206</v>
      </c>
    </row>
    <row r="4107" hidden="1">
      <c r="A4107" s="1" t="s">
        <v>11744</v>
      </c>
      <c r="B4107" s="1" t="s">
        <v>1025</v>
      </c>
      <c r="C4107" s="1" t="s">
        <v>11745</v>
      </c>
      <c r="D4107" s="1" t="s">
        <v>27</v>
      </c>
      <c r="E4107" s="1" t="s">
        <v>28</v>
      </c>
      <c r="F4107" s="2">
        <v>200000.0</v>
      </c>
      <c r="G4107" s="1" t="s">
        <v>1288</v>
      </c>
      <c r="H4107" s="4">
        <f>IFERROR(__xludf.DUMMYFUNCTION("DATE(INDEX(SPLIT(G4107,""/""),,3),INDEX(SPLIT(G4107,""/""),,2),INDEX(SPLIT(G4107,""/""),,1))"),44707.0)</f>
        <v>44707</v>
      </c>
      <c r="I4107" s="4">
        <v>44689.0</v>
      </c>
      <c r="J4107" s="4">
        <f>IFERROR(__xludf.DUMMYFUNCTION("DATE(INDEX(SPLIT(I4107,""/""),,3),INDEX(SPLIT(I4107,""/""),,2),INDEX(SPLIT(I4107,""/""),,1))"),44778.0)</f>
        <v>44778</v>
      </c>
      <c r="L4107" s="1">
        <v>0.0</v>
      </c>
      <c r="M4107" s="1" t="s">
        <v>8015</v>
      </c>
      <c r="N4107" s="1"/>
      <c r="O4107" s="1" t="s">
        <v>30</v>
      </c>
      <c r="P4107" s="1" t="s">
        <v>31</v>
      </c>
      <c r="Q4107" s="1" t="s">
        <v>71</v>
      </c>
      <c r="R4107" s="1" t="s">
        <v>71</v>
      </c>
      <c r="S4107" s="1" t="s">
        <v>72</v>
      </c>
      <c r="T4107" s="1" t="s">
        <v>73</v>
      </c>
      <c r="U4107" s="1">
        <v>1.00654066E8</v>
      </c>
      <c r="X4107" s="1" t="s">
        <v>74</v>
      </c>
      <c r="Y4107" s="1" t="s">
        <v>8015</v>
      </c>
      <c r="Z4107" s="1" t="s">
        <v>206</v>
      </c>
    </row>
    <row r="4108" hidden="1">
      <c r="A4108" s="1" t="s">
        <v>11746</v>
      </c>
      <c r="B4108" s="1" t="s">
        <v>337</v>
      </c>
      <c r="C4108" s="1" t="s">
        <v>11747</v>
      </c>
      <c r="D4108" s="1" t="s">
        <v>27</v>
      </c>
      <c r="E4108" s="1" t="s">
        <v>28</v>
      </c>
      <c r="F4108" s="2">
        <v>200000.0</v>
      </c>
      <c r="G4108" s="1" t="s">
        <v>3083</v>
      </c>
      <c r="H4108" s="4">
        <f>IFERROR(__xludf.DUMMYFUNCTION("DATE(INDEX(SPLIT(G4108,""/""),,3),INDEX(SPLIT(G4108,""/""),,2),INDEX(SPLIT(G4108,""/""),,1))"),44225.0)</f>
        <v>44225</v>
      </c>
      <c r="I4108" s="1" t="s">
        <v>109</v>
      </c>
      <c r="J4108" s="4">
        <f>IFERROR(__xludf.DUMMYFUNCTION("DATE(INDEX(SPLIT(I4108,""/""),,3),INDEX(SPLIT(I4108,""/""),,2),INDEX(SPLIT(I4108,""/""),,1))"),44834.0)</f>
        <v>44834</v>
      </c>
      <c r="L4108" s="1">
        <v>0.0</v>
      </c>
      <c r="M4108" s="1" t="s">
        <v>2472</v>
      </c>
      <c r="N4108" s="1"/>
      <c r="O4108" s="1" t="s">
        <v>30</v>
      </c>
      <c r="P4108" s="1" t="s">
        <v>31</v>
      </c>
      <c r="Q4108" s="1" t="s">
        <v>228</v>
      </c>
      <c r="R4108" s="1" t="s">
        <v>228</v>
      </c>
      <c r="S4108" s="1" t="s">
        <v>229</v>
      </c>
      <c r="T4108" s="1" t="s">
        <v>260</v>
      </c>
      <c r="U4108" s="1">
        <v>1.00645232E8</v>
      </c>
      <c r="V4108" s="1" t="s">
        <v>11748</v>
      </c>
      <c r="W4108" s="1" t="s">
        <v>45</v>
      </c>
      <c r="X4108" s="1" t="s">
        <v>239</v>
      </c>
      <c r="Y4108" s="1" t="s">
        <v>2373</v>
      </c>
      <c r="Z4108" s="1" t="s">
        <v>37</v>
      </c>
    </row>
    <row r="4109" hidden="1">
      <c r="A4109" s="1" t="s">
        <v>11749</v>
      </c>
      <c r="B4109" s="1" t="s">
        <v>11750</v>
      </c>
      <c r="C4109" s="1" t="s">
        <v>11751</v>
      </c>
      <c r="D4109" s="1" t="s">
        <v>122</v>
      </c>
      <c r="E4109" s="1" t="s">
        <v>28</v>
      </c>
      <c r="F4109" s="2">
        <v>200000.0</v>
      </c>
      <c r="G4109" s="1" t="s">
        <v>1806</v>
      </c>
      <c r="H4109" s="4">
        <f>IFERROR(__xludf.DUMMYFUNCTION("DATE(INDEX(SPLIT(G4109,""/""),,3),INDEX(SPLIT(G4109,""/""),,2),INDEX(SPLIT(G4109,""/""),,1))"),44694.0)</f>
        <v>44694</v>
      </c>
      <c r="I4109" s="1" t="s">
        <v>42</v>
      </c>
      <c r="J4109" s="4">
        <f>IFERROR(__xludf.DUMMYFUNCTION("DATE(INDEX(SPLIT(I4109,""/""),,3),INDEX(SPLIT(I4109,""/""),,2),INDEX(SPLIT(I4109,""/""),,1))"),44926.0)</f>
        <v>44926</v>
      </c>
      <c r="L4109" s="1">
        <v>0.0</v>
      </c>
      <c r="M4109" s="1" t="s">
        <v>979</v>
      </c>
      <c r="N4109" s="1"/>
      <c r="O4109" s="1" t="s">
        <v>30</v>
      </c>
      <c r="P4109" s="1" t="s">
        <v>31</v>
      </c>
      <c r="Q4109" s="1" t="s">
        <v>235</v>
      </c>
      <c r="R4109" s="1" t="s">
        <v>235</v>
      </c>
      <c r="S4109" s="1" t="s">
        <v>236</v>
      </c>
      <c r="U4109" s="1">
        <v>1.00647262E8</v>
      </c>
      <c r="X4109" s="1" t="s">
        <v>88</v>
      </c>
      <c r="Y4109" s="1" t="s">
        <v>1582</v>
      </c>
      <c r="Z4109" s="1" t="s">
        <v>37</v>
      </c>
    </row>
    <row r="4110">
      <c r="A4110" s="1" t="s">
        <v>11752</v>
      </c>
      <c r="B4110" s="1" t="s">
        <v>11753</v>
      </c>
      <c r="C4110" s="1" t="s">
        <v>11754</v>
      </c>
      <c r="D4110" s="1" t="s">
        <v>27</v>
      </c>
      <c r="E4110" s="1" t="s">
        <v>28</v>
      </c>
      <c r="F4110" s="2">
        <v>200000.0</v>
      </c>
      <c r="G4110" s="4">
        <v>44900.0</v>
      </c>
      <c r="H4110" s="4">
        <f>IFERROR(__xludf.DUMMYFUNCTION("DATE(INDEX(SPLIT(G4110,""/""),,3),INDEX(SPLIT(G4110,""/""),,2),INDEX(SPLIT(G4110,""/""),,1))"),44693.0)</f>
        <v>44693</v>
      </c>
      <c r="I4110" s="1" t="s">
        <v>226</v>
      </c>
      <c r="J4110" s="4">
        <f>IFERROR(__xludf.DUMMYFUNCTION("DATE(INDEX(SPLIT(I4110,""/""),,3),INDEX(SPLIT(I4110,""/""),,2),INDEX(SPLIT(I4110,""/""),,1))"),44771.0)</f>
        <v>44771</v>
      </c>
      <c r="L4110" s="1">
        <v>0.0</v>
      </c>
      <c r="M4110" s="1" t="s">
        <v>1573</v>
      </c>
      <c r="N4110" s="1"/>
      <c r="O4110" s="1" t="s">
        <v>30</v>
      </c>
      <c r="P4110" s="1" t="s">
        <v>31</v>
      </c>
      <c r="Q4110" s="1" t="s">
        <v>95</v>
      </c>
      <c r="R4110" s="1" t="s">
        <v>95</v>
      </c>
      <c r="S4110" s="1" t="s">
        <v>96</v>
      </c>
      <c r="T4110" s="1" t="s">
        <v>1386</v>
      </c>
      <c r="U4110" s="1">
        <v>1.00595231E8</v>
      </c>
      <c r="X4110" s="1" t="s">
        <v>190</v>
      </c>
      <c r="Y4110" s="1" t="s">
        <v>1573</v>
      </c>
      <c r="Z4110" s="1" t="s">
        <v>37</v>
      </c>
    </row>
    <row r="4111" hidden="1">
      <c r="A4111" s="1" t="s">
        <v>11755</v>
      </c>
      <c r="B4111" s="1" t="s">
        <v>8030</v>
      </c>
      <c r="C4111" s="1" t="s">
        <v>11756</v>
      </c>
      <c r="D4111" s="1" t="s">
        <v>27</v>
      </c>
      <c r="E4111" s="1" t="s">
        <v>28</v>
      </c>
      <c r="F4111" s="2">
        <v>200000.0</v>
      </c>
      <c r="G4111" s="1" t="s">
        <v>394</v>
      </c>
      <c r="H4111" s="4">
        <f>IFERROR(__xludf.DUMMYFUNCTION("DATE(INDEX(SPLIT(G4111,""/""),,3),INDEX(SPLIT(G4111,""/""),,2),INDEX(SPLIT(G4111,""/""),,1))"),44677.0)</f>
        <v>44677</v>
      </c>
      <c r="I4111" s="1" t="s">
        <v>130</v>
      </c>
      <c r="J4111" s="4">
        <f>IFERROR(__xludf.DUMMYFUNCTION("DATE(INDEX(SPLIT(I4111,""/""),,3),INDEX(SPLIT(I4111,""/""),,2),INDEX(SPLIT(I4111,""/""),,1))"),44804.0)</f>
        <v>44804</v>
      </c>
      <c r="L4111" s="1">
        <v>0.0</v>
      </c>
      <c r="M4111" s="1" t="s">
        <v>303</v>
      </c>
      <c r="N4111" s="1"/>
      <c r="O4111" s="1" t="s">
        <v>30</v>
      </c>
      <c r="P4111" s="1" t="s">
        <v>31</v>
      </c>
      <c r="Q4111" s="1" t="s">
        <v>95</v>
      </c>
      <c r="R4111" s="1" t="s">
        <v>95</v>
      </c>
      <c r="S4111" s="1" t="s">
        <v>96</v>
      </c>
      <c r="T4111" s="1" t="s">
        <v>304</v>
      </c>
      <c r="U4111" s="1">
        <v>1.00623914E8</v>
      </c>
      <c r="X4111" s="1" t="s">
        <v>63</v>
      </c>
      <c r="Y4111" s="1" t="s">
        <v>1852</v>
      </c>
      <c r="Z4111" s="1" t="s">
        <v>37</v>
      </c>
    </row>
    <row r="4112" hidden="1">
      <c r="A4112" s="1" t="s">
        <v>11757</v>
      </c>
      <c r="B4112" s="1" t="s">
        <v>630</v>
      </c>
      <c r="C4112" s="1" t="s">
        <v>6943</v>
      </c>
      <c r="D4112" s="1" t="s">
        <v>78</v>
      </c>
      <c r="E4112" s="1" t="s">
        <v>28</v>
      </c>
      <c r="F4112" s="2">
        <v>200000.0</v>
      </c>
      <c r="G4112" s="1" t="s">
        <v>4644</v>
      </c>
      <c r="H4112" s="4">
        <f>IFERROR(__xludf.DUMMYFUNCTION("DATE(INDEX(SPLIT(G4112,""/""),,3),INDEX(SPLIT(G4112,""/""),,2),INDEX(SPLIT(G4112,""/""),,1))"),44030.0)</f>
        <v>44030</v>
      </c>
      <c r="I4112" s="4">
        <v>44601.0</v>
      </c>
      <c r="J4112" s="4">
        <f>IFERROR(__xludf.DUMMYFUNCTION("DATE(INDEX(SPLIT(I4112,""/""),,3),INDEX(SPLIT(I4112,""/""),,2),INDEX(SPLIT(I4112,""/""),,1))"),44806.0)</f>
        <v>44806</v>
      </c>
      <c r="L4112" s="1">
        <v>0.0</v>
      </c>
      <c r="M4112" s="1" t="s">
        <v>1552</v>
      </c>
      <c r="N4112" s="1"/>
      <c r="O4112" s="1" t="s">
        <v>30</v>
      </c>
      <c r="P4112" s="1" t="s">
        <v>31</v>
      </c>
      <c r="Q4112" s="1" t="s">
        <v>32</v>
      </c>
      <c r="R4112" s="1" t="s">
        <v>32</v>
      </c>
      <c r="S4112" s="1" t="s">
        <v>33</v>
      </c>
      <c r="T4112" s="1" t="s">
        <v>1195</v>
      </c>
      <c r="U4112" s="1">
        <v>1.00637597E8</v>
      </c>
      <c r="W4112" s="1" t="s">
        <v>56</v>
      </c>
      <c r="X4112" s="1" t="s">
        <v>490</v>
      </c>
      <c r="Y4112" s="1" t="s">
        <v>1552</v>
      </c>
      <c r="Z4112" s="1" t="s">
        <v>37</v>
      </c>
    </row>
    <row r="4113">
      <c r="A4113" s="1" t="s">
        <v>11758</v>
      </c>
      <c r="B4113" s="1" t="s">
        <v>11759</v>
      </c>
      <c r="C4113" s="1" t="s">
        <v>11760</v>
      </c>
      <c r="D4113" s="1" t="s">
        <v>78</v>
      </c>
      <c r="E4113" s="1" t="s">
        <v>28</v>
      </c>
      <c r="F4113" s="2">
        <v>200000.0</v>
      </c>
      <c r="G4113" s="1" t="s">
        <v>2329</v>
      </c>
      <c r="H4113" s="4">
        <f>IFERROR(__xludf.DUMMYFUNCTION("DATE(INDEX(SPLIT(G4113,""/""),,3),INDEX(SPLIT(G4113,""/""),,2),INDEX(SPLIT(G4113,""/""),,1))"),44732.0)</f>
        <v>44732</v>
      </c>
      <c r="I4113" s="1" t="s">
        <v>226</v>
      </c>
      <c r="J4113" s="4">
        <f>IFERROR(__xludf.DUMMYFUNCTION("DATE(INDEX(SPLIT(I4113,""/""),,3),INDEX(SPLIT(I4113,""/""),,2),INDEX(SPLIT(I4113,""/""),,1))"),44771.0)</f>
        <v>44771</v>
      </c>
      <c r="L4113" s="1">
        <v>0.0</v>
      </c>
      <c r="M4113" s="1" t="s">
        <v>914</v>
      </c>
      <c r="N4113" s="1"/>
      <c r="O4113" s="1" t="s">
        <v>30</v>
      </c>
      <c r="P4113" s="1" t="s">
        <v>31</v>
      </c>
      <c r="Q4113" s="1" t="s">
        <v>71</v>
      </c>
      <c r="R4113" s="1" t="s">
        <v>71</v>
      </c>
      <c r="S4113" s="1" t="s">
        <v>72</v>
      </c>
      <c r="U4113" s="1">
        <v>1.01033479E8</v>
      </c>
      <c r="X4113" s="1" t="s">
        <v>74</v>
      </c>
      <c r="Y4113" s="1" t="s">
        <v>1822</v>
      </c>
      <c r="Z4113" s="1" t="s">
        <v>37</v>
      </c>
    </row>
    <row r="4114">
      <c r="A4114" s="1" t="s">
        <v>11761</v>
      </c>
      <c r="B4114" s="1" t="s">
        <v>9304</v>
      </c>
      <c r="C4114" s="1" t="s">
        <v>11762</v>
      </c>
      <c r="D4114" s="1" t="s">
        <v>27</v>
      </c>
      <c r="E4114" s="1" t="s">
        <v>28</v>
      </c>
      <c r="F4114" s="2">
        <v>200000.0</v>
      </c>
      <c r="G4114" s="4">
        <v>44298.0</v>
      </c>
      <c r="H4114" s="4">
        <f>IFERROR(__xludf.DUMMYFUNCTION("DATE(INDEX(SPLIT(G4114,""/""),,3),INDEX(SPLIT(G4114,""/""),,2),INDEX(SPLIT(G4114,""/""),,1))"),44534.0)</f>
        <v>44534</v>
      </c>
      <c r="I4114" s="1" t="s">
        <v>414</v>
      </c>
      <c r="J4114" s="4">
        <f>IFERROR(__xludf.DUMMYFUNCTION("DATE(INDEX(SPLIT(I4114,""/""),,3),INDEX(SPLIT(I4114,""/""),,2),INDEX(SPLIT(I4114,""/""),,1))"),44772.0)</f>
        <v>44772</v>
      </c>
      <c r="L4114" s="1">
        <v>0.0</v>
      </c>
      <c r="M4114" s="1" t="s">
        <v>4735</v>
      </c>
      <c r="N4114" s="1"/>
      <c r="O4114" s="1" t="s">
        <v>30</v>
      </c>
      <c r="P4114" s="1" t="s">
        <v>31</v>
      </c>
      <c r="Q4114" s="1" t="s">
        <v>71</v>
      </c>
      <c r="R4114" s="1" t="s">
        <v>71</v>
      </c>
      <c r="S4114" s="1" t="s">
        <v>72</v>
      </c>
      <c r="T4114" s="1" t="s">
        <v>136</v>
      </c>
      <c r="U4114" s="1">
        <v>1.00609615E8</v>
      </c>
      <c r="X4114" s="1" t="s">
        <v>74</v>
      </c>
      <c r="Y4114" s="1" t="s">
        <v>4735</v>
      </c>
      <c r="Z4114" s="1" t="s">
        <v>206</v>
      </c>
    </row>
    <row r="4115">
      <c r="A4115" s="1" t="s">
        <v>11763</v>
      </c>
      <c r="B4115" s="1" t="s">
        <v>1655</v>
      </c>
      <c r="C4115" s="1" t="s">
        <v>11764</v>
      </c>
      <c r="D4115" s="1" t="s">
        <v>122</v>
      </c>
      <c r="E4115" s="1" t="s">
        <v>28</v>
      </c>
      <c r="F4115" s="2">
        <v>200000.0</v>
      </c>
      <c r="G4115" s="1" t="s">
        <v>534</v>
      </c>
      <c r="H4115" s="4">
        <f>IFERROR(__xludf.DUMMYFUNCTION("DATE(INDEX(SPLIT(G4115,""/""),,3),INDEX(SPLIT(G4115,""/""),,2),INDEX(SPLIT(G4115,""/""),,1))"),44704.0)</f>
        <v>44704</v>
      </c>
      <c r="I4115" s="1" t="s">
        <v>226</v>
      </c>
      <c r="J4115" s="4">
        <f>IFERROR(__xludf.DUMMYFUNCTION("DATE(INDEX(SPLIT(I4115,""/""),,3),INDEX(SPLIT(I4115,""/""),,2),INDEX(SPLIT(I4115,""/""),,1))"),44771.0)</f>
        <v>44771</v>
      </c>
      <c r="L4115" s="1">
        <v>0.0</v>
      </c>
      <c r="M4115" s="1" t="s">
        <v>2596</v>
      </c>
      <c r="N4115" s="1"/>
      <c r="O4115" s="1" t="s">
        <v>30</v>
      </c>
      <c r="P4115" s="1" t="s">
        <v>31</v>
      </c>
      <c r="Q4115" s="1" t="s">
        <v>157</v>
      </c>
      <c r="R4115" s="1" t="s">
        <v>157</v>
      </c>
      <c r="S4115" s="1" t="s">
        <v>158</v>
      </c>
      <c r="U4115" s="1">
        <v>1.00653074E8</v>
      </c>
      <c r="X4115" s="1" t="s">
        <v>490</v>
      </c>
      <c r="Y4115" s="1" t="s">
        <v>7448</v>
      </c>
      <c r="Z4115" s="1" t="s">
        <v>37</v>
      </c>
    </row>
    <row r="4116" hidden="1">
      <c r="A4116" s="1" t="s">
        <v>11765</v>
      </c>
      <c r="B4116" s="1" t="s">
        <v>1712</v>
      </c>
      <c r="C4116" s="1" t="s">
        <v>11766</v>
      </c>
      <c r="D4116" s="1" t="s">
        <v>78</v>
      </c>
      <c r="E4116" s="1" t="s">
        <v>28</v>
      </c>
      <c r="F4116" s="2">
        <v>200000.0</v>
      </c>
      <c r="G4116" s="1" t="s">
        <v>600</v>
      </c>
      <c r="H4116" s="4">
        <f>IFERROR(__xludf.DUMMYFUNCTION("DATE(INDEX(SPLIT(G4116,""/""),,3),INDEX(SPLIT(G4116,""/""),,2),INDEX(SPLIT(G4116,""/""),,1))"),44665.0)</f>
        <v>44665</v>
      </c>
      <c r="I4116" s="1" t="s">
        <v>130</v>
      </c>
      <c r="J4116" s="4">
        <f>IFERROR(__xludf.DUMMYFUNCTION("DATE(INDEX(SPLIT(I4116,""/""),,3),INDEX(SPLIT(I4116,""/""),,2),INDEX(SPLIT(I4116,""/""),,1))"),44804.0)</f>
        <v>44804</v>
      </c>
      <c r="L4116" s="1">
        <v>0.0</v>
      </c>
      <c r="M4116" s="1" t="s">
        <v>863</v>
      </c>
      <c r="N4116" s="1"/>
      <c r="O4116" s="1" t="s">
        <v>30</v>
      </c>
      <c r="P4116" s="1" t="s">
        <v>31</v>
      </c>
      <c r="Q4116" s="1" t="s">
        <v>32</v>
      </c>
      <c r="R4116" s="1" t="s">
        <v>32</v>
      </c>
      <c r="S4116" s="1" t="s">
        <v>33</v>
      </c>
      <c r="U4116" s="1">
        <v>1.00650568E8</v>
      </c>
      <c r="X4116" s="1" t="s">
        <v>125</v>
      </c>
      <c r="Y4116" s="1" t="s">
        <v>11767</v>
      </c>
      <c r="Z4116" s="1" t="s">
        <v>37</v>
      </c>
    </row>
    <row r="4117">
      <c r="A4117" s="1" t="s">
        <v>11768</v>
      </c>
      <c r="B4117" s="1" t="s">
        <v>3288</v>
      </c>
      <c r="C4117" s="1" t="s">
        <v>11769</v>
      </c>
      <c r="D4117" s="1" t="s">
        <v>78</v>
      </c>
      <c r="E4117" s="1" t="s">
        <v>28</v>
      </c>
      <c r="F4117" s="2">
        <v>200000.0</v>
      </c>
      <c r="G4117" s="4">
        <v>44809.0</v>
      </c>
      <c r="H4117" s="4">
        <f>IFERROR(__xludf.DUMMYFUNCTION("DATE(INDEX(SPLIT(G4117,""/""),,3),INDEX(SPLIT(G4117,""/""),,2),INDEX(SPLIT(G4117,""/""),,1))"),44690.0)</f>
        <v>44690</v>
      </c>
      <c r="I4117" s="1" t="s">
        <v>1244</v>
      </c>
      <c r="J4117" s="4">
        <f>IFERROR(__xludf.DUMMYFUNCTION("DATE(INDEX(SPLIT(I4117,""/""),,3),INDEX(SPLIT(I4117,""/""),,2),INDEX(SPLIT(I4117,""/""),,1))"),44742.0)</f>
        <v>44742</v>
      </c>
      <c r="L4117" s="1">
        <v>0.0</v>
      </c>
      <c r="M4117" s="1" t="s">
        <v>1828</v>
      </c>
      <c r="N4117" s="1"/>
      <c r="O4117" s="1" t="s">
        <v>30</v>
      </c>
      <c r="P4117" s="1" t="s">
        <v>31</v>
      </c>
      <c r="Q4117" s="1" t="s">
        <v>235</v>
      </c>
      <c r="R4117" s="1" t="s">
        <v>235</v>
      </c>
      <c r="S4117" s="1" t="s">
        <v>236</v>
      </c>
      <c r="U4117" s="1">
        <v>1.00593918E8</v>
      </c>
      <c r="X4117" s="1" t="s">
        <v>35</v>
      </c>
      <c r="Y4117" s="1" t="s">
        <v>11770</v>
      </c>
      <c r="Z4117" s="1" t="s">
        <v>37</v>
      </c>
    </row>
    <row r="4118" hidden="1">
      <c r="A4118" s="1" t="s">
        <v>11771</v>
      </c>
      <c r="B4118" s="1" t="s">
        <v>11772</v>
      </c>
      <c r="C4118" s="1" t="s">
        <v>11773</v>
      </c>
      <c r="D4118" s="1" t="s">
        <v>27</v>
      </c>
      <c r="E4118" s="1" t="s">
        <v>28</v>
      </c>
      <c r="F4118" s="2">
        <v>200000.0</v>
      </c>
      <c r="G4118" s="1" t="s">
        <v>1786</v>
      </c>
      <c r="H4118" s="4">
        <f>IFERROR(__xludf.DUMMYFUNCTION("DATE(INDEX(SPLIT(G4118,""/""),,3),INDEX(SPLIT(G4118,""/""),,2),INDEX(SPLIT(G4118,""/""),,1))"),44709.0)</f>
        <v>44709</v>
      </c>
      <c r="I4118" s="1" t="s">
        <v>42</v>
      </c>
      <c r="J4118" s="4">
        <f>IFERROR(__xludf.DUMMYFUNCTION("DATE(INDEX(SPLIT(I4118,""/""),,3),INDEX(SPLIT(I4118,""/""),,2),INDEX(SPLIT(I4118,""/""),,1))"),44926.0)</f>
        <v>44926</v>
      </c>
      <c r="L4118" s="1">
        <v>0.0</v>
      </c>
      <c r="M4118" s="1" t="s">
        <v>216</v>
      </c>
      <c r="N4118" s="1"/>
      <c r="O4118" s="1" t="s">
        <v>30</v>
      </c>
      <c r="P4118" s="1" t="s">
        <v>31</v>
      </c>
      <c r="Q4118" s="1" t="s">
        <v>95</v>
      </c>
      <c r="R4118" s="1" t="s">
        <v>95</v>
      </c>
      <c r="S4118" s="1" t="s">
        <v>96</v>
      </c>
      <c r="T4118" s="1" t="s">
        <v>217</v>
      </c>
      <c r="U4118" s="1">
        <v>1.01200292E8</v>
      </c>
      <c r="X4118" s="1" t="s">
        <v>5049</v>
      </c>
      <c r="Y4118" s="1" t="s">
        <v>216</v>
      </c>
      <c r="Z4118" s="1" t="s">
        <v>37</v>
      </c>
    </row>
    <row r="4119">
      <c r="A4119" s="1" t="s">
        <v>11774</v>
      </c>
      <c r="B4119" s="1" t="s">
        <v>532</v>
      </c>
      <c r="C4119" s="1" t="s">
        <v>11775</v>
      </c>
      <c r="D4119" s="1" t="s">
        <v>122</v>
      </c>
      <c r="E4119" s="1" t="s">
        <v>28</v>
      </c>
      <c r="F4119" s="2">
        <v>200000.0</v>
      </c>
      <c r="G4119" s="4">
        <v>44900.0</v>
      </c>
      <c r="H4119" s="4">
        <f>IFERROR(__xludf.DUMMYFUNCTION("DATE(INDEX(SPLIT(G4119,""/""),,3),INDEX(SPLIT(G4119,""/""),,2),INDEX(SPLIT(G4119,""/""),,1))"),44693.0)</f>
        <v>44693</v>
      </c>
      <c r="I4119" s="1" t="s">
        <v>226</v>
      </c>
      <c r="J4119" s="4">
        <f>IFERROR(__xludf.DUMMYFUNCTION("DATE(INDEX(SPLIT(I4119,""/""),,3),INDEX(SPLIT(I4119,""/""),,2),INDEX(SPLIT(I4119,""/""),,1))"),44771.0)</f>
        <v>44771</v>
      </c>
      <c r="L4119" s="1">
        <v>0.0</v>
      </c>
      <c r="M4119" s="1" t="s">
        <v>5880</v>
      </c>
      <c r="N4119" s="1"/>
      <c r="O4119" s="1" t="s">
        <v>30</v>
      </c>
      <c r="P4119" s="1" t="s">
        <v>31</v>
      </c>
      <c r="Q4119" s="1" t="s">
        <v>228</v>
      </c>
      <c r="R4119" s="1" t="s">
        <v>228</v>
      </c>
      <c r="S4119" s="1" t="s">
        <v>229</v>
      </c>
      <c r="T4119" s="1" t="s">
        <v>1195</v>
      </c>
      <c r="U4119" s="1">
        <v>1.00933537E8</v>
      </c>
      <c r="X4119" s="1" t="s">
        <v>490</v>
      </c>
      <c r="Y4119" s="1" t="s">
        <v>11776</v>
      </c>
      <c r="Z4119" s="1" t="s">
        <v>37</v>
      </c>
    </row>
    <row r="4120" hidden="1">
      <c r="A4120" s="1" t="s">
        <v>11777</v>
      </c>
      <c r="B4120" s="1" t="s">
        <v>954</v>
      </c>
      <c r="C4120" s="1" t="s">
        <v>11778</v>
      </c>
      <c r="D4120" s="1" t="s">
        <v>27</v>
      </c>
      <c r="E4120" s="1" t="s">
        <v>28</v>
      </c>
      <c r="F4120" s="2">
        <v>200000.0</v>
      </c>
      <c r="G4120" s="4">
        <v>44717.0</v>
      </c>
      <c r="H4120" s="4">
        <f>IFERROR(__xludf.DUMMYFUNCTION("DATE(INDEX(SPLIT(G4120,""/""),,3),INDEX(SPLIT(G4120,""/""),,2),INDEX(SPLIT(G4120,""/""),,1))"),44687.0)</f>
        <v>44687</v>
      </c>
      <c r="I4120" s="1" t="s">
        <v>85</v>
      </c>
      <c r="J4120" s="4">
        <f>IFERROR(__xludf.DUMMYFUNCTION("DATE(INDEX(SPLIT(I4120,""/""),,3),INDEX(SPLIT(I4120,""/""),,2),INDEX(SPLIT(I4120,""/""),,1))"),44799.0)</f>
        <v>44799</v>
      </c>
      <c r="L4120" s="1">
        <v>0.0</v>
      </c>
      <c r="M4120" s="1" t="s">
        <v>1009</v>
      </c>
      <c r="N4120" s="1"/>
      <c r="O4120" s="1" t="s">
        <v>30</v>
      </c>
      <c r="P4120" s="1" t="s">
        <v>31</v>
      </c>
      <c r="Q4120" s="1" t="s">
        <v>95</v>
      </c>
      <c r="R4120" s="1" t="s">
        <v>95</v>
      </c>
      <c r="S4120" s="1" t="s">
        <v>96</v>
      </c>
      <c r="T4120" s="1" t="s">
        <v>159</v>
      </c>
      <c r="U4120" s="1">
        <v>1.00592304E8</v>
      </c>
      <c r="X4120" s="1" t="s">
        <v>74</v>
      </c>
      <c r="Y4120" s="1" t="s">
        <v>6637</v>
      </c>
      <c r="Z4120" s="1" t="s">
        <v>37</v>
      </c>
    </row>
    <row r="4121">
      <c r="A4121" s="1" t="s">
        <v>11779</v>
      </c>
      <c r="B4121" s="1" t="s">
        <v>76</v>
      </c>
      <c r="C4121" s="1" t="s">
        <v>11780</v>
      </c>
      <c r="D4121" s="1" t="s">
        <v>122</v>
      </c>
      <c r="E4121" s="1" t="s">
        <v>28</v>
      </c>
      <c r="F4121" s="2">
        <v>200000.0</v>
      </c>
      <c r="G4121" s="4">
        <v>44871.0</v>
      </c>
      <c r="H4121" s="4">
        <f>IFERROR(__xludf.DUMMYFUNCTION("DATE(INDEX(SPLIT(G4121,""/""),,3),INDEX(SPLIT(G4121,""/""),,2),INDEX(SPLIT(G4121,""/""),,1))"),44723.0)</f>
        <v>44723</v>
      </c>
      <c r="I4121" s="1" t="s">
        <v>1141</v>
      </c>
      <c r="J4121" s="4">
        <f>IFERROR(__xludf.DUMMYFUNCTION("DATE(INDEX(SPLIT(I4121,""/""),,3),INDEX(SPLIT(I4121,""/""),,2),INDEX(SPLIT(I4121,""/""),,1))"),44767.0)</f>
        <v>44767</v>
      </c>
      <c r="L4121" s="1">
        <v>0.0</v>
      </c>
      <c r="M4121" s="1" t="s">
        <v>1610</v>
      </c>
      <c r="N4121" s="1"/>
      <c r="O4121" s="1" t="s">
        <v>30</v>
      </c>
      <c r="P4121" s="1" t="s">
        <v>31</v>
      </c>
      <c r="Q4121" s="1" t="s">
        <v>53</v>
      </c>
      <c r="R4121" s="1" t="s">
        <v>53</v>
      </c>
      <c r="S4121" s="1" t="s">
        <v>54</v>
      </c>
      <c r="T4121" s="1" t="s">
        <v>1386</v>
      </c>
      <c r="U4121" s="1">
        <v>1.01141441E8</v>
      </c>
      <c r="V4121" s="1" t="s">
        <v>11781</v>
      </c>
      <c r="W4121" s="1" t="s">
        <v>199</v>
      </c>
      <c r="X4121" s="1" t="s">
        <v>81</v>
      </c>
      <c r="Y4121" s="1" t="s">
        <v>11782</v>
      </c>
      <c r="Z4121" s="1" t="s">
        <v>37</v>
      </c>
    </row>
    <row r="4122">
      <c r="A4122" s="1" t="s">
        <v>11783</v>
      </c>
      <c r="B4122" s="1" t="s">
        <v>11784</v>
      </c>
      <c r="C4122" s="1" t="s">
        <v>11785</v>
      </c>
      <c r="D4122" s="1" t="s">
        <v>27</v>
      </c>
      <c r="E4122" s="1" t="s">
        <v>28</v>
      </c>
      <c r="F4122" s="2">
        <v>200000.0</v>
      </c>
      <c r="G4122" s="1" t="s">
        <v>3142</v>
      </c>
      <c r="H4122" s="4">
        <f>IFERROR(__xludf.DUMMYFUNCTION("DATE(INDEX(SPLIT(G4122,""/""),,3),INDEX(SPLIT(G4122,""/""),,2),INDEX(SPLIT(G4122,""/""),,1))"),44611.0)</f>
        <v>44611</v>
      </c>
      <c r="I4122" s="1" t="s">
        <v>1244</v>
      </c>
      <c r="J4122" s="4">
        <f>IFERROR(__xludf.DUMMYFUNCTION("DATE(INDEX(SPLIT(I4122,""/""),,3),INDEX(SPLIT(I4122,""/""),,2),INDEX(SPLIT(I4122,""/""),,1))"),44742.0)</f>
        <v>44742</v>
      </c>
      <c r="L4122" s="1">
        <v>0.0</v>
      </c>
      <c r="M4122" s="1" t="s">
        <v>1376</v>
      </c>
      <c r="N4122" s="1"/>
      <c r="O4122" s="1" t="s">
        <v>30</v>
      </c>
      <c r="P4122" s="1" t="s">
        <v>31</v>
      </c>
      <c r="Q4122" s="1" t="s">
        <v>32</v>
      </c>
      <c r="R4122" s="1" t="s">
        <v>32</v>
      </c>
      <c r="S4122" s="1" t="s">
        <v>33</v>
      </c>
      <c r="T4122" s="1" t="s">
        <v>1195</v>
      </c>
      <c r="U4122" s="1">
        <v>1.006096E8</v>
      </c>
      <c r="Y4122" s="1" t="s">
        <v>1377</v>
      </c>
      <c r="Z4122" s="1" t="s">
        <v>37</v>
      </c>
    </row>
    <row r="4123" hidden="1">
      <c r="A4123" s="1" t="s">
        <v>11786</v>
      </c>
      <c r="B4123" s="1" t="s">
        <v>3532</v>
      </c>
      <c r="C4123" s="1" t="s">
        <v>11787</v>
      </c>
      <c r="D4123" s="1" t="s">
        <v>78</v>
      </c>
      <c r="E4123" s="1" t="s">
        <v>28</v>
      </c>
      <c r="F4123" s="2">
        <v>200000.0</v>
      </c>
      <c r="G4123" s="1" t="s">
        <v>11788</v>
      </c>
      <c r="H4123" s="4">
        <f>IFERROR(__xludf.DUMMYFUNCTION("DATE(INDEX(SPLIT(G4123,""/""),,3),INDEX(SPLIT(G4123,""/""),,2),INDEX(SPLIT(G4123,""/""),,1))"),44121.0)</f>
        <v>44121</v>
      </c>
      <c r="I4123" s="1" t="s">
        <v>109</v>
      </c>
      <c r="J4123" s="4">
        <f>IFERROR(__xludf.DUMMYFUNCTION("DATE(INDEX(SPLIT(I4123,""/""),,3),INDEX(SPLIT(I4123,""/""),,2),INDEX(SPLIT(I4123,""/""),,1))"),44834.0)</f>
        <v>44834</v>
      </c>
      <c r="L4123" s="1">
        <v>0.0</v>
      </c>
      <c r="M4123" s="1" t="s">
        <v>1373</v>
      </c>
      <c r="N4123" s="1"/>
      <c r="O4123" s="1" t="s">
        <v>30</v>
      </c>
      <c r="P4123" s="1" t="s">
        <v>31</v>
      </c>
      <c r="Q4123" s="1" t="s">
        <v>95</v>
      </c>
      <c r="R4123" s="1" t="s">
        <v>95</v>
      </c>
      <c r="S4123" s="1" t="s">
        <v>96</v>
      </c>
      <c r="T4123" s="1" t="s">
        <v>111</v>
      </c>
      <c r="U4123" s="1">
        <v>1.00626753E8</v>
      </c>
      <c r="X4123" s="1" t="s">
        <v>63</v>
      </c>
      <c r="Y4123" s="1" t="s">
        <v>1373</v>
      </c>
      <c r="Z4123" s="1" t="s">
        <v>37</v>
      </c>
    </row>
    <row r="4124" hidden="1">
      <c r="A4124" s="1" t="s">
        <v>11789</v>
      </c>
      <c r="B4124" s="1" t="s">
        <v>2415</v>
      </c>
      <c r="C4124" s="1" t="s">
        <v>11790</v>
      </c>
      <c r="D4124" s="1" t="s">
        <v>27</v>
      </c>
      <c r="E4124" s="1" t="s">
        <v>28</v>
      </c>
      <c r="F4124" s="2">
        <v>200000.0</v>
      </c>
      <c r="G4124" s="1" t="s">
        <v>2712</v>
      </c>
      <c r="H4124" s="4">
        <f>IFERROR(__xludf.DUMMYFUNCTION("DATE(INDEX(SPLIT(G4124,""/""),,3),INDEX(SPLIT(G4124,""/""),,2),INDEX(SPLIT(G4124,""/""),,1))"),44435.0)</f>
        <v>44435</v>
      </c>
      <c r="I4124" s="4">
        <v>44569.0</v>
      </c>
      <c r="J4124" s="4">
        <f>IFERROR(__xludf.DUMMYFUNCTION("DATE(INDEX(SPLIT(I4124,""/""),,3),INDEX(SPLIT(I4124,""/""),,2),INDEX(SPLIT(I4124,""/""),,1))"),44774.0)</f>
        <v>44774</v>
      </c>
      <c r="L4124" s="1">
        <v>0.0</v>
      </c>
      <c r="M4124" s="1" t="s">
        <v>10318</v>
      </c>
      <c r="N4124" s="1"/>
      <c r="O4124" s="1" t="s">
        <v>30</v>
      </c>
      <c r="P4124" s="1" t="s">
        <v>31</v>
      </c>
      <c r="Q4124" s="1" t="s">
        <v>32</v>
      </c>
      <c r="R4124" s="1" t="s">
        <v>32</v>
      </c>
      <c r="S4124" s="1" t="s">
        <v>33</v>
      </c>
      <c r="T4124" s="1" t="s">
        <v>402</v>
      </c>
      <c r="U4124" s="1">
        <v>1.00633795E8</v>
      </c>
      <c r="X4124" s="1" t="s">
        <v>239</v>
      </c>
      <c r="Y4124" s="1" t="s">
        <v>7598</v>
      </c>
      <c r="Z4124" s="1" t="s">
        <v>206</v>
      </c>
    </row>
    <row r="4125" hidden="1">
      <c r="A4125" s="1" t="s">
        <v>11791</v>
      </c>
      <c r="B4125" s="1" t="s">
        <v>2453</v>
      </c>
      <c r="C4125" s="1" t="s">
        <v>11792</v>
      </c>
      <c r="D4125" s="1" t="s">
        <v>27</v>
      </c>
      <c r="E4125" s="1" t="s">
        <v>28</v>
      </c>
      <c r="F4125" s="2">
        <v>200000.0</v>
      </c>
      <c r="G4125" s="1" t="s">
        <v>2712</v>
      </c>
      <c r="H4125" s="4">
        <f>IFERROR(__xludf.DUMMYFUNCTION("DATE(INDEX(SPLIT(G4125,""/""),,3),INDEX(SPLIT(G4125,""/""),,2),INDEX(SPLIT(G4125,""/""),,1))"),44435.0)</f>
        <v>44435</v>
      </c>
      <c r="I4125" s="4">
        <v>44601.0</v>
      </c>
      <c r="J4125" s="4">
        <f>IFERROR(__xludf.DUMMYFUNCTION("DATE(INDEX(SPLIT(I4125,""/""),,3),INDEX(SPLIT(I4125,""/""),,2),INDEX(SPLIT(I4125,""/""),,1))"),44806.0)</f>
        <v>44806</v>
      </c>
      <c r="L4125" s="1">
        <v>0.0</v>
      </c>
      <c r="M4125" s="1" t="s">
        <v>891</v>
      </c>
      <c r="N4125" s="1"/>
      <c r="O4125" s="1" t="s">
        <v>30</v>
      </c>
      <c r="P4125" s="1" t="s">
        <v>31</v>
      </c>
      <c r="Q4125" s="1" t="s">
        <v>32</v>
      </c>
      <c r="R4125" s="1" t="s">
        <v>32</v>
      </c>
      <c r="S4125" s="1" t="s">
        <v>33</v>
      </c>
      <c r="T4125" s="1" t="s">
        <v>402</v>
      </c>
      <c r="U4125" s="1">
        <v>1.00866856E8</v>
      </c>
      <c r="X4125" s="1" t="s">
        <v>239</v>
      </c>
      <c r="Y4125" s="1" t="s">
        <v>7598</v>
      </c>
      <c r="Z4125" s="1" t="s">
        <v>37</v>
      </c>
    </row>
    <row r="4126">
      <c r="A4126" s="1" t="s">
        <v>11793</v>
      </c>
      <c r="B4126" s="1" t="s">
        <v>650</v>
      </c>
      <c r="C4126" s="1" t="s">
        <v>11794</v>
      </c>
      <c r="D4126" s="1" t="s">
        <v>27</v>
      </c>
      <c r="E4126" s="1" t="s">
        <v>28</v>
      </c>
      <c r="F4126" s="2">
        <v>200000.0</v>
      </c>
      <c r="G4126" s="1" t="s">
        <v>2324</v>
      </c>
      <c r="H4126" s="4">
        <f>IFERROR(__xludf.DUMMYFUNCTION("DATE(INDEX(SPLIT(G4126,""/""),,3),INDEX(SPLIT(G4126,""/""),,2),INDEX(SPLIT(G4126,""/""),,1))"),44705.0)</f>
        <v>44705</v>
      </c>
      <c r="I4126" s="1" t="s">
        <v>69</v>
      </c>
      <c r="J4126" s="4">
        <f>IFERROR(__xludf.DUMMYFUNCTION("DATE(INDEX(SPLIT(I4126,""/""),,3),INDEX(SPLIT(I4126,""/""),,2),INDEX(SPLIT(I4126,""/""),,1))"),44773.0)</f>
        <v>44773</v>
      </c>
      <c r="L4126" s="1">
        <v>0.0</v>
      </c>
      <c r="M4126" s="1" t="s">
        <v>5135</v>
      </c>
      <c r="N4126" s="1"/>
      <c r="O4126" s="1" t="s">
        <v>30</v>
      </c>
      <c r="P4126" s="1" t="s">
        <v>31</v>
      </c>
      <c r="Q4126" s="1" t="s">
        <v>228</v>
      </c>
      <c r="R4126" s="1" t="s">
        <v>228</v>
      </c>
      <c r="S4126" s="1" t="s">
        <v>229</v>
      </c>
      <c r="T4126" s="1" t="s">
        <v>640</v>
      </c>
      <c r="U4126" s="1">
        <v>1.0064195E8</v>
      </c>
      <c r="X4126" s="1" t="s">
        <v>63</v>
      </c>
      <c r="Y4126" s="1" t="s">
        <v>11795</v>
      </c>
      <c r="Z4126" s="1" t="s">
        <v>37</v>
      </c>
    </row>
    <row r="4127" hidden="1">
      <c r="A4127" s="1" t="s">
        <v>11796</v>
      </c>
      <c r="B4127" s="1" t="s">
        <v>11797</v>
      </c>
      <c r="C4127" s="1" t="s">
        <v>11798</v>
      </c>
      <c r="D4127" s="1" t="s">
        <v>122</v>
      </c>
      <c r="E4127" s="1" t="s">
        <v>28</v>
      </c>
      <c r="F4127" s="2">
        <v>200000.0</v>
      </c>
      <c r="G4127" s="1" t="s">
        <v>1154</v>
      </c>
      <c r="H4127" s="4">
        <f>IFERROR(__xludf.DUMMYFUNCTION("DATE(INDEX(SPLIT(G4127,""/""),,3),INDEX(SPLIT(G4127,""/""),,2),INDEX(SPLIT(G4127,""/""),,1))"),44735.0)</f>
        <v>44735</v>
      </c>
      <c r="I4127" s="1" t="s">
        <v>130</v>
      </c>
      <c r="J4127" s="4">
        <f>IFERROR(__xludf.DUMMYFUNCTION("DATE(INDEX(SPLIT(I4127,""/""),,3),INDEX(SPLIT(I4127,""/""),,2),INDEX(SPLIT(I4127,""/""),,1))"),44804.0)</f>
        <v>44804</v>
      </c>
      <c r="L4127" s="1">
        <v>0.0</v>
      </c>
      <c r="M4127" s="1" t="s">
        <v>524</v>
      </c>
      <c r="N4127" s="1"/>
      <c r="O4127" s="1" t="s">
        <v>30</v>
      </c>
      <c r="P4127" s="1" t="s">
        <v>31</v>
      </c>
      <c r="Q4127" s="1" t="s">
        <v>32</v>
      </c>
      <c r="R4127" s="1" t="s">
        <v>32</v>
      </c>
      <c r="S4127" s="1" t="s">
        <v>33</v>
      </c>
      <c r="U4127" s="1">
        <v>1.00627768E8</v>
      </c>
      <c r="X4127" s="1" t="s">
        <v>35</v>
      </c>
      <c r="Y4127" s="1" t="s">
        <v>524</v>
      </c>
      <c r="Z4127" s="1" t="s">
        <v>527</v>
      </c>
    </row>
    <row r="4128">
      <c r="A4128" s="1" t="s">
        <v>11799</v>
      </c>
      <c r="B4128" s="1" t="s">
        <v>690</v>
      </c>
      <c r="C4128" s="1" t="s">
        <v>11800</v>
      </c>
      <c r="D4128" s="1" t="s">
        <v>27</v>
      </c>
      <c r="E4128" s="1" t="s">
        <v>28</v>
      </c>
      <c r="F4128" s="2">
        <v>200000.0</v>
      </c>
      <c r="G4128" s="1" t="s">
        <v>4916</v>
      </c>
      <c r="H4128" s="4">
        <f>IFERROR(__xludf.DUMMYFUNCTION("DATE(INDEX(SPLIT(G4128,""/""),,3),INDEX(SPLIT(G4128,""/""),,2),INDEX(SPLIT(G4128,""/""),,1))"),44370.0)</f>
        <v>44370</v>
      </c>
      <c r="I4128" s="1" t="s">
        <v>607</v>
      </c>
      <c r="J4128" s="4">
        <f>IFERROR(__xludf.DUMMYFUNCTION("DATE(INDEX(SPLIT(I4128,""/""),,3),INDEX(SPLIT(I4128,""/""),,2),INDEX(SPLIT(I4128,""/""),,1))"),44770.0)</f>
        <v>44770</v>
      </c>
      <c r="L4128" s="1">
        <v>0.0</v>
      </c>
      <c r="M4128" s="1" t="s">
        <v>3860</v>
      </c>
      <c r="N4128" s="1"/>
      <c r="O4128" s="1" t="s">
        <v>30</v>
      </c>
      <c r="P4128" s="1" t="s">
        <v>31</v>
      </c>
      <c r="Q4128" s="1" t="s">
        <v>235</v>
      </c>
      <c r="R4128" s="1" t="s">
        <v>235</v>
      </c>
      <c r="S4128" s="1" t="s">
        <v>236</v>
      </c>
      <c r="T4128" s="1" t="s">
        <v>753</v>
      </c>
      <c r="U4128" s="1">
        <v>1.00636461E8</v>
      </c>
      <c r="X4128" s="1" t="s">
        <v>88</v>
      </c>
      <c r="Y4128" s="1" t="s">
        <v>3860</v>
      </c>
      <c r="Z4128" s="1" t="s">
        <v>37</v>
      </c>
    </row>
    <row r="4129" hidden="1">
      <c r="A4129" s="1" t="s">
        <v>11801</v>
      </c>
      <c r="B4129" s="1" t="s">
        <v>11802</v>
      </c>
      <c r="C4129" s="1" t="s">
        <v>11803</v>
      </c>
      <c r="D4129" s="1" t="s">
        <v>78</v>
      </c>
      <c r="E4129" s="1" t="s">
        <v>28</v>
      </c>
      <c r="F4129" s="2">
        <v>200000.0</v>
      </c>
      <c r="G4129" s="1" t="s">
        <v>1551</v>
      </c>
      <c r="H4129" s="4">
        <f>IFERROR(__xludf.DUMMYFUNCTION("DATE(INDEX(SPLIT(G4129,""/""),,3),INDEX(SPLIT(G4129,""/""),,2),INDEX(SPLIT(G4129,""/""),,1))"),44618.0)</f>
        <v>44618</v>
      </c>
      <c r="I4129" s="4">
        <v>44931.0</v>
      </c>
      <c r="J4129" s="4">
        <f>IFERROR(__xludf.DUMMYFUNCTION("DATE(INDEX(SPLIT(I4129,""/""),,3),INDEX(SPLIT(I4129,""/""),,2),INDEX(SPLIT(I4129,""/""),,1))"),45047.0)</f>
        <v>45047</v>
      </c>
      <c r="L4129" s="1">
        <v>0.0</v>
      </c>
      <c r="M4129" s="1" t="s">
        <v>1194</v>
      </c>
      <c r="N4129" s="1"/>
      <c r="O4129" s="1" t="s">
        <v>30</v>
      </c>
      <c r="P4129" s="1" t="s">
        <v>31</v>
      </c>
      <c r="Q4129" s="1" t="s">
        <v>32</v>
      </c>
      <c r="R4129" s="1" t="s">
        <v>32</v>
      </c>
      <c r="S4129" s="1" t="s">
        <v>33</v>
      </c>
      <c r="T4129" s="1" t="s">
        <v>1195</v>
      </c>
      <c r="U4129" s="1">
        <v>1.00586863E8</v>
      </c>
      <c r="X4129" s="1" t="s">
        <v>490</v>
      </c>
      <c r="Y4129" s="1" t="s">
        <v>1196</v>
      </c>
      <c r="Z4129" s="1" t="s">
        <v>37</v>
      </c>
    </row>
    <row r="4130">
      <c r="A4130" s="1" t="s">
        <v>11804</v>
      </c>
      <c r="B4130" s="1" t="s">
        <v>1854</v>
      </c>
      <c r="C4130" s="1" t="s">
        <v>11805</v>
      </c>
      <c r="D4130" s="1" t="s">
        <v>27</v>
      </c>
      <c r="E4130" s="1" t="s">
        <v>28</v>
      </c>
      <c r="F4130" s="2">
        <v>200000.0</v>
      </c>
      <c r="G4130" s="4">
        <v>44837.0</v>
      </c>
      <c r="H4130" s="4">
        <f>IFERROR(__xludf.DUMMYFUNCTION("DATE(INDEX(SPLIT(G4130,""/""),,3),INDEX(SPLIT(G4130,""/""),,2),INDEX(SPLIT(G4130,""/""),,1))"),44630.0)</f>
        <v>44630</v>
      </c>
      <c r="I4130" s="1" t="s">
        <v>1244</v>
      </c>
      <c r="J4130" s="4">
        <f>IFERROR(__xludf.DUMMYFUNCTION("DATE(INDEX(SPLIT(I4130,""/""),,3),INDEX(SPLIT(I4130,""/""),,2),INDEX(SPLIT(I4130,""/""),,1))"),44742.0)</f>
        <v>44742</v>
      </c>
      <c r="L4130" s="1">
        <v>0.0</v>
      </c>
      <c r="M4130" s="1" t="s">
        <v>3824</v>
      </c>
      <c r="N4130" s="1"/>
      <c r="O4130" s="1" t="s">
        <v>30</v>
      </c>
      <c r="P4130" s="1" t="s">
        <v>31</v>
      </c>
      <c r="Q4130" s="1" t="s">
        <v>188</v>
      </c>
      <c r="R4130" s="1" t="s">
        <v>188</v>
      </c>
      <c r="S4130" s="1" t="s">
        <v>189</v>
      </c>
      <c r="T4130" s="1" t="s">
        <v>1344</v>
      </c>
      <c r="U4130" s="1">
        <v>1.00609005E8</v>
      </c>
      <c r="X4130" s="1" t="s">
        <v>63</v>
      </c>
      <c r="Y4130" s="1" t="s">
        <v>11806</v>
      </c>
      <c r="Z4130" s="1" t="s">
        <v>37</v>
      </c>
    </row>
    <row r="4131" hidden="1">
      <c r="A4131" s="1" t="s">
        <v>11807</v>
      </c>
      <c r="B4131" s="1" t="s">
        <v>784</v>
      </c>
      <c r="C4131" s="1" t="s">
        <v>11808</v>
      </c>
      <c r="D4131" s="1" t="s">
        <v>78</v>
      </c>
      <c r="E4131" s="1" t="s">
        <v>28</v>
      </c>
      <c r="F4131" s="2">
        <v>200000.0</v>
      </c>
      <c r="G4131" s="4">
        <v>44900.0</v>
      </c>
      <c r="H4131" s="4">
        <f>IFERROR(__xludf.DUMMYFUNCTION("DATE(INDEX(SPLIT(G4131,""/""),,3),INDEX(SPLIT(G4131,""/""),,2),INDEX(SPLIT(G4131,""/""),,1))"),44693.0)</f>
        <v>44693</v>
      </c>
      <c r="I4131" s="4">
        <v>44815.0</v>
      </c>
      <c r="J4131" s="4">
        <f>IFERROR(__xludf.DUMMYFUNCTION("DATE(INDEX(SPLIT(I4131,""/""),,3),INDEX(SPLIT(I4131,""/""),,2),INDEX(SPLIT(I4131,""/""),,1))"),44874.0)</f>
        <v>44874</v>
      </c>
      <c r="K4131" s="1" t="s">
        <v>11809</v>
      </c>
      <c r="L4131" s="1">
        <v>0.0</v>
      </c>
      <c r="M4131" s="1" t="s">
        <v>7279</v>
      </c>
      <c r="N4131" s="1"/>
      <c r="O4131" s="1" t="s">
        <v>30</v>
      </c>
      <c r="P4131" s="1" t="s">
        <v>31</v>
      </c>
      <c r="Q4131" s="1" t="s">
        <v>157</v>
      </c>
      <c r="R4131" s="1" t="s">
        <v>157</v>
      </c>
      <c r="S4131" s="1" t="s">
        <v>158</v>
      </c>
      <c r="U4131" s="1">
        <v>1.00686054E8</v>
      </c>
      <c r="X4131" s="1" t="s">
        <v>63</v>
      </c>
      <c r="Y4131" s="1" t="s">
        <v>7279</v>
      </c>
      <c r="Z4131" s="1" t="s">
        <v>527</v>
      </c>
    </row>
    <row r="4132">
      <c r="A4132" s="1" t="s">
        <v>11810</v>
      </c>
      <c r="B4132" s="1" t="s">
        <v>11811</v>
      </c>
      <c r="C4132" s="1" t="s">
        <v>11812</v>
      </c>
      <c r="D4132" s="1" t="s">
        <v>27</v>
      </c>
      <c r="E4132" s="1" t="s">
        <v>28</v>
      </c>
      <c r="F4132" s="2">
        <v>200000.0</v>
      </c>
      <c r="G4132" s="1" t="s">
        <v>3158</v>
      </c>
      <c r="H4132" s="4">
        <f>IFERROR(__xludf.DUMMYFUNCTION("DATE(INDEX(SPLIT(G4132,""/""),,3),INDEX(SPLIT(G4132,""/""),,2),INDEX(SPLIT(G4132,""/""),,1))"),44468.0)</f>
        <v>44468</v>
      </c>
      <c r="I4132" s="1" t="s">
        <v>1244</v>
      </c>
      <c r="J4132" s="4">
        <f>IFERROR(__xludf.DUMMYFUNCTION("DATE(INDEX(SPLIT(I4132,""/""),,3),INDEX(SPLIT(I4132,""/""),,2),INDEX(SPLIT(I4132,""/""),,1))"),44742.0)</f>
        <v>44742</v>
      </c>
      <c r="L4132" s="1">
        <v>0.0</v>
      </c>
      <c r="M4132" s="1" t="s">
        <v>1792</v>
      </c>
      <c r="N4132" s="1"/>
      <c r="O4132" s="1" t="s">
        <v>30</v>
      </c>
      <c r="P4132" s="1" t="s">
        <v>31</v>
      </c>
      <c r="Q4132" s="1" t="s">
        <v>235</v>
      </c>
      <c r="R4132" s="1" t="s">
        <v>235</v>
      </c>
      <c r="S4132" s="1" t="s">
        <v>236</v>
      </c>
      <c r="T4132" s="1" t="s">
        <v>438</v>
      </c>
      <c r="U4132" s="1">
        <v>1.00964362E8</v>
      </c>
      <c r="X4132" s="1" t="s">
        <v>88</v>
      </c>
      <c r="Y4132" s="1" t="s">
        <v>2865</v>
      </c>
      <c r="Z4132" s="1" t="s">
        <v>37</v>
      </c>
    </row>
    <row r="4133">
      <c r="A4133" s="1" t="s">
        <v>11813</v>
      </c>
      <c r="B4133" s="1" t="s">
        <v>370</v>
      </c>
      <c r="C4133" s="1" t="s">
        <v>11814</v>
      </c>
      <c r="D4133" s="1" t="s">
        <v>78</v>
      </c>
      <c r="E4133" s="1" t="s">
        <v>28</v>
      </c>
      <c r="F4133" s="2">
        <v>200000.0</v>
      </c>
      <c r="G4133" s="4">
        <v>44809.0</v>
      </c>
      <c r="H4133" s="4">
        <f>IFERROR(__xludf.DUMMYFUNCTION("DATE(INDEX(SPLIT(G4133,""/""),,3),INDEX(SPLIT(G4133,""/""),,2),INDEX(SPLIT(G4133,""/""),,1))"),44690.0)</f>
        <v>44690</v>
      </c>
      <c r="I4133" s="4">
        <v>44626.0</v>
      </c>
      <c r="J4133" s="4">
        <f>IFERROR(__xludf.DUMMYFUNCTION("DATE(INDEX(SPLIT(I4133,""/""),,3),INDEX(SPLIT(I4133,""/""),,2),INDEX(SPLIT(I4133,""/""),,1))"),44715.0)</f>
        <v>44715</v>
      </c>
      <c r="L4133" s="1">
        <v>0.0</v>
      </c>
      <c r="M4133" s="1" t="s">
        <v>2086</v>
      </c>
      <c r="N4133" s="1"/>
      <c r="O4133" s="1" t="s">
        <v>30</v>
      </c>
      <c r="P4133" s="1" t="s">
        <v>31</v>
      </c>
      <c r="Q4133" s="1" t="s">
        <v>235</v>
      </c>
      <c r="R4133" s="1" t="s">
        <v>235</v>
      </c>
      <c r="S4133" s="1" t="s">
        <v>236</v>
      </c>
      <c r="U4133" s="1">
        <v>1.00647488E8</v>
      </c>
      <c r="X4133" s="1" t="s">
        <v>239</v>
      </c>
      <c r="Y4133" s="1" t="s">
        <v>2086</v>
      </c>
      <c r="Z4133" s="1" t="s">
        <v>37</v>
      </c>
    </row>
    <row r="4134" hidden="1">
      <c r="A4134" s="1" t="s">
        <v>11815</v>
      </c>
      <c r="B4134" s="1" t="s">
        <v>1042</v>
      </c>
      <c r="C4134" s="1" t="s">
        <v>11816</v>
      </c>
      <c r="D4134" s="1" t="s">
        <v>27</v>
      </c>
      <c r="E4134" s="1" t="s">
        <v>28</v>
      </c>
      <c r="F4134" s="2">
        <v>200000.0</v>
      </c>
      <c r="G4134" s="1" t="s">
        <v>185</v>
      </c>
      <c r="H4134" s="4">
        <f>IFERROR(__xludf.DUMMYFUNCTION("DATE(INDEX(SPLIT(G4134,""/""),,3),INDEX(SPLIT(G4134,""/""),,2),INDEX(SPLIT(G4134,""/""),,1))"),44741.0)</f>
        <v>44741</v>
      </c>
      <c r="I4134" s="1" t="s">
        <v>625</v>
      </c>
      <c r="J4134" s="4">
        <f>IFERROR(__xludf.DUMMYFUNCTION("DATE(INDEX(SPLIT(I4134,""/""),,3),INDEX(SPLIT(I4134,""/""),,2),INDEX(SPLIT(I4134,""/""),,1))"),44848.0)</f>
        <v>44848</v>
      </c>
      <c r="L4134" s="1">
        <v>0.0</v>
      </c>
      <c r="M4134" s="1" t="s">
        <v>10841</v>
      </c>
      <c r="N4134" s="1"/>
      <c r="O4134" s="1" t="s">
        <v>30</v>
      </c>
      <c r="P4134" s="1" t="s">
        <v>31</v>
      </c>
      <c r="Q4134" s="1" t="s">
        <v>235</v>
      </c>
      <c r="R4134" s="1" t="s">
        <v>235</v>
      </c>
      <c r="S4134" s="1" t="s">
        <v>236</v>
      </c>
      <c r="T4134" s="1" t="s">
        <v>438</v>
      </c>
      <c r="U4134" s="1">
        <v>1.00971697E8</v>
      </c>
      <c r="X4134" s="1" t="s">
        <v>88</v>
      </c>
      <c r="Y4134" s="1" t="s">
        <v>10841</v>
      </c>
      <c r="Z4134" s="1" t="s">
        <v>1783</v>
      </c>
    </row>
    <row r="4135" hidden="1">
      <c r="A4135" s="1" t="s">
        <v>11817</v>
      </c>
      <c r="B4135" s="1" t="s">
        <v>6001</v>
      </c>
      <c r="C4135" s="1" t="s">
        <v>11818</v>
      </c>
      <c r="D4135" s="1" t="s">
        <v>27</v>
      </c>
      <c r="E4135" s="1" t="s">
        <v>28</v>
      </c>
      <c r="F4135" s="2">
        <v>200000.0</v>
      </c>
      <c r="G4135" s="1" t="s">
        <v>3438</v>
      </c>
      <c r="H4135" s="4">
        <f>IFERROR(__xludf.DUMMYFUNCTION("DATE(INDEX(SPLIT(G4135,""/""),,3),INDEX(SPLIT(G4135,""/""),,2),INDEX(SPLIT(G4135,""/""),,1))"),44407.0)</f>
        <v>44407</v>
      </c>
      <c r="I4135" s="1" t="s">
        <v>317</v>
      </c>
      <c r="J4135" s="4">
        <f>IFERROR(__xludf.DUMMYFUNCTION("DATE(INDEX(SPLIT(I4135,""/""),,3),INDEX(SPLIT(I4135,""/""),,2),INDEX(SPLIT(I4135,""/""),,1))"),44862.0)</f>
        <v>44862</v>
      </c>
      <c r="L4135" s="1">
        <v>0.0</v>
      </c>
      <c r="M4135" s="1" t="s">
        <v>5525</v>
      </c>
      <c r="N4135" s="1"/>
      <c r="O4135" s="1" t="s">
        <v>30</v>
      </c>
      <c r="P4135" s="1" t="s">
        <v>31</v>
      </c>
      <c r="Q4135" s="1" t="s">
        <v>157</v>
      </c>
      <c r="R4135" s="1" t="s">
        <v>157</v>
      </c>
      <c r="S4135" s="1" t="s">
        <v>158</v>
      </c>
      <c r="T4135" s="1" t="s">
        <v>571</v>
      </c>
      <c r="U4135" s="1">
        <v>1.00609393E8</v>
      </c>
      <c r="X4135" s="1" t="s">
        <v>88</v>
      </c>
      <c r="Y4135" s="1" t="s">
        <v>11819</v>
      </c>
      <c r="Z4135" s="1" t="s">
        <v>37</v>
      </c>
    </row>
    <row r="4136">
      <c r="A4136" s="1" t="s">
        <v>11820</v>
      </c>
      <c r="B4136" s="1" t="s">
        <v>11821</v>
      </c>
      <c r="C4136" s="1" t="s">
        <v>11822</v>
      </c>
      <c r="D4136" s="1" t="s">
        <v>27</v>
      </c>
      <c r="E4136" s="1" t="s">
        <v>28</v>
      </c>
      <c r="F4136" s="2">
        <v>200000.0</v>
      </c>
      <c r="G4136" s="4">
        <v>44598.0</v>
      </c>
      <c r="H4136" s="4">
        <f>IFERROR(__xludf.DUMMYFUNCTION("DATE(INDEX(SPLIT(G4136,""/""),,3),INDEX(SPLIT(G4136,""/""),,2),INDEX(SPLIT(G4136,""/""),,1))"),44714.0)</f>
        <v>44714</v>
      </c>
      <c r="I4136" s="1" t="s">
        <v>69</v>
      </c>
      <c r="J4136" s="4">
        <f>IFERROR(__xludf.DUMMYFUNCTION("DATE(INDEX(SPLIT(I4136,""/""),,3),INDEX(SPLIT(I4136,""/""),,2),INDEX(SPLIT(I4136,""/""),,1))"),44773.0)</f>
        <v>44773</v>
      </c>
      <c r="L4136" s="1">
        <v>0.0</v>
      </c>
      <c r="M4136" s="1" t="s">
        <v>4016</v>
      </c>
      <c r="N4136" s="1"/>
      <c r="O4136" s="1" t="s">
        <v>30</v>
      </c>
      <c r="P4136" s="1" t="s">
        <v>31</v>
      </c>
      <c r="Q4136" s="1" t="s">
        <v>95</v>
      </c>
      <c r="R4136" s="1" t="s">
        <v>95</v>
      </c>
      <c r="S4136" s="1" t="s">
        <v>96</v>
      </c>
      <c r="T4136" s="1" t="s">
        <v>111</v>
      </c>
      <c r="U4136" s="1">
        <v>1.00628223E8</v>
      </c>
      <c r="X4136" s="1" t="s">
        <v>98</v>
      </c>
      <c r="Y4136" s="1" t="s">
        <v>1293</v>
      </c>
      <c r="Z4136" s="1" t="s">
        <v>206</v>
      </c>
    </row>
    <row r="4137" hidden="1">
      <c r="A4137" s="1" t="s">
        <v>11823</v>
      </c>
      <c r="B4137" s="1" t="s">
        <v>10345</v>
      </c>
      <c r="C4137" s="1" t="s">
        <v>11824</v>
      </c>
      <c r="D4137" s="1" t="s">
        <v>122</v>
      </c>
      <c r="E4137" s="1" t="s">
        <v>28</v>
      </c>
      <c r="F4137" s="2">
        <v>200000.0</v>
      </c>
      <c r="G4137" s="1" t="s">
        <v>1598</v>
      </c>
      <c r="H4137" s="4">
        <f>IFERROR(__xludf.DUMMYFUNCTION("DATE(INDEX(SPLIT(G4137,""/""),,3),INDEX(SPLIT(G4137,""/""),,2),INDEX(SPLIT(G4137,""/""),,1))"),44461.0)</f>
        <v>44461</v>
      </c>
      <c r="I4137" s="4">
        <v>44569.0</v>
      </c>
      <c r="J4137" s="4">
        <f>IFERROR(__xludf.DUMMYFUNCTION("DATE(INDEX(SPLIT(I4137,""/""),,3),INDEX(SPLIT(I4137,""/""),,2),INDEX(SPLIT(I4137,""/""),,1))"),44774.0)</f>
        <v>44774</v>
      </c>
      <c r="L4137" s="1">
        <v>0.0</v>
      </c>
      <c r="M4137" s="1" t="s">
        <v>3236</v>
      </c>
      <c r="N4137" s="1"/>
      <c r="O4137" s="1" t="s">
        <v>30</v>
      </c>
      <c r="P4137" s="1" t="s">
        <v>31</v>
      </c>
      <c r="Q4137" s="1" t="s">
        <v>53</v>
      </c>
      <c r="R4137" s="1" t="s">
        <v>53</v>
      </c>
      <c r="S4137" s="1" t="s">
        <v>54</v>
      </c>
      <c r="T4137" s="1" t="s">
        <v>87</v>
      </c>
      <c r="U4137" s="1">
        <v>1.00650453E8</v>
      </c>
      <c r="X4137" s="1" t="s">
        <v>88</v>
      </c>
      <c r="Y4137" s="1" t="s">
        <v>11825</v>
      </c>
      <c r="Z4137" s="1" t="s">
        <v>37</v>
      </c>
    </row>
    <row r="4138" hidden="1">
      <c r="A4138" s="1" t="s">
        <v>11826</v>
      </c>
      <c r="B4138" s="1" t="s">
        <v>11827</v>
      </c>
      <c r="C4138" s="1" t="s">
        <v>11828</v>
      </c>
      <c r="D4138" s="1" t="s">
        <v>27</v>
      </c>
      <c r="E4138" s="1" t="s">
        <v>28</v>
      </c>
      <c r="F4138" s="2">
        <v>200000.0</v>
      </c>
      <c r="G4138" s="1" t="s">
        <v>3972</v>
      </c>
      <c r="H4138" s="4">
        <f>IFERROR(__xludf.DUMMYFUNCTION("DATE(INDEX(SPLIT(G4138,""/""),,3),INDEX(SPLIT(G4138,""/""),,2),INDEX(SPLIT(G4138,""/""),,1))"),44637.0)</f>
        <v>44637</v>
      </c>
      <c r="I4138" s="1" t="s">
        <v>42</v>
      </c>
      <c r="J4138" s="4">
        <f>IFERROR(__xludf.DUMMYFUNCTION("DATE(INDEX(SPLIT(I4138,""/""),,3),INDEX(SPLIT(I4138,""/""),,2),INDEX(SPLIT(I4138,""/""),,1))"),44926.0)</f>
        <v>44926</v>
      </c>
      <c r="L4138" s="1">
        <v>0.0</v>
      </c>
      <c r="M4138" s="1" t="s">
        <v>4735</v>
      </c>
      <c r="N4138" s="1"/>
      <c r="O4138" s="1" t="s">
        <v>30</v>
      </c>
      <c r="P4138" s="1" t="s">
        <v>31</v>
      </c>
      <c r="Q4138" s="1" t="s">
        <v>71</v>
      </c>
      <c r="R4138" s="1" t="s">
        <v>71</v>
      </c>
      <c r="S4138" s="1" t="s">
        <v>72</v>
      </c>
      <c r="T4138" s="1" t="s">
        <v>136</v>
      </c>
      <c r="U4138" s="1">
        <v>1.00609615E8</v>
      </c>
      <c r="X4138" s="1" t="s">
        <v>74</v>
      </c>
      <c r="Y4138" s="1" t="s">
        <v>4735</v>
      </c>
      <c r="Z4138" s="1" t="s">
        <v>206</v>
      </c>
    </row>
    <row r="4139">
      <c r="A4139" s="1" t="s">
        <v>11829</v>
      </c>
      <c r="B4139" s="1" t="s">
        <v>11830</v>
      </c>
      <c r="C4139" s="1" t="s">
        <v>11831</v>
      </c>
      <c r="D4139" s="1" t="s">
        <v>122</v>
      </c>
      <c r="E4139" s="1" t="s">
        <v>28</v>
      </c>
      <c r="F4139" s="2">
        <v>200000.0</v>
      </c>
      <c r="G4139" s="4">
        <v>44840.0</v>
      </c>
      <c r="H4139" s="4">
        <f>IFERROR(__xludf.DUMMYFUNCTION("DATE(INDEX(SPLIT(G4139,""/""),,3),INDEX(SPLIT(G4139,""/""),,2),INDEX(SPLIT(G4139,""/""),,1))"),44722.0)</f>
        <v>44722</v>
      </c>
      <c r="I4139" s="1" t="s">
        <v>503</v>
      </c>
      <c r="J4139" s="4">
        <f>IFERROR(__xludf.DUMMYFUNCTION("DATE(INDEX(SPLIT(I4139,""/""),,3),INDEX(SPLIT(I4139,""/""),,2),INDEX(SPLIT(I4139,""/""),,1))"),44736.0)</f>
        <v>44736</v>
      </c>
      <c r="L4139" s="1">
        <v>0.0</v>
      </c>
      <c r="M4139" s="1" t="s">
        <v>881</v>
      </c>
      <c r="N4139" s="1"/>
      <c r="O4139" s="1" t="s">
        <v>30</v>
      </c>
      <c r="P4139" s="1" t="s">
        <v>31</v>
      </c>
      <c r="Q4139" s="1" t="s">
        <v>53</v>
      </c>
      <c r="R4139" s="1" t="s">
        <v>53</v>
      </c>
      <c r="S4139" s="1" t="s">
        <v>54</v>
      </c>
      <c r="U4139" s="1">
        <v>1.01156917E8</v>
      </c>
      <c r="X4139" s="1" t="s">
        <v>117</v>
      </c>
      <c r="Y4139" s="1" t="s">
        <v>11832</v>
      </c>
      <c r="Z4139" s="1" t="s">
        <v>206</v>
      </c>
    </row>
    <row r="4140" hidden="1">
      <c r="A4140" s="1" t="s">
        <v>11833</v>
      </c>
      <c r="B4140" s="1" t="s">
        <v>9814</v>
      </c>
      <c r="C4140" s="1" t="s">
        <v>11834</v>
      </c>
      <c r="D4140" s="1" t="s">
        <v>78</v>
      </c>
      <c r="E4140" s="1" t="s">
        <v>28</v>
      </c>
      <c r="F4140" s="2">
        <v>200000.0</v>
      </c>
      <c r="G4140" s="1" t="s">
        <v>1521</v>
      </c>
      <c r="H4140" s="4">
        <f>IFERROR(__xludf.DUMMYFUNCTION("DATE(INDEX(SPLIT(G4140,""/""),,3),INDEX(SPLIT(G4140,""/""),,2),INDEX(SPLIT(G4140,""/""),,1))"),44756.0)</f>
        <v>44756</v>
      </c>
      <c r="I4140" s="1" t="s">
        <v>109</v>
      </c>
      <c r="J4140" s="4">
        <f>IFERROR(__xludf.DUMMYFUNCTION("DATE(INDEX(SPLIT(I4140,""/""),,3),INDEX(SPLIT(I4140,""/""),,2),INDEX(SPLIT(I4140,""/""),,1))"),44834.0)</f>
        <v>44834</v>
      </c>
      <c r="L4140" s="1">
        <v>0.0</v>
      </c>
      <c r="M4140" s="1" t="s">
        <v>2600</v>
      </c>
      <c r="N4140" s="1"/>
      <c r="O4140" s="1" t="s">
        <v>30</v>
      </c>
      <c r="P4140" s="1" t="s">
        <v>31</v>
      </c>
      <c r="Q4140" s="1" t="s">
        <v>32</v>
      </c>
      <c r="R4140" s="1" t="s">
        <v>32</v>
      </c>
      <c r="S4140" s="1" t="s">
        <v>33</v>
      </c>
      <c r="U4140" s="1">
        <v>1.00642238E8</v>
      </c>
      <c r="X4140" s="1" t="s">
        <v>88</v>
      </c>
      <c r="Y4140" s="1" t="s">
        <v>3626</v>
      </c>
      <c r="Z4140" s="1" t="s">
        <v>37</v>
      </c>
    </row>
    <row r="4141" hidden="1">
      <c r="A4141" s="1" t="s">
        <v>11835</v>
      </c>
      <c r="B4141" s="1" t="s">
        <v>39</v>
      </c>
      <c r="C4141" s="1" t="s">
        <v>11836</v>
      </c>
      <c r="D4141" s="1" t="s">
        <v>78</v>
      </c>
      <c r="E4141" s="1" t="s">
        <v>28</v>
      </c>
      <c r="F4141" s="2">
        <v>200000.0</v>
      </c>
      <c r="G4141" s="1" t="s">
        <v>185</v>
      </c>
      <c r="H4141" s="4">
        <f>IFERROR(__xludf.DUMMYFUNCTION("DATE(INDEX(SPLIT(G4141,""/""),,3),INDEX(SPLIT(G4141,""/""),,2),INDEX(SPLIT(G4141,""/""),,1))"),44741.0)</f>
        <v>44741</v>
      </c>
      <c r="I4141" s="1" t="s">
        <v>109</v>
      </c>
      <c r="J4141" s="4">
        <f>IFERROR(__xludf.DUMMYFUNCTION("DATE(INDEX(SPLIT(I4141,""/""),,3),INDEX(SPLIT(I4141,""/""),,2),INDEX(SPLIT(I4141,""/""),,1))"),44834.0)</f>
        <v>44834</v>
      </c>
      <c r="L4141" s="1">
        <v>0.0</v>
      </c>
      <c r="M4141" s="1" t="s">
        <v>43</v>
      </c>
      <c r="N4141" s="1"/>
      <c r="O4141" s="1" t="s">
        <v>30</v>
      </c>
      <c r="P4141" s="1" t="s">
        <v>31</v>
      </c>
      <c r="Q4141" s="1" t="s">
        <v>32</v>
      </c>
      <c r="R4141" s="1" t="s">
        <v>32</v>
      </c>
      <c r="S4141" s="1" t="s">
        <v>33</v>
      </c>
      <c r="T4141" s="1" t="s">
        <v>103</v>
      </c>
      <c r="U4141" s="1">
        <v>1.00587944E8</v>
      </c>
      <c r="X4141" s="1" t="s">
        <v>46</v>
      </c>
      <c r="Y4141" s="1" t="s">
        <v>104</v>
      </c>
      <c r="Z4141" s="1" t="s">
        <v>37</v>
      </c>
    </row>
    <row r="4142" hidden="1">
      <c r="A4142" s="1" t="s">
        <v>11837</v>
      </c>
      <c r="B4142" s="1" t="s">
        <v>8298</v>
      </c>
      <c r="C4142" s="1" t="s">
        <v>11838</v>
      </c>
      <c r="D4142" s="1" t="s">
        <v>78</v>
      </c>
      <c r="E4142" s="1" t="s">
        <v>28</v>
      </c>
      <c r="F4142" s="2">
        <v>200000.0</v>
      </c>
      <c r="G4142" s="4">
        <v>44355.0</v>
      </c>
      <c r="H4142" s="4">
        <f>IFERROR(__xludf.DUMMYFUNCTION("DATE(INDEX(SPLIT(G4142,""/""),,3),INDEX(SPLIT(G4142,""/""),,2),INDEX(SPLIT(G4142,""/""),,1))"),44414.0)</f>
        <v>44414</v>
      </c>
      <c r="I4142" s="1" t="s">
        <v>130</v>
      </c>
      <c r="J4142" s="4">
        <f>IFERROR(__xludf.DUMMYFUNCTION("DATE(INDEX(SPLIT(I4142,""/""),,3),INDEX(SPLIT(I4142,""/""),,2),INDEX(SPLIT(I4142,""/""),,1))"),44804.0)</f>
        <v>44804</v>
      </c>
      <c r="L4142" s="1">
        <v>0.0</v>
      </c>
      <c r="M4142" s="1" t="s">
        <v>4742</v>
      </c>
      <c r="N4142" s="1"/>
      <c r="O4142" s="1" t="s">
        <v>30</v>
      </c>
      <c r="P4142" s="1" t="s">
        <v>31</v>
      </c>
      <c r="Q4142" s="1" t="s">
        <v>228</v>
      </c>
      <c r="R4142" s="1" t="s">
        <v>228</v>
      </c>
      <c r="S4142" s="1" t="s">
        <v>229</v>
      </c>
      <c r="T4142" s="1" t="s">
        <v>513</v>
      </c>
      <c r="U4142" s="1">
        <v>1.01059844E8</v>
      </c>
      <c r="X4142" s="1" t="s">
        <v>239</v>
      </c>
      <c r="Y4142" s="1" t="s">
        <v>4742</v>
      </c>
      <c r="Z4142" s="1" t="s">
        <v>206</v>
      </c>
    </row>
    <row r="4143" hidden="1">
      <c r="A4143" s="1" t="s">
        <v>11839</v>
      </c>
      <c r="B4143" s="1" t="s">
        <v>932</v>
      </c>
      <c r="C4143" s="1" t="s">
        <v>11840</v>
      </c>
      <c r="D4143" s="1" t="s">
        <v>78</v>
      </c>
      <c r="E4143" s="1" t="s">
        <v>28</v>
      </c>
      <c r="F4143" s="2">
        <v>200000.0</v>
      </c>
      <c r="G4143" s="1" t="s">
        <v>1244</v>
      </c>
      <c r="H4143" s="4">
        <f>IFERROR(__xludf.DUMMYFUNCTION("DATE(INDEX(SPLIT(G4143,""/""),,3),INDEX(SPLIT(G4143,""/""),,2),INDEX(SPLIT(G4143,""/""),,1))"),44742.0)</f>
        <v>44742</v>
      </c>
      <c r="I4143" s="4">
        <v>44813.0</v>
      </c>
      <c r="J4143" s="4">
        <f>IFERROR(__xludf.DUMMYFUNCTION("DATE(INDEX(SPLIT(I4143,""/""),,3),INDEX(SPLIT(I4143,""/""),,2),INDEX(SPLIT(I4143,""/""),,1))"),44813.0)</f>
        <v>44813</v>
      </c>
      <c r="L4143" s="1">
        <v>0.0</v>
      </c>
      <c r="M4143" s="1" t="s">
        <v>7296</v>
      </c>
      <c r="N4143" s="1"/>
      <c r="O4143" s="1" t="s">
        <v>30</v>
      </c>
      <c r="P4143" s="1" t="s">
        <v>31</v>
      </c>
      <c r="Q4143" s="1" t="s">
        <v>71</v>
      </c>
      <c r="R4143" s="1" t="s">
        <v>71</v>
      </c>
      <c r="S4143" s="1" t="s">
        <v>72</v>
      </c>
      <c r="T4143" s="1" t="s">
        <v>73</v>
      </c>
      <c r="U4143" s="1">
        <v>1.00594243E8</v>
      </c>
      <c r="X4143" s="1" t="s">
        <v>74</v>
      </c>
      <c r="Y4143" s="1" t="s">
        <v>7296</v>
      </c>
      <c r="Z4143" s="1" t="s">
        <v>206</v>
      </c>
    </row>
    <row r="4144" hidden="1">
      <c r="A4144" s="1" t="s">
        <v>11841</v>
      </c>
      <c r="B4144" s="1" t="s">
        <v>1506</v>
      </c>
      <c r="C4144" s="1" t="s">
        <v>11842</v>
      </c>
      <c r="D4144" s="1" t="s">
        <v>27</v>
      </c>
      <c r="E4144" s="1" t="s">
        <v>28</v>
      </c>
      <c r="F4144" s="2">
        <v>200000.0</v>
      </c>
      <c r="G4144" s="1" t="s">
        <v>4133</v>
      </c>
      <c r="H4144" s="4">
        <f>IFERROR(__xludf.DUMMYFUNCTION("DATE(INDEX(SPLIT(G4144,""/""),,3),INDEX(SPLIT(G4144,""/""),,2),INDEX(SPLIT(G4144,""/""),,1))"),44495.0)</f>
        <v>44495</v>
      </c>
      <c r="I4144" s="1" t="s">
        <v>203</v>
      </c>
      <c r="J4144" s="4">
        <f>IFERROR(__xludf.DUMMYFUNCTION("DATE(INDEX(SPLIT(I4144,""/""),,3),INDEX(SPLIT(I4144,""/""),,2),INDEX(SPLIT(I4144,""/""),,1))"),44925.0)</f>
        <v>44925</v>
      </c>
      <c r="L4144" s="1">
        <v>0.0</v>
      </c>
      <c r="M4144" s="1" t="s">
        <v>715</v>
      </c>
      <c r="N4144" s="1"/>
      <c r="O4144" s="1" t="s">
        <v>30</v>
      </c>
      <c r="P4144" s="1" t="s">
        <v>31</v>
      </c>
      <c r="Q4144" s="1" t="s">
        <v>32</v>
      </c>
      <c r="R4144" s="1" t="s">
        <v>32</v>
      </c>
      <c r="S4144" s="1" t="s">
        <v>33</v>
      </c>
      <c r="T4144" s="1" t="s">
        <v>34</v>
      </c>
      <c r="U4144" s="1">
        <v>1.00592741E8</v>
      </c>
      <c r="X4144" s="1" t="s">
        <v>35</v>
      </c>
      <c r="Y4144" s="1" t="s">
        <v>715</v>
      </c>
      <c r="Z4144" s="1" t="s">
        <v>37</v>
      </c>
    </row>
    <row r="4145">
      <c r="A4145" s="1" t="s">
        <v>11843</v>
      </c>
      <c r="B4145" s="1" t="s">
        <v>2030</v>
      </c>
      <c r="C4145" s="1" t="s">
        <v>11844</v>
      </c>
      <c r="D4145" s="1" t="s">
        <v>27</v>
      </c>
      <c r="E4145" s="1" t="s">
        <v>28</v>
      </c>
      <c r="F4145" s="2">
        <v>200000.0</v>
      </c>
      <c r="G4145" s="1" t="s">
        <v>1244</v>
      </c>
      <c r="H4145" s="4">
        <f>IFERROR(__xludf.DUMMYFUNCTION("DATE(INDEX(SPLIT(G4145,""/""),,3),INDEX(SPLIT(G4145,""/""),,2),INDEX(SPLIT(G4145,""/""),,1))"),44742.0)</f>
        <v>44742</v>
      </c>
      <c r="I4145" s="1" t="s">
        <v>226</v>
      </c>
      <c r="J4145" s="4">
        <f>IFERROR(__xludf.DUMMYFUNCTION("DATE(INDEX(SPLIT(I4145,""/""),,3),INDEX(SPLIT(I4145,""/""),,2),INDEX(SPLIT(I4145,""/""),,1))"),44771.0)</f>
        <v>44771</v>
      </c>
      <c r="L4145" s="1">
        <v>0.0</v>
      </c>
      <c r="M4145" s="1" t="s">
        <v>7296</v>
      </c>
      <c r="N4145" s="1"/>
      <c r="O4145" s="1" t="s">
        <v>30</v>
      </c>
      <c r="P4145" s="1" t="s">
        <v>31</v>
      </c>
      <c r="Q4145" s="1" t="s">
        <v>71</v>
      </c>
      <c r="R4145" s="1" t="s">
        <v>71</v>
      </c>
      <c r="S4145" s="1" t="s">
        <v>72</v>
      </c>
      <c r="T4145" s="1" t="s">
        <v>73</v>
      </c>
      <c r="U4145" s="1">
        <v>1.00594243E8</v>
      </c>
      <c r="X4145" s="1" t="s">
        <v>74</v>
      </c>
      <c r="Y4145" s="1" t="s">
        <v>7296</v>
      </c>
      <c r="Z4145" s="1" t="s">
        <v>206</v>
      </c>
    </row>
    <row r="4146">
      <c r="A4146" s="1" t="s">
        <v>11845</v>
      </c>
      <c r="B4146" s="1" t="s">
        <v>1295</v>
      </c>
      <c r="C4146" s="1" t="s">
        <v>11846</v>
      </c>
      <c r="D4146" s="1" t="s">
        <v>78</v>
      </c>
      <c r="E4146" s="1" t="s">
        <v>28</v>
      </c>
      <c r="F4146" s="2">
        <v>200000.0</v>
      </c>
      <c r="G4146" s="4">
        <v>44568.0</v>
      </c>
      <c r="H4146" s="4">
        <f>IFERROR(__xludf.DUMMYFUNCTION("DATE(INDEX(SPLIT(G4146,""/""),,3),INDEX(SPLIT(G4146,""/""),,2),INDEX(SPLIT(G4146,""/""),,1))"),44743.0)</f>
        <v>44743</v>
      </c>
      <c r="I4146" s="1" t="s">
        <v>935</v>
      </c>
      <c r="J4146" s="4">
        <f>IFERROR(__xludf.DUMMYFUNCTION("DATE(INDEX(SPLIT(I4146,""/""),,3),INDEX(SPLIT(I4146,""/""),,2),INDEX(SPLIT(I4146,""/""),,1))"),44764.0)</f>
        <v>44764</v>
      </c>
      <c r="L4146" s="1">
        <v>0.0</v>
      </c>
      <c r="M4146" s="1" t="s">
        <v>1298</v>
      </c>
      <c r="N4146" s="1"/>
      <c r="O4146" s="1" t="s">
        <v>30</v>
      </c>
      <c r="P4146" s="1" t="s">
        <v>31</v>
      </c>
      <c r="Q4146" s="1" t="s">
        <v>188</v>
      </c>
      <c r="R4146" s="1" t="s">
        <v>188</v>
      </c>
      <c r="S4146" s="1" t="s">
        <v>189</v>
      </c>
      <c r="U4146" s="1">
        <v>1.00642499E8</v>
      </c>
      <c r="X4146" s="1" t="s">
        <v>98</v>
      </c>
      <c r="Y4146" s="1" t="s">
        <v>11847</v>
      </c>
      <c r="Z4146" s="1" t="s">
        <v>37</v>
      </c>
    </row>
    <row r="4147">
      <c r="A4147" s="1" t="s">
        <v>11848</v>
      </c>
      <c r="B4147" s="1" t="s">
        <v>7635</v>
      </c>
      <c r="C4147" s="1" t="s">
        <v>11849</v>
      </c>
      <c r="D4147" s="1" t="s">
        <v>122</v>
      </c>
      <c r="E4147" s="1" t="s">
        <v>28</v>
      </c>
      <c r="F4147" s="2">
        <v>200000.0</v>
      </c>
      <c r="G4147" s="1" t="s">
        <v>1136</v>
      </c>
      <c r="H4147" s="4">
        <f>IFERROR(__xludf.DUMMYFUNCTION("DATE(INDEX(SPLIT(G4147,""/""),,3),INDEX(SPLIT(G4147,""/""),,2),INDEX(SPLIT(G4147,""/""),,1))"),44608.0)</f>
        <v>44608</v>
      </c>
      <c r="I4147" s="1" t="s">
        <v>1244</v>
      </c>
      <c r="J4147" s="4">
        <f>IFERROR(__xludf.DUMMYFUNCTION("DATE(INDEX(SPLIT(I4147,""/""),,3),INDEX(SPLIT(I4147,""/""),,2),INDEX(SPLIT(I4147,""/""),,1))"),44742.0)</f>
        <v>44742</v>
      </c>
      <c r="L4147" s="1">
        <v>0.0</v>
      </c>
      <c r="M4147" s="1" t="s">
        <v>1610</v>
      </c>
      <c r="N4147" s="1"/>
      <c r="O4147" s="1" t="s">
        <v>30</v>
      </c>
      <c r="P4147" s="1" t="s">
        <v>31</v>
      </c>
      <c r="Q4147" s="1" t="s">
        <v>53</v>
      </c>
      <c r="R4147" s="1" t="s">
        <v>53</v>
      </c>
      <c r="S4147" s="1" t="s">
        <v>54</v>
      </c>
      <c r="T4147" s="1" t="s">
        <v>1386</v>
      </c>
      <c r="U4147" s="1">
        <v>1.01141441E8</v>
      </c>
      <c r="X4147" s="1" t="s">
        <v>410</v>
      </c>
      <c r="Y4147" s="1" t="s">
        <v>11850</v>
      </c>
      <c r="Z4147" s="1" t="s">
        <v>37</v>
      </c>
    </row>
    <row r="4148" hidden="1">
      <c r="A4148" s="1" t="s">
        <v>11851</v>
      </c>
      <c r="B4148" s="1" t="s">
        <v>645</v>
      </c>
      <c r="C4148" s="1" t="s">
        <v>11852</v>
      </c>
      <c r="D4148" s="1" t="s">
        <v>27</v>
      </c>
      <c r="E4148" s="1" t="s">
        <v>28</v>
      </c>
      <c r="F4148" s="2">
        <v>200000.0</v>
      </c>
      <c r="G4148" s="1" t="s">
        <v>1851</v>
      </c>
      <c r="H4148" s="4">
        <f>IFERROR(__xludf.DUMMYFUNCTION("DATE(INDEX(SPLIT(G4148,""/""),,3),INDEX(SPLIT(G4148,""/""),,2),INDEX(SPLIT(G4148,""/""),,1))"),44646.0)</f>
        <v>44646</v>
      </c>
      <c r="I4148" s="1" t="s">
        <v>42</v>
      </c>
      <c r="J4148" s="4">
        <f>IFERROR(__xludf.DUMMYFUNCTION("DATE(INDEX(SPLIT(I4148,""/""),,3),INDEX(SPLIT(I4148,""/""),,2),INDEX(SPLIT(I4148,""/""),,1))"),44926.0)</f>
        <v>44926</v>
      </c>
      <c r="L4148" s="1">
        <v>0.0</v>
      </c>
      <c r="M4148" s="1" t="s">
        <v>2067</v>
      </c>
      <c r="N4148" s="1"/>
      <c r="O4148" s="1" t="s">
        <v>30</v>
      </c>
      <c r="P4148" s="1" t="s">
        <v>31</v>
      </c>
      <c r="Q4148" s="1" t="s">
        <v>95</v>
      </c>
      <c r="R4148" s="1" t="s">
        <v>95</v>
      </c>
      <c r="S4148" s="1" t="s">
        <v>96</v>
      </c>
      <c r="T4148" s="1" t="s">
        <v>111</v>
      </c>
      <c r="U4148" s="1">
        <v>1.00631322E8</v>
      </c>
      <c r="X4148" s="1" t="s">
        <v>190</v>
      </c>
      <c r="Y4148" s="1" t="s">
        <v>1076</v>
      </c>
      <c r="Z4148" s="1" t="s">
        <v>37</v>
      </c>
    </row>
    <row r="4149" hidden="1">
      <c r="A4149" s="1" t="s">
        <v>11853</v>
      </c>
      <c r="B4149" s="1" t="s">
        <v>144</v>
      </c>
      <c r="C4149" s="1" t="s">
        <v>11854</v>
      </c>
      <c r="D4149" s="1" t="s">
        <v>27</v>
      </c>
      <c r="E4149" s="1" t="s">
        <v>28</v>
      </c>
      <c r="F4149" s="2">
        <v>200000.0</v>
      </c>
      <c r="G4149" s="4">
        <v>43323.0</v>
      </c>
      <c r="H4149" s="4">
        <f>IFERROR(__xludf.DUMMYFUNCTION("DATE(INDEX(SPLIT(G4149,""/""),,3),INDEX(SPLIT(G4149,""/""),,2),INDEX(SPLIT(G4149,""/""),,1))"),43412.0)</f>
        <v>43412</v>
      </c>
      <c r="I4149" s="1" t="s">
        <v>109</v>
      </c>
      <c r="J4149" s="4">
        <f>IFERROR(__xludf.DUMMYFUNCTION("DATE(INDEX(SPLIT(I4149,""/""),,3),INDEX(SPLIT(I4149,""/""),,2),INDEX(SPLIT(I4149,""/""),,1))"),44834.0)</f>
        <v>44834</v>
      </c>
      <c r="L4149" s="1">
        <v>0.0</v>
      </c>
      <c r="M4149" s="1" t="s">
        <v>601</v>
      </c>
      <c r="N4149" s="1"/>
      <c r="O4149" s="1" t="s">
        <v>30</v>
      </c>
      <c r="P4149" s="1" t="s">
        <v>31</v>
      </c>
      <c r="Q4149" s="1" t="s">
        <v>95</v>
      </c>
      <c r="R4149" s="1" t="s">
        <v>95</v>
      </c>
      <c r="S4149" s="1" t="s">
        <v>96</v>
      </c>
      <c r="T4149" s="1" t="s">
        <v>602</v>
      </c>
      <c r="U4149" s="1">
        <v>1.00625415E8</v>
      </c>
      <c r="X4149" s="1" t="s">
        <v>88</v>
      </c>
      <c r="Y4149" s="1" t="s">
        <v>4577</v>
      </c>
      <c r="Z4149" s="1" t="s">
        <v>37</v>
      </c>
    </row>
    <row r="4150" hidden="1">
      <c r="A4150" s="1" t="s">
        <v>11855</v>
      </c>
      <c r="B4150" s="1" t="s">
        <v>11856</v>
      </c>
      <c r="C4150" s="1" t="s">
        <v>11857</v>
      </c>
      <c r="D4150" s="1" t="s">
        <v>27</v>
      </c>
      <c r="E4150" s="1" t="s">
        <v>28</v>
      </c>
      <c r="F4150" s="2">
        <v>200000.0</v>
      </c>
      <c r="G4150" s="1" t="s">
        <v>682</v>
      </c>
      <c r="H4150" s="4">
        <f>IFERROR(__xludf.DUMMYFUNCTION("DATE(INDEX(SPLIT(G4150,""/""),,3),INDEX(SPLIT(G4150,""/""),,2),INDEX(SPLIT(G4150,""/""),,1))"),44406.0)</f>
        <v>44406</v>
      </c>
      <c r="I4150" s="1" t="s">
        <v>179</v>
      </c>
      <c r="J4150" s="4">
        <f>IFERROR(__xludf.DUMMYFUNCTION("DATE(INDEX(SPLIT(I4150,""/""),,3),INDEX(SPLIT(I4150,""/""),,2),INDEX(SPLIT(I4150,""/""),,1))"),44890.0)</f>
        <v>44890</v>
      </c>
      <c r="L4150" s="1">
        <v>0.0</v>
      </c>
      <c r="M4150" s="1" t="s">
        <v>2336</v>
      </c>
      <c r="N4150" s="1"/>
      <c r="O4150" s="1" t="s">
        <v>30</v>
      </c>
      <c r="P4150" s="1" t="s">
        <v>31</v>
      </c>
      <c r="Q4150" s="1" t="s">
        <v>235</v>
      </c>
      <c r="R4150" s="1" t="s">
        <v>235</v>
      </c>
      <c r="S4150" s="1" t="s">
        <v>236</v>
      </c>
      <c r="T4150" s="1" t="s">
        <v>1386</v>
      </c>
      <c r="U4150" s="1">
        <v>1.00608366E8</v>
      </c>
      <c r="X4150" s="1" t="s">
        <v>375</v>
      </c>
      <c r="Y4150" s="1" t="s">
        <v>4789</v>
      </c>
      <c r="Z4150" s="1" t="s">
        <v>37</v>
      </c>
    </row>
    <row r="4151" hidden="1">
      <c r="A4151" s="1" t="s">
        <v>11858</v>
      </c>
      <c r="B4151" s="1" t="s">
        <v>2895</v>
      </c>
      <c r="C4151" s="1" t="s">
        <v>11859</v>
      </c>
      <c r="D4151" s="1" t="s">
        <v>78</v>
      </c>
      <c r="E4151" s="1" t="s">
        <v>28</v>
      </c>
      <c r="F4151" s="2">
        <v>200000.0</v>
      </c>
      <c r="G4151" s="1" t="s">
        <v>6039</v>
      </c>
      <c r="H4151" s="4">
        <f>IFERROR(__xludf.DUMMYFUNCTION("DATE(INDEX(SPLIT(G4151,""/""),,3),INDEX(SPLIT(G4151,""/""),,2),INDEX(SPLIT(G4151,""/""),,1))"),44316.0)</f>
        <v>44316</v>
      </c>
      <c r="I4151" s="1" t="s">
        <v>109</v>
      </c>
      <c r="J4151" s="4">
        <f>IFERROR(__xludf.DUMMYFUNCTION("DATE(INDEX(SPLIT(I4151,""/""),,3),INDEX(SPLIT(I4151,""/""),,2),INDEX(SPLIT(I4151,""/""),,1))"),44834.0)</f>
        <v>44834</v>
      </c>
      <c r="L4151" s="1">
        <v>0.0</v>
      </c>
      <c r="M4151" s="1" t="s">
        <v>1027</v>
      </c>
      <c r="N4151" s="1"/>
      <c r="O4151" s="1" t="s">
        <v>30</v>
      </c>
      <c r="P4151" s="1" t="s">
        <v>31</v>
      </c>
      <c r="Q4151" s="1" t="s">
        <v>53</v>
      </c>
      <c r="R4151" s="1" t="s">
        <v>53</v>
      </c>
      <c r="S4151" s="1" t="s">
        <v>54</v>
      </c>
      <c r="T4151" s="1" t="s">
        <v>181</v>
      </c>
      <c r="U4151" s="1">
        <v>1.00879751E8</v>
      </c>
      <c r="X4151" s="1" t="s">
        <v>74</v>
      </c>
      <c r="Y4151" s="1" t="s">
        <v>3513</v>
      </c>
      <c r="Z4151" s="1" t="s">
        <v>37</v>
      </c>
    </row>
    <row r="4152">
      <c r="A4152" s="1" t="s">
        <v>11860</v>
      </c>
      <c r="B4152" s="1" t="s">
        <v>516</v>
      </c>
      <c r="C4152" s="1" t="s">
        <v>11861</v>
      </c>
      <c r="D4152" s="1" t="s">
        <v>122</v>
      </c>
      <c r="E4152" s="1" t="s">
        <v>28</v>
      </c>
      <c r="F4152" s="2">
        <v>200000.0</v>
      </c>
      <c r="G4152" s="4">
        <v>44598.0</v>
      </c>
      <c r="H4152" s="4">
        <f>IFERROR(__xludf.DUMMYFUNCTION("DATE(INDEX(SPLIT(G4152,""/""),,3),INDEX(SPLIT(G4152,""/""),,2),INDEX(SPLIT(G4152,""/""),,1))"),44714.0)</f>
        <v>44714</v>
      </c>
      <c r="I4152" s="1" t="s">
        <v>1244</v>
      </c>
      <c r="J4152" s="4">
        <f>IFERROR(__xludf.DUMMYFUNCTION("DATE(INDEX(SPLIT(I4152,""/""),,3),INDEX(SPLIT(I4152,""/""),,2),INDEX(SPLIT(I4152,""/""),,1))"),44742.0)</f>
        <v>44742</v>
      </c>
      <c r="L4152" s="1">
        <v>0.0</v>
      </c>
      <c r="M4152" s="1" t="s">
        <v>11190</v>
      </c>
      <c r="N4152" s="1"/>
      <c r="O4152" s="1" t="s">
        <v>30</v>
      </c>
      <c r="P4152" s="1" t="s">
        <v>31</v>
      </c>
      <c r="Q4152" s="1" t="s">
        <v>228</v>
      </c>
      <c r="R4152" s="1" t="s">
        <v>228</v>
      </c>
      <c r="S4152" s="1" t="s">
        <v>229</v>
      </c>
      <c r="T4152" s="1" t="s">
        <v>513</v>
      </c>
      <c r="U4152" s="1">
        <v>1.00608136E8</v>
      </c>
      <c r="X4152" s="1" t="s">
        <v>190</v>
      </c>
      <c r="Y4152" s="1" t="s">
        <v>11862</v>
      </c>
      <c r="Z4152" s="1" t="s">
        <v>37</v>
      </c>
    </row>
    <row r="4153">
      <c r="A4153" s="1" t="s">
        <v>11863</v>
      </c>
      <c r="B4153" s="1" t="s">
        <v>76</v>
      </c>
      <c r="C4153" s="1" t="s">
        <v>11864</v>
      </c>
      <c r="D4153" s="1" t="s">
        <v>27</v>
      </c>
      <c r="E4153" s="1" t="s">
        <v>28</v>
      </c>
      <c r="F4153" s="2">
        <v>200000.0</v>
      </c>
      <c r="G4153" s="1" t="s">
        <v>1044</v>
      </c>
      <c r="H4153" s="4">
        <f>IFERROR(__xludf.DUMMYFUNCTION("DATE(INDEX(SPLIT(G4153,""/""),,3),INDEX(SPLIT(G4153,""/""),,2),INDEX(SPLIT(G4153,""/""),,1))"),44588.0)</f>
        <v>44588</v>
      </c>
      <c r="I4153" s="1" t="s">
        <v>1244</v>
      </c>
      <c r="J4153" s="4">
        <f>IFERROR(__xludf.DUMMYFUNCTION("DATE(INDEX(SPLIT(I4153,""/""),,3),INDEX(SPLIT(I4153,""/""),,2),INDEX(SPLIT(I4153,""/""),,1))"),44742.0)</f>
        <v>44742</v>
      </c>
      <c r="L4153" s="1">
        <v>0.0</v>
      </c>
      <c r="M4153" s="1" t="s">
        <v>1610</v>
      </c>
      <c r="N4153" s="1"/>
      <c r="O4153" s="1" t="s">
        <v>30</v>
      </c>
      <c r="P4153" s="1" t="s">
        <v>31</v>
      </c>
      <c r="Q4153" s="1" t="s">
        <v>53</v>
      </c>
      <c r="R4153" s="1" t="s">
        <v>53</v>
      </c>
      <c r="S4153" s="1" t="s">
        <v>54</v>
      </c>
      <c r="T4153" s="1" t="s">
        <v>1386</v>
      </c>
      <c r="U4153" s="1">
        <v>1.01141441E8</v>
      </c>
      <c r="X4153" s="1" t="s">
        <v>81</v>
      </c>
      <c r="Y4153" s="1" t="s">
        <v>1610</v>
      </c>
      <c r="Z4153" s="1" t="s">
        <v>37</v>
      </c>
    </row>
    <row r="4154" hidden="1">
      <c r="A4154" s="1" t="s">
        <v>11865</v>
      </c>
      <c r="B4154" s="1" t="s">
        <v>3786</v>
      </c>
      <c r="C4154" s="1" t="s">
        <v>11866</v>
      </c>
      <c r="D4154" s="1" t="s">
        <v>27</v>
      </c>
      <c r="E4154" s="1" t="s">
        <v>28</v>
      </c>
      <c r="F4154" s="2">
        <v>200000.0</v>
      </c>
      <c r="G4154" s="1" t="s">
        <v>9556</v>
      </c>
      <c r="H4154" s="4">
        <f>IFERROR(__xludf.DUMMYFUNCTION("DATE(INDEX(SPLIT(G4154,""/""),,3),INDEX(SPLIT(G4154,""/""),,2),INDEX(SPLIT(G4154,""/""),,1))"),44312.0)</f>
        <v>44312</v>
      </c>
      <c r="I4154" s="1" t="s">
        <v>109</v>
      </c>
      <c r="J4154" s="4">
        <f>IFERROR(__xludf.DUMMYFUNCTION("DATE(INDEX(SPLIT(I4154,""/""),,3),INDEX(SPLIT(I4154,""/""),,2),INDEX(SPLIT(I4154,""/""),,1))"),44834.0)</f>
        <v>44834</v>
      </c>
      <c r="L4154" s="1">
        <v>0.0</v>
      </c>
      <c r="M4154" s="1" t="s">
        <v>1527</v>
      </c>
      <c r="N4154" s="1"/>
      <c r="O4154" s="1" t="s">
        <v>30</v>
      </c>
      <c r="P4154" s="1" t="s">
        <v>31</v>
      </c>
      <c r="Q4154" s="1" t="s">
        <v>95</v>
      </c>
      <c r="R4154" s="1" t="s">
        <v>95</v>
      </c>
      <c r="S4154" s="1" t="s">
        <v>96</v>
      </c>
      <c r="T4154" s="1" t="s">
        <v>489</v>
      </c>
      <c r="U4154" s="1">
        <v>1.00651554E8</v>
      </c>
      <c r="X4154" s="1" t="s">
        <v>490</v>
      </c>
      <c r="Y4154" s="1" t="s">
        <v>244</v>
      </c>
      <c r="Z4154" s="1" t="s">
        <v>37</v>
      </c>
    </row>
    <row r="4155" hidden="1">
      <c r="A4155" s="1" t="s">
        <v>11867</v>
      </c>
      <c r="B4155" s="1" t="s">
        <v>25</v>
      </c>
      <c r="C4155" s="1" t="s">
        <v>11868</v>
      </c>
      <c r="D4155" s="1" t="s">
        <v>27</v>
      </c>
      <c r="E4155" s="1" t="s">
        <v>28</v>
      </c>
      <c r="F4155" s="2">
        <v>200000.0</v>
      </c>
      <c r="G4155" s="1" t="s">
        <v>154</v>
      </c>
      <c r="H4155" s="4">
        <f>IFERROR(__xludf.DUMMYFUNCTION("DATE(INDEX(SPLIT(G4155,""/""),,3),INDEX(SPLIT(G4155,""/""),,2),INDEX(SPLIT(G4155,""/""),,1))"),44670.0)</f>
        <v>44670</v>
      </c>
      <c r="I4155" s="1" t="s">
        <v>109</v>
      </c>
      <c r="J4155" s="4">
        <f>IFERROR(__xludf.DUMMYFUNCTION("DATE(INDEX(SPLIT(I4155,""/""),,3),INDEX(SPLIT(I4155,""/""),,2),INDEX(SPLIT(I4155,""/""),,1))"),44834.0)</f>
        <v>44834</v>
      </c>
      <c r="L4155" s="1">
        <v>0.0</v>
      </c>
      <c r="M4155" s="1" t="s">
        <v>706</v>
      </c>
      <c r="N4155" s="1"/>
      <c r="O4155" s="1" t="s">
        <v>30</v>
      </c>
      <c r="P4155" s="1" t="s">
        <v>31</v>
      </c>
      <c r="Q4155" s="1" t="s">
        <v>53</v>
      </c>
      <c r="R4155" s="1" t="s">
        <v>53</v>
      </c>
      <c r="S4155" s="1" t="s">
        <v>54</v>
      </c>
      <c r="U4155" s="1">
        <v>1.00651901E8</v>
      </c>
      <c r="X4155" s="1" t="s">
        <v>35</v>
      </c>
      <c r="Y4155" s="1" t="s">
        <v>11869</v>
      </c>
      <c r="Z4155" s="1" t="s">
        <v>37</v>
      </c>
    </row>
    <row r="4156">
      <c r="A4156" s="1" t="s">
        <v>11870</v>
      </c>
      <c r="B4156" s="1" t="s">
        <v>1748</v>
      </c>
      <c r="C4156" s="1" t="s">
        <v>11871</v>
      </c>
      <c r="D4156" s="1" t="s">
        <v>78</v>
      </c>
      <c r="E4156" s="1" t="s">
        <v>28</v>
      </c>
      <c r="F4156" s="2">
        <v>200000.0</v>
      </c>
      <c r="G4156" s="4">
        <v>44538.0</v>
      </c>
      <c r="H4156" s="4">
        <f>IFERROR(__xludf.DUMMYFUNCTION("DATE(INDEX(SPLIT(G4156,""/""),,3),INDEX(SPLIT(G4156,""/""),,2),INDEX(SPLIT(G4156,""/""),,1))"),44420.0)</f>
        <v>44420</v>
      </c>
      <c r="I4156" s="4">
        <v>44718.0</v>
      </c>
      <c r="J4156" s="4">
        <f>IFERROR(__xludf.DUMMYFUNCTION("DATE(INDEX(SPLIT(I4156,""/""),,3),INDEX(SPLIT(I4156,""/""),,2),INDEX(SPLIT(I4156,""/""),,1))"),44718.0)</f>
        <v>44718</v>
      </c>
      <c r="L4156" s="1">
        <v>0.0</v>
      </c>
      <c r="M4156" s="1" t="s">
        <v>3350</v>
      </c>
      <c r="N4156" s="1"/>
      <c r="O4156" s="1" t="s">
        <v>30</v>
      </c>
      <c r="P4156" s="1" t="s">
        <v>31</v>
      </c>
      <c r="Q4156" s="1" t="s">
        <v>228</v>
      </c>
      <c r="R4156" s="1" t="s">
        <v>228</v>
      </c>
      <c r="S4156" s="1" t="s">
        <v>229</v>
      </c>
      <c r="T4156" s="1" t="s">
        <v>513</v>
      </c>
      <c r="U4156" s="1">
        <v>1.00638965E8</v>
      </c>
      <c r="X4156" s="1" t="s">
        <v>88</v>
      </c>
      <c r="Y4156" s="1" t="s">
        <v>3350</v>
      </c>
      <c r="Z4156" s="1" t="s">
        <v>206</v>
      </c>
    </row>
    <row r="4157">
      <c r="A4157" s="1" t="s">
        <v>11872</v>
      </c>
      <c r="B4157" s="1" t="s">
        <v>2000</v>
      </c>
      <c r="C4157" s="1" t="s">
        <v>11873</v>
      </c>
      <c r="D4157" s="1" t="s">
        <v>122</v>
      </c>
      <c r="E4157" s="1" t="s">
        <v>28</v>
      </c>
      <c r="F4157" s="2">
        <v>199800.0</v>
      </c>
      <c r="G4157" s="1" t="s">
        <v>1442</v>
      </c>
      <c r="H4157" s="4">
        <f>IFERROR(__xludf.DUMMYFUNCTION("DATE(INDEX(SPLIT(G4157,""/""),,3),INDEX(SPLIT(G4157,""/""),,2),INDEX(SPLIT(G4157,""/""),,1))"),44727.0)</f>
        <v>44727</v>
      </c>
      <c r="I4157" s="1" t="s">
        <v>69</v>
      </c>
      <c r="J4157" s="4">
        <f>IFERROR(__xludf.DUMMYFUNCTION("DATE(INDEX(SPLIT(I4157,""/""),,3),INDEX(SPLIT(I4157,""/""),,2),INDEX(SPLIT(I4157,""/""),,1))"),44773.0)</f>
        <v>44773</v>
      </c>
      <c r="L4157" s="1">
        <v>0.0</v>
      </c>
      <c r="M4157" s="1" t="s">
        <v>3948</v>
      </c>
      <c r="N4157" s="1"/>
      <c r="O4157" s="1" t="s">
        <v>30</v>
      </c>
      <c r="P4157" s="1" t="s">
        <v>31</v>
      </c>
      <c r="Q4157" s="1" t="s">
        <v>228</v>
      </c>
      <c r="R4157" s="1" t="s">
        <v>228</v>
      </c>
      <c r="S4157" s="1" t="s">
        <v>229</v>
      </c>
      <c r="T4157" s="1" t="s">
        <v>513</v>
      </c>
      <c r="U4157" s="1">
        <v>1.0066189E8</v>
      </c>
      <c r="X4157" s="1" t="s">
        <v>63</v>
      </c>
      <c r="Y4157" s="1" t="s">
        <v>11874</v>
      </c>
      <c r="Z4157" s="1" t="s">
        <v>37</v>
      </c>
    </row>
    <row r="4158" hidden="1">
      <c r="A4158" s="1" t="s">
        <v>11875</v>
      </c>
      <c r="B4158" s="1" t="s">
        <v>1300</v>
      </c>
      <c r="C4158" s="1" t="s">
        <v>11876</v>
      </c>
      <c r="D4158" s="1" t="s">
        <v>27</v>
      </c>
      <c r="E4158" s="1" t="s">
        <v>28</v>
      </c>
      <c r="F4158" s="2">
        <v>199500.0</v>
      </c>
      <c r="G4158" s="1" t="s">
        <v>1381</v>
      </c>
      <c r="H4158" s="4">
        <f>IFERROR(__xludf.DUMMYFUNCTION("DATE(INDEX(SPLIT(G4158,""/""),,3),INDEX(SPLIT(G4158,""/""),,2),INDEX(SPLIT(G4158,""/""),,1))"),44643.0)</f>
        <v>44643</v>
      </c>
      <c r="I4158" s="1" t="s">
        <v>109</v>
      </c>
      <c r="J4158" s="4">
        <f>IFERROR(__xludf.DUMMYFUNCTION("DATE(INDEX(SPLIT(I4158,""/""),,3),INDEX(SPLIT(I4158,""/""),,2),INDEX(SPLIT(I4158,""/""),,1))"),44834.0)</f>
        <v>44834</v>
      </c>
      <c r="L4158" s="1">
        <v>0.0</v>
      </c>
      <c r="M4158" s="1" t="s">
        <v>4591</v>
      </c>
      <c r="N4158" s="1"/>
      <c r="O4158" s="1" t="s">
        <v>30</v>
      </c>
      <c r="P4158" s="1" t="s">
        <v>31</v>
      </c>
      <c r="Q4158" s="1" t="s">
        <v>157</v>
      </c>
      <c r="R4158" s="1" t="s">
        <v>157</v>
      </c>
      <c r="S4158" s="1" t="s">
        <v>158</v>
      </c>
      <c r="U4158" s="1">
        <v>1.01056026E8</v>
      </c>
      <c r="X4158" s="1" t="s">
        <v>88</v>
      </c>
      <c r="Y4158" s="1" t="s">
        <v>4591</v>
      </c>
      <c r="Z4158" s="1" t="s">
        <v>37</v>
      </c>
    </row>
    <row r="4159" hidden="1">
      <c r="A4159" s="1" t="s">
        <v>11877</v>
      </c>
      <c r="B4159" s="1" t="s">
        <v>2501</v>
      </c>
      <c r="C4159" s="1" t="s">
        <v>11878</v>
      </c>
      <c r="D4159" s="1" t="s">
        <v>27</v>
      </c>
      <c r="E4159" s="1" t="s">
        <v>28</v>
      </c>
      <c r="F4159" s="2">
        <v>199000.0</v>
      </c>
      <c r="G4159" s="4">
        <v>44450.0</v>
      </c>
      <c r="H4159" s="4">
        <f>IFERROR(__xludf.DUMMYFUNCTION("DATE(INDEX(SPLIT(G4159,""/""),,3),INDEX(SPLIT(G4159,""/""),,2),INDEX(SPLIT(G4159,""/""),,1))"),44509.0)</f>
        <v>44509</v>
      </c>
      <c r="I4159" s="1" t="s">
        <v>1750</v>
      </c>
      <c r="J4159" s="4">
        <f>IFERROR(__xludf.DUMMYFUNCTION("DATE(INDEX(SPLIT(I4159,""/""),,3),INDEX(SPLIT(I4159,""/""),,2),INDEX(SPLIT(I4159,""/""),,1))"),44802.0)</f>
        <v>44802</v>
      </c>
      <c r="L4159" s="1">
        <v>0.0</v>
      </c>
      <c r="M4159" s="1" t="s">
        <v>633</v>
      </c>
      <c r="N4159" s="1"/>
      <c r="O4159" s="1" t="s">
        <v>30</v>
      </c>
      <c r="P4159" s="1" t="s">
        <v>31</v>
      </c>
      <c r="Q4159" s="1" t="s">
        <v>53</v>
      </c>
      <c r="R4159" s="1" t="s">
        <v>53</v>
      </c>
      <c r="S4159" s="1" t="s">
        <v>54</v>
      </c>
      <c r="T4159" s="1" t="s">
        <v>634</v>
      </c>
      <c r="U4159" s="1">
        <v>1.00997154E8</v>
      </c>
      <c r="X4159" s="1" t="s">
        <v>490</v>
      </c>
      <c r="Y4159" s="1" t="s">
        <v>3419</v>
      </c>
      <c r="Z4159" s="1" t="s">
        <v>37</v>
      </c>
    </row>
    <row r="4160" hidden="1">
      <c r="A4160" s="1" t="s">
        <v>11879</v>
      </c>
      <c r="B4160" s="1" t="s">
        <v>106</v>
      </c>
      <c r="C4160" s="1" t="s">
        <v>11880</v>
      </c>
      <c r="D4160" s="1" t="s">
        <v>78</v>
      </c>
      <c r="E4160" s="1" t="s">
        <v>28</v>
      </c>
      <c r="F4160" s="2">
        <v>199000.0</v>
      </c>
      <c r="G4160" s="4">
        <v>44538.0</v>
      </c>
      <c r="H4160" s="4">
        <f>IFERROR(__xludf.DUMMYFUNCTION("DATE(INDEX(SPLIT(G4160,""/""),,3),INDEX(SPLIT(G4160,""/""),,2),INDEX(SPLIT(G4160,""/""),,1))"),44420.0)</f>
        <v>44420</v>
      </c>
      <c r="I4160" s="4">
        <v>44903.0</v>
      </c>
      <c r="J4160" s="4">
        <f>IFERROR(__xludf.DUMMYFUNCTION("DATE(INDEX(SPLIT(I4160,""/""),,3),INDEX(SPLIT(I4160,""/""),,2),INDEX(SPLIT(I4160,""/""),,1))"),44785.0)</f>
        <v>44785</v>
      </c>
      <c r="L4160" s="1">
        <v>0.0</v>
      </c>
      <c r="M4160" s="1" t="s">
        <v>1755</v>
      </c>
      <c r="N4160" s="1"/>
      <c r="O4160" s="1" t="s">
        <v>30</v>
      </c>
      <c r="P4160" s="1" t="s">
        <v>31</v>
      </c>
      <c r="Q4160" s="1" t="s">
        <v>188</v>
      </c>
      <c r="R4160" s="1" t="s">
        <v>188</v>
      </c>
      <c r="S4160" s="1" t="s">
        <v>189</v>
      </c>
      <c r="U4160" s="1">
        <v>1.00904603E8</v>
      </c>
      <c r="V4160" s="1" t="s">
        <v>11880</v>
      </c>
      <c r="W4160" s="1" t="s">
        <v>2556</v>
      </c>
      <c r="X4160" s="1" t="s">
        <v>63</v>
      </c>
      <c r="Y4160" s="1" t="s">
        <v>11881</v>
      </c>
      <c r="Z4160" s="1" t="s">
        <v>37</v>
      </c>
    </row>
    <row r="4161">
      <c r="A4161" s="1" t="s">
        <v>11882</v>
      </c>
      <c r="B4161" s="1" t="s">
        <v>8753</v>
      </c>
      <c r="C4161" s="1" t="s">
        <v>11883</v>
      </c>
      <c r="D4161" s="1" t="s">
        <v>122</v>
      </c>
      <c r="E4161" s="1" t="s">
        <v>28</v>
      </c>
      <c r="F4161" s="2">
        <v>198735.96</v>
      </c>
      <c r="G4161" s="4">
        <v>44565.0</v>
      </c>
      <c r="H4161" s="4">
        <f>IFERROR(__xludf.DUMMYFUNCTION("DATE(INDEX(SPLIT(G4161,""/""),,3),INDEX(SPLIT(G4161,""/""),,2),INDEX(SPLIT(G4161,""/""),,1))"),44652.0)</f>
        <v>44652</v>
      </c>
      <c r="I4161" s="1" t="s">
        <v>1244</v>
      </c>
      <c r="J4161" s="4">
        <f>IFERROR(__xludf.DUMMYFUNCTION("DATE(INDEX(SPLIT(I4161,""/""),,3),INDEX(SPLIT(I4161,""/""),,2),INDEX(SPLIT(I4161,""/""),,1))"),44742.0)</f>
        <v>44742</v>
      </c>
      <c r="L4161" s="1">
        <v>0.0</v>
      </c>
      <c r="M4161" s="1" t="s">
        <v>8755</v>
      </c>
      <c r="N4161" s="1"/>
      <c r="O4161" s="1" t="s">
        <v>30</v>
      </c>
      <c r="P4161" s="1" t="s">
        <v>31</v>
      </c>
      <c r="Q4161" s="1" t="s">
        <v>1320</v>
      </c>
      <c r="R4161" s="1" t="s">
        <v>1320</v>
      </c>
      <c r="S4161" s="1" t="s">
        <v>54</v>
      </c>
      <c r="U4161" s="1">
        <v>1.00591676E8</v>
      </c>
      <c r="X4161" s="1" t="s">
        <v>375</v>
      </c>
      <c r="Y4161" s="1" t="s">
        <v>8054</v>
      </c>
      <c r="Z4161" s="1" t="s">
        <v>37</v>
      </c>
    </row>
    <row r="4162">
      <c r="A4162" s="1" t="s">
        <v>11884</v>
      </c>
      <c r="B4162" s="1" t="s">
        <v>3044</v>
      </c>
      <c r="C4162" s="1" t="s">
        <v>11885</v>
      </c>
      <c r="D4162" s="1" t="s">
        <v>68</v>
      </c>
      <c r="E4162" s="1" t="s">
        <v>28</v>
      </c>
      <c r="F4162" s="2">
        <v>196000.0</v>
      </c>
      <c r="G4162" s="4">
        <v>44598.0</v>
      </c>
      <c r="H4162" s="4">
        <f>IFERROR(__xludf.DUMMYFUNCTION("DATE(INDEX(SPLIT(G4162,""/""),,3),INDEX(SPLIT(G4162,""/""),,2),INDEX(SPLIT(G4162,""/""),,1))"),44714.0)</f>
        <v>44714</v>
      </c>
      <c r="I4162" s="1" t="s">
        <v>226</v>
      </c>
      <c r="J4162" s="4">
        <f>IFERROR(__xludf.DUMMYFUNCTION("DATE(INDEX(SPLIT(I4162,""/""),,3),INDEX(SPLIT(I4162,""/""),,2),INDEX(SPLIT(I4162,""/""),,1))"),44771.0)</f>
        <v>44771</v>
      </c>
      <c r="L4162" s="1">
        <v>0.0</v>
      </c>
      <c r="M4162" s="1" t="s">
        <v>1856</v>
      </c>
      <c r="N4162" s="1"/>
      <c r="O4162" s="1" t="s">
        <v>30</v>
      </c>
      <c r="P4162" s="1" t="s">
        <v>31</v>
      </c>
      <c r="Q4162" s="1" t="s">
        <v>32</v>
      </c>
      <c r="R4162" s="1" t="s">
        <v>32</v>
      </c>
      <c r="S4162" s="1" t="s">
        <v>33</v>
      </c>
      <c r="T4162" s="1" t="s">
        <v>103</v>
      </c>
      <c r="U4162" s="1">
        <v>1.00587434E8</v>
      </c>
      <c r="X4162" s="1" t="s">
        <v>63</v>
      </c>
      <c r="Y4162" s="1" t="s">
        <v>11886</v>
      </c>
      <c r="Z4162" s="1" t="s">
        <v>37</v>
      </c>
    </row>
    <row r="4163">
      <c r="A4163" s="1" t="s">
        <v>11887</v>
      </c>
      <c r="B4163" s="1" t="s">
        <v>66</v>
      </c>
      <c r="C4163" s="1" t="s">
        <v>11888</v>
      </c>
      <c r="D4163" s="1" t="s">
        <v>122</v>
      </c>
      <c r="E4163" s="1" t="s">
        <v>28</v>
      </c>
      <c r="F4163" s="2">
        <v>195000.0</v>
      </c>
      <c r="G4163" s="4">
        <v>44810.0</v>
      </c>
      <c r="H4163" s="4">
        <f>IFERROR(__xludf.DUMMYFUNCTION("DATE(INDEX(SPLIT(G4163,""/""),,3),INDEX(SPLIT(G4163,""/""),,2),INDEX(SPLIT(G4163,""/""),,1))"),44721.0)</f>
        <v>44721</v>
      </c>
      <c r="I4163" s="1" t="s">
        <v>1244</v>
      </c>
      <c r="J4163" s="4">
        <f>IFERROR(__xludf.DUMMYFUNCTION("DATE(INDEX(SPLIT(I4163,""/""),,3),INDEX(SPLIT(I4163,""/""),,2),INDEX(SPLIT(I4163,""/""),,1))"),44742.0)</f>
        <v>44742</v>
      </c>
      <c r="L4163" s="1">
        <v>0.0</v>
      </c>
      <c r="M4163" s="1" t="s">
        <v>1685</v>
      </c>
      <c r="N4163" s="1"/>
      <c r="O4163" s="1" t="s">
        <v>30</v>
      </c>
      <c r="P4163" s="1" t="s">
        <v>31</v>
      </c>
      <c r="Q4163" s="1" t="s">
        <v>228</v>
      </c>
      <c r="R4163" s="1" t="s">
        <v>228</v>
      </c>
      <c r="S4163" s="1" t="s">
        <v>229</v>
      </c>
      <c r="T4163" s="1" t="s">
        <v>505</v>
      </c>
      <c r="U4163" s="1">
        <v>1.00612055E8</v>
      </c>
      <c r="X4163" s="1" t="s">
        <v>74</v>
      </c>
      <c r="Y4163" s="1" t="s">
        <v>1685</v>
      </c>
      <c r="Z4163" s="1" t="s">
        <v>37</v>
      </c>
    </row>
    <row r="4164">
      <c r="A4164" s="1" t="s">
        <v>11889</v>
      </c>
      <c r="B4164" s="1" t="s">
        <v>605</v>
      </c>
      <c r="C4164" s="1" t="s">
        <v>11068</v>
      </c>
      <c r="D4164" s="1" t="s">
        <v>122</v>
      </c>
      <c r="E4164" s="1" t="s">
        <v>28</v>
      </c>
      <c r="F4164" s="2">
        <v>195000.0</v>
      </c>
      <c r="G4164" s="1" t="s">
        <v>3883</v>
      </c>
      <c r="H4164" s="4">
        <f>IFERROR(__xludf.DUMMYFUNCTION("DATE(INDEX(SPLIT(G4164,""/""),,3),INDEX(SPLIT(G4164,""/""),,2),INDEX(SPLIT(G4164,""/""),,1))"),44666.0)</f>
        <v>44666</v>
      </c>
      <c r="I4164" s="1" t="s">
        <v>2300</v>
      </c>
      <c r="J4164" s="4">
        <f>IFERROR(__xludf.DUMMYFUNCTION("DATE(INDEX(SPLIT(I4164,""/""),,3),INDEX(SPLIT(I4164,""/""),,2),INDEX(SPLIT(I4164,""/""),,1))"),44712.0)</f>
        <v>44712</v>
      </c>
      <c r="L4164" s="1">
        <v>0.0</v>
      </c>
      <c r="M4164" s="1" t="s">
        <v>11623</v>
      </c>
      <c r="N4164" s="1"/>
      <c r="O4164" s="1" t="s">
        <v>30</v>
      </c>
      <c r="P4164" s="1" t="s">
        <v>31</v>
      </c>
      <c r="Q4164" s="1" t="s">
        <v>228</v>
      </c>
      <c r="R4164" s="1" t="s">
        <v>228</v>
      </c>
      <c r="S4164" s="1" t="s">
        <v>229</v>
      </c>
      <c r="T4164" s="1" t="s">
        <v>513</v>
      </c>
      <c r="U4164" s="1">
        <v>1.01154609E8</v>
      </c>
      <c r="X4164" s="1" t="s">
        <v>375</v>
      </c>
      <c r="Y4164" s="1" t="s">
        <v>11623</v>
      </c>
      <c r="Z4164" s="1" t="s">
        <v>37</v>
      </c>
    </row>
    <row r="4165" hidden="1">
      <c r="A4165" s="1" t="s">
        <v>11890</v>
      </c>
      <c r="B4165" s="1" t="s">
        <v>1144</v>
      </c>
      <c r="C4165" s="1" t="s">
        <v>11891</v>
      </c>
      <c r="D4165" s="1" t="s">
        <v>78</v>
      </c>
      <c r="E4165" s="1" t="s">
        <v>28</v>
      </c>
      <c r="F4165" s="2">
        <v>195000.0</v>
      </c>
      <c r="G4165" s="1" t="s">
        <v>10330</v>
      </c>
      <c r="H4165" s="4">
        <f>IFERROR(__xludf.DUMMYFUNCTION("DATE(INDEX(SPLIT(G4165,""/""),,3),INDEX(SPLIT(G4165,""/""),,2),INDEX(SPLIT(G4165,""/""),,1))"),44151.0)</f>
        <v>44151</v>
      </c>
      <c r="I4165" s="1" t="s">
        <v>1097</v>
      </c>
      <c r="J4165" s="4">
        <f>IFERROR(__xludf.DUMMYFUNCTION("DATE(INDEX(SPLIT(I4165,""/""),,3),INDEX(SPLIT(I4165,""/""),,2),INDEX(SPLIT(I4165,""/""),,1))"),45107.0)</f>
        <v>45107</v>
      </c>
      <c r="L4165" s="1">
        <v>0.0</v>
      </c>
      <c r="M4165" s="1" t="s">
        <v>2614</v>
      </c>
      <c r="N4165" s="1"/>
      <c r="O4165" s="1" t="s">
        <v>30</v>
      </c>
      <c r="P4165" s="1" t="s">
        <v>31</v>
      </c>
      <c r="Q4165" s="1" t="s">
        <v>53</v>
      </c>
      <c r="R4165" s="1" t="s">
        <v>53</v>
      </c>
      <c r="S4165" s="1" t="s">
        <v>54</v>
      </c>
      <c r="T4165" s="1" t="s">
        <v>197</v>
      </c>
      <c r="U4165" s="1">
        <v>1.00592932E8</v>
      </c>
      <c r="X4165" s="1" t="s">
        <v>63</v>
      </c>
      <c r="Y4165" s="1" t="s">
        <v>2614</v>
      </c>
      <c r="Z4165" s="1" t="s">
        <v>37</v>
      </c>
    </row>
    <row r="4166" hidden="1">
      <c r="A4166" s="1" t="s">
        <v>11892</v>
      </c>
      <c r="B4166" s="1" t="s">
        <v>3820</v>
      </c>
      <c r="C4166" s="1" t="s">
        <v>11893</v>
      </c>
      <c r="D4166" s="1" t="s">
        <v>27</v>
      </c>
      <c r="E4166" s="1" t="s">
        <v>28</v>
      </c>
      <c r="F4166" s="2">
        <v>195000.0</v>
      </c>
      <c r="G4166" s="1" t="s">
        <v>3828</v>
      </c>
      <c r="H4166" s="4">
        <f>IFERROR(__xludf.DUMMYFUNCTION("DATE(INDEX(SPLIT(G4166,""/""),,3),INDEX(SPLIT(G4166,""/""),,2),INDEX(SPLIT(G4166,""/""),,1))"),43915.0)</f>
        <v>43915</v>
      </c>
      <c r="I4166" s="1" t="s">
        <v>109</v>
      </c>
      <c r="J4166" s="4">
        <f>IFERROR(__xludf.DUMMYFUNCTION("DATE(INDEX(SPLIT(I4166,""/""),,3),INDEX(SPLIT(I4166,""/""),,2),INDEX(SPLIT(I4166,""/""),,1))"),44834.0)</f>
        <v>44834</v>
      </c>
      <c r="L4166" s="1">
        <v>0.0</v>
      </c>
      <c r="M4166" s="1" t="s">
        <v>1200</v>
      </c>
      <c r="N4166" s="1"/>
      <c r="O4166" s="1" t="s">
        <v>30</v>
      </c>
      <c r="P4166" s="1" t="s">
        <v>31</v>
      </c>
      <c r="Q4166" s="1" t="s">
        <v>235</v>
      </c>
      <c r="R4166" s="1" t="s">
        <v>235</v>
      </c>
      <c r="S4166" s="1" t="s">
        <v>236</v>
      </c>
      <c r="T4166" s="1" t="s">
        <v>438</v>
      </c>
      <c r="U4166" s="1">
        <v>1.00586959E8</v>
      </c>
      <c r="X4166" s="1" t="s">
        <v>88</v>
      </c>
      <c r="Y4166" s="1" t="s">
        <v>979</v>
      </c>
      <c r="Z4166" s="1" t="s">
        <v>37</v>
      </c>
    </row>
    <row r="4167">
      <c r="A4167" s="1" t="s">
        <v>11894</v>
      </c>
      <c r="B4167" s="1" t="s">
        <v>690</v>
      </c>
      <c r="C4167" s="1" t="s">
        <v>11895</v>
      </c>
      <c r="D4167" s="1" t="s">
        <v>122</v>
      </c>
      <c r="E4167" s="1" t="s">
        <v>28</v>
      </c>
      <c r="F4167" s="2">
        <v>195000.0</v>
      </c>
      <c r="G4167" s="1" t="s">
        <v>1442</v>
      </c>
      <c r="H4167" s="4">
        <f>IFERROR(__xludf.DUMMYFUNCTION("DATE(INDEX(SPLIT(G4167,""/""),,3),INDEX(SPLIT(G4167,""/""),,2),INDEX(SPLIT(G4167,""/""),,1))"),44727.0)</f>
        <v>44727</v>
      </c>
      <c r="I4167" s="1" t="s">
        <v>226</v>
      </c>
      <c r="J4167" s="4">
        <f>IFERROR(__xludf.DUMMYFUNCTION("DATE(INDEX(SPLIT(I4167,""/""),,3),INDEX(SPLIT(I4167,""/""),,2),INDEX(SPLIT(I4167,""/""),,1))"),44771.0)</f>
        <v>44771</v>
      </c>
      <c r="L4167" s="1">
        <v>0.0</v>
      </c>
      <c r="M4167" s="1" t="s">
        <v>3860</v>
      </c>
      <c r="N4167" s="1"/>
      <c r="O4167" s="1" t="s">
        <v>30</v>
      </c>
      <c r="P4167" s="1" t="s">
        <v>31</v>
      </c>
      <c r="Q4167" s="1" t="s">
        <v>235</v>
      </c>
      <c r="R4167" s="1" t="s">
        <v>235</v>
      </c>
      <c r="S4167" s="1" t="s">
        <v>236</v>
      </c>
      <c r="T4167" s="1" t="s">
        <v>753</v>
      </c>
      <c r="U4167" s="1">
        <v>1.00636461E8</v>
      </c>
      <c r="X4167" s="1" t="s">
        <v>88</v>
      </c>
      <c r="Y4167" s="1" t="s">
        <v>3860</v>
      </c>
      <c r="Z4167" s="1" t="s">
        <v>37</v>
      </c>
    </row>
    <row r="4168">
      <c r="A4168" s="1" t="s">
        <v>11896</v>
      </c>
      <c r="B4168" s="1" t="s">
        <v>1831</v>
      </c>
      <c r="C4168" s="1" t="s">
        <v>11897</v>
      </c>
      <c r="D4168" s="1" t="s">
        <v>122</v>
      </c>
      <c r="E4168" s="1" t="s">
        <v>28</v>
      </c>
      <c r="F4168" s="2">
        <v>194603.0</v>
      </c>
      <c r="G4168" s="4">
        <v>44749.0</v>
      </c>
      <c r="H4168" s="4">
        <f>IFERROR(__xludf.DUMMYFUNCTION("DATE(INDEX(SPLIT(G4168,""/""),,3),INDEX(SPLIT(G4168,""/""),,2),INDEX(SPLIT(G4168,""/""),,1))"),44749.0)</f>
        <v>44749</v>
      </c>
      <c r="I4168" s="1" t="s">
        <v>472</v>
      </c>
      <c r="J4168" s="4">
        <f>IFERROR(__xludf.DUMMYFUNCTION("DATE(INDEX(SPLIT(I4168,""/""),,3),INDEX(SPLIT(I4168,""/""),,2),INDEX(SPLIT(I4168,""/""),,1))"),44760.0)</f>
        <v>44760</v>
      </c>
      <c r="L4168" s="1">
        <v>0.0</v>
      </c>
      <c r="M4168" s="1" t="s">
        <v>819</v>
      </c>
      <c r="N4168" s="1"/>
      <c r="O4168" s="1" t="s">
        <v>30</v>
      </c>
      <c r="P4168" s="1" t="s">
        <v>31</v>
      </c>
      <c r="Q4168" s="1" t="s">
        <v>53</v>
      </c>
      <c r="R4168" s="1" t="s">
        <v>53</v>
      </c>
      <c r="S4168" s="1" t="s">
        <v>54</v>
      </c>
      <c r="T4168" s="1" t="s">
        <v>634</v>
      </c>
      <c r="U4168" s="1">
        <v>1.00661738E8</v>
      </c>
      <c r="X4168" s="1" t="s">
        <v>490</v>
      </c>
      <c r="Y4168" s="1" t="s">
        <v>3788</v>
      </c>
      <c r="Z4168" s="1" t="s">
        <v>37</v>
      </c>
    </row>
    <row r="4169" hidden="1">
      <c r="A4169" s="1" t="s">
        <v>11898</v>
      </c>
      <c r="B4169" s="1" t="s">
        <v>2000</v>
      </c>
      <c r="C4169" s="1" t="s">
        <v>11899</v>
      </c>
      <c r="D4169" s="1" t="s">
        <v>78</v>
      </c>
      <c r="E4169" s="1" t="s">
        <v>28</v>
      </c>
      <c r="F4169" s="2">
        <v>193908.0</v>
      </c>
      <c r="G4169" s="1" t="s">
        <v>619</v>
      </c>
      <c r="H4169" s="4">
        <f>IFERROR(__xludf.DUMMYFUNCTION("DATE(INDEX(SPLIT(G4169,""/""),,3),INDEX(SPLIT(G4169,""/""),,2),INDEX(SPLIT(G4169,""/""),,1))"),44490.0)</f>
        <v>44490</v>
      </c>
      <c r="I4169" s="4">
        <v>44571.0</v>
      </c>
      <c r="J4169" s="4">
        <f>IFERROR(__xludf.DUMMYFUNCTION("DATE(INDEX(SPLIT(I4169,""/""),,3),INDEX(SPLIT(I4169,""/""),,2),INDEX(SPLIT(I4169,""/""),,1))"),44835.0)</f>
        <v>44835</v>
      </c>
      <c r="L4169" s="1">
        <v>0.0</v>
      </c>
      <c r="M4169" s="1" t="s">
        <v>4274</v>
      </c>
      <c r="N4169" s="1"/>
      <c r="O4169" s="1" t="s">
        <v>30</v>
      </c>
      <c r="P4169" s="1" t="s">
        <v>31</v>
      </c>
      <c r="Q4169" s="1" t="s">
        <v>235</v>
      </c>
      <c r="R4169" s="1" t="s">
        <v>235</v>
      </c>
      <c r="S4169" s="1" t="s">
        <v>236</v>
      </c>
      <c r="T4169" s="1" t="s">
        <v>1349</v>
      </c>
      <c r="U4169" s="1">
        <v>1.00628891E8</v>
      </c>
      <c r="X4169" s="1" t="s">
        <v>609</v>
      </c>
      <c r="Y4169" s="1" t="s">
        <v>7529</v>
      </c>
      <c r="Z4169" s="1" t="s">
        <v>37</v>
      </c>
    </row>
    <row r="4170">
      <c r="A4170" s="1" t="s">
        <v>11900</v>
      </c>
      <c r="B4170" s="1" t="s">
        <v>2000</v>
      </c>
      <c r="C4170" s="1" t="s">
        <v>11901</v>
      </c>
      <c r="D4170" s="1" t="s">
        <v>78</v>
      </c>
      <c r="E4170" s="1" t="s">
        <v>28</v>
      </c>
      <c r="F4170" s="2">
        <v>193908.0</v>
      </c>
      <c r="G4170" s="1" t="s">
        <v>619</v>
      </c>
      <c r="H4170" s="4">
        <f>IFERROR(__xludf.DUMMYFUNCTION("DATE(INDEX(SPLIT(G4170,""/""),,3),INDEX(SPLIT(G4170,""/""),,2),INDEX(SPLIT(G4170,""/""),,1))"),44490.0)</f>
        <v>44490</v>
      </c>
      <c r="I4170" s="4">
        <v>44568.0</v>
      </c>
      <c r="J4170" s="4">
        <f>IFERROR(__xludf.DUMMYFUNCTION("DATE(INDEX(SPLIT(I4170,""/""),,3),INDEX(SPLIT(I4170,""/""),,2),INDEX(SPLIT(I4170,""/""),,1))"),44743.0)</f>
        <v>44743</v>
      </c>
      <c r="L4170" s="1">
        <v>0.0</v>
      </c>
      <c r="M4170" s="1" t="s">
        <v>4274</v>
      </c>
      <c r="N4170" s="1"/>
      <c r="O4170" s="1" t="s">
        <v>30</v>
      </c>
      <c r="P4170" s="1" t="s">
        <v>31</v>
      </c>
      <c r="Q4170" s="1" t="s">
        <v>235</v>
      </c>
      <c r="R4170" s="1" t="s">
        <v>235</v>
      </c>
      <c r="S4170" s="1" t="s">
        <v>236</v>
      </c>
      <c r="T4170" s="1" t="s">
        <v>1349</v>
      </c>
      <c r="U4170" s="1">
        <v>1.00628891E8</v>
      </c>
      <c r="X4170" s="1" t="s">
        <v>609</v>
      </c>
      <c r="Y4170" s="1" t="s">
        <v>7529</v>
      </c>
      <c r="Z4170" s="1" t="s">
        <v>37</v>
      </c>
    </row>
    <row r="4171">
      <c r="A4171" s="1" t="s">
        <v>11902</v>
      </c>
      <c r="B4171" s="1" t="s">
        <v>3799</v>
      </c>
      <c r="C4171" s="1" t="s">
        <v>11903</v>
      </c>
      <c r="D4171" s="1" t="s">
        <v>78</v>
      </c>
      <c r="E4171" s="1" t="s">
        <v>28</v>
      </c>
      <c r="F4171" s="2">
        <v>193000.0</v>
      </c>
      <c r="G4171" s="1" t="s">
        <v>2300</v>
      </c>
      <c r="H4171" s="4">
        <f>IFERROR(__xludf.DUMMYFUNCTION("DATE(INDEX(SPLIT(G4171,""/""),,3),INDEX(SPLIT(G4171,""/""),,2),INDEX(SPLIT(G4171,""/""),,1))"),44712.0)</f>
        <v>44712</v>
      </c>
      <c r="I4171" s="1" t="s">
        <v>226</v>
      </c>
      <c r="J4171" s="4">
        <f>IFERROR(__xludf.DUMMYFUNCTION("DATE(INDEX(SPLIT(I4171,""/""),,3),INDEX(SPLIT(I4171,""/""),,2),INDEX(SPLIT(I4171,""/""),,1))"),44771.0)</f>
        <v>44771</v>
      </c>
      <c r="L4171" s="1">
        <v>0.0</v>
      </c>
      <c r="M4171" s="1" t="s">
        <v>11904</v>
      </c>
      <c r="N4171" s="1"/>
      <c r="O4171" s="1" t="s">
        <v>30</v>
      </c>
      <c r="P4171" s="1" t="s">
        <v>31</v>
      </c>
      <c r="Q4171" s="1" t="s">
        <v>32</v>
      </c>
      <c r="R4171" s="1" t="s">
        <v>32</v>
      </c>
      <c r="S4171" s="1" t="s">
        <v>33</v>
      </c>
      <c r="U4171" s="1">
        <v>1.01218805E8</v>
      </c>
      <c r="X4171" s="1" t="s">
        <v>88</v>
      </c>
      <c r="Y4171" s="1" t="s">
        <v>11904</v>
      </c>
      <c r="Z4171" s="1" t="s">
        <v>527</v>
      </c>
    </row>
    <row r="4172">
      <c r="A4172" s="1" t="s">
        <v>11905</v>
      </c>
      <c r="B4172" s="1" t="s">
        <v>11906</v>
      </c>
      <c r="C4172" s="1" t="s">
        <v>11907</v>
      </c>
      <c r="D4172" s="1" t="s">
        <v>27</v>
      </c>
      <c r="E4172" s="1" t="s">
        <v>28</v>
      </c>
      <c r="F4172" s="2">
        <v>191000.0</v>
      </c>
      <c r="G4172" s="4">
        <v>44840.0</v>
      </c>
      <c r="H4172" s="4">
        <f>IFERROR(__xludf.DUMMYFUNCTION("DATE(INDEX(SPLIT(G4172,""/""),,3),INDEX(SPLIT(G4172,""/""),,2),INDEX(SPLIT(G4172,""/""),,1))"),44722.0)</f>
        <v>44722</v>
      </c>
      <c r="I4172" s="1" t="s">
        <v>226</v>
      </c>
      <c r="J4172" s="4">
        <f>IFERROR(__xludf.DUMMYFUNCTION("DATE(INDEX(SPLIT(I4172,""/""),,3),INDEX(SPLIT(I4172,""/""),,2),INDEX(SPLIT(I4172,""/""),,1))"),44771.0)</f>
        <v>44771</v>
      </c>
      <c r="L4172" s="1">
        <v>0.0</v>
      </c>
      <c r="M4172" s="1" t="s">
        <v>5632</v>
      </c>
      <c r="N4172" s="1"/>
      <c r="O4172" s="1" t="s">
        <v>30</v>
      </c>
      <c r="P4172" s="1" t="s">
        <v>31</v>
      </c>
      <c r="Q4172" s="1" t="s">
        <v>157</v>
      </c>
      <c r="R4172" s="1" t="s">
        <v>157</v>
      </c>
      <c r="S4172" s="1" t="s">
        <v>158</v>
      </c>
      <c r="U4172" s="1">
        <v>1.00625563E8</v>
      </c>
      <c r="Y4172" s="1" t="s">
        <v>11908</v>
      </c>
      <c r="Z4172" s="1" t="s">
        <v>37</v>
      </c>
    </row>
    <row r="4173" hidden="1">
      <c r="A4173" s="1" t="s">
        <v>11909</v>
      </c>
      <c r="B4173" s="1" t="s">
        <v>1629</v>
      </c>
      <c r="C4173" s="1" t="s">
        <v>11910</v>
      </c>
      <c r="D4173" s="1" t="s">
        <v>68</v>
      </c>
      <c r="E4173" s="1" t="s">
        <v>28</v>
      </c>
      <c r="F4173" s="2">
        <v>190000.0</v>
      </c>
      <c r="G4173" s="1" t="s">
        <v>737</v>
      </c>
      <c r="H4173" s="4">
        <f>IFERROR(__xludf.DUMMYFUNCTION("DATE(INDEX(SPLIT(G4173,""/""),,3),INDEX(SPLIT(G4173,""/""),,2),INDEX(SPLIT(G4173,""/""),,1))"),44544.0)</f>
        <v>44544</v>
      </c>
      <c r="I4173" s="1" t="s">
        <v>3797</v>
      </c>
      <c r="J4173" s="4">
        <f>IFERROR(__xludf.DUMMYFUNCTION("DATE(INDEX(SPLIT(I4173,""/""),,3),INDEX(SPLIT(I4173,""/""),,2),INDEX(SPLIT(I4173,""/""),,1))"),44858.0)</f>
        <v>44858</v>
      </c>
      <c r="L4173" s="1">
        <v>0.0</v>
      </c>
      <c r="M4173" s="1" t="s">
        <v>1000</v>
      </c>
      <c r="N4173" s="1"/>
      <c r="O4173" s="1" t="s">
        <v>30</v>
      </c>
      <c r="P4173" s="1" t="s">
        <v>31</v>
      </c>
      <c r="Q4173" s="1" t="s">
        <v>95</v>
      </c>
      <c r="R4173" s="1" t="s">
        <v>95</v>
      </c>
      <c r="S4173" s="1" t="s">
        <v>96</v>
      </c>
      <c r="T4173" s="1" t="s">
        <v>1427</v>
      </c>
      <c r="U4173" s="1">
        <v>1.00623453E8</v>
      </c>
      <c r="X4173" s="1" t="s">
        <v>410</v>
      </c>
      <c r="Y4173" s="1" t="s">
        <v>11911</v>
      </c>
      <c r="Z4173" s="1" t="s">
        <v>37</v>
      </c>
    </row>
    <row r="4174" hidden="1">
      <c r="A4174" s="1" t="s">
        <v>11912</v>
      </c>
      <c r="B4174" s="1" t="s">
        <v>1393</v>
      </c>
      <c r="C4174" s="1" t="s">
        <v>11913</v>
      </c>
      <c r="D4174" s="1" t="s">
        <v>122</v>
      </c>
      <c r="E4174" s="1" t="s">
        <v>28</v>
      </c>
      <c r="F4174" s="2">
        <v>190000.0</v>
      </c>
      <c r="G4174" s="4">
        <v>44896.0</v>
      </c>
      <c r="H4174" s="4">
        <f>IFERROR(__xludf.DUMMYFUNCTION("DATE(INDEX(SPLIT(G4174,""/""),,3),INDEX(SPLIT(G4174,""/""),,2),INDEX(SPLIT(G4174,""/""),,1))"),44573.0)</f>
        <v>44573</v>
      </c>
      <c r="I4174" s="1" t="s">
        <v>203</v>
      </c>
      <c r="J4174" s="4">
        <f>IFERROR(__xludf.DUMMYFUNCTION("DATE(INDEX(SPLIT(I4174,""/""),,3),INDEX(SPLIT(I4174,""/""),,2),INDEX(SPLIT(I4174,""/""),,1))"),44925.0)</f>
        <v>44925</v>
      </c>
      <c r="L4174" s="1">
        <v>0.0</v>
      </c>
      <c r="M4174" s="1" t="s">
        <v>979</v>
      </c>
      <c r="N4174" s="1"/>
      <c r="O4174" s="1" t="s">
        <v>30</v>
      </c>
      <c r="P4174" s="1" t="s">
        <v>31</v>
      </c>
      <c r="Q4174" s="1" t="s">
        <v>235</v>
      </c>
      <c r="R4174" s="1" t="s">
        <v>235</v>
      </c>
      <c r="S4174" s="1" t="s">
        <v>236</v>
      </c>
      <c r="T4174" s="1" t="s">
        <v>438</v>
      </c>
      <c r="U4174" s="1">
        <v>1.00647262E8</v>
      </c>
      <c r="X4174" s="1" t="s">
        <v>88</v>
      </c>
      <c r="Y4174" s="1" t="s">
        <v>979</v>
      </c>
      <c r="Z4174" s="1" t="s">
        <v>37</v>
      </c>
    </row>
    <row r="4175" hidden="1">
      <c r="A4175" s="1" t="s">
        <v>11914</v>
      </c>
      <c r="B4175" s="1" t="s">
        <v>2453</v>
      </c>
      <c r="C4175" s="1" t="s">
        <v>11915</v>
      </c>
      <c r="D4175" s="1" t="s">
        <v>78</v>
      </c>
      <c r="E4175" s="1" t="s">
        <v>28</v>
      </c>
      <c r="F4175" s="2">
        <v>190000.0</v>
      </c>
      <c r="G4175" s="4">
        <v>44565.0</v>
      </c>
      <c r="H4175" s="4">
        <f>IFERROR(__xludf.DUMMYFUNCTION("DATE(INDEX(SPLIT(G4175,""/""),,3),INDEX(SPLIT(G4175,""/""),,2),INDEX(SPLIT(G4175,""/""),,1))"),44652.0)</f>
        <v>44652</v>
      </c>
      <c r="I4175" s="1" t="s">
        <v>130</v>
      </c>
      <c r="J4175" s="4">
        <f>IFERROR(__xludf.DUMMYFUNCTION("DATE(INDEX(SPLIT(I4175,""/""),,3),INDEX(SPLIT(I4175,""/""),,2),INDEX(SPLIT(I4175,""/""),,1))"),44804.0)</f>
        <v>44804</v>
      </c>
      <c r="L4175" s="1">
        <v>0.0</v>
      </c>
      <c r="M4175" s="1" t="s">
        <v>3212</v>
      </c>
      <c r="N4175" s="1"/>
      <c r="O4175" s="1" t="s">
        <v>30</v>
      </c>
      <c r="P4175" s="1" t="s">
        <v>31</v>
      </c>
      <c r="Q4175" s="1" t="s">
        <v>53</v>
      </c>
      <c r="R4175" s="1" t="s">
        <v>53</v>
      </c>
      <c r="S4175" s="1" t="s">
        <v>54</v>
      </c>
      <c r="T4175" s="1" t="s">
        <v>2372</v>
      </c>
      <c r="U4175" s="1">
        <v>1.00898415E8</v>
      </c>
      <c r="X4175" s="1" t="s">
        <v>239</v>
      </c>
      <c r="Y4175" s="1" t="s">
        <v>11916</v>
      </c>
      <c r="Z4175" s="1" t="s">
        <v>37</v>
      </c>
    </row>
    <row r="4176">
      <c r="A4176" s="1" t="s">
        <v>11917</v>
      </c>
      <c r="B4176" s="1" t="s">
        <v>11511</v>
      </c>
      <c r="C4176" s="1" t="s">
        <v>11918</v>
      </c>
      <c r="D4176" s="1" t="s">
        <v>68</v>
      </c>
      <c r="E4176" s="1" t="s">
        <v>28</v>
      </c>
      <c r="F4176" s="2">
        <v>190000.0</v>
      </c>
      <c r="G4176" s="1" t="s">
        <v>3896</v>
      </c>
      <c r="H4176" s="4">
        <f>IFERROR(__xludf.DUMMYFUNCTION("DATE(INDEX(SPLIT(G4176,""/""),,3),INDEX(SPLIT(G4176,""/""),,2),INDEX(SPLIT(G4176,""/""),,1))"),44697.0)</f>
        <v>44697</v>
      </c>
      <c r="I4176" s="4">
        <v>44840.0</v>
      </c>
      <c r="J4176" s="4">
        <f>IFERROR(__xludf.DUMMYFUNCTION("DATE(INDEX(SPLIT(I4176,""/""),,3),INDEX(SPLIT(I4176,""/""),,2),INDEX(SPLIT(I4176,""/""),,1))"),44722.0)</f>
        <v>44722</v>
      </c>
      <c r="K4176" s="1" t="s">
        <v>11919</v>
      </c>
      <c r="L4176" s="1">
        <v>0.0</v>
      </c>
      <c r="M4176" s="1" t="s">
        <v>1689</v>
      </c>
      <c r="N4176" s="1"/>
      <c r="O4176" s="1" t="s">
        <v>30</v>
      </c>
      <c r="P4176" s="1" t="s">
        <v>31</v>
      </c>
      <c r="Q4176" s="1" t="s">
        <v>53</v>
      </c>
      <c r="R4176" s="1" t="s">
        <v>53</v>
      </c>
      <c r="S4176" s="1" t="s">
        <v>54</v>
      </c>
      <c r="U4176" s="1">
        <v>1.00650657E8</v>
      </c>
      <c r="X4176" s="1" t="s">
        <v>312</v>
      </c>
      <c r="Y4176" s="1" t="s">
        <v>1689</v>
      </c>
      <c r="Z4176" s="1" t="s">
        <v>37</v>
      </c>
    </row>
    <row r="4177" hidden="1">
      <c r="A4177" s="1" t="s">
        <v>11920</v>
      </c>
      <c r="B4177" s="1" t="s">
        <v>392</v>
      </c>
      <c r="C4177" s="1" t="s">
        <v>11921</v>
      </c>
      <c r="D4177" s="1" t="s">
        <v>27</v>
      </c>
      <c r="E4177" s="1" t="s">
        <v>28</v>
      </c>
      <c r="F4177" s="2">
        <v>188160.0</v>
      </c>
      <c r="G4177" s="1" t="s">
        <v>41</v>
      </c>
      <c r="H4177" s="4">
        <f>IFERROR(__xludf.DUMMYFUNCTION("DATE(INDEX(SPLIT(G4177,""/""),,3),INDEX(SPLIT(G4177,""/""),,2),INDEX(SPLIT(G4177,""/""),,1))"),44607.0)</f>
        <v>44607</v>
      </c>
      <c r="I4177" s="4">
        <v>44573.0</v>
      </c>
      <c r="J4177" s="4">
        <f>IFERROR(__xludf.DUMMYFUNCTION("DATE(INDEX(SPLIT(I4177,""/""),,3),INDEX(SPLIT(I4177,""/""),,2),INDEX(SPLIT(I4177,""/""),,1))"),44896.0)</f>
        <v>44896</v>
      </c>
      <c r="L4177" s="1">
        <v>0.0</v>
      </c>
      <c r="M4177" s="1" t="s">
        <v>1385</v>
      </c>
      <c r="N4177" s="1"/>
      <c r="O4177" s="1" t="s">
        <v>30</v>
      </c>
      <c r="P4177" s="1" t="s">
        <v>31</v>
      </c>
      <c r="Q4177" s="1" t="s">
        <v>235</v>
      </c>
      <c r="R4177" s="1" t="s">
        <v>235</v>
      </c>
      <c r="S4177" s="1" t="s">
        <v>236</v>
      </c>
      <c r="T4177" s="1" t="s">
        <v>1386</v>
      </c>
      <c r="U4177" s="1">
        <v>1.00594397E8</v>
      </c>
      <c r="X4177" s="1" t="s">
        <v>239</v>
      </c>
      <c r="Y4177" s="1" t="s">
        <v>1387</v>
      </c>
      <c r="Z4177" s="1" t="s">
        <v>37</v>
      </c>
    </row>
    <row r="4178" hidden="1">
      <c r="A4178" s="1" t="s">
        <v>11922</v>
      </c>
      <c r="B4178" s="1" t="s">
        <v>3288</v>
      </c>
      <c r="C4178" s="1" t="s">
        <v>11923</v>
      </c>
      <c r="D4178" s="1" t="s">
        <v>78</v>
      </c>
      <c r="E4178" s="1" t="s">
        <v>28</v>
      </c>
      <c r="F4178" s="2">
        <v>188000.0</v>
      </c>
      <c r="G4178" s="1" t="s">
        <v>6444</v>
      </c>
      <c r="H4178" s="4">
        <f>IFERROR(__xludf.DUMMYFUNCTION("DATE(INDEX(SPLIT(G4178,""/""),,3),INDEX(SPLIT(G4178,""/""),,2),INDEX(SPLIT(G4178,""/""),,1))"),43854.0)</f>
        <v>43854</v>
      </c>
      <c r="I4178" s="1" t="s">
        <v>42</v>
      </c>
      <c r="J4178" s="4">
        <f>IFERROR(__xludf.DUMMYFUNCTION("DATE(INDEX(SPLIT(I4178,""/""),,3),INDEX(SPLIT(I4178,""/""),,2),INDEX(SPLIT(I4178,""/""),,1))"),44926.0)</f>
        <v>44926</v>
      </c>
      <c r="L4178" s="1">
        <v>0.0</v>
      </c>
      <c r="M4178" s="1" t="s">
        <v>2696</v>
      </c>
      <c r="N4178" s="1"/>
      <c r="O4178" s="1" t="s">
        <v>30</v>
      </c>
      <c r="P4178" s="1" t="s">
        <v>31</v>
      </c>
      <c r="Q4178" s="1" t="s">
        <v>157</v>
      </c>
      <c r="R4178" s="1" t="s">
        <v>157</v>
      </c>
      <c r="S4178" s="1" t="s">
        <v>158</v>
      </c>
      <c r="T4178" s="1" t="s">
        <v>8712</v>
      </c>
      <c r="U4178" s="1">
        <v>1.00611351E8</v>
      </c>
      <c r="X4178" s="1" t="s">
        <v>375</v>
      </c>
      <c r="Y4178" s="1" t="s">
        <v>3016</v>
      </c>
      <c r="Z4178" s="1" t="s">
        <v>37</v>
      </c>
    </row>
    <row r="4179" hidden="1">
      <c r="A4179" s="1" t="s">
        <v>11924</v>
      </c>
      <c r="B4179" s="1" t="s">
        <v>11325</v>
      </c>
      <c r="C4179" s="1" t="s">
        <v>11925</v>
      </c>
      <c r="D4179" s="1" t="s">
        <v>27</v>
      </c>
      <c r="E4179" s="1" t="s">
        <v>28</v>
      </c>
      <c r="F4179" s="2">
        <v>185000.0</v>
      </c>
      <c r="G4179" s="1" t="s">
        <v>935</v>
      </c>
      <c r="H4179" s="4">
        <f>IFERROR(__xludf.DUMMYFUNCTION("DATE(INDEX(SPLIT(G4179,""/""),,3),INDEX(SPLIT(G4179,""/""),,2),INDEX(SPLIT(G4179,""/""),,1))"),44764.0)</f>
        <v>44764</v>
      </c>
      <c r="I4179" s="1" t="s">
        <v>569</v>
      </c>
      <c r="J4179" s="4">
        <f>IFERROR(__xludf.DUMMYFUNCTION("DATE(INDEX(SPLIT(I4179,""/""),,3),INDEX(SPLIT(I4179,""/""),,2),INDEX(SPLIT(I4179,""/""),,1))"),45016.0)</f>
        <v>45016</v>
      </c>
      <c r="L4179" s="1">
        <v>0.0</v>
      </c>
      <c r="M4179" s="1" t="s">
        <v>2592</v>
      </c>
      <c r="N4179" s="1"/>
      <c r="O4179" s="1" t="s">
        <v>30</v>
      </c>
      <c r="P4179" s="1" t="s">
        <v>31</v>
      </c>
      <c r="Q4179" s="1" t="s">
        <v>71</v>
      </c>
      <c r="R4179" s="1" t="s">
        <v>71</v>
      </c>
      <c r="S4179" s="1" t="s">
        <v>72</v>
      </c>
      <c r="T4179" s="1" t="s">
        <v>136</v>
      </c>
      <c r="U4179" s="1">
        <v>1.00586452E8</v>
      </c>
      <c r="X4179" s="1" t="s">
        <v>2028</v>
      </c>
      <c r="Y4179" s="1" t="s">
        <v>2593</v>
      </c>
      <c r="Z4179" s="1" t="s">
        <v>37</v>
      </c>
    </row>
    <row r="4180">
      <c r="A4180" s="1" t="s">
        <v>11926</v>
      </c>
      <c r="B4180" s="1" t="s">
        <v>834</v>
      </c>
      <c r="C4180" s="1" t="s">
        <v>11927</v>
      </c>
      <c r="D4180" s="1" t="s">
        <v>68</v>
      </c>
      <c r="E4180" s="1" t="s">
        <v>28</v>
      </c>
      <c r="F4180" s="2">
        <v>185000.0</v>
      </c>
      <c r="G4180" s="4">
        <v>44595.0</v>
      </c>
      <c r="H4180" s="4">
        <f>IFERROR(__xludf.DUMMYFUNCTION("DATE(INDEX(SPLIT(G4180,""/""),,3),INDEX(SPLIT(G4180,""/""),,2),INDEX(SPLIT(G4180,""/""),,1))"),44622.0)</f>
        <v>44622</v>
      </c>
      <c r="I4180" s="1" t="s">
        <v>226</v>
      </c>
      <c r="J4180" s="4">
        <f>IFERROR(__xludf.DUMMYFUNCTION("DATE(INDEX(SPLIT(I4180,""/""),,3),INDEX(SPLIT(I4180,""/""),,2),INDEX(SPLIT(I4180,""/""),,1))"),44771.0)</f>
        <v>44771</v>
      </c>
      <c r="L4180" s="1">
        <v>0.0</v>
      </c>
      <c r="M4180" s="1" t="s">
        <v>780</v>
      </c>
      <c r="N4180" s="1"/>
      <c r="O4180" s="1" t="s">
        <v>30</v>
      </c>
      <c r="P4180" s="1" t="s">
        <v>31</v>
      </c>
      <c r="Q4180" s="1" t="s">
        <v>157</v>
      </c>
      <c r="R4180" s="1" t="s">
        <v>157</v>
      </c>
      <c r="S4180" s="1" t="s">
        <v>158</v>
      </c>
      <c r="U4180" s="1">
        <v>1.00654914E8</v>
      </c>
      <c r="X4180" s="1" t="s">
        <v>35</v>
      </c>
      <c r="Y4180" s="1" t="s">
        <v>2788</v>
      </c>
      <c r="Z4180" s="1" t="s">
        <v>37</v>
      </c>
    </row>
    <row r="4181">
      <c r="A4181" s="1" t="s">
        <v>11928</v>
      </c>
      <c r="B4181" s="1" t="s">
        <v>2249</v>
      </c>
      <c r="C4181" s="1" t="s">
        <v>11929</v>
      </c>
      <c r="D4181" s="1" t="s">
        <v>122</v>
      </c>
      <c r="E4181" s="1" t="s">
        <v>28</v>
      </c>
      <c r="F4181" s="2">
        <v>185000.0</v>
      </c>
      <c r="G4181" s="1" t="s">
        <v>518</v>
      </c>
      <c r="H4181" s="4">
        <f>IFERROR(__xludf.DUMMYFUNCTION("DATE(INDEX(SPLIT(G4181,""/""),,3),INDEX(SPLIT(G4181,""/""),,2),INDEX(SPLIT(G4181,""/""),,1))"),44757.0)</f>
        <v>44757</v>
      </c>
      <c r="I4181" s="1" t="s">
        <v>69</v>
      </c>
      <c r="J4181" s="4">
        <f>IFERROR(__xludf.DUMMYFUNCTION("DATE(INDEX(SPLIT(I4181,""/""),,3),INDEX(SPLIT(I4181,""/""),,2),INDEX(SPLIT(I4181,""/""),,1))"),44773.0)</f>
        <v>44773</v>
      </c>
      <c r="L4181" s="1">
        <v>0.0</v>
      </c>
      <c r="M4181" s="1" t="s">
        <v>1828</v>
      </c>
      <c r="N4181" s="1"/>
      <c r="O4181" s="1" t="s">
        <v>30</v>
      </c>
      <c r="P4181" s="1" t="s">
        <v>31</v>
      </c>
      <c r="Q4181" s="1" t="s">
        <v>235</v>
      </c>
      <c r="R4181" s="1" t="s">
        <v>235</v>
      </c>
      <c r="S4181" s="1" t="s">
        <v>236</v>
      </c>
      <c r="T4181" s="1" t="s">
        <v>1349</v>
      </c>
      <c r="U4181" s="1">
        <v>1.00593918E8</v>
      </c>
      <c r="X4181" s="1" t="s">
        <v>609</v>
      </c>
      <c r="Y4181" s="1" t="s">
        <v>5593</v>
      </c>
      <c r="Z4181" s="1" t="s">
        <v>37</v>
      </c>
    </row>
    <row r="4182">
      <c r="A4182" s="1" t="s">
        <v>11930</v>
      </c>
      <c r="B4182" s="1" t="s">
        <v>7933</v>
      </c>
      <c r="C4182" s="1" t="s">
        <v>11931</v>
      </c>
      <c r="D4182" s="1" t="s">
        <v>122</v>
      </c>
      <c r="E4182" s="1" t="s">
        <v>28</v>
      </c>
      <c r="F4182" s="2">
        <v>185000.0</v>
      </c>
      <c r="G4182" s="4">
        <v>44870.0</v>
      </c>
      <c r="H4182" s="4">
        <f>IFERROR(__xludf.DUMMYFUNCTION("DATE(INDEX(SPLIT(G4182,""/""),,3),INDEX(SPLIT(G4182,""/""),,2),INDEX(SPLIT(G4182,""/""),,1))"),44692.0)</f>
        <v>44692</v>
      </c>
      <c r="I4182" s="1" t="s">
        <v>108</v>
      </c>
      <c r="J4182" s="4">
        <f>IFERROR(__xludf.DUMMYFUNCTION("DATE(INDEX(SPLIT(I4182,""/""),,3),INDEX(SPLIT(I4182,""/""),,2),INDEX(SPLIT(I4182,""/""),,1))"),44725.0)</f>
        <v>44725</v>
      </c>
      <c r="L4182" s="1">
        <v>0.0</v>
      </c>
      <c r="M4182" s="1" t="s">
        <v>6912</v>
      </c>
      <c r="N4182" s="1"/>
      <c r="O4182" s="1" t="s">
        <v>30</v>
      </c>
      <c r="P4182" s="1" t="s">
        <v>31</v>
      </c>
      <c r="Q4182" s="1" t="s">
        <v>32</v>
      </c>
      <c r="R4182" s="1" t="s">
        <v>32</v>
      </c>
      <c r="S4182" s="1" t="s">
        <v>33</v>
      </c>
      <c r="T4182" s="1" t="s">
        <v>1195</v>
      </c>
      <c r="U4182" s="1">
        <v>1.00608771E8</v>
      </c>
      <c r="X4182" s="1" t="s">
        <v>490</v>
      </c>
      <c r="Y4182" s="1" t="s">
        <v>6912</v>
      </c>
      <c r="Z4182" s="1" t="s">
        <v>37</v>
      </c>
    </row>
    <row r="4183" hidden="1">
      <c r="A4183" s="1" t="s">
        <v>11932</v>
      </c>
      <c r="B4183" s="1" t="s">
        <v>8184</v>
      </c>
      <c r="C4183" s="1" t="s">
        <v>11933</v>
      </c>
      <c r="D4183" s="1" t="s">
        <v>27</v>
      </c>
      <c r="E4183" s="1" t="s">
        <v>28</v>
      </c>
      <c r="F4183" s="2">
        <v>185000.0</v>
      </c>
      <c r="G4183" s="4">
        <v>44839.0</v>
      </c>
      <c r="H4183" s="4">
        <f>IFERROR(__xludf.DUMMYFUNCTION("DATE(INDEX(SPLIT(G4183,""/""),,3),INDEX(SPLIT(G4183,""/""),,2),INDEX(SPLIT(G4183,""/""),,1))"),44691.0)</f>
        <v>44691</v>
      </c>
      <c r="I4183" s="1" t="s">
        <v>535</v>
      </c>
      <c r="J4183" s="4">
        <f>IFERROR(__xludf.DUMMYFUNCTION("DATE(INDEX(SPLIT(I4183,""/""),,3),INDEX(SPLIT(I4183,""/""),,2),INDEX(SPLIT(I4183,""/""),,1))"),44957.0)</f>
        <v>44957</v>
      </c>
      <c r="L4183" s="1">
        <v>0.0</v>
      </c>
      <c r="M4183" s="1" t="s">
        <v>11638</v>
      </c>
      <c r="N4183" s="1"/>
      <c r="O4183" s="1" t="s">
        <v>30</v>
      </c>
      <c r="P4183" s="1" t="s">
        <v>31</v>
      </c>
      <c r="Q4183" s="1" t="s">
        <v>228</v>
      </c>
      <c r="R4183" s="1" t="s">
        <v>228</v>
      </c>
      <c r="S4183" s="1" t="s">
        <v>229</v>
      </c>
      <c r="U4183" s="1">
        <v>1.00592873E8</v>
      </c>
      <c r="X4183" s="1" t="s">
        <v>125</v>
      </c>
      <c r="Y4183" s="1" t="s">
        <v>11934</v>
      </c>
      <c r="Z4183" s="1" t="s">
        <v>206</v>
      </c>
    </row>
    <row r="4184" hidden="1">
      <c r="A4184" s="1" t="s">
        <v>11935</v>
      </c>
      <c r="B4184" s="1" t="s">
        <v>1991</v>
      </c>
      <c r="C4184" s="1" t="s">
        <v>11936</v>
      </c>
      <c r="D4184" s="1" t="s">
        <v>122</v>
      </c>
      <c r="E4184" s="1" t="s">
        <v>28</v>
      </c>
      <c r="F4184" s="2">
        <v>185000.0</v>
      </c>
      <c r="G4184" s="1" t="s">
        <v>2942</v>
      </c>
      <c r="H4184" s="4">
        <f>IFERROR(__xludf.DUMMYFUNCTION("DATE(INDEX(SPLIT(G4184,""/""),,3),INDEX(SPLIT(G4184,""/""),,2),INDEX(SPLIT(G4184,""/""),,1))"),44223.0)</f>
        <v>44223</v>
      </c>
      <c r="I4184" s="4">
        <v>44813.0</v>
      </c>
      <c r="J4184" s="4">
        <f>IFERROR(__xludf.DUMMYFUNCTION("DATE(INDEX(SPLIT(I4184,""/""),,3),INDEX(SPLIT(I4184,""/""),,2),INDEX(SPLIT(I4184,""/""),,1))"),44813.0)</f>
        <v>44813</v>
      </c>
      <c r="K4184" s="1" t="s">
        <v>11937</v>
      </c>
      <c r="L4184" s="1">
        <v>0.0</v>
      </c>
      <c r="M4184" s="1" t="s">
        <v>4243</v>
      </c>
      <c r="N4184" s="1"/>
      <c r="O4184" s="1" t="s">
        <v>30</v>
      </c>
      <c r="P4184" s="1" t="s">
        <v>31</v>
      </c>
      <c r="Q4184" s="1" t="s">
        <v>157</v>
      </c>
      <c r="R4184" s="1" t="s">
        <v>157</v>
      </c>
      <c r="S4184" s="1" t="s">
        <v>158</v>
      </c>
      <c r="U4184" s="1">
        <v>1.0058537E8</v>
      </c>
      <c r="X4184" s="1" t="s">
        <v>490</v>
      </c>
      <c r="Y4184" s="1" t="s">
        <v>11938</v>
      </c>
      <c r="Z4184" s="1" t="s">
        <v>37</v>
      </c>
    </row>
    <row r="4185" hidden="1">
      <c r="A4185" s="1" t="s">
        <v>11939</v>
      </c>
      <c r="B4185" s="1" t="s">
        <v>11940</v>
      </c>
      <c r="C4185" s="1" t="s">
        <v>11941</v>
      </c>
      <c r="D4185" s="1" t="s">
        <v>78</v>
      </c>
      <c r="E4185" s="1" t="s">
        <v>28</v>
      </c>
      <c r="F4185" s="2">
        <v>185000.0</v>
      </c>
      <c r="G4185" s="1" t="s">
        <v>935</v>
      </c>
      <c r="H4185" s="4">
        <f>IFERROR(__xludf.DUMMYFUNCTION("DATE(INDEX(SPLIT(G4185,""/""),,3),INDEX(SPLIT(G4185,""/""),,2),INDEX(SPLIT(G4185,""/""),,1))"),44764.0)</f>
        <v>44764</v>
      </c>
      <c r="I4185" s="1" t="s">
        <v>130</v>
      </c>
      <c r="J4185" s="4">
        <f>IFERROR(__xludf.DUMMYFUNCTION("DATE(INDEX(SPLIT(I4185,""/""),,3),INDEX(SPLIT(I4185,""/""),,2),INDEX(SPLIT(I4185,""/""),,1))"),44804.0)</f>
        <v>44804</v>
      </c>
      <c r="L4185" s="1">
        <v>0.0</v>
      </c>
      <c r="M4185" s="1" t="s">
        <v>6045</v>
      </c>
      <c r="N4185" s="1"/>
      <c r="O4185" s="1" t="s">
        <v>30</v>
      </c>
      <c r="P4185" s="1" t="s">
        <v>31</v>
      </c>
      <c r="Q4185" s="1" t="s">
        <v>228</v>
      </c>
      <c r="R4185" s="1" t="s">
        <v>228</v>
      </c>
      <c r="S4185" s="1" t="s">
        <v>229</v>
      </c>
      <c r="T4185" s="1" t="s">
        <v>513</v>
      </c>
      <c r="U4185" s="1">
        <v>1.00652479E8</v>
      </c>
      <c r="X4185" s="1" t="s">
        <v>98</v>
      </c>
      <c r="Y4185" s="1" t="s">
        <v>11076</v>
      </c>
      <c r="Z4185" s="1" t="s">
        <v>37</v>
      </c>
    </row>
    <row r="4186">
      <c r="A4186" s="1" t="s">
        <v>11942</v>
      </c>
      <c r="B4186" s="1" t="s">
        <v>1748</v>
      </c>
      <c r="C4186" s="1" t="s">
        <v>11943</v>
      </c>
      <c r="D4186" s="1" t="s">
        <v>122</v>
      </c>
      <c r="E4186" s="1" t="s">
        <v>28</v>
      </c>
      <c r="F4186" s="2">
        <v>183000.0</v>
      </c>
      <c r="G4186" s="4">
        <v>44872.0</v>
      </c>
      <c r="H4186" s="4">
        <f>IFERROR(__xludf.DUMMYFUNCTION("DATE(INDEX(SPLIT(G4186,""/""),,3),INDEX(SPLIT(G4186,""/""),,2),INDEX(SPLIT(G4186,""/""),,1))"),44753.0)</f>
        <v>44753</v>
      </c>
      <c r="I4186" s="1" t="s">
        <v>414</v>
      </c>
      <c r="J4186" s="4">
        <f>IFERROR(__xludf.DUMMYFUNCTION("DATE(INDEX(SPLIT(I4186,""/""),,3),INDEX(SPLIT(I4186,""/""),,2),INDEX(SPLIT(I4186,""/""),,1))"),44772.0)</f>
        <v>44772</v>
      </c>
      <c r="L4186" s="1">
        <v>0.0</v>
      </c>
      <c r="M4186" s="1" t="s">
        <v>11944</v>
      </c>
      <c r="N4186" s="1"/>
      <c r="O4186" s="1" t="s">
        <v>30</v>
      </c>
      <c r="P4186" s="1" t="s">
        <v>31</v>
      </c>
      <c r="Q4186" s="1" t="s">
        <v>235</v>
      </c>
      <c r="R4186" s="1" t="s">
        <v>235</v>
      </c>
      <c r="S4186" s="1" t="s">
        <v>236</v>
      </c>
      <c r="U4186" s="1">
        <v>1.00603434E8</v>
      </c>
      <c r="X4186" s="1" t="s">
        <v>88</v>
      </c>
      <c r="Y4186" s="1" t="s">
        <v>11944</v>
      </c>
      <c r="Z4186" s="1" t="s">
        <v>37</v>
      </c>
    </row>
    <row r="4187" hidden="1">
      <c r="A4187" s="1" t="s">
        <v>11945</v>
      </c>
      <c r="B4187" s="1" t="s">
        <v>3288</v>
      </c>
      <c r="C4187" s="1" t="s">
        <v>11946</v>
      </c>
      <c r="D4187" s="1" t="s">
        <v>78</v>
      </c>
      <c r="E4187" s="1" t="s">
        <v>28</v>
      </c>
      <c r="F4187" s="2">
        <v>182000.0</v>
      </c>
      <c r="G4187" s="1" t="s">
        <v>2324</v>
      </c>
      <c r="H4187" s="4">
        <f>IFERROR(__xludf.DUMMYFUNCTION("DATE(INDEX(SPLIT(G4187,""/""),,3),INDEX(SPLIT(G4187,""/""),,2),INDEX(SPLIT(G4187,""/""),,1))"),44705.0)</f>
        <v>44705</v>
      </c>
      <c r="I4187" s="4">
        <v>44569.0</v>
      </c>
      <c r="J4187" s="4">
        <f>IFERROR(__xludf.DUMMYFUNCTION("DATE(INDEX(SPLIT(I4187,""/""),,3),INDEX(SPLIT(I4187,""/""),,2),INDEX(SPLIT(I4187,""/""),,1))"),44774.0)</f>
        <v>44774</v>
      </c>
      <c r="L4187" s="1">
        <v>0.0</v>
      </c>
      <c r="M4187" s="1" t="s">
        <v>4477</v>
      </c>
      <c r="N4187" s="1"/>
      <c r="O4187" s="1" t="s">
        <v>30</v>
      </c>
      <c r="P4187" s="1" t="s">
        <v>31</v>
      </c>
      <c r="Q4187" s="1" t="s">
        <v>228</v>
      </c>
      <c r="R4187" s="1" t="s">
        <v>228</v>
      </c>
      <c r="S4187" s="1" t="s">
        <v>229</v>
      </c>
      <c r="T4187" s="1" t="s">
        <v>513</v>
      </c>
      <c r="U4187" s="1">
        <v>1.00592715E8</v>
      </c>
      <c r="X4187" s="1" t="s">
        <v>46</v>
      </c>
      <c r="Y4187" s="1" t="s">
        <v>5688</v>
      </c>
      <c r="Z4187" s="1" t="s">
        <v>37</v>
      </c>
    </row>
    <row r="4188">
      <c r="A4188" s="1" t="s">
        <v>11947</v>
      </c>
      <c r="B4188" s="1" t="s">
        <v>704</v>
      </c>
      <c r="C4188" s="1" t="s">
        <v>11948</v>
      </c>
      <c r="D4188" s="1" t="s">
        <v>122</v>
      </c>
      <c r="E4188" s="1" t="s">
        <v>28</v>
      </c>
      <c r="F4188" s="2">
        <v>182000.0</v>
      </c>
      <c r="G4188" s="1" t="s">
        <v>1128</v>
      </c>
      <c r="H4188" s="4">
        <f>IFERROR(__xludf.DUMMYFUNCTION("DATE(INDEX(SPLIT(G4188,""/""),,3),INDEX(SPLIT(G4188,""/""),,2),INDEX(SPLIT(G4188,""/""),,1))"),44737.0)</f>
        <v>44737</v>
      </c>
      <c r="I4188" s="1" t="s">
        <v>503</v>
      </c>
      <c r="J4188" s="4">
        <f>IFERROR(__xludf.DUMMYFUNCTION("DATE(INDEX(SPLIT(I4188,""/""),,3),INDEX(SPLIT(I4188,""/""),,2),INDEX(SPLIT(I4188,""/""),,1))"),44736.0)</f>
        <v>44736</v>
      </c>
      <c r="L4188" s="1">
        <v>0.0</v>
      </c>
      <c r="M4188" s="1" t="s">
        <v>4508</v>
      </c>
      <c r="N4188" s="1"/>
      <c r="O4188" s="1" t="s">
        <v>30</v>
      </c>
      <c r="P4188" s="1" t="s">
        <v>31</v>
      </c>
      <c r="Q4188" s="1" t="s">
        <v>228</v>
      </c>
      <c r="R4188" s="1" t="s">
        <v>228</v>
      </c>
      <c r="S4188" s="1" t="s">
        <v>229</v>
      </c>
      <c r="T4188" s="1" t="s">
        <v>640</v>
      </c>
      <c r="U4188" s="1">
        <v>1.00657185E8</v>
      </c>
      <c r="X4188" s="1" t="s">
        <v>35</v>
      </c>
      <c r="Y4188" s="1" t="s">
        <v>8933</v>
      </c>
      <c r="Z4188" s="1" t="s">
        <v>37</v>
      </c>
    </row>
    <row r="4189">
      <c r="A4189" s="1" t="s">
        <v>11949</v>
      </c>
      <c r="B4189" s="1" t="s">
        <v>1748</v>
      </c>
      <c r="C4189" s="1" t="s">
        <v>11950</v>
      </c>
      <c r="D4189" s="1" t="s">
        <v>122</v>
      </c>
      <c r="E4189" s="1" t="s">
        <v>28</v>
      </c>
      <c r="F4189" s="2">
        <v>180405.0</v>
      </c>
      <c r="G4189" s="1" t="s">
        <v>108</v>
      </c>
      <c r="H4189" s="4">
        <f>IFERROR(__xludf.DUMMYFUNCTION("DATE(INDEX(SPLIT(G4189,""/""),,3),INDEX(SPLIT(G4189,""/""),,2),INDEX(SPLIT(G4189,""/""),,1))"),44725.0)</f>
        <v>44725</v>
      </c>
      <c r="I4189" s="1" t="s">
        <v>226</v>
      </c>
      <c r="J4189" s="4">
        <f>IFERROR(__xludf.DUMMYFUNCTION("DATE(INDEX(SPLIT(I4189,""/""),,3),INDEX(SPLIT(I4189,""/""),,2),INDEX(SPLIT(I4189,""/""),,1))"),44771.0)</f>
        <v>44771</v>
      </c>
      <c r="L4189" s="1">
        <v>0.0</v>
      </c>
      <c r="M4189" s="1" t="s">
        <v>2850</v>
      </c>
      <c r="N4189" s="1"/>
      <c r="O4189" s="1" t="s">
        <v>30</v>
      </c>
      <c r="P4189" s="1" t="s">
        <v>31</v>
      </c>
      <c r="Q4189" s="1" t="s">
        <v>235</v>
      </c>
      <c r="R4189" s="1" t="s">
        <v>235</v>
      </c>
      <c r="S4189" s="1" t="s">
        <v>236</v>
      </c>
      <c r="T4189" s="1" t="s">
        <v>753</v>
      </c>
      <c r="U4189" s="1">
        <v>1.00980598E8</v>
      </c>
      <c r="X4189" s="1" t="s">
        <v>88</v>
      </c>
      <c r="Y4189" s="1" t="s">
        <v>11951</v>
      </c>
      <c r="Z4189" s="1" t="s">
        <v>37</v>
      </c>
    </row>
    <row r="4190">
      <c r="A4190" s="1" t="s">
        <v>11952</v>
      </c>
      <c r="B4190" s="1" t="s">
        <v>6274</v>
      </c>
      <c r="C4190" s="1" t="s">
        <v>11953</v>
      </c>
      <c r="D4190" s="1" t="s">
        <v>122</v>
      </c>
      <c r="E4190" s="1" t="s">
        <v>28</v>
      </c>
      <c r="F4190" s="2">
        <v>180000.0</v>
      </c>
      <c r="G4190" s="4">
        <v>44900.0</v>
      </c>
      <c r="H4190" s="4">
        <f>IFERROR(__xludf.DUMMYFUNCTION("DATE(INDEX(SPLIT(G4190,""/""),,3),INDEX(SPLIT(G4190,""/""),,2),INDEX(SPLIT(G4190,""/""),,1))"),44693.0)</f>
        <v>44693</v>
      </c>
      <c r="I4190" s="1" t="s">
        <v>1438</v>
      </c>
      <c r="J4190" s="4">
        <f>IFERROR(__xludf.DUMMYFUNCTION("DATE(INDEX(SPLIT(I4190,""/""),,3),INDEX(SPLIT(I4190,""/""),,2),INDEX(SPLIT(I4190,""/""),,1))"),44708.0)</f>
        <v>44708</v>
      </c>
      <c r="L4190" s="1">
        <v>0.0</v>
      </c>
      <c r="M4190" s="1" t="s">
        <v>5366</v>
      </c>
      <c r="N4190" s="1"/>
      <c r="O4190" s="1" t="s">
        <v>30</v>
      </c>
      <c r="P4190" s="1" t="s">
        <v>31</v>
      </c>
      <c r="Q4190" s="1" t="s">
        <v>157</v>
      </c>
      <c r="R4190" s="1" t="s">
        <v>157</v>
      </c>
      <c r="S4190" s="1" t="s">
        <v>158</v>
      </c>
      <c r="U4190" s="1">
        <v>1.00609544E8</v>
      </c>
      <c r="X4190" s="1" t="s">
        <v>490</v>
      </c>
      <c r="Y4190" s="1" t="s">
        <v>7121</v>
      </c>
      <c r="Z4190" s="1" t="s">
        <v>37</v>
      </c>
    </row>
    <row r="4191">
      <c r="A4191" s="1" t="s">
        <v>11954</v>
      </c>
      <c r="B4191" s="1" t="s">
        <v>11955</v>
      </c>
      <c r="C4191" s="1" t="s">
        <v>11956</v>
      </c>
      <c r="D4191" s="1" t="s">
        <v>68</v>
      </c>
      <c r="E4191" s="1" t="s">
        <v>28</v>
      </c>
      <c r="F4191" s="2">
        <v>180000.0</v>
      </c>
      <c r="G4191" s="1" t="s">
        <v>934</v>
      </c>
      <c r="H4191" s="4">
        <f>IFERROR(__xludf.DUMMYFUNCTION("DATE(INDEX(SPLIT(G4191,""/""),,3),INDEX(SPLIT(G4191,""/""),,2),INDEX(SPLIT(G4191,""/""),,1))"),44681.0)</f>
        <v>44681</v>
      </c>
      <c r="I4191" s="1" t="s">
        <v>226</v>
      </c>
      <c r="J4191" s="4">
        <f>IFERROR(__xludf.DUMMYFUNCTION("DATE(INDEX(SPLIT(I4191,""/""),,3),INDEX(SPLIT(I4191,""/""),,2),INDEX(SPLIT(I4191,""/""),,1))"),44771.0)</f>
        <v>44771</v>
      </c>
      <c r="K4191" s="1" t="s">
        <v>11957</v>
      </c>
      <c r="L4191" s="1">
        <v>0.0</v>
      </c>
      <c r="M4191" s="1" t="s">
        <v>823</v>
      </c>
      <c r="N4191" s="1"/>
      <c r="O4191" s="1" t="s">
        <v>30</v>
      </c>
      <c r="P4191" s="1" t="s">
        <v>31</v>
      </c>
      <c r="Q4191" s="1" t="s">
        <v>95</v>
      </c>
      <c r="R4191" s="1" t="s">
        <v>95</v>
      </c>
      <c r="S4191" s="1" t="s">
        <v>96</v>
      </c>
      <c r="T4191" s="1" t="s">
        <v>304</v>
      </c>
      <c r="U4191" s="1">
        <v>1.00629729E8</v>
      </c>
      <c r="X4191" s="1" t="s">
        <v>117</v>
      </c>
      <c r="Y4191" s="1" t="s">
        <v>11958</v>
      </c>
      <c r="Z4191" s="1" t="s">
        <v>37</v>
      </c>
    </row>
    <row r="4192" hidden="1">
      <c r="A4192" s="1" t="s">
        <v>11959</v>
      </c>
      <c r="B4192" s="1" t="s">
        <v>1748</v>
      </c>
      <c r="C4192" s="1" t="s">
        <v>11960</v>
      </c>
      <c r="D4192" s="1" t="s">
        <v>27</v>
      </c>
      <c r="E4192" s="1" t="s">
        <v>28</v>
      </c>
      <c r="F4192" s="2">
        <v>180000.0</v>
      </c>
      <c r="G4192" s="4">
        <v>44567.0</v>
      </c>
      <c r="H4192" s="4">
        <f>IFERROR(__xludf.DUMMYFUNCTION("DATE(INDEX(SPLIT(G4192,""/""),,3),INDEX(SPLIT(G4192,""/""),,2),INDEX(SPLIT(G4192,""/""),,1))"),44713.0)</f>
        <v>44713</v>
      </c>
      <c r="I4192" s="1" t="s">
        <v>3202</v>
      </c>
      <c r="J4192" s="4">
        <f>IFERROR(__xludf.DUMMYFUNCTION("DATE(INDEX(SPLIT(I4192,""/""),,3),INDEX(SPLIT(I4192,""/""),,2),INDEX(SPLIT(I4192,""/""),,1))"),44830.0)</f>
        <v>44830</v>
      </c>
      <c r="L4192" s="1">
        <v>0.0</v>
      </c>
      <c r="M4192" s="1" t="s">
        <v>6195</v>
      </c>
      <c r="N4192" s="1"/>
      <c r="O4192" s="1" t="s">
        <v>30</v>
      </c>
      <c r="P4192" s="1" t="s">
        <v>31</v>
      </c>
      <c r="Q4192" s="1" t="s">
        <v>228</v>
      </c>
      <c r="R4192" s="1" t="s">
        <v>228</v>
      </c>
      <c r="S4192" s="1" t="s">
        <v>229</v>
      </c>
      <c r="T4192" s="1" t="s">
        <v>640</v>
      </c>
      <c r="U4192" s="1">
        <v>1.01051394E8</v>
      </c>
      <c r="X4192" s="1" t="s">
        <v>88</v>
      </c>
      <c r="Y4192" s="1" t="s">
        <v>6196</v>
      </c>
      <c r="Z4192" s="1" t="s">
        <v>37</v>
      </c>
    </row>
    <row r="4193" hidden="1">
      <c r="A4193" s="1" t="s">
        <v>11961</v>
      </c>
      <c r="B4193" s="1" t="s">
        <v>11962</v>
      </c>
      <c r="C4193" s="1" t="s">
        <v>11963</v>
      </c>
      <c r="D4193" s="1" t="s">
        <v>27</v>
      </c>
      <c r="E4193" s="1" t="s">
        <v>28</v>
      </c>
      <c r="F4193" s="2">
        <v>180000.0</v>
      </c>
      <c r="G4193" s="4">
        <v>44685.0</v>
      </c>
      <c r="H4193" s="4">
        <f>IFERROR(__xludf.DUMMYFUNCTION("DATE(INDEX(SPLIT(G4193,""/""),,3),INDEX(SPLIT(G4193,""/""),,2),INDEX(SPLIT(G4193,""/""),,1))"),44656.0)</f>
        <v>44656</v>
      </c>
      <c r="I4193" s="1" t="s">
        <v>109</v>
      </c>
      <c r="J4193" s="4">
        <f>IFERROR(__xludf.DUMMYFUNCTION("DATE(INDEX(SPLIT(I4193,""/""),,3),INDEX(SPLIT(I4193,""/""),,2),INDEX(SPLIT(I4193,""/""),,1))"),44834.0)</f>
        <v>44834</v>
      </c>
      <c r="L4193" s="1">
        <v>0.0</v>
      </c>
      <c r="M4193" s="1" t="s">
        <v>4243</v>
      </c>
      <c r="N4193" s="1"/>
      <c r="O4193" s="1" t="s">
        <v>30</v>
      </c>
      <c r="P4193" s="1" t="s">
        <v>31</v>
      </c>
      <c r="Q4193" s="1" t="s">
        <v>157</v>
      </c>
      <c r="R4193" s="1" t="s">
        <v>157</v>
      </c>
      <c r="S4193" s="1" t="s">
        <v>158</v>
      </c>
      <c r="T4193" s="1" t="s">
        <v>159</v>
      </c>
      <c r="U4193" s="1">
        <v>1.0058537E8</v>
      </c>
      <c r="X4193" s="1" t="s">
        <v>490</v>
      </c>
      <c r="Y4193" s="1" t="s">
        <v>11964</v>
      </c>
      <c r="Z4193" s="1" t="s">
        <v>37</v>
      </c>
    </row>
    <row r="4194" hidden="1">
      <c r="A4194" s="1" t="s">
        <v>11965</v>
      </c>
      <c r="B4194" s="1" t="s">
        <v>7608</v>
      </c>
      <c r="C4194" s="1" t="s">
        <v>11966</v>
      </c>
      <c r="D4194" s="1" t="s">
        <v>122</v>
      </c>
      <c r="E4194" s="1" t="s">
        <v>28</v>
      </c>
      <c r="F4194" s="2">
        <v>180000.0</v>
      </c>
      <c r="G4194" s="4">
        <v>44481.0</v>
      </c>
      <c r="H4194" s="4">
        <f>IFERROR(__xludf.DUMMYFUNCTION("DATE(INDEX(SPLIT(G4194,""/""),,3),INDEX(SPLIT(G4194,""/""),,2),INDEX(SPLIT(G4194,""/""),,1))"),44540.0)</f>
        <v>44540</v>
      </c>
      <c r="I4194" s="4">
        <v>44601.0</v>
      </c>
      <c r="J4194" s="4">
        <f>IFERROR(__xludf.DUMMYFUNCTION("DATE(INDEX(SPLIT(I4194,""/""),,3),INDEX(SPLIT(I4194,""/""),,2),INDEX(SPLIT(I4194,""/""),,1))"),44806.0)</f>
        <v>44806</v>
      </c>
      <c r="L4194" s="1">
        <v>0.0</v>
      </c>
      <c r="M4194" s="1" t="s">
        <v>1284</v>
      </c>
      <c r="N4194" s="1"/>
      <c r="O4194" s="1" t="s">
        <v>30</v>
      </c>
      <c r="P4194" s="1" t="s">
        <v>31</v>
      </c>
      <c r="Q4194" s="1" t="s">
        <v>32</v>
      </c>
      <c r="R4194" s="1" t="s">
        <v>32</v>
      </c>
      <c r="S4194" s="1" t="s">
        <v>33</v>
      </c>
      <c r="T4194" s="1" t="s">
        <v>402</v>
      </c>
      <c r="U4194" s="1">
        <v>1.00626898E8</v>
      </c>
      <c r="X4194" s="1" t="s">
        <v>117</v>
      </c>
      <c r="Y4194" s="1" t="s">
        <v>1284</v>
      </c>
      <c r="Z4194" s="1" t="s">
        <v>37</v>
      </c>
    </row>
    <row r="4195">
      <c r="A4195" s="1" t="s">
        <v>11967</v>
      </c>
      <c r="B4195" s="1" t="s">
        <v>8694</v>
      </c>
      <c r="C4195" s="1" t="s">
        <v>11968</v>
      </c>
      <c r="D4195" s="1" t="s">
        <v>68</v>
      </c>
      <c r="E4195" s="1" t="s">
        <v>28</v>
      </c>
      <c r="F4195" s="2">
        <v>180000.0</v>
      </c>
      <c r="G4195" s="1" t="s">
        <v>2025</v>
      </c>
      <c r="H4195" s="4">
        <f>IFERROR(__xludf.DUMMYFUNCTION("DATE(INDEX(SPLIT(G4195,""/""),,3),INDEX(SPLIT(G4195,""/""),,2),INDEX(SPLIT(G4195,""/""),,1))"),44664.0)</f>
        <v>44664</v>
      </c>
      <c r="I4195" s="1" t="s">
        <v>1438</v>
      </c>
      <c r="J4195" s="4">
        <f>IFERROR(__xludf.DUMMYFUNCTION("DATE(INDEX(SPLIT(I4195,""/""),,3),INDEX(SPLIT(I4195,""/""),,2),INDEX(SPLIT(I4195,""/""),,1))"),44708.0)</f>
        <v>44708</v>
      </c>
      <c r="L4195" s="1">
        <v>0.0</v>
      </c>
      <c r="M4195" s="1" t="s">
        <v>1685</v>
      </c>
      <c r="N4195" s="1"/>
      <c r="O4195" s="1" t="s">
        <v>30</v>
      </c>
      <c r="P4195" s="1" t="s">
        <v>31</v>
      </c>
      <c r="Q4195" s="1" t="s">
        <v>228</v>
      </c>
      <c r="R4195" s="1" t="s">
        <v>228</v>
      </c>
      <c r="S4195" s="1" t="s">
        <v>229</v>
      </c>
      <c r="T4195" s="1" t="s">
        <v>505</v>
      </c>
      <c r="U4195" s="1">
        <v>1.00612055E8</v>
      </c>
      <c r="X4195" s="1" t="s">
        <v>63</v>
      </c>
      <c r="Y4195" s="1" t="s">
        <v>1685</v>
      </c>
      <c r="Z4195" s="1" t="s">
        <v>37</v>
      </c>
    </row>
    <row r="4196" hidden="1">
      <c r="A4196" s="1" t="s">
        <v>11969</v>
      </c>
      <c r="B4196" s="1" t="s">
        <v>2671</v>
      </c>
      <c r="C4196" s="1" t="s">
        <v>11970</v>
      </c>
      <c r="D4196" s="1" t="s">
        <v>78</v>
      </c>
      <c r="E4196" s="1" t="s">
        <v>28</v>
      </c>
      <c r="F4196" s="2">
        <v>180000.0</v>
      </c>
      <c r="G4196" s="1" t="s">
        <v>935</v>
      </c>
      <c r="H4196" s="4">
        <f>IFERROR(__xludf.DUMMYFUNCTION("DATE(INDEX(SPLIT(G4196,""/""),,3),INDEX(SPLIT(G4196,""/""),,2),INDEX(SPLIT(G4196,""/""),,1))"),44764.0)</f>
        <v>44764</v>
      </c>
      <c r="I4196" s="1" t="s">
        <v>281</v>
      </c>
      <c r="J4196" s="4">
        <f>IFERROR(__xludf.DUMMYFUNCTION("DATE(INDEX(SPLIT(I4196,""/""),,3),INDEX(SPLIT(I4196,""/""),,2),INDEX(SPLIT(I4196,""/""),,1))"),44865.0)</f>
        <v>44865</v>
      </c>
      <c r="L4196" s="1">
        <v>0.0</v>
      </c>
      <c r="M4196" s="1" t="s">
        <v>4735</v>
      </c>
      <c r="N4196" s="1"/>
      <c r="O4196" s="1" t="s">
        <v>30</v>
      </c>
      <c r="P4196" s="1" t="s">
        <v>31</v>
      </c>
      <c r="Q4196" s="1" t="s">
        <v>71</v>
      </c>
      <c r="R4196" s="1" t="s">
        <v>71</v>
      </c>
      <c r="S4196" s="1" t="s">
        <v>72</v>
      </c>
      <c r="T4196" s="1" t="s">
        <v>136</v>
      </c>
      <c r="U4196" s="1">
        <v>1.00609615E8</v>
      </c>
      <c r="X4196" s="1" t="s">
        <v>74</v>
      </c>
      <c r="Y4196" s="1" t="s">
        <v>2593</v>
      </c>
      <c r="Z4196" s="1" t="s">
        <v>206</v>
      </c>
    </row>
    <row r="4197">
      <c r="A4197" s="1" t="s">
        <v>11971</v>
      </c>
      <c r="B4197" s="1" t="s">
        <v>1131</v>
      </c>
      <c r="C4197" s="1" t="s">
        <v>11972</v>
      </c>
      <c r="D4197" s="1" t="s">
        <v>27</v>
      </c>
      <c r="E4197" s="1" t="s">
        <v>28</v>
      </c>
      <c r="F4197" s="2">
        <v>179530.0</v>
      </c>
      <c r="G4197" s="1" t="s">
        <v>298</v>
      </c>
      <c r="H4197" s="4">
        <f>IFERROR(__xludf.DUMMYFUNCTION("DATE(INDEX(SPLIT(G4197,""/""),,3),INDEX(SPLIT(G4197,""/""),,2),INDEX(SPLIT(G4197,""/""),,1))"),44762.0)</f>
        <v>44762</v>
      </c>
      <c r="I4197" s="1" t="s">
        <v>343</v>
      </c>
      <c r="J4197" s="4">
        <f>IFERROR(__xludf.DUMMYFUNCTION("DATE(INDEX(SPLIT(I4197,""/""),,3),INDEX(SPLIT(I4197,""/""),,2),INDEX(SPLIT(I4197,""/""),,1))"),44761.0)</f>
        <v>44761</v>
      </c>
      <c r="L4197" s="1">
        <v>0.0</v>
      </c>
      <c r="M4197" s="1" t="s">
        <v>10627</v>
      </c>
      <c r="N4197" s="1"/>
      <c r="O4197" s="1" t="s">
        <v>30</v>
      </c>
      <c r="P4197" s="1" t="s">
        <v>31</v>
      </c>
      <c r="Q4197" s="1" t="s">
        <v>228</v>
      </c>
      <c r="R4197" s="1" t="s">
        <v>228</v>
      </c>
      <c r="S4197" s="1" t="s">
        <v>229</v>
      </c>
      <c r="T4197" s="1" t="s">
        <v>513</v>
      </c>
      <c r="U4197" s="1">
        <v>1.00614969E8</v>
      </c>
      <c r="X4197" s="1" t="s">
        <v>74</v>
      </c>
      <c r="Y4197" s="1" t="s">
        <v>11973</v>
      </c>
      <c r="Z4197" s="1" t="s">
        <v>37</v>
      </c>
    </row>
    <row r="4198">
      <c r="A4198" s="1" t="s">
        <v>11974</v>
      </c>
      <c r="B4198" s="1" t="s">
        <v>704</v>
      </c>
      <c r="C4198" s="1" t="s">
        <v>11975</v>
      </c>
      <c r="D4198" s="1" t="s">
        <v>78</v>
      </c>
      <c r="E4198" s="1" t="s">
        <v>28</v>
      </c>
      <c r="F4198" s="2">
        <v>178000.0</v>
      </c>
      <c r="G4198" s="1" t="s">
        <v>1058</v>
      </c>
      <c r="H4198" s="4">
        <f>IFERROR(__xludf.DUMMYFUNCTION("DATE(INDEX(SPLIT(G4198,""/""),,3),INDEX(SPLIT(G4198,""/""),,2),INDEX(SPLIT(G4198,""/""),,1))"),44733.0)</f>
        <v>44733</v>
      </c>
      <c r="I4198" s="1" t="s">
        <v>503</v>
      </c>
      <c r="J4198" s="4">
        <f>IFERROR(__xludf.DUMMYFUNCTION("DATE(INDEX(SPLIT(I4198,""/""),,3),INDEX(SPLIT(I4198,""/""),,2),INDEX(SPLIT(I4198,""/""),,1))"),44736.0)</f>
        <v>44736</v>
      </c>
      <c r="L4198" s="1">
        <v>0.0</v>
      </c>
      <c r="M4198" s="1" t="s">
        <v>4508</v>
      </c>
      <c r="N4198" s="1"/>
      <c r="O4198" s="1" t="s">
        <v>30</v>
      </c>
      <c r="P4198" s="1" t="s">
        <v>31</v>
      </c>
      <c r="Q4198" s="1" t="s">
        <v>228</v>
      </c>
      <c r="R4198" s="1" t="s">
        <v>228</v>
      </c>
      <c r="S4198" s="1" t="s">
        <v>229</v>
      </c>
      <c r="T4198" s="1" t="s">
        <v>640</v>
      </c>
      <c r="U4198" s="1">
        <v>1.00657185E8</v>
      </c>
      <c r="X4198" s="1" t="s">
        <v>35</v>
      </c>
      <c r="Y4198" s="1" t="s">
        <v>8933</v>
      </c>
      <c r="Z4198" s="1" t="s">
        <v>37</v>
      </c>
    </row>
    <row r="4199" hidden="1">
      <c r="A4199" s="1" t="s">
        <v>11976</v>
      </c>
      <c r="B4199" s="1" t="s">
        <v>11977</v>
      </c>
      <c r="C4199" s="1" t="s">
        <v>11978</v>
      </c>
      <c r="D4199" s="1" t="s">
        <v>27</v>
      </c>
      <c r="E4199" s="1" t="s">
        <v>28</v>
      </c>
      <c r="F4199" s="2">
        <v>175000.0</v>
      </c>
      <c r="G4199" s="1" t="s">
        <v>1058</v>
      </c>
      <c r="H4199" s="4">
        <f>IFERROR(__xludf.DUMMYFUNCTION("DATE(INDEX(SPLIT(G4199,""/""),,3),INDEX(SPLIT(G4199,""/""),,2),INDEX(SPLIT(G4199,""/""),,1))"),44733.0)</f>
        <v>44733</v>
      </c>
      <c r="I4199" s="1" t="s">
        <v>11979</v>
      </c>
      <c r="J4199" s="4">
        <f>IFERROR(__xludf.DUMMYFUNCTION("DATE(INDEX(SPLIT(I4199,""/""),,3),INDEX(SPLIT(I4199,""/""),,2),INDEX(SPLIT(I4199,""/""),,1))"),44970.0)</f>
        <v>44970</v>
      </c>
      <c r="L4199" s="1">
        <v>0.0</v>
      </c>
      <c r="M4199" s="1" t="s">
        <v>6570</v>
      </c>
      <c r="N4199" s="1"/>
      <c r="O4199" s="1" t="s">
        <v>30</v>
      </c>
      <c r="P4199" s="1" t="s">
        <v>31</v>
      </c>
      <c r="Q4199" s="1" t="s">
        <v>53</v>
      </c>
      <c r="R4199" s="1" t="s">
        <v>53</v>
      </c>
      <c r="S4199" s="1" t="s">
        <v>54</v>
      </c>
      <c r="U4199" s="1">
        <v>1.01230882E8</v>
      </c>
      <c r="X4199" s="1" t="s">
        <v>117</v>
      </c>
      <c r="Y4199" s="1" t="s">
        <v>6570</v>
      </c>
      <c r="Z4199" s="1" t="s">
        <v>37</v>
      </c>
    </row>
    <row r="4200" hidden="1">
      <c r="A4200" s="1" t="s">
        <v>11980</v>
      </c>
      <c r="B4200" s="1" t="s">
        <v>906</v>
      </c>
      <c r="C4200" s="1" t="s">
        <v>8515</v>
      </c>
      <c r="D4200" s="1" t="s">
        <v>27</v>
      </c>
      <c r="E4200" s="1" t="s">
        <v>28</v>
      </c>
      <c r="F4200" s="2">
        <v>175000.0</v>
      </c>
      <c r="G4200" s="4">
        <v>44508.0</v>
      </c>
      <c r="H4200" s="4">
        <f>IFERROR(__xludf.DUMMYFUNCTION("DATE(INDEX(SPLIT(G4200,""/""),,3),INDEX(SPLIT(G4200,""/""),,2),INDEX(SPLIT(G4200,""/""),,1))"),44419.0)</f>
        <v>44419</v>
      </c>
      <c r="I4200" s="1" t="s">
        <v>109</v>
      </c>
      <c r="J4200" s="4">
        <f>IFERROR(__xludf.DUMMYFUNCTION("DATE(INDEX(SPLIT(I4200,""/""),,3),INDEX(SPLIT(I4200,""/""),,2),INDEX(SPLIT(I4200,""/""),,1))"),44834.0)</f>
        <v>44834</v>
      </c>
      <c r="L4200" s="1">
        <v>0.0</v>
      </c>
      <c r="M4200" s="1" t="s">
        <v>299</v>
      </c>
      <c r="N4200" s="1"/>
      <c r="O4200" s="1" t="s">
        <v>30</v>
      </c>
      <c r="P4200" s="1" t="s">
        <v>31</v>
      </c>
      <c r="Q4200" s="1" t="s">
        <v>71</v>
      </c>
      <c r="R4200" s="1" t="s">
        <v>71</v>
      </c>
      <c r="S4200" s="1" t="s">
        <v>72</v>
      </c>
      <c r="T4200" s="1" t="s">
        <v>136</v>
      </c>
      <c r="U4200" s="1">
        <v>1.00610483E8</v>
      </c>
      <c r="X4200" s="1" t="s">
        <v>74</v>
      </c>
      <c r="Y4200" s="1" t="s">
        <v>4444</v>
      </c>
      <c r="Z4200" s="1" t="s">
        <v>37</v>
      </c>
    </row>
    <row r="4201">
      <c r="A4201" s="1" t="s">
        <v>11981</v>
      </c>
      <c r="B4201" s="1" t="s">
        <v>1379</v>
      </c>
      <c r="C4201" s="1" t="s">
        <v>11982</v>
      </c>
      <c r="D4201" s="1" t="s">
        <v>27</v>
      </c>
      <c r="E4201" s="1" t="s">
        <v>28</v>
      </c>
      <c r="F4201" s="2">
        <v>175000.0</v>
      </c>
      <c r="G4201" s="4">
        <v>44807.0</v>
      </c>
      <c r="H4201" s="4">
        <f>IFERROR(__xludf.DUMMYFUNCTION("DATE(INDEX(SPLIT(G4201,""/""),,3),INDEX(SPLIT(G4201,""/""),,2),INDEX(SPLIT(G4201,""/""),,1))"),44629.0)</f>
        <v>44629</v>
      </c>
      <c r="I4201" s="1" t="s">
        <v>226</v>
      </c>
      <c r="J4201" s="4">
        <f>IFERROR(__xludf.DUMMYFUNCTION("DATE(INDEX(SPLIT(I4201,""/""),,3),INDEX(SPLIT(I4201,""/""),,2),INDEX(SPLIT(I4201,""/""),,1))"),44771.0)</f>
        <v>44771</v>
      </c>
      <c r="L4201" s="1">
        <v>0.0</v>
      </c>
      <c r="M4201" s="1" t="s">
        <v>4530</v>
      </c>
      <c r="N4201" s="1"/>
      <c r="O4201" s="1" t="s">
        <v>30</v>
      </c>
      <c r="P4201" s="1" t="s">
        <v>31</v>
      </c>
      <c r="Q4201" s="1" t="s">
        <v>157</v>
      </c>
      <c r="R4201" s="1" t="s">
        <v>157</v>
      </c>
      <c r="S4201" s="1" t="s">
        <v>158</v>
      </c>
      <c r="U4201" s="1">
        <v>1.00659846E8</v>
      </c>
      <c r="X4201" s="1" t="s">
        <v>63</v>
      </c>
      <c r="Y4201" s="1" t="s">
        <v>3117</v>
      </c>
      <c r="Z4201" s="1" t="s">
        <v>37</v>
      </c>
    </row>
    <row r="4202">
      <c r="A4202" s="1" t="s">
        <v>11983</v>
      </c>
      <c r="B4202" s="1" t="s">
        <v>11984</v>
      </c>
      <c r="C4202" s="1" t="s">
        <v>11985</v>
      </c>
      <c r="D4202" s="1" t="s">
        <v>78</v>
      </c>
      <c r="E4202" s="1" t="s">
        <v>28</v>
      </c>
      <c r="F4202" s="2">
        <v>175000.0</v>
      </c>
      <c r="G4202" s="1" t="s">
        <v>1767</v>
      </c>
      <c r="H4202" s="4">
        <f>IFERROR(__xludf.DUMMYFUNCTION("DATE(INDEX(SPLIT(G4202,""/""),,3),INDEX(SPLIT(G4202,""/""),,2),INDEX(SPLIT(G4202,""/""),,1))"),44698.0)</f>
        <v>44698</v>
      </c>
      <c r="I4202" s="1" t="s">
        <v>233</v>
      </c>
      <c r="J4202" s="4">
        <f>IFERROR(__xludf.DUMMYFUNCTION("DATE(INDEX(SPLIT(I4202,""/""),,3),INDEX(SPLIT(I4202,""/""),,2),INDEX(SPLIT(I4202,""/""),,1))"),44729.0)</f>
        <v>44729</v>
      </c>
      <c r="L4202" s="1">
        <v>0.0</v>
      </c>
      <c r="M4202" s="1" t="s">
        <v>512</v>
      </c>
      <c r="N4202" s="1"/>
      <c r="O4202" s="1" t="s">
        <v>30</v>
      </c>
      <c r="P4202" s="1" t="s">
        <v>31</v>
      </c>
      <c r="Q4202" s="1" t="s">
        <v>228</v>
      </c>
      <c r="R4202" s="1" t="s">
        <v>228</v>
      </c>
      <c r="S4202" s="1" t="s">
        <v>229</v>
      </c>
      <c r="T4202" s="1" t="s">
        <v>513</v>
      </c>
      <c r="U4202" s="1">
        <v>1.00654864E8</v>
      </c>
      <c r="X4202" s="1" t="s">
        <v>117</v>
      </c>
      <c r="Y4202" s="1" t="s">
        <v>6349</v>
      </c>
      <c r="Z4202" s="1" t="s">
        <v>37</v>
      </c>
    </row>
    <row r="4203" hidden="1">
      <c r="A4203" s="1" t="s">
        <v>11986</v>
      </c>
      <c r="B4203" s="1" t="s">
        <v>1542</v>
      </c>
      <c r="C4203" s="1" t="s">
        <v>11987</v>
      </c>
      <c r="D4203" s="1" t="s">
        <v>27</v>
      </c>
      <c r="E4203" s="1" t="s">
        <v>28</v>
      </c>
      <c r="F4203" s="2">
        <v>175000.0</v>
      </c>
      <c r="G4203" s="1" t="s">
        <v>418</v>
      </c>
      <c r="H4203" s="4">
        <f>IFERROR(__xludf.DUMMYFUNCTION("DATE(INDEX(SPLIT(G4203,""/""),,3),INDEX(SPLIT(G4203,""/""),,2),INDEX(SPLIT(G4203,""/""),,1))"),44755.0)</f>
        <v>44755</v>
      </c>
      <c r="I4203" s="1" t="s">
        <v>85</v>
      </c>
      <c r="J4203" s="4">
        <f>IFERROR(__xludf.DUMMYFUNCTION("DATE(INDEX(SPLIT(I4203,""/""),,3),INDEX(SPLIT(I4203,""/""),,2),INDEX(SPLIT(I4203,""/""),,1))"),44799.0)</f>
        <v>44799</v>
      </c>
      <c r="L4203" s="1">
        <v>0.0</v>
      </c>
      <c r="M4203" s="1" t="s">
        <v>5493</v>
      </c>
      <c r="N4203" s="1"/>
      <c r="O4203" s="1" t="s">
        <v>30</v>
      </c>
      <c r="P4203" s="1" t="s">
        <v>31</v>
      </c>
      <c r="Q4203" s="1" t="s">
        <v>95</v>
      </c>
      <c r="R4203" s="1" t="s">
        <v>95</v>
      </c>
      <c r="S4203" s="1" t="s">
        <v>96</v>
      </c>
      <c r="T4203" s="1" t="s">
        <v>489</v>
      </c>
      <c r="U4203" s="1">
        <v>1.00591654E8</v>
      </c>
      <c r="X4203" s="1" t="s">
        <v>74</v>
      </c>
      <c r="Y4203" s="1" t="s">
        <v>5493</v>
      </c>
      <c r="Z4203" s="1" t="s">
        <v>37</v>
      </c>
    </row>
    <row r="4204">
      <c r="A4204" s="1" t="s">
        <v>11988</v>
      </c>
      <c r="B4204" s="1" t="s">
        <v>144</v>
      </c>
      <c r="C4204" s="1" t="s">
        <v>11989</v>
      </c>
      <c r="D4204" s="1" t="s">
        <v>27</v>
      </c>
      <c r="E4204" s="1" t="s">
        <v>28</v>
      </c>
      <c r="F4204" s="2">
        <v>175000.0</v>
      </c>
      <c r="G4204" s="4">
        <v>44447.0</v>
      </c>
      <c r="H4204" s="4">
        <f>IFERROR(__xludf.DUMMYFUNCTION("DATE(INDEX(SPLIT(G4204,""/""),,3),INDEX(SPLIT(G4204,""/""),,2),INDEX(SPLIT(G4204,""/""),,1))"),44417.0)</f>
        <v>44417</v>
      </c>
      <c r="I4204" s="4">
        <v>44718.0</v>
      </c>
      <c r="J4204" s="4">
        <f>IFERROR(__xludf.DUMMYFUNCTION("DATE(INDEX(SPLIT(I4204,""/""),,3),INDEX(SPLIT(I4204,""/""),,2),INDEX(SPLIT(I4204,""/""),,1))"),44718.0)</f>
        <v>44718</v>
      </c>
      <c r="L4204" s="1">
        <v>0.0</v>
      </c>
      <c r="M4204" s="1" t="s">
        <v>601</v>
      </c>
      <c r="N4204" s="1"/>
      <c r="O4204" s="1" t="s">
        <v>30</v>
      </c>
      <c r="P4204" s="1" t="s">
        <v>31</v>
      </c>
      <c r="Q4204" s="1" t="s">
        <v>95</v>
      </c>
      <c r="R4204" s="1" t="s">
        <v>95</v>
      </c>
      <c r="S4204" s="1" t="s">
        <v>96</v>
      </c>
      <c r="T4204" s="1" t="s">
        <v>602</v>
      </c>
      <c r="U4204" s="1">
        <v>1.00625415E8</v>
      </c>
      <c r="X4204" s="1" t="s">
        <v>88</v>
      </c>
      <c r="Y4204" s="1" t="s">
        <v>4239</v>
      </c>
      <c r="Z4204" s="1" t="s">
        <v>37</v>
      </c>
    </row>
    <row r="4205" hidden="1">
      <c r="A4205" s="1" t="s">
        <v>11990</v>
      </c>
      <c r="B4205" s="1" t="s">
        <v>5489</v>
      </c>
      <c r="C4205" s="1" t="s">
        <v>11991</v>
      </c>
      <c r="D4205" s="1" t="s">
        <v>78</v>
      </c>
      <c r="E4205" s="1" t="s">
        <v>28</v>
      </c>
      <c r="F4205" s="2">
        <v>175000.0</v>
      </c>
      <c r="G4205" s="1" t="s">
        <v>2025</v>
      </c>
      <c r="H4205" s="4">
        <f>IFERROR(__xludf.DUMMYFUNCTION("DATE(INDEX(SPLIT(G4205,""/""),,3),INDEX(SPLIT(G4205,""/""),,2),INDEX(SPLIT(G4205,""/""),,1))"),44664.0)</f>
        <v>44664</v>
      </c>
      <c r="I4205" s="4">
        <v>44601.0</v>
      </c>
      <c r="J4205" s="4">
        <f>IFERROR(__xludf.DUMMYFUNCTION("DATE(INDEX(SPLIT(I4205,""/""),,3),INDEX(SPLIT(I4205,""/""),,2),INDEX(SPLIT(I4205,""/""),,1))"),44806.0)</f>
        <v>44806</v>
      </c>
      <c r="L4205" s="1">
        <v>0.0</v>
      </c>
      <c r="M4205" s="1" t="s">
        <v>467</v>
      </c>
      <c r="N4205" s="1"/>
      <c r="O4205" s="1" t="s">
        <v>30</v>
      </c>
      <c r="P4205" s="1" t="s">
        <v>31</v>
      </c>
      <c r="Q4205" s="1" t="s">
        <v>32</v>
      </c>
      <c r="R4205" s="1" t="s">
        <v>32</v>
      </c>
      <c r="S4205" s="1" t="s">
        <v>33</v>
      </c>
      <c r="T4205" s="1" t="s">
        <v>34</v>
      </c>
      <c r="U4205" s="1">
        <v>1.00619817E8</v>
      </c>
      <c r="X4205" s="1" t="s">
        <v>81</v>
      </c>
      <c r="Y4205" s="1" t="s">
        <v>467</v>
      </c>
      <c r="Z4205" s="1" t="s">
        <v>37</v>
      </c>
    </row>
    <row r="4206">
      <c r="A4206" s="1" t="s">
        <v>11992</v>
      </c>
      <c r="B4206" s="1" t="s">
        <v>2000</v>
      </c>
      <c r="C4206" s="1" t="s">
        <v>11993</v>
      </c>
      <c r="D4206" s="1" t="s">
        <v>27</v>
      </c>
      <c r="E4206" s="1" t="s">
        <v>28</v>
      </c>
      <c r="F4206" s="2">
        <v>175000.0</v>
      </c>
      <c r="G4206" s="4">
        <v>44599.0</v>
      </c>
      <c r="H4206" s="4">
        <f>IFERROR(__xludf.DUMMYFUNCTION("DATE(INDEX(SPLIT(G4206,""/""),,3),INDEX(SPLIT(G4206,""/""),,2),INDEX(SPLIT(G4206,""/""),,1))"),44744.0)</f>
        <v>44744</v>
      </c>
      <c r="I4206" s="1" t="s">
        <v>69</v>
      </c>
      <c r="J4206" s="4">
        <f>IFERROR(__xludf.DUMMYFUNCTION("DATE(INDEX(SPLIT(I4206,""/""),,3),INDEX(SPLIT(I4206,""/""),,2),INDEX(SPLIT(I4206,""/""),,1))"),44773.0)</f>
        <v>44773</v>
      </c>
      <c r="L4206" s="1">
        <v>0.0</v>
      </c>
      <c r="M4206" s="1" t="s">
        <v>4534</v>
      </c>
      <c r="N4206" s="1"/>
      <c r="O4206" s="1" t="s">
        <v>30</v>
      </c>
      <c r="P4206" s="1" t="s">
        <v>31</v>
      </c>
      <c r="Q4206" s="1" t="s">
        <v>228</v>
      </c>
      <c r="R4206" s="1" t="s">
        <v>228</v>
      </c>
      <c r="S4206" s="1" t="s">
        <v>229</v>
      </c>
      <c r="T4206" s="1" t="s">
        <v>513</v>
      </c>
      <c r="U4206" s="1">
        <v>1.0065605E8</v>
      </c>
      <c r="X4206" s="1" t="s">
        <v>74</v>
      </c>
      <c r="Y4206" s="1" t="s">
        <v>11076</v>
      </c>
      <c r="Z4206" s="1" t="s">
        <v>37</v>
      </c>
    </row>
    <row r="4207" hidden="1">
      <c r="A4207" s="1" t="s">
        <v>11994</v>
      </c>
      <c r="B4207" s="1" t="s">
        <v>5675</v>
      </c>
      <c r="C4207" s="1" t="s">
        <v>11995</v>
      </c>
      <c r="D4207" s="1" t="s">
        <v>78</v>
      </c>
      <c r="E4207" s="1" t="s">
        <v>28</v>
      </c>
      <c r="F4207" s="2">
        <v>175000.0</v>
      </c>
      <c r="G4207" s="1" t="s">
        <v>1494</v>
      </c>
      <c r="H4207" s="4">
        <f>IFERROR(__xludf.DUMMYFUNCTION("DATE(INDEX(SPLIT(G4207,""/""),,3),INDEX(SPLIT(G4207,""/""),,2),INDEX(SPLIT(G4207,""/""),,1))"),44463.0)</f>
        <v>44463</v>
      </c>
      <c r="I4207" s="1" t="s">
        <v>109</v>
      </c>
      <c r="J4207" s="4">
        <f>IFERROR(__xludf.DUMMYFUNCTION("DATE(INDEX(SPLIT(I4207,""/""),,3),INDEX(SPLIT(I4207,""/""),,2),INDEX(SPLIT(I4207,""/""),,1))"),44834.0)</f>
        <v>44834</v>
      </c>
      <c r="L4207" s="1">
        <v>0.0</v>
      </c>
      <c r="M4207" s="1" t="s">
        <v>5205</v>
      </c>
      <c r="N4207" s="1"/>
      <c r="O4207" s="1" t="s">
        <v>30</v>
      </c>
      <c r="P4207" s="1" t="s">
        <v>31</v>
      </c>
      <c r="Q4207" s="1" t="s">
        <v>32</v>
      </c>
      <c r="R4207" s="1" t="s">
        <v>32</v>
      </c>
      <c r="S4207" s="1" t="s">
        <v>33</v>
      </c>
      <c r="U4207" s="1">
        <v>1.00587881E8</v>
      </c>
      <c r="X4207" s="1" t="s">
        <v>305</v>
      </c>
      <c r="Y4207" s="1" t="s">
        <v>5205</v>
      </c>
      <c r="Z4207" s="1" t="s">
        <v>37</v>
      </c>
    </row>
    <row r="4208" hidden="1">
      <c r="A4208" s="1" t="s">
        <v>11996</v>
      </c>
      <c r="B4208" s="1" t="s">
        <v>645</v>
      </c>
      <c r="C4208" s="1" t="s">
        <v>11997</v>
      </c>
      <c r="D4208" s="1" t="s">
        <v>78</v>
      </c>
      <c r="E4208" s="1" t="s">
        <v>28</v>
      </c>
      <c r="F4208" s="2">
        <v>175000.0</v>
      </c>
      <c r="G4208" s="1" t="s">
        <v>343</v>
      </c>
      <c r="H4208" s="4">
        <f>IFERROR(__xludf.DUMMYFUNCTION("DATE(INDEX(SPLIT(G4208,""/""),,3),INDEX(SPLIT(G4208,""/""),,2),INDEX(SPLIT(G4208,""/""),,1))"),44761.0)</f>
        <v>44761</v>
      </c>
      <c r="I4208" s="1" t="s">
        <v>109</v>
      </c>
      <c r="J4208" s="4">
        <f>IFERROR(__xludf.DUMMYFUNCTION("DATE(INDEX(SPLIT(I4208,""/""),,3),INDEX(SPLIT(I4208,""/""),,2),INDEX(SPLIT(I4208,""/""),,1))"),44834.0)</f>
        <v>44834</v>
      </c>
      <c r="L4208" s="1">
        <v>0.0</v>
      </c>
      <c r="M4208" s="1" t="s">
        <v>2787</v>
      </c>
      <c r="N4208" s="1"/>
      <c r="O4208" s="1" t="s">
        <v>30</v>
      </c>
      <c r="P4208" s="1" t="s">
        <v>31</v>
      </c>
      <c r="Q4208" s="1" t="s">
        <v>157</v>
      </c>
      <c r="R4208" s="1" t="s">
        <v>157</v>
      </c>
      <c r="S4208" s="1" t="s">
        <v>158</v>
      </c>
      <c r="T4208" s="1" t="s">
        <v>442</v>
      </c>
      <c r="U4208" s="1">
        <v>1.00708984E8</v>
      </c>
      <c r="X4208" s="1" t="s">
        <v>117</v>
      </c>
      <c r="Y4208" s="1" t="s">
        <v>8223</v>
      </c>
      <c r="Z4208" s="1" t="s">
        <v>37</v>
      </c>
    </row>
    <row r="4209" hidden="1">
      <c r="A4209" s="1" t="s">
        <v>11998</v>
      </c>
      <c r="B4209" s="1" t="s">
        <v>1748</v>
      </c>
      <c r="C4209" s="1" t="s">
        <v>11999</v>
      </c>
      <c r="D4209" s="1" t="s">
        <v>27</v>
      </c>
      <c r="E4209" s="1" t="s">
        <v>28</v>
      </c>
      <c r="F4209" s="2">
        <v>175000.0</v>
      </c>
      <c r="G4209" s="1" t="s">
        <v>472</v>
      </c>
      <c r="H4209" s="4">
        <f>IFERROR(__xludf.DUMMYFUNCTION("DATE(INDEX(SPLIT(G4209,""/""),,3),INDEX(SPLIT(G4209,""/""),,2),INDEX(SPLIT(G4209,""/""),,1))"),44760.0)</f>
        <v>44760</v>
      </c>
      <c r="I4209" s="1" t="s">
        <v>3941</v>
      </c>
      <c r="J4209" s="4">
        <f>IFERROR(__xludf.DUMMYFUNCTION("DATE(INDEX(SPLIT(I4209,""/""),,3),INDEX(SPLIT(I4209,""/""),,2),INDEX(SPLIT(I4209,""/""),,1))"),44823.0)</f>
        <v>44823</v>
      </c>
      <c r="L4209" s="1">
        <v>0.0</v>
      </c>
      <c r="M4209" s="1" t="s">
        <v>6003</v>
      </c>
      <c r="N4209" s="1"/>
      <c r="O4209" s="1" t="s">
        <v>30</v>
      </c>
      <c r="P4209" s="1" t="s">
        <v>31</v>
      </c>
      <c r="Q4209" s="1" t="s">
        <v>235</v>
      </c>
      <c r="R4209" s="1" t="s">
        <v>235</v>
      </c>
      <c r="S4209" s="1" t="s">
        <v>236</v>
      </c>
      <c r="T4209" s="1" t="s">
        <v>753</v>
      </c>
      <c r="U4209" s="1">
        <v>1.00623535E8</v>
      </c>
      <c r="V4209" s="1" t="s">
        <v>7540</v>
      </c>
      <c r="W4209" s="1" t="s">
        <v>199</v>
      </c>
      <c r="X4209" s="1" t="s">
        <v>88</v>
      </c>
      <c r="Y4209" s="1" t="s">
        <v>6003</v>
      </c>
      <c r="Z4209" s="1" t="s">
        <v>37</v>
      </c>
    </row>
    <row r="4210" hidden="1">
      <c r="A4210" s="1" t="s">
        <v>12000</v>
      </c>
      <c r="B4210" s="1" t="s">
        <v>5675</v>
      </c>
      <c r="C4210" s="1" t="s">
        <v>12001</v>
      </c>
      <c r="D4210" s="1" t="s">
        <v>122</v>
      </c>
      <c r="E4210" s="1" t="s">
        <v>28</v>
      </c>
      <c r="F4210" s="2">
        <v>175000.0</v>
      </c>
      <c r="G4210" s="1" t="s">
        <v>935</v>
      </c>
      <c r="H4210" s="4">
        <f>IFERROR(__xludf.DUMMYFUNCTION("DATE(INDEX(SPLIT(G4210,""/""),,3),INDEX(SPLIT(G4210,""/""),,2),INDEX(SPLIT(G4210,""/""),,1))"),44764.0)</f>
        <v>44764</v>
      </c>
      <c r="I4210" s="4">
        <v>44601.0</v>
      </c>
      <c r="J4210" s="4">
        <f>IFERROR(__xludf.DUMMYFUNCTION("DATE(INDEX(SPLIT(I4210,""/""),,3),INDEX(SPLIT(I4210,""/""),,2),INDEX(SPLIT(I4210,""/""),,1))"),44806.0)</f>
        <v>44806</v>
      </c>
      <c r="L4210" s="1">
        <v>0.0</v>
      </c>
      <c r="M4210" s="1" t="s">
        <v>1297</v>
      </c>
      <c r="N4210" s="1"/>
      <c r="O4210" s="1" t="s">
        <v>30</v>
      </c>
      <c r="P4210" s="1" t="s">
        <v>31</v>
      </c>
      <c r="Q4210" s="1" t="s">
        <v>188</v>
      </c>
      <c r="R4210" s="1" t="s">
        <v>188</v>
      </c>
      <c r="S4210" s="1" t="s">
        <v>189</v>
      </c>
      <c r="T4210" s="1" t="s">
        <v>1344</v>
      </c>
      <c r="U4210" s="1">
        <v>1.00622378E8</v>
      </c>
      <c r="X4210" s="1" t="s">
        <v>305</v>
      </c>
      <c r="Y4210" s="1" t="s">
        <v>5677</v>
      </c>
      <c r="Z4210" s="1" t="s">
        <v>37</v>
      </c>
    </row>
    <row r="4211">
      <c r="A4211" s="1" t="s">
        <v>12002</v>
      </c>
      <c r="B4211" s="1" t="s">
        <v>1144</v>
      </c>
      <c r="C4211" s="1" t="s">
        <v>12003</v>
      </c>
      <c r="D4211" s="1" t="s">
        <v>27</v>
      </c>
      <c r="E4211" s="1" t="s">
        <v>28</v>
      </c>
      <c r="F4211" s="2">
        <v>175000.0</v>
      </c>
      <c r="G4211" s="1" t="s">
        <v>5068</v>
      </c>
      <c r="H4211" s="4">
        <f>IFERROR(__xludf.DUMMYFUNCTION("DATE(INDEX(SPLIT(G4211,""/""),,3),INDEX(SPLIT(G4211,""/""),,2),INDEX(SPLIT(G4211,""/""),,1))"),44315.0)</f>
        <v>44315</v>
      </c>
      <c r="I4211" s="1" t="s">
        <v>1244</v>
      </c>
      <c r="J4211" s="4">
        <f>IFERROR(__xludf.DUMMYFUNCTION("DATE(INDEX(SPLIT(I4211,""/""),,3),INDEX(SPLIT(I4211,""/""),,2),INDEX(SPLIT(I4211,""/""),,1))"),44742.0)</f>
        <v>44742</v>
      </c>
      <c r="L4211" s="1">
        <v>0.0</v>
      </c>
      <c r="M4211" s="1" t="s">
        <v>2614</v>
      </c>
      <c r="N4211" s="1"/>
      <c r="O4211" s="1" t="s">
        <v>30</v>
      </c>
      <c r="P4211" s="1" t="s">
        <v>31</v>
      </c>
      <c r="Q4211" s="1" t="s">
        <v>53</v>
      </c>
      <c r="R4211" s="1" t="s">
        <v>53</v>
      </c>
      <c r="S4211" s="1" t="s">
        <v>54</v>
      </c>
      <c r="T4211" s="1" t="s">
        <v>197</v>
      </c>
      <c r="U4211" s="1">
        <v>1.00592932E8</v>
      </c>
      <c r="X4211" s="1" t="s">
        <v>63</v>
      </c>
      <c r="Y4211" s="1" t="s">
        <v>12004</v>
      </c>
      <c r="Z4211" s="1" t="s">
        <v>37</v>
      </c>
    </row>
    <row r="4212" hidden="1">
      <c r="A4212" s="1" t="s">
        <v>12005</v>
      </c>
      <c r="B4212" s="1" t="s">
        <v>997</v>
      </c>
      <c r="C4212" s="1" t="s">
        <v>12006</v>
      </c>
      <c r="D4212" s="1" t="s">
        <v>27</v>
      </c>
      <c r="E4212" s="1" t="s">
        <v>28</v>
      </c>
      <c r="F4212" s="2">
        <v>175000.0</v>
      </c>
      <c r="G4212" s="4">
        <v>44806.0</v>
      </c>
      <c r="H4212" s="4">
        <f>IFERROR(__xludf.DUMMYFUNCTION("DATE(INDEX(SPLIT(G4212,""/""),,3),INDEX(SPLIT(G4212,""/""),,2),INDEX(SPLIT(G4212,""/""),,1))"),44601.0)</f>
        <v>44601</v>
      </c>
      <c r="I4212" s="1" t="s">
        <v>130</v>
      </c>
      <c r="J4212" s="4">
        <f>IFERROR(__xludf.DUMMYFUNCTION("DATE(INDEX(SPLIT(I4212,""/""),,3),INDEX(SPLIT(I4212,""/""),,2),INDEX(SPLIT(I4212,""/""),,1))"),44804.0)</f>
        <v>44804</v>
      </c>
      <c r="L4212" s="1">
        <v>0.0</v>
      </c>
      <c r="M4212" s="1" t="s">
        <v>2869</v>
      </c>
      <c r="N4212" s="1"/>
      <c r="O4212" s="1" t="s">
        <v>30</v>
      </c>
      <c r="P4212" s="1" t="s">
        <v>31</v>
      </c>
      <c r="Q4212" s="1" t="s">
        <v>228</v>
      </c>
      <c r="R4212" s="1" t="s">
        <v>228</v>
      </c>
      <c r="S4212" s="1" t="s">
        <v>229</v>
      </c>
      <c r="T4212" s="1" t="s">
        <v>640</v>
      </c>
      <c r="U4212" s="1">
        <v>1.00641939E8</v>
      </c>
      <c r="X4212" s="1" t="s">
        <v>410</v>
      </c>
      <c r="Y4212" s="1" t="s">
        <v>2761</v>
      </c>
      <c r="Z4212" s="1" t="s">
        <v>37</v>
      </c>
    </row>
    <row r="4213">
      <c r="A4213" s="1" t="s">
        <v>12007</v>
      </c>
      <c r="B4213" s="1" t="s">
        <v>12008</v>
      </c>
      <c r="C4213" s="1" t="s">
        <v>12009</v>
      </c>
      <c r="D4213" s="1" t="s">
        <v>122</v>
      </c>
      <c r="E4213" s="1" t="s">
        <v>28</v>
      </c>
      <c r="F4213" s="2">
        <v>175000.0</v>
      </c>
      <c r="G4213" s="1" t="s">
        <v>164</v>
      </c>
      <c r="H4213" s="4">
        <f>IFERROR(__xludf.DUMMYFUNCTION("DATE(INDEX(SPLIT(G4213,""/""),,3),INDEX(SPLIT(G4213,""/""),,2),INDEX(SPLIT(G4213,""/""),,1))"),44706.0)</f>
        <v>44706</v>
      </c>
      <c r="I4213" s="1" t="s">
        <v>226</v>
      </c>
      <c r="J4213" s="4">
        <f>IFERROR(__xludf.DUMMYFUNCTION("DATE(INDEX(SPLIT(I4213,""/""),,3),INDEX(SPLIT(I4213,""/""),,2),INDEX(SPLIT(I4213,""/""),,1))"),44771.0)</f>
        <v>44771</v>
      </c>
      <c r="L4213" s="1">
        <v>0.0</v>
      </c>
      <c r="M4213" s="1" t="s">
        <v>2546</v>
      </c>
      <c r="N4213" s="1"/>
      <c r="O4213" s="1" t="s">
        <v>30</v>
      </c>
      <c r="P4213" s="1" t="s">
        <v>31</v>
      </c>
      <c r="Q4213" s="1" t="s">
        <v>228</v>
      </c>
      <c r="R4213" s="1" t="s">
        <v>228</v>
      </c>
      <c r="S4213" s="1" t="s">
        <v>229</v>
      </c>
      <c r="T4213" s="1" t="s">
        <v>505</v>
      </c>
      <c r="U4213" s="1">
        <v>1.00892076E8</v>
      </c>
      <c r="X4213" s="1" t="s">
        <v>74</v>
      </c>
      <c r="Y4213" s="1" t="s">
        <v>2546</v>
      </c>
      <c r="Z4213" s="1" t="s">
        <v>37</v>
      </c>
    </row>
    <row r="4214" hidden="1">
      <c r="A4214" s="1" t="s">
        <v>12010</v>
      </c>
      <c r="B4214" s="1" t="s">
        <v>12011</v>
      </c>
      <c r="C4214" s="1" t="s">
        <v>12012</v>
      </c>
      <c r="D4214" s="1" t="s">
        <v>122</v>
      </c>
      <c r="E4214" s="1" t="s">
        <v>28</v>
      </c>
      <c r="F4214" s="2">
        <v>175000.0</v>
      </c>
      <c r="G4214" s="4">
        <v>44713.0</v>
      </c>
      <c r="H4214" s="4">
        <f>IFERROR(__xludf.DUMMYFUNCTION("DATE(INDEX(SPLIT(G4214,""/""),,3),INDEX(SPLIT(G4214,""/""),,2),INDEX(SPLIT(G4214,""/""),,1))"),44567.0)</f>
        <v>44567</v>
      </c>
      <c r="I4214" s="1" t="s">
        <v>109</v>
      </c>
      <c r="J4214" s="4">
        <f>IFERROR(__xludf.DUMMYFUNCTION("DATE(INDEX(SPLIT(I4214,""/""),,3),INDEX(SPLIT(I4214,""/""),,2),INDEX(SPLIT(I4214,""/""),,1))"),44834.0)</f>
        <v>44834</v>
      </c>
      <c r="L4214" s="1">
        <v>0.0</v>
      </c>
      <c r="M4214" s="1" t="s">
        <v>4645</v>
      </c>
      <c r="N4214" s="1"/>
      <c r="O4214" s="1" t="s">
        <v>30</v>
      </c>
      <c r="P4214" s="1" t="s">
        <v>31</v>
      </c>
      <c r="Q4214" s="1" t="s">
        <v>95</v>
      </c>
      <c r="R4214" s="1" t="s">
        <v>95</v>
      </c>
      <c r="S4214" s="1" t="s">
        <v>96</v>
      </c>
      <c r="T4214" s="1" t="s">
        <v>97</v>
      </c>
      <c r="U4214" s="1">
        <v>1.0062141E8</v>
      </c>
      <c r="X4214" s="1" t="s">
        <v>117</v>
      </c>
      <c r="Y4214" s="1" t="s">
        <v>6966</v>
      </c>
      <c r="Z4214" s="1" t="s">
        <v>37</v>
      </c>
    </row>
    <row r="4215" hidden="1">
      <c r="A4215" s="1" t="s">
        <v>12013</v>
      </c>
      <c r="B4215" s="1" t="s">
        <v>1355</v>
      </c>
      <c r="C4215" s="1" t="s">
        <v>12014</v>
      </c>
      <c r="D4215" s="1" t="s">
        <v>27</v>
      </c>
      <c r="E4215" s="1" t="s">
        <v>28</v>
      </c>
      <c r="F4215" s="2">
        <v>175000.0</v>
      </c>
      <c r="G4215" s="1" t="s">
        <v>1442</v>
      </c>
      <c r="H4215" s="4">
        <f>IFERROR(__xludf.DUMMYFUNCTION("DATE(INDEX(SPLIT(G4215,""/""),,3),INDEX(SPLIT(G4215,""/""),,2),INDEX(SPLIT(G4215,""/""),,1))"),44727.0)</f>
        <v>44727</v>
      </c>
      <c r="I4215" s="1" t="s">
        <v>130</v>
      </c>
      <c r="J4215" s="4">
        <f>IFERROR(__xludf.DUMMYFUNCTION("DATE(INDEX(SPLIT(I4215,""/""),,3),INDEX(SPLIT(I4215,""/""),,2),INDEX(SPLIT(I4215,""/""),,1))"),44804.0)</f>
        <v>44804</v>
      </c>
      <c r="L4215" s="1">
        <v>0.0</v>
      </c>
      <c r="M4215" s="1" t="s">
        <v>6050</v>
      </c>
      <c r="N4215" s="1"/>
      <c r="O4215" s="1" t="s">
        <v>30</v>
      </c>
      <c r="P4215" s="1" t="s">
        <v>31</v>
      </c>
      <c r="Q4215" s="1" t="s">
        <v>228</v>
      </c>
      <c r="R4215" s="1" t="s">
        <v>228</v>
      </c>
      <c r="S4215" s="1" t="s">
        <v>229</v>
      </c>
      <c r="T4215" s="1" t="s">
        <v>513</v>
      </c>
      <c r="U4215" s="1">
        <v>1.0058798E8</v>
      </c>
      <c r="X4215" s="1" t="s">
        <v>35</v>
      </c>
      <c r="Y4215" s="1" t="s">
        <v>12015</v>
      </c>
      <c r="Z4215" s="1" t="s">
        <v>37</v>
      </c>
    </row>
    <row r="4216">
      <c r="A4216" s="1" t="s">
        <v>12016</v>
      </c>
      <c r="B4216" s="1" t="s">
        <v>532</v>
      </c>
      <c r="C4216" s="1" t="s">
        <v>12017</v>
      </c>
      <c r="D4216" s="1" t="s">
        <v>27</v>
      </c>
      <c r="E4216" s="1" t="s">
        <v>28</v>
      </c>
      <c r="F4216" s="2">
        <v>175000.0</v>
      </c>
      <c r="G4216" s="1" t="s">
        <v>324</v>
      </c>
      <c r="H4216" s="4">
        <f>IFERROR(__xludf.DUMMYFUNCTION("DATE(INDEX(SPLIT(G4216,""/""),,3),INDEX(SPLIT(G4216,""/""),,2),INDEX(SPLIT(G4216,""/""),,1))"),44636.0)</f>
        <v>44636</v>
      </c>
      <c r="I4216" s="1" t="s">
        <v>518</v>
      </c>
      <c r="J4216" s="4">
        <f>IFERROR(__xludf.DUMMYFUNCTION("DATE(INDEX(SPLIT(I4216,""/""),,3),INDEX(SPLIT(I4216,""/""),,2),INDEX(SPLIT(I4216,""/""),,1))"),44757.0)</f>
        <v>44757</v>
      </c>
      <c r="L4216" s="1">
        <v>0.0</v>
      </c>
      <c r="M4216" s="1" t="s">
        <v>614</v>
      </c>
      <c r="N4216" s="1"/>
      <c r="O4216" s="1" t="s">
        <v>30</v>
      </c>
      <c r="P4216" s="1" t="s">
        <v>31</v>
      </c>
      <c r="Q4216" s="1" t="s">
        <v>71</v>
      </c>
      <c r="R4216" s="1" t="s">
        <v>71</v>
      </c>
      <c r="S4216" s="1" t="s">
        <v>72</v>
      </c>
      <c r="U4216" s="1">
        <v>1.00869732E8</v>
      </c>
      <c r="X4216" s="1" t="s">
        <v>490</v>
      </c>
      <c r="Y4216" s="1" t="s">
        <v>4766</v>
      </c>
      <c r="Z4216" s="1" t="s">
        <v>37</v>
      </c>
    </row>
    <row r="4217" hidden="1">
      <c r="A4217" s="1" t="s">
        <v>12018</v>
      </c>
      <c r="B4217" s="1" t="s">
        <v>12019</v>
      </c>
      <c r="C4217" s="1" t="s">
        <v>10988</v>
      </c>
      <c r="D4217" s="1" t="s">
        <v>27</v>
      </c>
      <c r="E4217" s="1" t="s">
        <v>28</v>
      </c>
      <c r="F4217" s="2">
        <v>175000.0</v>
      </c>
      <c r="G4217" s="1" t="s">
        <v>359</v>
      </c>
      <c r="H4217" s="4">
        <f>IFERROR(__xludf.DUMMYFUNCTION("DATE(INDEX(SPLIT(G4217,""/""),,3),INDEX(SPLIT(G4217,""/""),,2),INDEX(SPLIT(G4217,""/""),,1))"),44740.0)</f>
        <v>44740</v>
      </c>
      <c r="I4217" s="1" t="s">
        <v>109</v>
      </c>
      <c r="J4217" s="4">
        <f>IFERROR(__xludf.DUMMYFUNCTION("DATE(INDEX(SPLIT(I4217,""/""),,3),INDEX(SPLIT(I4217,""/""),,2),INDEX(SPLIT(I4217,""/""),,1))"),44834.0)</f>
        <v>44834</v>
      </c>
      <c r="L4217" s="1">
        <v>0.0</v>
      </c>
      <c r="M4217" s="1" t="s">
        <v>1548</v>
      </c>
      <c r="N4217" s="1"/>
      <c r="O4217" s="1" t="s">
        <v>30</v>
      </c>
      <c r="P4217" s="1" t="s">
        <v>31</v>
      </c>
      <c r="Q4217" s="1" t="s">
        <v>32</v>
      </c>
      <c r="R4217" s="1" t="s">
        <v>32</v>
      </c>
      <c r="S4217" s="1" t="s">
        <v>33</v>
      </c>
      <c r="U4217" s="1">
        <v>1.01215106E8</v>
      </c>
      <c r="X4217" s="1" t="s">
        <v>63</v>
      </c>
      <c r="Y4217" s="1" t="s">
        <v>1548</v>
      </c>
      <c r="Z4217" s="1" t="s">
        <v>37</v>
      </c>
    </row>
    <row r="4218">
      <c r="A4218" s="1" t="s">
        <v>12020</v>
      </c>
      <c r="B4218" s="1" t="s">
        <v>12021</v>
      </c>
      <c r="C4218" s="1" t="s">
        <v>12022</v>
      </c>
      <c r="D4218" s="1" t="s">
        <v>122</v>
      </c>
      <c r="E4218" s="1" t="s">
        <v>28</v>
      </c>
      <c r="F4218" s="2">
        <v>174716.0</v>
      </c>
      <c r="G4218" s="4">
        <v>44900.0</v>
      </c>
      <c r="H4218" s="4">
        <f>IFERROR(__xludf.DUMMYFUNCTION("DATE(INDEX(SPLIT(G4218,""/""),,3),INDEX(SPLIT(G4218,""/""),,2),INDEX(SPLIT(G4218,""/""),,1))"),44693.0)</f>
        <v>44693</v>
      </c>
      <c r="I4218" s="4">
        <v>44872.0</v>
      </c>
      <c r="J4218" s="4">
        <f>IFERROR(__xludf.DUMMYFUNCTION("DATE(INDEX(SPLIT(I4218,""/""),,3),INDEX(SPLIT(I4218,""/""),,2),INDEX(SPLIT(I4218,""/""),,1))"),44753.0)</f>
        <v>44753</v>
      </c>
      <c r="L4218" s="1">
        <v>0.0</v>
      </c>
      <c r="M4218" s="1" t="s">
        <v>5693</v>
      </c>
      <c r="N4218" s="1"/>
      <c r="O4218" s="1" t="s">
        <v>30</v>
      </c>
      <c r="P4218" s="1" t="s">
        <v>31</v>
      </c>
      <c r="Q4218" s="1" t="s">
        <v>228</v>
      </c>
      <c r="R4218" s="1" t="s">
        <v>228</v>
      </c>
      <c r="S4218" s="1" t="s">
        <v>229</v>
      </c>
      <c r="T4218" s="1" t="s">
        <v>513</v>
      </c>
      <c r="U4218" s="1">
        <v>1.00640945E8</v>
      </c>
      <c r="X4218" s="1" t="s">
        <v>74</v>
      </c>
      <c r="Y4218" s="1" t="s">
        <v>5693</v>
      </c>
      <c r="Z4218" s="1" t="s">
        <v>37</v>
      </c>
    </row>
    <row r="4219" hidden="1">
      <c r="A4219" s="1" t="s">
        <v>12023</v>
      </c>
      <c r="B4219" s="1" t="s">
        <v>427</v>
      </c>
      <c r="C4219" s="1" t="s">
        <v>12024</v>
      </c>
      <c r="D4219" s="1" t="s">
        <v>122</v>
      </c>
      <c r="E4219" s="1" t="s">
        <v>28</v>
      </c>
      <c r="F4219" s="2">
        <v>170000.0</v>
      </c>
      <c r="G4219" s="1" t="s">
        <v>586</v>
      </c>
      <c r="H4219" s="4">
        <f>IFERROR(__xludf.DUMMYFUNCTION("DATE(INDEX(SPLIT(G4219,""/""),,3),INDEX(SPLIT(G4219,""/""),,2),INDEX(SPLIT(G4219,""/""),,1))"),44726.0)</f>
        <v>44726</v>
      </c>
      <c r="I4219" s="4">
        <v>44569.0</v>
      </c>
      <c r="J4219" s="4">
        <f>IFERROR(__xludf.DUMMYFUNCTION("DATE(INDEX(SPLIT(I4219,""/""),,3),INDEX(SPLIT(I4219,""/""),,2),INDEX(SPLIT(I4219,""/""),,1))"),44774.0)</f>
        <v>44774</v>
      </c>
      <c r="L4219" s="1">
        <v>0.0</v>
      </c>
      <c r="M4219" s="1" t="s">
        <v>431</v>
      </c>
      <c r="N4219" s="1"/>
      <c r="O4219" s="1" t="s">
        <v>30</v>
      </c>
      <c r="P4219" s="1" t="s">
        <v>31</v>
      </c>
      <c r="Q4219" s="1" t="s">
        <v>157</v>
      </c>
      <c r="R4219" s="1" t="s">
        <v>157</v>
      </c>
      <c r="S4219" s="1" t="s">
        <v>158</v>
      </c>
      <c r="U4219" s="1">
        <v>1.00650064E8</v>
      </c>
      <c r="X4219" s="1" t="s">
        <v>125</v>
      </c>
      <c r="Y4219" s="1" t="s">
        <v>2233</v>
      </c>
      <c r="Z4219" s="1" t="s">
        <v>37</v>
      </c>
    </row>
    <row r="4220">
      <c r="A4220" s="1" t="s">
        <v>12025</v>
      </c>
      <c r="B4220" s="1" t="s">
        <v>4782</v>
      </c>
      <c r="C4220" s="1" t="s">
        <v>12026</v>
      </c>
      <c r="D4220" s="1" t="s">
        <v>122</v>
      </c>
      <c r="E4220" s="1" t="s">
        <v>28</v>
      </c>
      <c r="F4220" s="2">
        <v>170000.0</v>
      </c>
      <c r="G4220" s="4">
        <v>44717.0</v>
      </c>
      <c r="H4220" s="4">
        <f>IFERROR(__xludf.DUMMYFUNCTION("DATE(INDEX(SPLIT(G4220,""/""),,3),INDEX(SPLIT(G4220,""/""),,2),INDEX(SPLIT(G4220,""/""),,1))"),44687.0)</f>
        <v>44687</v>
      </c>
      <c r="I4220" s="1" t="s">
        <v>69</v>
      </c>
      <c r="J4220" s="4">
        <f>IFERROR(__xludf.DUMMYFUNCTION("DATE(INDEX(SPLIT(I4220,""/""),,3),INDEX(SPLIT(I4220,""/""),,2),INDEX(SPLIT(I4220,""/""),,1))"),44773.0)</f>
        <v>44773</v>
      </c>
      <c r="L4220" s="1">
        <v>0.0</v>
      </c>
      <c r="M4220" s="1" t="s">
        <v>1828</v>
      </c>
      <c r="N4220" s="1"/>
      <c r="O4220" s="1" t="s">
        <v>30</v>
      </c>
      <c r="P4220" s="1" t="s">
        <v>31</v>
      </c>
      <c r="Q4220" s="1" t="s">
        <v>235</v>
      </c>
      <c r="R4220" s="1" t="s">
        <v>235</v>
      </c>
      <c r="S4220" s="1" t="s">
        <v>236</v>
      </c>
      <c r="T4220" s="1" t="s">
        <v>1349</v>
      </c>
      <c r="U4220" s="1">
        <v>1.00593918E8</v>
      </c>
      <c r="X4220" s="1" t="s">
        <v>375</v>
      </c>
      <c r="Y4220" s="1" t="s">
        <v>1350</v>
      </c>
      <c r="Z4220" s="1" t="s">
        <v>37</v>
      </c>
    </row>
    <row r="4221" hidden="1">
      <c r="A4221" s="1" t="s">
        <v>12027</v>
      </c>
      <c r="B4221" s="1" t="s">
        <v>6405</v>
      </c>
      <c r="C4221" s="1" t="s">
        <v>12028</v>
      </c>
      <c r="D4221" s="1" t="s">
        <v>122</v>
      </c>
      <c r="E4221" s="1" t="s">
        <v>28</v>
      </c>
      <c r="F4221" s="2">
        <v>170000.0</v>
      </c>
      <c r="G4221" s="1" t="s">
        <v>10585</v>
      </c>
      <c r="H4221" s="4">
        <f>IFERROR(__xludf.DUMMYFUNCTION("DATE(INDEX(SPLIT(G4221,""/""),,3),INDEX(SPLIT(G4221,""/""),,2),INDEX(SPLIT(G4221,""/""),,1))"),44159.0)</f>
        <v>44159</v>
      </c>
      <c r="I4221" s="1" t="s">
        <v>109</v>
      </c>
      <c r="J4221" s="4">
        <f>IFERROR(__xludf.DUMMYFUNCTION("DATE(INDEX(SPLIT(I4221,""/""),,3),INDEX(SPLIT(I4221,""/""),,2),INDEX(SPLIT(I4221,""/""),,1))"),44834.0)</f>
        <v>44834</v>
      </c>
      <c r="L4221" s="1">
        <v>0.0</v>
      </c>
      <c r="M4221" s="1" t="s">
        <v>211</v>
      </c>
      <c r="N4221" s="1"/>
      <c r="O4221" s="1" t="s">
        <v>30</v>
      </c>
      <c r="P4221" s="1" t="s">
        <v>31</v>
      </c>
      <c r="Q4221" s="1" t="s">
        <v>71</v>
      </c>
      <c r="R4221" s="1" t="s">
        <v>71</v>
      </c>
      <c r="S4221" s="1" t="s">
        <v>72</v>
      </c>
      <c r="T4221" s="1" t="s">
        <v>136</v>
      </c>
      <c r="U4221" s="1">
        <v>1.00590896E8</v>
      </c>
      <c r="X4221" s="1" t="s">
        <v>74</v>
      </c>
      <c r="Y4221" s="1" t="s">
        <v>10564</v>
      </c>
      <c r="Z4221" s="1" t="s">
        <v>37</v>
      </c>
    </row>
    <row r="4222" hidden="1">
      <c r="A4222" s="1" t="s">
        <v>12029</v>
      </c>
      <c r="B4222" s="1" t="s">
        <v>12030</v>
      </c>
      <c r="C4222" s="1" t="s">
        <v>12031</v>
      </c>
      <c r="D4222" s="1" t="s">
        <v>78</v>
      </c>
      <c r="E4222" s="1" t="s">
        <v>28</v>
      </c>
      <c r="F4222" s="2">
        <v>170000.0</v>
      </c>
      <c r="G4222" s="4">
        <v>44777.0</v>
      </c>
      <c r="H4222" s="4">
        <f>IFERROR(__xludf.DUMMYFUNCTION("DATE(INDEX(SPLIT(G4222,""/""),,3),INDEX(SPLIT(G4222,""/""),,2),INDEX(SPLIT(G4222,""/""),,1))"),44659.0)</f>
        <v>44659</v>
      </c>
      <c r="I4222" s="1" t="s">
        <v>1750</v>
      </c>
      <c r="J4222" s="4">
        <f>IFERROR(__xludf.DUMMYFUNCTION("DATE(INDEX(SPLIT(I4222,""/""),,3),INDEX(SPLIT(I4222,""/""),,2),INDEX(SPLIT(I4222,""/""),,1))"),44802.0)</f>
        <v>44802</v>
      </c>
      <c r="L4222" s="1">
        <v>0.0</v>
      </c>
      <c r="M4222" s="1" t="s">
        <v>787</v>
      </c>
      <c r="N4222" s="1"/>
      <c r="O4222" s="1" t="s">
        <v>30</v>
      </c>
      <c r="P4222" s="1" t="s">
        <v>31</v>
      </c>
      <c r="Q4222" s="1" t="s">
        <v>53</v>
      </c>
      <c r="R4222" s="1" t="s">
        <v>53</v>
      </c>
      <c r="S4222" s="1" t="s">
        <v>54</v>
      </c>
      <c r="T4222" s="1" t="s">
        <v>197</v>
      </c>
      <c r="U4222" s="1">
        <v>1.00610205E8</v>
      </c>
      <c r="X4222" s="1" t="s">
        <v>63</v>
      </c>
      <c r="Y4222" s="1" t="s">
        <v>787</v>
      </c>
      <c r="Z4222" s="1" t="s">
        <v>37</v>
      </c>
    </row>
    <row r="4223">
      <c r="A4223" s="1" t="s">
        <v>12032</v>
      </c>
      <c r="B4223" s="1" t="s">
        <v>12033</v>
      </c>
      <c r="C4223" s="1" t="s">
        <v>12034</v>
      </c>
      <c r="D4223" s="1" t="s">
        <v>78</v>
      </c>
      <c r="E4223" s="1" t="s">
        <v>28</v>
      </c>
      <c r="F4223" s="2">
        <v>170000.0</v>
      </c>
      <c r="G4223" s="1" t="s">
        <v>2572</v>
      </c>
      <c r="H4223" s="4">
        <f>IFERROR(__xludf.DUMMYFUNCTION("DATE(INDEX(SPLIT(G4223,""/""),,3),INDEX(SPLIT(G4223,""/""),,2),INDEX(SPLIT(G4223,""/""),,1))"),44581.0)</f>
        <v>44581</v>
      </c>
      <c r="I4223" s="1" t="s">
        <v>518</v>
      </c>
      <c r="J4223" s="4">
        <f>IFERROR(__xludf.DUMMYFUNCTION("DATE(INDEX(SPLIT(I4223,""/""),,3),INDEX(SPLIT(I4223,""/""),,2),INDEX(SPLIT(I4223,""/""),,1))"),44757.0)</f>
        <v>44757</v>
      </c>
      <c r="L4223" s="1">
        <v>0.0</v>
      </c>
      <c r="M4223" s="1" t="s">
        <v>1959</v>
      </c>
      <c r="N4223" s="1"/>
      <c r="O4223" s="1" t="s">
        <v>30</v>
      </c>
      <c r="P4223" s="1" t="s">
        <v>31</v>
      </c>
      <c r="Q4223" s="1" t="s">
        <v>228</v>
      </c>
      <c r="R4223" s="1" t="s">
        <v>228</v>
      </c>
      <c r="S4223" s="1" t="s">
        <v>229</v>
      </c>
      <c r="T4223" s="1" t="s">
        <v>640</v>
      </c>
      <c r="U4223" s="1">
        <v>1.00955805E8</v>
      </c>
      <c r="Y4223" s="1" t="s">
        <v>12035</v>
      </c>
      <c r="Z4223" s="1" t="s">
        <v>37</v>
      </c>
    </row>
    <row r="4224">
      <c r="A4224" s="1" t="s">
        <v>12036</v>
      </c>
      <c r="B4224" s="1" t="s">
        <v>12037</v>
      </c>
      <c r="C4224" s="1" t="s">
        <v>12038</v>
      </c>
      <c r="D4224" s="1" t="s">
        <v>122</v>
      </c>
      <c r="E4224" s="1" t="s">
        <v>28</v>
      </c>
      <c r="F4224" s="2">
        <v>170000.0</v>
      </c>
      <c r="G4224" s="1" t="s">
        <v>1136</v>
      </c>
      <c r="H4224" s="4">
        <f>IFERROR(__xludf.DUMMYFUNCTION("DATE(INDEX(SPLIT(G4224,""/""),,3),INDEX(SPLIT(G4224,""/""),,2),INDEX(SPLIT(G4224,""/""),,1))"),44608.0)</f>
        <v>44608</v>
      </c>
      <c r="I4224" s="1" t="s">
        <v>226</v>
      </c>
      <c r="J4224" s="4">
        <f>IFERROR(__xludf.DUMMYFUNCTION("DATE(INDEX(SPLIT(I4224,""/""),,3),INDEX(SPLIT(I4224,""/""),,2),INDEX(SPLIT(I4224,""/""),,1))"),44771.0)</f>
        <v>44771</v>
      </c>
      <c r="L4224" s="1">
        <v>0.0</v>
      </c>
      <c r="M4224" s="1" t="s">
        <v>12039</v>
      </c>
      <c r="N4224" s="1"/>
      <c r="O4224" s="1" t="s">
        <v>30</v>
      </c>
      <c r="P4224" s="1" t="s">
        <v>31</v>
      </c>
      <c r="Q4224" s="1" t="s">
        <v>228</v>
      </c>
      <c r="R4224" s="1" t="s">
        <v>228</v>
      </c>
      <c r="S4224" s="1" t="s">
        <v>229</v>
      </c>
      <c r="T4224" s="1" t="s">
        <v>640</v>
      </c>
      <c r="U4224" s="1">
        <v>1.00612509E8</v>
      </c>
      <c r="X4224" s="1" t="s">
        <v>98</v>
      </c>
      <c r="Y4224" s="1" t="s">
        <v>6966</v>
      </c>
      <c r="Z4224" s="1" t="s">
        <v>37</v>
      </c>
    </row>
    <row r="4225" hidden="1">
      <c r="A4225" s="1" t="s">
        <v>12040</v>
      </c>
      <c r="B4225" s="1" t="s">
        <v>5781</v>
      </c>
      <c r="C4225" s="1" t="s">
        <v>12041</v>
      </c>
      <c r="D4225" s="1" t="s">
        <v>78</v>
      </c>
      <c r="E4225" s="1" t="s">
        <v>28</v>
      </c>
      <c r="F4225" s="2">
        <v>168000.0</v>
      </c>
      <c r="G4225" s="1" t="s">
        <v>418</v>
      </c>
      <c r="H4225" s="4">
        <f>IFERROR(__xludf.DUMMYFUNCTION("DATE(INDEX(SPLIT(G4225,""/""),,3),INDEX(SPLIT(G4225,""/""),,2),INDEX(SPLIT(G4225,""/""),,1))"),44755.0)</f>
        <v>44755</v>
      </c>
      <c r="I4225" s="1" t="s">
        <v>203</v>
      </c>
      <c r="J4225" s="4">
        <f>IFERROR(__xludf.DUMMYFUNCTION("DATE(INDEX(SPLIT(I4225,""/""),,3),INDEX(SPLIT(I4225,""/""),,2),INDEX(SPLIT(I4225,""/""),,1))"),44925.0)</f>
        <v>44925</v>
      </c>
      <c r="L4225" s="1">
        <v>0.0</v>
      </c>
      <c r="M4225" s="1" t="s">
        <v>2592</v>
      </c>
      <c r="N4225" s="1"/>
      <c r="O4225" s="1" t="s">
        <v>30</v>
      </c>
      <c r="P4225" s="1" t="s">
        <v>31</v>
      </c>
      <c r="Q4225" s="1" t="s">
        <v>71</v>
      </c>
      <c r="R4225" s="1" t="s">
        <v>71</v>
      </c>
      <c r="S4225" s="1" t="s">
        <v>72</v>
      </c>
      <c r="T4225" s="1" t="s">
        <v>136</v>
      </c>
      <c r="U4225" s="1">
        <v>1.00586452E8</v>
      </c>
      <c r="X4225" s="1" t="s">
        <v>74</v>
      </c>
      <c r="Y4225" s="1" t="s">
        <v>2593</v>
      </c>
      <c r="Z4225" s="1" t="s">
        <v>37</v>
      </c>
    </row>
    <row r="4226">
      <c r="A4226" s="1" t="s">
        <v>12042</v>
      </c>
      <c r="B4226" s="1" t="s">
        <v>12043</v>
      </c>
      <c r="C4226" s="1" t="s">
        <v>12044</v>
      </c>
      <c r="D4226" s="1" t="s">
        <v>78</v>
      </c>
      <c r="E4226" s="1" t="s">
        <v>28</v>
      </c>
      <c r="F4226" s="2">
        <v>168000.0</v>
      </c>
      <c r="G4226" s="1" t="s">
        <v>7819</v>
      </c>
      <c r="H4226" s="4">
        <f>IFERROR(__xludf.DUMMYFUNCTION("DATE(INDEX(SPLIT(G4226,""/""),,3),INDEX(SPLIT(G4226,""/""),,2),INDEX(SPLIT(G4226,""/""),,1))"),43859.0)</f>
        <v>43859</v>
      </c>
      <c r="I4226" s="1" t="s">
        <v>226</v>
      </c>
      <c r="J4226" s="4">
        <f>IFERROR(__xludf.DUMMYFUNCTION("DATE(INDEX(SPLIT(I4226,""/""),,3),INDEX(SPLIT(I4226,""/""),,2),INDEX(SPLIT(I4226,""/""),,1))"),44771.0)</f>
        <v>44771</v>
      </c>
      <c r="L4226" s="1">
        <v>0.0</v>
      </c>
      <c r="M4226" s="1" t="s">
        <v>2696</v>
      </c>
      <c r="N4226" s="1"/>
      <c r="O4226" s="1" t="s">
        <v>30</v>
      </c>
      <c r="P4226" s="1" t="s">
        <v>31</v>
      </c>
      <c r="Q4226" s="1" t="s">
        <v>157</v>
      </c>
      <c r="R4226" s="1" t="s">
        <v>157</v>
      </c>
      <c r="S4226" s="1" t="s">
        <v>158</v>
      </c>
      <c r="T4226" s="1" t="s">
        <v>402</v>
      </c>
      <c r="U4226" s="1">
        <v>1.00611351E8</v>
      </c>
      <c r="X4226" s="1" t="s">
        <v>781</v>
      </c>
      <c r="Y4226" s="1" t="s">
        <v>3016</v>
      </c>
      <c r="Z4226" s="1" t="s">
        <v>37</v>
      </c>
    </row>
    <row r="4227" hidden="1">
      <c r="A4227" s="1" t="s">
        <v>12045</v>
      </c>
      <c r="B4227" s="1" t="s">
        <v>1479</v>
      </c>
      <c r="C4227" s="1" t="s">
        <v>12046</v>
      </c>
      <c r="D4227" s="1" t="s">
        <v>122</v>
      </c>
      <c r="E4227" s="1" t="s">
        <v>28</v>
      </c>
      <c r="F4227" s="2">
        <v>166840.0</v>
      </c>
      <c r="G4227" s="1" t="s">
        <v>472</v>
      </c>
      <c r="H4227" s="4">
        <f>IFERROR(__xludf.DUMMYFUNCTION("DATE(INDEX(SPLIT(G4227,""/""),,3),INDEX(SPLIT(G4227,""/""),,2),INDEX(SPLIT(G4227,""/""),,1))"),44760.0)</f>
        <v>44760</v>
      </c>
      <c r="I4227" s="1" t="s">
        <v>85</v>
      </c>
      <c r="J4227" s="4">
        <f>IFERROR(__xludf.DUMMYFUNCTION("DATE(INDEX(SPLIT(I4227,""/""),,3),INDEX(SPLIT(I4227,""/""),,2),INDEX(SPLIT(I4227,""/""),,1))"),44799.0)</f>
        <v>44799</v>
      </c>
      <c r="L4227" s="1">
        <v>0.0</v>
      </c>
      <c r="M4227" s="1" t="s">
        <v>1481</v>
      </c>
      <c r="N4227" s="1"/>
      <c r="O4227" s="1" t="s">
        <v>30</v>
      </c>
      <c r="P4227" s="1" t="s">
        <v>31</v>
      </c>
      <c r="Q4227" s="1" t="s">
        <v>157</v>
      </c>
      <c r="R4227" s="1" t="s">
        <v>157</v>
      </c>
      <c r="S4227" s="1" t="s">
        <v>158</v>
      </c>
      <c r="U4227" s="1">
        <v>1.00632803E8</v>
      </c>
      <c r="X4227" s="1" t="s">
        <v>305</v>
      </c>
      <c r="Y4227" s="1" t="s">
        <v>1481</v>
      </c>
      <c r="Z4227" s="1" t="s">
        <v>37</v>
      </c>
    </row>
    <row r="4228" hidden="1">
      <c r="A4228" s="1" t="s">
        <v>12047</v>
      </c>
      <c r="B4228" s="1" t="s">
        <v>1144</v>
      </c>
      <c r="C4228" s="1" t="s">
        <v>12048</v>
      </c>
      <c r="D4228" s="1" t="s">
        <v>78</v>
      </c>
      <c r="E4228" s="1" t="s">
        <v>28</v>
      </c>
      <c r="F4228" s="2">
        <v>165000.0</v>
      </c>
      <c r="G4228" s="4">
        <v>44297.0</v>
      </c>
      <c r="H4228" s="4">
        <f>IFERROR(__xludf.DUMMYFUNCTION("DATE(INDEX(SPLIT(G4228,""/""),,3),INDEX(SPLIT(G4228,""/""),,2),INDEX(SPLIT(G4228,""/""),,1))"),44504.0)</f>
        <v>44504</v>
      </c>
      <c r="I4228" s="1" t="s">
        <v>569</v>
      </c>
      <c r="J4228" s="4">
        <f>IFERROR(__xludf.DUMMYFUNCTION("DATE(INDEX(SPLIT(I4228,""/""),,3),INDEX(SPLIT(I4228,""/""),,2),INDEX(SPLIT(I4228,""/""),,1))"),45016.0)</f>
        <v>45016</v>
      </c>
      <c r="L4228" s="1">
        <v>0.0</v>
      </c>
      <c r="M4228" s="1" t="s">
        <v>1146</v>
      </c>
      <c r="N4228" s="1"/>
      <c r="O4228" s="1" t="s">
        <v>30</v>
      </c>
      <c r="P4228" s="1" t="s">
        <v>31</v>
      </c>
      <c r="Q4228" s="1" t="s">
        <v>228</v>
      </c>
      <c r="R4228" s="1" t="s">
        <v>228</v>
      </c>
      <c r="S4228" s="1" t="s">
        <v>229</v>
      </c>
      <c r="T4228" s="1" t="s">
        <v>640</v>
      </c>
      <c r="U4228" s="1">
        <v>1.0061139E8</v>
      </c>
      <c r="X4228" s="1" t="s">
        <v>63</v>
      </c>
      <c r="Y4228" s="1" t="s">
        <v>6579</v>
      </c>
      <c r="Z4228" s="1" t="s">
        <v>37</v>
      </c>
    </row>
    <row r="4229">
      <c r="A4229" s="1" t="s">
        <v>12049</v>
      </c>
      <c r="B4229" s="1" t="s">
        <v>1748</v>
      </c>
      <c r="C4229" s="1" t="s">
        <v>12050</v>
      </c>
      <c r="D4229" s="1" t="s">
        <v>78</v>
      </c>
      <c r="E4229" s="1" t="s">
        <v>28</v>
      </c>
      <c r="F4229" s="2">
        <v>165000.0</v>
      </c>
      <c r="G4229" s="4">
        <v>44718.0</v>
      </c>
      <c r="H4229" s="4">
        <f>IFERROR(__xludf.DUMMYFUNCTION("DATE(INDEX(SPLIT(G4229,""/""),,3),INDEX(SPLIT(G4229,""/""),,2),INDEX(SPLIT(G4229,""/""),,1))"),44718.0)</f>
        <v>44718</v>
      </c>
      <c r="I4229" s="1" t="s">
        <v>233</v>
      </c>
      <c r="J4229" s="4">
        <f>IFERROR(__xludf.DUMMYFUNCTION("DATE(INDEX(SPLIT(I4229,""/""),,3),INDEX(SPLIT(I4229,""/""),,2),INDEX(SPLIT(I4229,""/""),,1))"),44729.0)</f>
        <v>44729</v>
      </c>
      <c r="L4229" s="1">
        <v>0.0</v>
      </c>
      <c r="M4229" s="1" t="s">
        <v>4919</v>
      </c>
      <c r="N4229" s="1"/>
      <c r="O4229" s="1" t="s">
        <v>30</v>
      </c>
      <c r="P4229" s="1" t="s">
        <v>31</v>
      </c>
      <c r="Q4229" s="1" t="s">
        <v>235</v>
      </c>
      <c r="R4229" s="1" t="s">
        <v>235</v>
      </c>
      <c r="S4229" s="1" t="s">
        <v>236</v>
      </c>
      <c r="U4229" s="1">
        <v>1.00646809E8</v>
      </c>
      <c r="X4229" s="1" t="s">
        <v>88</v>
      </c>
      <c r="Y4229" s="1" t="s">
        <v>9793</v>
      </c>
      <c r="Z4229" s="1" t="s">
        <v>37</v>
      </c>
    </row>
    <row r="4230">
      <c r="A4230" s="1" t="s">
        <v>12051</v>
      </c>
      <c r="B4230" s="1" t="s">
        <v>12052</v>
      </c>
      <c r="C4230" s="1" t="s">
        <v>12053</v>
      </c>
      <c r="D4230" s="1" t="s">
        <v>78</v>
      </c>
      <c r="E4230" s="1" t="s">
        <v>28</v>
      </c>
      <c r="F4230" s="2">
        <v>165000.0</v>
      </c>
      <c r="G4230" s="1" t="s">
        <v>185</v>
      </c>
      <c r="H4230" s="4">
        <f>IFERROR(__xludf.DUMMYFUNCTION("DATE(INDEX(SPLIT(G4230,""/""),,3),INDEX(SPLIT(G4230,""/""),,2),INDEX(SPLIT(G4230,""/""),,1))"),44741.0)</f>
        <v>44741</v>
      </c>
      <c r="I4230" s="1" t="s">
        <v>69</v>
      </c>
      <c r="J4230" s="4">
        <f>IFERROR(__xludf.DUMMYFUNCTION("DATE(INDEX(SPLIT(I4230,""/""),,3),INDEX(SPLIT(I4230,""/""),,2),INDEX(SPLIT(I4230,""/""),,1))"),44773.0)</f>
        <v>44773</v>
      </c>
      <c r="L4230" s="1">
        <v>0.0</v>
      </c>
      <c r="M4230" s="1" t="s">
        <v>211</v>
      </c>
      <c r="N4230" s="1"/>
      <c r="O4230" s="1" t="s">
        <v>30</v>
      </c>
      <c r="P4230" s="1" t="s">
        <v>31</v>
      </c>
      <c r="Q4230" s="1" t="s">
        <v>71</v>
      </c>
      <c r="R4230" s="1" t="s">
        <v>71</v>
      </c>
      <c r="S4230" s="1" t="s">
        <v>72</v>
      </c>
      <c r="T4230" s="1" t="s">
        <v>136</v>
      </c>
      <c r="U4230" s="1">
        <v>1.00590896E8</v>
      </c>
      <c r="X4230" s="1" t="s">
        <v>74</v>
      </c>
      <c r="Y4230" s="1" t="s">
        <v>12054</v>
      </c>
      <c r="Z4230" s="1" t="s">
        <v>37</v>
      </c>
    </row>
    <row r="4231" hidden="1">
      <c r="A4231" s="1" t="s">
        <v>12055</v>
      </c>
      <c r="B4231" s="1" t="s">
        <v>2735</v>
      </c>
      <c r="C4231" s="1" t="s">
        <v>12056</v>
      </c>
      <c r="D4231" s="1" t="s">
        <v>122</v>
      </c>
      <c r="E4231" s="1" t="s">
        <v>28</v>
      </c>
      <c r="F4231" s="2">
        <v>162000.0</v>
      </c>
      <c r="G4231" s="1" t="s">
        <v>3137</v>
      </c>
      <c r="H4231" s="4">
        <f>IFERROR(__xludf.DUMMYFUNCTION("DATE(INDEX(SPLIT(G4231,""/""),,3),INDEX(SPLIT(G4231,""/""),,2),INDEX(SPLIT(G4231,""/""),,1))"),44731.0)</f>
        <v>44731</v>
      </c>
      <c r="I4231" s="1" t="s">
        <v>130</v>
      </c>
      <c r="J4231" s="4">
        <f>IFERROR(__xludf.DUMMYFUNCTION("DATE(INDEX(SPLIT(I4231,""/""),,3),INDEX(SPLIT(I4231,""/""),,2),INDEX(SPLIT(I4231,""/""),,1))"),44804.0)</f>
        <v>44804</v>
      </c>
      <c r="L4231" s="1">
        <v>0.0</v>
      </c>
      <c r="M4231" s="1" t="s">
        <v>3138</v>
      </c>
      <c r="N4231" s="1"/>
      <c r="O4231" s="1" t="s">
        <v>30</v>
      </c>
      <c r="P4231" s="1" t="s">
        <v>31</v>
      </c>
      <c r="Q4231" s="1" t="s">
        <v>157</v>
      </c>
      <c r="R4231" s="1" t="s">
        <v>157</v>
      </c>
      <c r="S4231" s="1" t="s">
        <v>158</v>
      </c>
      <c r="T4231" s="1" t="s">
        <v>442</v>
      </c>
      <c r="U4231" s="1">
        <v>1.00616377E8</v>
      </c>
      <c r="X4231" s="1" t="s">
        <v>490</v>
      </c>
      <c r="Y4231" s="1" t="s">
        <v>3139</v>
      </c>
      <c r="Z4231" s="1" t="s">
        <v>37</v>
      </c>
    </row>
    <row r="4232">
      <c r="A4232" s="1" t="s">
        <v>12057</v>
      </c>
      <c r="B4232" s="1" t="s">
        <v>1845</v>
      </c>
      <c r="C4232" s="1" t="s">
        <v>12058</v>
      </c>
      <c r="D4232" s="1" t="s">
        <v>68</v>
      </c>
      <c r="E4232" s="1" t="s">
        <v>28</v>
      </c>
      <c r="F4232" s="2">
        <v>160000.0</v>
      </c>
      <c r="G4232" s="4">
        <v>44779.0</v>
      </c>
      <c r="H4232" s="4">
        <f>IFERROR(__xludf.DUMMYFUNCTION("DATE(INDEX(SPLIT(G4232,""/""),,3),INDEX(SPLIT(G4232,""/""),,2),INDEX(SPLIT(G4232,""/""),,1))"),44720.0)</f>
        <v>44720</v>
      </c>
      <c r="I4232" s="1" t="s">
        <v>518</v>
      </c>
      <c r="J4232" s="4">
        <f>IFERROR(__xludf.DUMMYFUNCTION("DATE(INDEX(SPLIT(I4232,""/""),,3),INDEX(SPLIT(I4232,""/""),,2),INDEX(SPLIT(I4232,""/""),,1))"),44757.0)</f>
        <v>44757</v>
      </c>
      <c r="L4232" s="1">
        <v>0.0</v>
      </c>
      <c r="M4232" s="1" t="s">
        <v>9444</v>
      </c>
      <c r="N4232" s="1"/>
      <c r="O4232" s="1" t="s">
        <v>30</v>
      </c>
      <c r="P4232" s="1" t="s">
        <v>31</v>
      </c>
      <c r="Q4232" s="1" t="s">
        <v>157</v>
      </c>
      <c r="R4232" s="1" t="s">
        <v>157</v>
      </c>
      <c r="S4232" s="1" t="s">
        <v>158</v>
      </c>
      <c r="T4232" s="1" t="s">
        <v>159</v>
      </c>
      <c r="U4232" s="1">
        <v>1.00614201E8</v>
      </c>
      <c r="X4232" s="1" t="s">
        <v>490</v>
      </c>
      <c r="Y4232" s="1" t="s">
        <v>9445</v>
      </c>
      <c r="Z4232" s="1" t="s">
        <v>37</v>
      </c>
    </row>
    <row r="4233">
      <c r="A4233" s="1" t="s">
        <v>12059</v>
      </c>
      <c r="B4233" s="1" t="s">
        <v>12060</v>
      </c>
      <c r="C4233" s="1" t="s">
        <v>12061</v>
      </c>
      <c r="D4233" s="1" t="s">
        <v>78</v>
      </c>
      <c r="E4233" s="1" t="s">
        <v>28</v>
      </c>
      <c r="F4233" s="2">
        <v>160000.0</v>
      </c>
      <c r="G4233" s="4">
        <v>44809.0</v>
      </c>
      <c r="H4233" s="4">
        <f>IFERROR(__xludf.DUMMYFUNCTION("DATE(INDEX(SPLIT(G4233,""/""),,3),INDEX(SPLIT(G4233,""/""),,2),INDEX(SPLIT(G4233,""/""),,1))"),44690.0)</f>
        <v>44690</v>
      </c>
      <c r="I4233" s="1" t="s">
        <v>2300</v>
      </c>
      <c r="J4233" s="4">
        <f>IFERROR(__xludf.DUMMYFUNCTION("DATE(INDEX(SPLIT(I4233,""/""),,3),INDEX(SPLIT(I4233,""/""),,2),INDEX(SPLIT(I4233,""/""),,1))"),44712.0)</f>
        <v>44712</v>
      </c>
      <c r="L4233" s="1">
        <v>0.0</v>
      </c>
      <c r="M4233" s="1" t="s">
        <v>1284</v>
      </c>
      <c r="N4233" s="1"/>
      <c r="O4233" s="1" t="s">
        <v>30</v>
      </c>
      <c r="P4233" s="1" t="s">
        <v>31</v>
      </c>
      <c r="Q4233" s="1" t="s">
        <v>32</v>
      </c>
      <c r="R4233" s="1" t="s">
        <v>32</v>
      </c>
      <c r="S4233" s="1" t="s">
        <v>33</v>
      </c>
      <c r="U4233" s="1">
        <v>1.00626898E8</v>
      </c>
      <c r="X4233" s="1" t="s">
        <v>117</v>
      </c>
      <c r="Y4233" s="1" t="s">
        <v>12062</v>
      </c>
      <c r="Z4233" s="1" t="s">
        <v>37</v>
      </c>
    </row>
    <row r="4234" hidden="1">
      <c r="A4234" s="1" t="s">
        <v>12063</v>
      </c>
      <c r="B4234" s="1" t="s">
        <v>774</v>
      </c>
      <c r="C4234" s="1" t="s">
        <v>12064</v>
      </c>
      <c r="D4234" s="1" t="s">
        <v>78</v>
      </c>
      <c r="E4234" s="1" t="s">
        <v>28</v>
      </c>
      <c r="F4234" s="2">
        <v>160000.0</v>
      </c>
      <c r="G4234" s="1" t="s">
        <v>7249</v>
      </c>
      <c r="H4234" s="4">
        <f>IFERROR(__xludf.DUMMYFUNCTION("DATE(INDEX(SPLIT(G4234,""/""),,3),INDEX(SPLIT(G4234,""/""),,2),INDEX(SPLIT(G4234,""/""),,1))"),44281.0)</f>
        <v>44281</v>
      </c>
      <c r="I4234" s="1" t="s">
        <v>7282</v>
      </c>
      <c r="J4234" s="4">
        <f>IFERROR(__xludf.DUMMYFUNCTION("DATE(INDEX(SPLIT(I4234,""/""),,3),INDEX(SPLIT(I4234,""/""),,2),INDEX(SPLIT(I4234,""/""),,1))"),44798.0)</f>
        <v>44798</v>
      </c>
      <c r="L4234" s="1">
        <v>0.0</v>
      </c>
      <c r="M4234" s="1" t="s">
        <v>259</v>
      </c>
      <c r="N4234" s="1"/>
      <c r="O4234" s="1" t="s">
        <v>30</v>
      </c>
      <c r="P4234" s="1" t="s">
        <v>31</v>
      </c>
      <c r="Q4234" s="1" t="s">
        <v>95</v>
      </c>
      <c r="R4234" s="1" t="s">
        <v>95</v>
      </c>
      <c r="S4234" s="1" t="s">
        <v>96</v>
      </c>
      <c r="T4234" s="1" t="s">
        <v>260</v>
      </c>
      <c r="U4234" s="1">
        <v>1.00659114E8</v>
      </c>
      <c r="X4234" s="1" t="s">
        <v>239</v>
      </c>
      <c r="Y4234" s="1" t="s">
        <v>262</v>
      </c>
      <c r="Z4234" s="1" t="s">
        <v>37</v>
      </c>
    </row>
    <row r="4235" hidden="1">
      <c r="A4235" s="1" t="s">
        <v>12065</v>
      </c>
      <c r="B4235" s="1" t="s">
        <v>12066</v>
      </c>
      <c r="C4235" s="1" t="s">
        <v>12067</v>
      </c>
      <c r="D4235" s="1" t="s">
        <v>122</v>
      </c>
      <c r="E4235" s="1" t="s">
        <v>28</v>
      </c>
      <c r="F4235" s="2">
        <v>160000.0</v>
      </c>
      <c r="G4235" s="4">
        <v>44837.0</v>
      </c>
      <c r="H4235" s="4">
        <f>IFERROR(__xludf.DUMMYFUNCTION("DATE(INDEX(SPLIT(G4235,""/""),,3),INDEX(SPLIT(G4235,""/""),,2),INDEX(SPLIT(G4235,""/""),,1))"),44630.0)</f>
        <v>44630</v>
      </c>
      <c r="I4235" s="1" t="s">
        <v>109</v>
      </c>
      <c r="J4235" s="4">
        <f>IFERROR(__xludf.DUMMYFUNCTION("DATE(INDEX(SPLIT(I4235,""/""),,3),INDEX(SPLIT(I4235,""/""),,2),INDEX(SPLIT(I4235,""/""),,1))"),44834.0)</f>
        <v>44834</v>
      </c>
      <c r="L4235" s="1">
        <v>0.0</v>
      </c>
      <c r="M4235" s="1" t="s">
        <v>8088</v>
      </c>
      <c r="N4235" s="1"/>
      <c r="O4235" s="1" t="s">
        <v>30</v>
      </c>
      <c r="P4235" s="1" t="s">
        <v>31</v>
      </c>
      <c r="Q4235" s="1" t="s">
        <v>228</v>
      </c>
      <c r="R4235" s="1" t="s">
        <v>228</v>
      </c>
      <c r="S4235" s="1" t="s">
        <v>229</v>
      </c>
      <c r="T4235" s="1" t="s">
        <v>505</v>
      </c>
      <c r="U4235" s="1">
        <v>1.00882877E8</v>
      </c>
      <c r="X4235" s="1" t="s">
        <v>190</v>
      </c>
      <c r="Y4235" s="1" t="s">
        <v>8088</v>
      </c>
      <c r="Z4235" s="1" t="s">
        <v>206</v>
      </c>
    </row>
    <row r="4236">
      <c r="A4236" s="1" t="s">
        <v>12068</v>
      </c>
      <c r="B4236" s="1" t="s">
        <v>5606</v>
      </c>
      <c r="C4236" s="1" t="s">
        <v>12069</v>
      </c>
      <c r="D4236" s="1" t="s">
        <v>122</v>
      </c>
      <c r="E4236" s="1" t="s">
        <v>28</v>
      </c>
      <c r="F4236" s="2">
        <v>160000.0</v>
      </c>
      <c r="G4236" s="4">
        <v>44565.0</v>
      </c>
      <c r="H4236" s="4">
        <f>IFERROR(__xludf.DUMMYFUNCTION("DATE(INDEX(SPLIT(G4236,""/""),,3),INDEX(SPLIT(G4236,""/""),,2),INDEX(SPLIT(G4236,""/""),,1))"),44652.0)</f>
        <v>44652</v>
      </c>
      <c r="I4236" s="1" t="s">
        <v>518</v>
      </c>
      <c r="J4236" s="4">
        <f>IFERROR(__xludf.DUMMYFUNCTION("DATE(INDEX(SPLIT(I4236,""/""),,3),INDEX(SPLIT(I4236,""/""),,2),INDEX(SPLIT(I4236,""/""),,1))"),44757.0)</f>
        <v>44757</v>
      </c>
      <c r="L4236" s="1">
        <v>0.0</v>
      </c>
      <c r="M4236" s="1" t="s">
        <v>929</v>
      </c>
      <c r="N4236" s="1"/>
      <c r="O4236" s="1" t="s">
        <v>30</v>
      </c>
      <c r="P4236" s="1" t="s">
        <v>31</v>
      </c>
      <c r="Q4236" s="1" t="s">
        <v>71</v>
      </c>
      <c r="R4236" s="1" t="s">
        <v>71</v>
      </c>
      <c r="S4236" s="1" t="s">
        <v>72</v>
      </c>
      <c r="T4236" s="1" t="s">
        <v>73</v>
      </c>
      <c r="U4236" s="1">
        <v>1.00649698E8</v>
      </c>
      <c r="X4236" s="1" t="s">
        <v>74</v>
      </c>
      <c r="Y4236" s="1" t="s">
        <v>8153</v>
      </c>
      <c r="Z4236" s="1" t="s">
        <v>37</v>
      </c>
    </row>
    <row r="4237">
      <c r="A4237" s="1" t="s">
        <v>12070</v>
      </c>
      <c r="B4237" s="1" t="s">
        <v>3757</v>
      </c>
      <c r="C4237" s="1" t="s">
        <v>12071</v>
      </c>
      <c r="D4237" s="1" t="s">
        <v>78</v>
      </c>
      <c r="E4237" s="1" t="s">
        <v>28</v>
      </c>
      <c r="F4237" s="2">
        <v>160000.0</v>
      </c>
      <c r="G4237" s="4">
        <v>44563.0</v>
      </c>
      <c r="H4237" s="4">
        <f>IFERROR(__xludf.DUMMYFUNCTION("DATE(INDEX(SPLIT(G4237,""/""),,3),INDEX(SPLIT(G4237,""/""),,2),INDEX(SPLIT(G4237,""/""),,1))"),44593.0)</f>
        <v>44593</v>
      </c>
      <c r="I4237" s="1" t="s">
        <v>226</v>
      </c>
      <c r="J4237" s="4">
        <f>IFERROR(__xludf.DUMMYFUNCTION("DATE(INDEX(SPLIT(I4237,""/""),,3),INDEX(SPLIT(I4237,""/""),,2),INDEX(SPLIT(I4237,""/""),,1))"),44771.0)</f>
        <v>44771</v>
      </c>
      <c r="L4237" s="1">
        <v>0.0</v>
      </c>
      <c r="M4237" s="1" t="s">
        <v>7887</v>
      </c>
      <c r="N4237" s="1"/>
      <c r="O4237" s="1" t="s">
        <v>30</v>
      </c>
      <c r="P4237" s="1" t="s">
        <v>31</v>
      </c>
      <c r="Q4237" s="1" t="s">
        <v>53</v>
      </c>
      <c r="R4237" s="1" t="s">
        <v>53</v>
      </c>
      <c r="S4237" s="1" t="s">
        <v>54</v>
      </c>
      <c r="T4237" s="1" t="s">
        <v>1386</v>
      </c>
      <c r="U4237" s="1">
        <v>1.00587219E8</v>
      </c>
      <c r="X4237" s="1" t="s">
        <v>289</v>
      </c>
      <c r="Y4237" s="1" t="s">
        <v>11782</v>
      </c>
      <c r="Z4237" s="1" t="s">
        <v>37</v>
      </c>
    </row>
    <row r="4238" hidden="1">
      <c r="A4238" s="1" t="s">
        <v>12072</v>
      </c>
      <c r="B4238" s="1" t="s">
        <v>12073</v>
      </c>
      <c r="C4238" s="1" t="s">
        <v>12074</v>
      </c>
      <c r="D4238" s="1" t="s">
        <v>78</v>
      </c>
      <c r="E4238" s="1" t="s">
        <v>28</v>
      </c>
      <c r="F4238" s="2">
        <v>160000.0</v>
      </c>
      <c r="G4238" s="1" t="s">
        <v>586</v>
      </c>
      <c r="H4238" s="4">
        <f>IFERROR(__xludf.DUMMYFUNCTION("DATE(INDEX(SPLIT(G4238,""/""),,3),INDEX(SPLIT(G4238,""/""),,2),INDEX(SPLIT(G4238,""/""),,1))"),44726.0)</f>
        <v>44726</v>
      </c>
      <c r="I4238" s="1" t="s">
        <v>12075</v>
      </c>
      <c r="J4238" s="4">
        <f>IFERROR(__xludf.DUMMYFUNCTION("DATE(INDEX(SPLIT(I4238,""/""),,3),INDEX(SPLIT(I4238,""/""),,2),INDEX(SPLIT(I4238,""/""),,1))"),45090.0)</f>
        <v>45090</v>
      </c>
      <c r="L4238" s="1">
        <v>0.0</v>
      </c>
      <c r="M4238" s="1" t="s">
        <v>7830</v>
      </c>
      <c r="N4238" s="1"/>
      <c r="O4238" s="1" t="s">
        <v>30</v>
      </c>
      <c r="P4238" s="1" t="s">
        <v>31</v>
      </c>
      <c r="Q4238" s="1" t="s">
        <v>235</v>
      </c>
      <c r="R4238" s="1" t="s">
        <v>235</v>
      </c>
      <c r="S4238" s="1" t="s">
        <v>236</v>
      </c>
      <c r="U4238" s="1">
        <v>1.00658814E8</v>
      </c>
      <c r="V4238" s="1" t="s">
        <v>12076</v>
      </c>
      <c r="W4238" s="1" t="s">
        <v>2556</v>
      </c>
      <c r="X4238" s="1" t="s">
        <v>88</v>
      </c>
      <c r="Y4238" s="1" t="s">
        <v>6215</v>
      </c>
      <c r="Z4238" s="1" t="s">
        <v>37</v>
      </c>
    </row>
    <row r="4239" hidden="1">
      <c r="A4239" s="1" t="s">
        <v>12077</v>
      </c>
      <c r="B4239" s="1" t="s">
        <v>12073</v>
      </c>
      <c r="C4239" s="1" t="s">
        <v>12078</v>
      </c>
      <c r="D4239" s="1" t="s">
        <v>78</v>
      </c>
      <c r="E4239" s="1" t="s">
        <v>28</v>
      </c>
      <c r="F4239" s="2">
        <v>160000.0</v>
      </c>
      <c r="G4239" s="1" t="s">
        <v>4346</v>
      </c>
      <c r="H4239" s="4">
        <f>IFERROR(__xludf.DUMMYFUNCTION("DATE(INDEX(SPLIT(G4239,""/""),,3),INDEX(SPLIT(G4239,""/""),,2),INDEX(SPLIT(G4239,""/""),,1))"),44765.0)</f>
        <v>44765</v>
      </c>
      <c r="I4239" s="1" t="s">
        <v>12079</v>
      </c>
      <c r="J4239" s="4">
        <f>IFERROR(__xludf.DUMMYFUNCTION("DATE(INDEX(SPLIT(I4239,""/""),,3),INDEX(SPLIT(I4239,""/""),,2),INDEX(SPLIT(I4239,""/""),,1))"),45129.0)</f>
        <v>45129</v>
      </c>
      <c r="L4239" s="1">
        <v>0.0</v>
      </c>
      <c r="M4239" s="1" t="s">
        <v>7830</v>
      </c>
      <c r="N4239" s="1"/>
      <c r="O4239" s="1" t="s">
        <v>30</v>
      </c>
      <c r="P4239" s="1" t="s">
        <v>31</v>
      </c>
      <c r="Q4239" s="1" t="s">
        <v>235</v>
      </c>
      <c r="R4239" s="1" t="s">
        <v>235</v>
      </c>
      <c r="S4239" s="1" t="s">
        <v>236</v>
      </c>
      <c r="U4239" s="1">
        <v>1.00658814E8</v>
      </c>
      <c r="V4239" s="1" t="s">
        <v>12074</v>
      </c>
      <c r="W4239" s="1" t="s">
        <v>2556</v>
      </c>
      <c r="X4239" s="1" t="s">
        <v>88</v>
      </c>
      <c r="Y4239" s="1" t="s">
        <v>6215</v>
      </c>
      <c r="Z4239" s="1" t="s">
        <v>37</v>
      </c>
    </row>
    <row r="4240" hidden="1">
      <c r="A4240" s="1" t="s">
        <v>12080</v>
      </c>
      <c r="B4240" s="1" t="s">
        <v>6373</v>
      </c>
      <c r="C4240" s="1" t="s">
        <v>12081</v>
      </c>
      <c r="D4240" s="1" t="s">
        <v>122</v>
      </c>
      <c r="E4240" s="1" t="s">
        <v>28</v>
      </c>
      <c r="F4240" s="2">
        <v>160000.0</v>
      </c>
      <c r="G4240" s="1" t="s">
        <v>3438</v>
      </c>
      <c r="H4240" s="4">
        <f>IFERROR(__xludf.DUMMYFUNCTION("DATE(INDEX(SPLIT(G4240,""/""),,3),INDEX(SPLIT(G4240,""/""),,2),INDEX(SPLIT(G4240,""/""),,1))"),44407.0)</f>
        <v>44407</v>
      </c>
      <c r="I4240" s="1" t="s">
        <v>85</v>
      </c>
      <c r="J4240" s="4">
        <f>IFERROR(__xludf.DUMMYFUNCTION("DATE(INDEX(SPLIT(I4240,""/""),,3),INDEX(SPLIT(I4240,""/""),,2),INDEX(SPLIT(I4240,""/""),,1))"),44799.0)</f>
        <v>44799</v>
      </c>
      <c r="L4240" s="1">
        <v>0.0</v>
      </c>
      <c r="M4240" s="1" t="s">
        <v>2600</v>
      </c>
      <c r="N4240" s="1"/>
      <c r="O4240" s="1" t="s">
        <v>30</v>
      </c>
      <c r="P4240" s="1" t="s">
        <v>31</v>
      </c>
      <c r="Q4240" s="1" t="s">
        <v>32</v>
      </c>
      <c r="R4240" s="1" t="s">
        <v>32</v>
      </c>
      <c r="S4240" s="1" t="s">
        <v>33</v>
      </c>
      <c r="U4240" s="1">
        <v>1.00642238E8</v>
      </c>
      <c r="X4240" s="1" t="s">
        <v>254</v>
      </c>
      <c r="Y4240" s="1" t="s">
        <v>4982</v>
      </c>
      <c r="Z4240" s="1" t="s">
        <v>37</v>
      </c>
    </row>
    <row r="4241">
      <c r="A4241" s="1" t="s">
        <v>12082</v>
      </c>
      <c r="B4241" s="1" t="s">
        <v>501</v>
      </c>
      <c r="C4241" s="1" t="s">
        <v>12083</v>
      </c>
      <c r="D4241" s="1" t="s">
        <v>122</v>
      </c>
      <c r="E4241" s="1" t="s">
        <v>28</v>
      </c>
      <c r="F4241" s="2">
        <v>160000.0</v>
      </c>
      <c r="G4241" s="4">
        <v>44623.0</v>
      </c>
      <c r="H4241" s="4">
        <f>IFERROR(__xludf.DUMMYFUNCTION("DATE(INDEX(SPLIT(G4241,""/""),,3),INDEX(SPLIT(G4241,""/""),,2),INDEX(SPLIT(G4241,""/""),,1))"),44623.0)</f>
        <v>44623</v>
      </c>
      <c r="I4241" s="1" t="s">
        <v>1244</v>
      </c>
      <c r="J4241" s="4">
        <f>IFERROR(__xludf.DUMMYFUNCTION("DATE(INDEX(SPLIT(I4241,""/""),,3),INDEX(SPLIT(I4241,""/""),,2),INDEX(SPLIT(I4241,""/""),,1))"),44742.0)</f>
        <v>44742</v>
      </c>
      <c r="L4241" s="1">
        <v>0.0</v>
      </c>
      <c r="M4241" s="1" t="s">
        <v>4534</v>
      </c>
      <c r="N4241" s="1"/>
      <c r="O4241" s="1" t="s">
        <v>30</v>
      </c>
      <c r="P4241" s="1" t="s">
        <v>31</v>
      </c>
      <c r="Q4241" s="1" t="s">
        <v>228</v>
      </c>
      <c r="R4241" s="1" t="s">
        <v>228</v>
      </c>
      <c r="S4241" s="1" t="s">
        <v>229</v>
      </c>
      <c r="T4241" s="1" t="s">
        <v>513</v>
      </c>
      <c r="U4241" s="1">
        <v>1.0065605E8</v>
      </c>
      <c r="X4241" s="1" t="s">
        <v>410</v>
      </c>
      <c r="Y4241" s="1" t="s">
        <v>4534</v>
      </c>
      <c r="Z4241" s="1" t="s">
        <v>37</v>
      </c>
    </row>
    <row r="4242">
      <c r="A4242" s="1" t="s">
        <v>12084</v>
      </c>
      <c r="B4242" s="1" t="s">
        <v>1845</v>
      </c>
      <c r="C4242" s="1" t="s">
        <v>12085</v>
      </c>
      <c r="D4242" s="1" t="s">
        <v>68</v>
      </c>
      <c r="E4242" s="1" t="s">
        <v>28</v>
      </c>
      <c r="F4242" s="2">
        <v>160000.0</v>
      </c>
      <c r="G4242" s="1" t="s">
        <v>359</v>
      </c>
      <c r="H4242" s="4">
        <f>IFERROR(__xludf.DUMMYFUNCTION("DATE(INDEX(SPLIT(G4242,""/""),,3),INDEX(SPLIT(G4242,""/""),,2),INDEX(SPLIT(G4242,""/""),,1))"),44740.0)</f>
        <v>44740</v>
      </c>
      <c r="I4242" s="1" t="s">
        <v>69</v>
      </c>
      <c r="J4242" s="4">
        <f>IFERROR(__xludf.DUMMYFUNCTION("DATE(INDEX(SPLIT(I4242,""/""),,3),INDEX(SPLIT(I4242,""/""),,2),INDEX(SPLIT(I4242,""/""),,1))"),44773.0)</f>
        <v>44773</v>
      </c>
      <c r="L4242" s="1">
        <v>0.0</v>
      </c>
      <c r="M4242" s="1" t="s">
        <v>9444</v>
      </c>
      <c r="N4242" s="1"/>
      <c r="O4242" s="1" t="s">
        <v>30</v>
      </c>
      <c r="P4242" s="1" t="s">
        <v>31</v>
      </c>
      <c r="Q4242" s="1" t="s">
        <v>157</v>
      </c>
      <c r="R4242" s="1" t="s">
        <v>157</v>
      </c>
      <c r="S4242" s="1" t="s">
        <v>158</v>
      </c>
      <c r="T4242" s="1" t="s">
        <v>159</v>
      </c>
      <c r="U4242" s="1">
        <v>1.00614201E8</v>
      </c>
      <c r="X4242" s="1" t="s">
        <v>490</v>
      </c>
      <c r="Y4242" s="1" t="s">
        <v>9445</v>
      </c>
      <c r="Z4242" s="1" t="s">
        <v>37</v>
      </c>
    </row>
    <row r="4243" hidden="1">
      <c r="A4243" s="1" t="s">
        <v>12086</v>
      </c>
      <c r="B4243" s="1" t="s">
        <v>12087</v>
      </c>
      <c r="C4243" s="1" t="s">
        <v>12088</v>
      </c>
      <c r="D4243" s="1" t="s">
        <v>27</v>
      </c>
      <c r="E4243" s="1" t="s">
        <v>28</v>
      </c>
      <c r="F4243" s="2">
        <v>160000.0</v>
      </c>
      <c r="G4243" s="1" t="s">
        <v>41</v>
      </c>
      <c r="H4243" s="4">
        <f>IFERROR(__xludf.DUMMYFUNCTION("DATE(INDEX(SPLIT(G4243,""/""),,3),INDEX(SPLIT(G4243,""/""),,2),INDEX(SPLIT(G4243,""/""),,1))"),44607.0)</f>
        <v>44607</v>
      </c>
      <c r="I4243" s="4">
        <v>44573.0</v>
      </c>
      <c r="J4243" s="4">
        <f>IFERROR(__xludf.DUMMYFUNCTION("DATE(INDEX(SPLIT(I4243,""/""),,3),INDEX(SPLIT(I4243,""/""),,2),INDEX(SPLIT(I4243,""/""),,1))"),44896.0)</f>
        <v>44896</v>
      </c>
      <c r="L4243" s="1">
        <v>0.0</v>
      </c>
      <c r="M4243" s="1" t="s">
        <v>1385</v>
      </c>
      <c r="N4243" s="1"/>
      <c r="O4243" s="1" t="s">
        <v>30</v>
      </c>
      <c r="P4243" s="1" t="s">
        <v>31</v>
      </c>
      <c r="Q4243" s="1" t="s">
        <v>235</v>
      </c>
      <c r="R4243" s="1" t="s">
        <v>235</v>
      </c>
      <c r="S4243" s="1" t="s">
        <v>236</v>
      </c>
      <c r="T4243" s="1" t="s">
        <v>1386</v>
      </c>
      <c r="U4243" s="1">
        <v>1.00594397E8</v>
      </c>
      <c r="X4243" s="1" t="s">
        <v>239</v>
      </c>
      <c r="Y4243" s="1" t="s">
        <v>1387</v>
      </c>
      <c r="Z4243" s="1" t="s">
        <v>37</v>
      </c>
    </row>
    <row r="4244">
      <c r="A4244" s="1" t="s">
        <v>12089</v>
      </c>
      <c r="B4244" s="1" t="s">
        <v>39</v>
      </c>
      <c r="C4244" s="1" t="s">
        <v>12090</v>
      </c>
      <c r="D4244" s="1" t="s">
        <v>78</v>
      </c>
      <c r="E4244" s="1" t="s">
        <v>28</v>
      </c>
      <c r="F4244" s="2">
        <v>155772.95</v>
      </c>
      <c r="G4244" s="4">
        <v>44208.0</v>
      </c>
      <c r="H4244" s="4">
        <f>IFERROR(__xludf.DUMMYFUNCTION("DATE(INDEX(SPLIT(G4244,""/""),,3),INDEX(SPLIT(G4244,""/""),,2),INDEX(SPLIT(G4244,""/""),,1))"),44531.0)</f>
        <v>44531</v>
      </c>
      <c r="I4244" s="1" t="s">
        <v>1244</v>
      </c>
      <c r="J4244" s="4">
        <f>IFERROR(__xludf.DUMMYFUNCTION("DATE(INDEX(SPLIT(I4244,""/""),,3),INDEX(SPLIT(I4244,""/""),,2),INDEX(SPLIT(I4244,""/""),,1))"),44742.0)</f>
        <v>44742</v>
      </c>
      <c r="L4244" s="1">
        <v>0.0</v>
      </c>
      <c r="M4244" s="1" t="s">
        <v>3617</v>
      </c>
      <c r="N4244" s="1"/>
      <c r="O4244" s="1" t="s">
        <v>30</v>
      </c>
      <c r="P4244" s="1" t="s">
        <v>31</v>
      </c>
      <c r="Q4244" s="1" t="s">
        <v>53</v>
      </c>
      <c r="R4244" s="1" t="s">
        <v>53</v>
      </c>
      <c r="S4244" s="1" t="s">
        <v>54</v>
      </c>
      <c r="T4244" s="1" t="s">
        <v>634</v>
      </c>
      <c r="U4244" s="1">
        <v>1.00568413E8</v>
      </c>
      <c r="X4244" s="1" t="s">
        <v>46</v>
      </c>
      <c r="Y4244" s="1" t="s">
        <v>9233</v>
      </c>
      <c r="Z4244" s="1" t="s">
        <v>37</v>
      </c>
    </row>
    <row r="4245" hidden="1">
      <c r="A4245" s="1" t="s">
        <v>12091</v>
      </c>
      <c r="B4245" s="1" t="s">
        <v>2642</v>
      </c>
      <c r="C4245" s="1" t="s">
        <v>12092</v>
      </c>
      <c r="D4245" s="1" t="s">
        <v>27</v>
      </c>
      <c r="E4245" s="1" t="s">
        <v>28</v>
      </c>
      <c r="F4245" s="2">
        <v>155420.0</v>
      </c>
      <c r="G4245" s="1" t="s">
        <v>418</v>
      </c>
      <c r="H4245" s="4">
        <f>IFERROR(__xludf.DUMMYFUNCTION("DATE(INDEX(SPLIT(G4245,""/""),,3),INDEX(SPLIT(G4245,""/""),,2),INDEX(SPLIT(G4245,""/""),,1))"),44755.0)</f>
        <v>44755</v>
      </c>
      <c r="I4245" s="1" t="s">
        <v>102</v>
      </c>
      <c r="J4245" s="4">
        <f>IFERROR(__xludf.DUMMYFUNCTION("DATE(INDEX(SPLIT(I4245,""/""),,3),INDEX(SPLIT(I4245,""/""),,2),INDEX(SPLIT(I4245,""/""),,1))"),45046.0)</f>
        <v>45046</v>
      </c>
      <c r="L4245" s="1">
        <v>0.0</v>
      </c>
      <c r="M4245" s="1" t="s">
        <v>4735</v>
      </c>
      <c r="N4245" s="1"/>
      <c r="O4245" s="1" t="s">
        <v>30</v>
      </c>
      <c r="P4245" s="1" t="s">
        <v>31</v>
      </c>
      <c r="Q4245" s="1" t="s">
        <v>71</v>
      </c>
      <c r="R4245" s="1" t="s">
        <v>71</v>
      </c>
      <c r="S4245" s="1" t="s">
        <v>72</v>
      </c>
      <c r="T4245" s="1" t="s">
        <v>136</v>
      </c>
      <c r="U4245" s="1">
        <v>1.00609615E8</v>
      </c>
      <c r="X4245" s="1" t="s">
        <v>74</v>
      </c>
      <c r="Y4245" s="1" t="s">
        <v>2593</v>
      </c>
      <c r="Z4245" s="1" t="s">
        <v>206</v>
      </c>
    </row>
    <row r="4246">
      <c r="A4246" s="1" t="s">
        <v>12093</v>
      </c>
      <c r="B4246" s="1" t="s">
        <v>1479</v>
      </c>
      <c r="C4246" s="1" t="s">
        <v>12094</v>
      </c>
      <c r="D4246" s="1" t="s">
        <v>122</v>
      </c>
      <c r="E4246" s="1" t="s">
        <v>28</v>
      </c>
      <c r="F4246" s="2">
        <v>155177.0</v>
      </c>
      <c r="G4246" s="1" t="s">
        <v>1442</v>
      </c>
      <c r="H4246" s="4">
        <f>IFERROR(__xludf.DUMMYFUNCTION("DATE(INDEX(SPLIT(G4246,""/""),,3),INDEX(SPLIT(G4246,""/""),,2),INDEX(SPLIT(G4246,""/""),,1))"),44727.0)</f>
        <v>44727</v>
      </c>
      <c r="I4246" s="1" t="s">
        <v>226</v>
      </c>
      <c r="J4246" s="4">
        <f>IFERROR(__xludf.DUMMYFUNCTION("DATE(INDEX(SPLIT(I4246,""/""),,3),INDEX(SPLIT(I4246,""/""),,2),INDEX(SPLIT(I4246,""/""),,1))"),44771.0)</f>
        <v>44771</v>
      </c>
      <c r="L4246" s="1">
        <v>0.0</v>
      </c>
      <c r="M4246" s="1" t="s">
        <v>12095</v>
      </c>
      <c r="N4246" s="1"/>
      <c r="O4246" s="1" t="s">
        <v>30</v>
      </c>
      <c r="P4246" s="1" t="s">
        <v>31</v>
      </c>
      <c r="Q4246" s="1" t="s">
        <v>157</v>
      </c>
      <c r="R4246" s="1" t="s">
        <v>157</v>
      </c>
      <c r="S4246" s="1" t="s">
        <v>158</v>
      </c>
      <c r="T4246" s="1" t="s">
        <v>5252</v>
      </c>
      <c r="U4246" s="1">
        <v>1.00606323E8</v>
      </c>
      <c r="X4246" s="1" t="s">
        <v>305</v>
      </c>
      <c r="Y4246" s="1" t="s">
        <v>12095</v>
      </c>
      <c r="Z4246" s="1" t="s">
        <v>527</v>
      </c>
    </row>
    <row r="4247">
      <c r="A4247" s="1" t="s">
        <v>12096</v>
      </c>
      <c r="B4247" s="1" t="s">
        <v>1144</v>
      </c>
      <c r="C4247" s="1" t="s">
        <v>12097</v>
      </c>
      <c r="D4247" s="1" t="s">
        <v>68</v>
      </c>
      <c r="E4247" s="1" t="s">
        <v>28</v>
      </c>
      <c r="F4247" s="2">
        <v>155000.0</v>
      </c>
      <c r="G4247" s="1" t="s">
        <v>41</v>
      </c>
      <c r="H4247" s="4">
        <f>IFERROR(__xludf.DUMMYFUNCTION("DATE(INDEX(SPLIT(G4247,""/""),,3),INDEX(SPLIT(G4247,""/""),,2),INDEX(SPLIT(G4247,""/""),,1))"),44607.0)</f>
        <v>44607</v>
      </c>
      <c r="I4247" s="1" t="s">
        <v>108</v>
      </c>
      <c r="J4247" s="4">
        <f>IFERROR(__xludf.DUMMYFUNCTION("DATE(INDEX(SPLIT(I4247,""/""),,3),INDEX(SPLIT(I4247,""/""),,2),INDEX(SPLIT(I4247,""/""),,1))"),44725.0)</f>
        <v>44725</v>
      </c>
      <c r="L4247" s="1">
        <v>0.0</v>
      </c>
      <c r="M4247" s="1" t="s">
        <v>1146</v>
      </c>
      <c r="N4247" s="1"/>
      <c r="O4247" s="1" t="s">
        <v>30</v>
      </c>
      <c r="P4247" s="1" t="s">
        <v>31</v>
      </c>
      <c r="Q4247" s="1" t="s">
        <v>228</v>
      </c>
      <c r="R4247" s="1" t="s">
        <v>228</v>
      </c>
      <c r="S4247" s="1" t="s">
        <v>229</v>
      </c>
      <c r="T4247" s="1" t="s">
        <v>1344</v>
      </c>
      <c r="U4247" s="1">
        <v>1.0061139E8</v>
      </c>
      <c r="V4247" s="1" t="s">
        <v>1897</v>
      </c>
      <c r="W4247" s="1" t="s">
        <v>199</v>
      </c>
      <c r="X4247" s="1" t="s">
        <v>63</v>
      </c>
      <c r="Y4247" s="1" t="s">
        <v>1976</v>
      </c>
      <c r="Z4247" s="1" t="s">
        <v>37</v>
      </c>
    </row>
    <row r="4248">
      <c r="A4248" s="1" t="s">
        <v>12098</v>
      </c>
      <c r="B4248" s="1" t="s">
        <v>8488</v>
      </c>
      <c r="C4248" s="1" t="s">
        <v>12099</v>
      </c>
      <c r="D4248" s="1" t="s">
        <v>27</v>
      </c>
      <c r="E4248" s="1" t="s">
        <v>28</v>
      </c>
      <c r="F4248" s="2">
        <v>155000.0</v>
      </c>
      <c r="G4248" s="1" t="s">
        <v>2324</v>
      </c>
      <c r="H4248" s="4">
        <f>IFERROR(__xludf.DUMMYFUNCTION("DATE(INDEX(SPLIT(G4248,""/""),,3),INDEX(SPLIT(G4248,""/""),,2),INDEX(SPLIT(G4248,""/""),,1))"),44705.0)</f>
        <v>44705</v>
      </c>
      <c r="I4248" s="4">
        <v>44568.0</v>
      </c>
      <c r="J4248" s="4">
        <f>IFERROR(__xludf.DUMMYFUNCTION("DATE(INDEX(SPLIT(I4248,""/""),,3),INDEX(SPLIT(I4248,""/""),,2),INDEX(SPLIT(I4248,""/""),,1))"),44743.0)</f>
        <v>44743</v>
      </c>
      <c r="L4248" s="1">
        <v>0.0</v>
      </c>
      <c r="M4248" s="1" t="s">
        <v>9942</v>
      </c>
      <c r="N4248" s="1"/>
      <c r="O4248" s="1" t="s">
        <v>30</v>
      </c>
      <c r="P4248" s="1" t="s">
        <v>31</v>
      </c>
      <c r="Q4248" s="1" t="s">
        <v>228</v>
      </c>
      <c r="R4248" s="1" t="s">
        <v>228</v>
      </c>
      <c r="S4248" s="1" t="s">
        <v>229</v>
      </c>
      <c r="U4248" s="1">
        <v>1.00611212E8</v>
      </c>
      <c r="X4248" s="1" t="s">
        <v>63</v>
      </c>
      <c r="Y4248" s="1" t="s">
        <v>11216</v>
      </c>
      <c r="Z4248" s="1" t="s">
        <v>37</v>
      </c>
    </row>
    <row r="4249">
      <c r="A4249" s="1" t="s">
        <v>12100</v>
      </c>
      <c r="B4249" s="1" t="s">
        <v>12101</v>
      </c>
      <c r="C4249" s="1" t="s">
        <v>12102</v>
      </c>
      <c r="D4249" s="1" t="s">
        <v>68</v>
      </c>
      <c r="E4249" s="1" t="s">
        <v>28</v>
      </c>
      <c r="F4249" s="2">
        <v>155000.0</v>
      </c>
      <c r="G4249" s="1" t="s">
        <v>6444</v>
      </c>
      <c r="H4249" s="4">
        <f>IFERROR(__xludf.DUMMYFUNCTION("DATE(INDEX(SPLIT(G4249,""/""),,3),INDEX(SPLIT(G4249,""/""),,2),INDEX(SPLIT(G4249,""/""),,1))"),43854.0)</f>
        <v>43854</v>
      </c>
      <c r="I4249" s="1" t="s">
        <v>472</v>
      </c>
      <c r="J4249" s="4">
        <f>IFERROR(__xludf.DUMMYFUNCTION("DATE(INDEX(SPLIT(I4249,""/""),,3),INDEX(SPLIT(I4249,""/""),,2),INDEX(SPLIT(I4249,""/""),,1))"),44760.0)</f>
        <v>44760</v>
      </c>
      <c r="L4249" s="1">
        <v>0.0</v>
      </c>
      <c r="M4249" s="1" t="s">
        <v>2696</v>
      </c>
      <c r="N4249" s="1"/>
      <c r="O4249" s="1" t="s">
        <v>30</v>
      </c>
      <c r="P4249" s="1" t="s">
        <v>31</v>
      </c>
      <c r="Q4249" s="1" t="s">
        <v>157</v>
      </c>
      <c r="R4249" s="1" t="s">
        <v>157</v>
      </c>
      <c r="S4249" s="1" t="s">
        <v>158</v>
      </c>
      <c r="T4249" s="1" t="s">
        <v>402</v>
      </c>
      <c r="U4249" s="1">
        <v>1.00611351E8</v>
      </c>
      <c r="X4249" s="1" t="s">
        <v>781</v>
      </c>
      <c r="Y4249" s="1" t="s">
        <v>3016</v>
      </c>
      <c r="Z4249" s="1" t="s">
        <v>37</v>
      </c>
    </row>
    <row r="4250" hidden="1">
      <c r="A4250" s="1" t="s">
        <v>12103</v>
      </c>
      <c r="B4250" s="1" t="s">
        <v>5781</v>
      </c>
      <c r="C4250" s="1" t="s">
        <v>12104</v>
      </c>
      <c r="D4250" s="1" t="s">
        <v>78</v>
      </c>
      <c r="E4250" s="1" t="s">
        <v>28</v>
      </c>
      <c r="F4250" s="2">
        <v>152000.0</v>
      </c>
      <c r="G4250" s="1" t="s">
        <v>935</v>
      </c>
      <c r="H4250" s="4">
        <f>IFERROR(__xludf.DUMMYFUNCTION("DATE(INDEX(SPLIT(G4250,""/""),,3),INDEX(SPLIT(G4250,""/""),,2),INDEX(SPLIT(G4250,""/""),,1))"),44764.0)</f>
        <v>44764</v>
      </c>
      <c r="I4250" s="1" t="s">
        <v>535</v>
      </c>
      <c r="J4250" s="4">
        <f>IFERROR(__xludf.DUMMYFUNCTION("DATE(INDEX(SPLIT(I4250,""/""),,3),INDEX(SPLIT(I4250,""/""),,2),INDEX(SPLIT(I4250,""/""),,1))"),44957.0)</f>
        <v>44957</v>
      </c>
      <c r="L4250" s="1">
        <v>0.0</v>
      </c>
      <c r="M4250" s="1" t="s">
        <v>2592</v>
      </c>
      <c r="N4250" s="1"/>
      <c r="O4250" s="1" t="s">
        <v>30</v>
      </c>
      <c r="P4250" s="1" t="s">
        <v>31</v>
      </c>
      <c r="Q4250" s="1" t="s">
        <v>71</v>
      </c>
      <c r="R4250" s="1" t="s">
        <v>71</v>
      </c>
      <c r="S4250" s="1" t="s">
        <v>72</v>
      </c>
      <c r="T4250" s="1" t="s">
        <v>136</v>
      </c>
      <c r="U4250" s="1">
        <v>1.00586452E8</v>
      </c>
      <c r="X4250" s="1" t="s">
        <v>74</v>
      </c>
      <c r="Y4250" s="1" t="s">
        <v>2593</v>
      </c>
      <c r="Z4250" s="1" t="s">
        <v>37</v>
      </c>
    </row>
    <row r="4251" hidden="1">
      <c r="A4251" s="1" t="s">
        <v>12105</v>
      </c>
      <c r="B4251" s="1" t="s">
        <v>12106</v>
      </c>
      <c r="C4251" s="1" t="s">
        <v>12107</v>
      </c>
      <c r="D4251" s="1" t="s">
        <v>68</v>
      </c>
      <c r="E4251" s="1" t="s">
        <v>28</v>
      </c>
      <c r="F4251" s="2">
        <v>150532.65</v>
      </c>
      <c r="G4251" s="4">
        <v>44779.0</v>
      </c>
      <c r="H4251" s="4">
        <f>IFERROR(__xludf.DUMMYFUNCTION("DATE(INDEX(SPLIT(G4251,""/""),,3),INDEX(SPLIT(G4251,""/""),,2),INDEX(SPLIT(G4251,""/""),,1))"),44720.0)</f>
        <v>44720</v>
      </c>
      <c r="I4251" s="4">
        <v>44601.0</v>
      </c>
      <c r="J4251" s="4">
        <f>IFERROR(__xludf.DUMMYFUNCTION("DATE(INDEX(SPLIT(I4251,""/""),,3),INDEX(SPLIT(I4251,""/""),,2),INDEX(SPLIT(I4251,""/""),,1))"),44806.0)</f>
        <v>44806</v>
      </c>
      <c r="L4251" s="1">
        <v>0.0</v>
      </c>
      <c r="M4251" s="1" t="s">
        <v>9439</v>
      </c>
      <c r="N4251" s="1"/>
      <c r="O4251" s="1" t="s">
        <v>30</v>
      </c>
      <c r="P4251" s="1" t="s">
        <v>31</v>
      </c>
      <c r="Q4251" s="1" t="s">
        <v>1320</v>
      </c>
      <c r="R4251" s="1" t="s">
        <v>1320</v>
      </c>
      <c r="S4251" s="1" t="s">
        <v>229</v>
      </c>
      <c r="U4251" s="1">
        <v>1.01216124E8</v>
      </c>
      <c r="X4251" s="1" t="s">
        <v>490</v>
      </c>
      <c r="Y4251" s="1" t="s">
        <v>9440</v>
      </c>
      <c r="Z4251" s="1" t="s">
        <v>37</v>
      </c>
    </row>
    <row r="4252" hidden="1">
      <c r="A4252" s="1" t="s">
        <v>12108</v>
      </c>
      <c r="B4252" s="1" t="s">
        <v>7868</v>
      </c>
      <c r="C4252" s="1" t="s">
        <v>12109</v>
      </c>
      <c r="D4252" s="1" t="s">
        <v>122</v>
      </c>
      <c r="E4252" s="1" t="s">
        <v>28</v>
      </c>
      <c r="F4252" s="2">
        <v>150000.0</v>
      </c>
      <c r="G4252" s="4">
        <v>44840.0</v>
      </c>
      <c r="H4252" s="4">
        <f>IFERROR(__xludf.DUMMYFUNCTION("DATE(INDEX(SPLIT(G4252,""/""),,3),INDEX(SPLIT(G4252,""/""),,2),INDEX(SPLIT(G4252,""/""),,1))"),44722.0)</f>
        <v>44722</v>
      </c>
      <c r="I4252" s="1" t="s">
        <v>109</v>
      </c>
      <c r="J4252" s="4">
        <f>IFERROR(__xludf.DUMMYFUNCTION("DATE(INDEX(SPLIT(I4252,""/""),,3),INDEX(SPLIT(I4252,""/""),,2),INDEX(SPLIT(I4252,""/""),,1))"),44834.0)</f>
        <v>44834</v>
      </c>
      <c r="L4252" s="1">
        <v>0.0</v>
      </c>
      <c r="M4252" s="1" t="s">
        <v>4530</v>
      </c>
      <c r="N4252" s="1"/>
      <c r="O4252" s="1" t="s">
        <v>30</v>
      </c>
      <c r="P4252" s="1" t="s">
        <v>31</v>
      </c>
      <c r="Q4252" s="1" t="s">
        <v>157</v>
      </c>
      <c r="R4252" s="1" t="s">
        <v>157</v>
      </c>
      <c r="S4252" s="1" t="s">
        <v>158</v>
      </c>
      <c r="U4252" s="1">
        <v>1.00659846E8</v>
      </c>
      <c r="X4252" s="1" t="s">
        <v>63</v>
      </c>
      <c r="Y4252" s="1" t="s">
        <v>12110</v>
      </c>
      <c r="Z4252" s="1" t="s">
        <v>37</v>
      </c>
    </row>
    <row r="4253" hidden="1">
      <c r="A4253" s="1" t="s">
        <v>12111</v>
      </c>
      <c r="B4253" s="1" t="s">
        <v>4988</v>
      </c>
      <c r="C4253" s="1" t="s">
        <v>12112</v>
      </c>
      <c r="D4253" s="1" t="s">
        <v>122</v>
      </c>
      <c r="E4253" s="1" t="s">
        <v>28</v>
      </c>
      <c r="F4253" s="2">
        <v>150000.0</v>
      </c>
      <c r="G4253" s="4">
        <v>44446.0</v>
      </c>
      <c r="H4253" s="4">
        <f>IFERROR(__xludf.DUMMYFUNCTION("DATE(INDEX(SPLIT(G4253,""/""),,3),INDEX(SPLIT(G4253,""/""),,2),INDEX(SPLIT(G4253,""/""),,1))"),44386.0)</f>
        <v>44386</v>
      </c>
      <c r="I4253" s="1" t="s">
        <v>109</v>
      </c>
      <c r="J4253" s="4">
        <f>IFERROR(__xludf.DUMMYFUNCTION("DATE(INDEX(SPLIT(I4253,""/""),,3),INDEX(SPLIT(I4253,""/""),,2),INDEX(SPLIT(I4253,""/""),,1))"),44834.0)</f>
        <v>44834</v>
      </c>
      <c r="L4253" s="1">
        <v>0.0</v>
      </c>
      <c r="M4253" s="1" t="s">
        <v>253</v>
      </c>
      <c r="N4253" s="1"/>
      <c r="O4253" s="1" t="s">
        <v>30</v>
      </c>
      <c r="P4253" s="1" t="s">
        <v>31</v>
      </c>
      <c r="Q4253" s="1" t="s">
        <v>95</v>
      </c>
      <c r="R4253" s="1" t="s">
        <v>95</v>
      </c>
      <c r="S4253" s="1" t="s">
        <v>96</v>
      </c>
      <c r="T4253" s="1" t="s">
        <v>311</v>
      </c>
      <c r="U4253" s="1">
        <v>1.00640433E8</v>
      </c>
      <c r="X4253" s="1" t="s">
        <v>410</v>
      </c>
      <c r="Y4253" s="1" t="s">
        <v>2761</v>
      </c>
      <c r="Z4253" s="1" t="s">
        <v>37</v>
      </c>
    </row>
    <row r="4254" hidden="1">
      <c r="A4254" s="1" t="s">
        <v>12113</v>
      </c>
      <c r="B4254" s="1" t="s">
        <v>6278</v>
      </c>
      <c r="C4254" s="1" t="s">
        <v>6280</v>
      </c>
      <c r="D4254" s="1" t="s">
        <v>27</v>
      </c>
      <c r="E4254" s="1" t="s">
        <v>28</v>
      </c>
      <c r="F4254" s="2">
        <v>150000.0</v>
      </c>
      <c r="G4254" s="4">
        <v>43933.0</v>
      </c>
      <c r="H4254" s="4">
        <f>IFERROR(__xludf.DUMMYFUNCTION("DATE(INDEX(SPLIT(G4254,""/""),,3),INDEX(SPLIT(G4254,""/""),,2),INDEX(SPLIT(G4254,""/""),,1))"),44169.0)</f>
        <v>44169</v>
      </c>
      <c r="I4254" s="1" t="s">
        <v>109</v>
      </c>
      <c r="J4254" s="4">
        <f>IFERROR(__xludf.DUMMYFUNCTION("DATE(INDEX(SPLIT(I4254,""/""),,3),INDEX(SPLIT(I4254,""/""),,2),INDEX(SPLIT(I4254,""/""),,1))"),44834.0)</f>
        <v>44834</v>
      </c>
      <c r="L4254" s="1">
        <v>0.0</v>
      </c>
      <c r="M4254" s="1" t="s">
        <v>563</v>
      </c>
      <c r="N4254" s="1"/>
      <c r="O4254" s="1" t="s">
        <v>30</v>
      </c>
      <c r="P4254" s="1" t="s">
        <v>31</v>
      </c>
      <c r="Q4254" s="1" t="s">
        <v>95</v>
      </c>
      <c r="R4254" s="1" t="s">
        <v>95</v>
      </c>
      <c r="S4254" s="1" t="s">
        <v>96</v>
      </c>
      <c r="T4254" s="1" t="s">
        <v>311</v>
      </c>
      <c r="U4254" s="1">
        <v>1.00646702E8</v>
      </c>
      <c r="W4254" s="1" t="s">
        <v>56</v>
      </c>
      <c r="X4254" s="1" t="s">
        <v>361</v>
      </c>
      <c r="Y4254" s="1" t="s">
        <v>6281</v>
      </c>
      <c r="Z4254" s="1" t="s">
        <v>37</v>
      </c>
    </row>
    <row r="4255">
      <c r="A4255" s="1" t="s">
        <v>12114</v>
      </c>
      <c r="B4255" s="1" t="s">
        <v>1479</v>
      </c>
      <c r="C4255" s="1" t="s">
        <v>12115</v>
      </c>
      <c r="D4255" s="1" t="s">
        <v>78</v>
      </c>
      <c r="E4255" s="1" t="s">
        <v>28</v>
      </c>
      <c r="F4255" s="2">
        <v>150000.0</v>
      </c>
      <c r="G4255" s="4">
        <v>44686.0</v>
      </c>
      <c r="H4255" s="4">
        <f>IFERROR(__xludf.DUMMYFUNCTION("DATE(INDEX(SPLIT(G4255,""/""),,3),INDEX(SPLIT(G4255,""/""),,2),INDEX(SPLIT(G4255,""/""),,1))"),44686.0)</f>
        <v>44686</v>
      </c>
      <c r="I4255" s="1" t="s">
        <v>2300</v>
      </c>
      <c r="J4255" s="4">
        <f>IFERROR(__xludf.DUMMYFUNCTION("DATE(INDEX(SPLIT(I4255,""/""),,3),INDEX(SPLIT(I4255,""/""),,2),INDEX(SPLIT(I4255,""/""),,1))"),44712.0)</f>
        <v>44712</v>
      </c>
      <c r="L4255" s="1">
        <v>0.0</v>
      </c>
      <c r="M4255" s="1" t="s">
        <v>6260</v>
      </c>
      <c r="N4255" s="1"/>
      <c r="O4255" s="1" t="s">
        <v>30</v>
      </c>
      <c r="P4255" s="1" t="s">
        <v>31</v>
      </c>
      <c r="Q4255" s="1" t="s">
        <v>157</v>
      </c>
      <c r="R4255" s="1" t="s">
        <v>157</v>
      </c>
      <c r="S4255" s="1" t="s">
        <v>158</v>
      </c>
      <c r="U4255" s="1">
        <v>1.00875147E8</v>
      </c>
      <c r="X4255" s="1" t="s">
        <v>254</v>
      </c>
      <c r="Y4255" s="1" t="s">
        <v>6260</v>
      </c>
      <c r="Z4255" s="1" t="s">
        <v>527</v>
      </c>
    </row>
    <row r="4256" hidden="1">
      <c r="A4256" s="1" t="s">
        <v>12116</v>
      </c>
      <c r="B4256" s="1" t="s">
        <v>4276</v>
      </c>
      <c r="C4256" s="1" t="s">
        <v>12117</v>
      </c>
      <c r="D4256" s="1" t="s">
        <v>27</v>
      </c>
      <c r="E4256" s="1" t="s">
        <v>28</v>
      </c>
      <c r="F4256" s="2">
        <v>150000.0</v>
      </c>
      <c r="G4256" s="1" t="s">
        <v>2309</v>
      </c>
      <c r="H4256" s="4">
        <f>IFERROR(__xludf.DUMMYFUNCTION("DATE(INDEX(SPLIT(G4256,""/""),,3),INDEX(SPLIT(G4256,""/""),,2),INDEX(SPLIT(G4256,""/""),,1))"),44672.0)</f>
        <v>44672</v>
      </c>
      <c r="I4256" s="4">
        <v>44904.0</v>
      </c>
      <c r="J4256" s="4">
        <f>IFERROR(__xludf.DUMMYFUNCTION("DATE(INDEX(SPLIT(I4256,""/""),,3),INDEX(SPLIT(I4256,""/""),,2),INDEX(SPLIT(I4256,""/""),,1))"),44816.0)</f>
        <v>44816</v>
      </c>
      <c r="L4256" s="1">
        <v>0.0</v>
      </c>
      <c r="M4256" s="1" t="s">
        <v>2724</v>
      </c>
      <c r="N4256" s="1"/>
      <c r="O4256" s="1" t="s">
        <v>30</v>
      </c>
      <c r="P4256" s="1" t="s">
        <v>31</v>
      </c>
      <c r="Q4256" s="1" t="s">
        <v>32</v>
      </c>
      <c r="R4256" s="1" t="s">
        <v>32</v>
      </c>
      <c r="S4256" s="1" t="s">
        <v>33</v>
      </c>
      <c r="T4256" s="1" t="s">
        <v>1195</v>
      </c>
      <c r="U4256" s="1">
        <v>1.00606975E8</v>
      </c>
      <c r="X4256" s="1" t="s">
        <v>490</v>
      </c>
      <c r="Y4256" s="1" t="s">
        <v>2724</v>
      </c>
      <c r="Z4256" s="1" t="s">
        <v>37</v>
      </c>
    </row>
    <row r="4257" hidden="1">
      <c r="A4257" s="1" t="s">
        <v>12118</v>
      </c>
      <c r="B4257" s="1" t="s">
        <v>12119</v>
      </c>
      <c r="C4257" s="1" t="s">
        <v>12120</v>
      </c>
      <c r="D4257" s="1" t="s">
        <v>27</v>
      </c>
      <c r="E4257" s="1" t="s">
        <v>28</v>
      </c>
      <c r="F4257" s="2">
        <v>150000.0</v>
      </c>
      <c r="G4257" s="1" t="s">
        <v>6301</v>
      </c>
      <c r="H4257" s="4">
        <f>IFERROR(__xludf.DUMMYFUNCTION("DATE(INDEX(SPLIT(G4257,""/""),,3),INDEX(SPLIT(G4257,""/""),,2),INDEX(SPLIT(G4257,""/""),,1))"),44635.0)</f>
        <v>44635</v>
      </c>
      <c r="I4257" s="1" t="s">
        <v>109</v>
      </c>
      <c r="J4257" s="4">
        <f>IFERROR(__xludf.DUMMYFUNCTION("DATE(INDEX(SPLIT(I4257,""/""),,3),INDEX(SPLIT(I4257,""/""),,2),INDEX(SPLIT(I4257,""/""),,1))"),44834.0)</f>
        <v>44834</v>
      </c>
      <c r="L4257" s="1">
        <v>0.0</v>
      </c>
      <c r="M4257" s="1" t="s">
        <v>4735</v>
      </c>
      <c r="N4257" s="1"/>
      <c r="O4257" s="1" t="s">
        <v>30</v>
      </c>
      <c r="P4257" s="1" t="s">
        <v>31</v>
      </c>
      <c r="Q4257" s="1" t="s">
        <v>71</v>
      </c>
      <c r="R4257" s="1" t="s">
        <v>71</v>
      </c>
      <c r="S4257" s="1" t="s">
        <v>72</v>
      </c>
      <c r="T4257" s="1" t="s">
        <v>136</v>
      </c>
      <c r="U4257" s="1">
        <v>1.00609615E8</v>
      </c>
      <c r="X4257" s="1" t="s">
        <v>74</v>
      </c>
      <c r="Y4257" s="1" t="s">
        <v>12121</v>
      </c>
      <c r="Z4257" s="1" t="s">
        <v>206</v>
      </c>
    </row>
    <row r="4258" hidden="1">
      <c r="A4258" s="1" t="s">
        <v>12122</v>
      </c>
      <c r="B4258" s="1" t="s">
        <v>6121</v>
      </c>
      <c r="C4258" s="1" t="s">
        <v>12123</v>
      </c>
      <c r="D4258" s="1" t="s">
        <v>27</v>
      </c>
      <c r="E4258" s="1" t="s">
        <v>28</v>
      </c>
      <c r="F4258" s="2">
        <v>150000.0</v>
      </c>
      <c r="G4258" s="1" t="s">
        <v>9603</v>
      </c>
      <c r="H4258" s="4">
        <f>IFERROR(__xludf.DUMMYFUNCTION("DATE(INDEX(SPLIT(G4258,""/""),,3),INDEX(SPLIT(G4258,""/""),,2),INDEX(SPLIT(G4258,""/""),,1))"),44033.0)</f>
        <v>44033</v>
      </c>
      <c r="I4258" s="1" t="s">
        <v>1097</v>
      </c>
      <c r="J4258" s="4">
        <f>IFERROR(__xludf.DUMMYFUNCTION("DATE(INDEX(SPLIT(I4258,""/""),,3),INDEX(SPLIT(I4258,""/""),,2),INDEX(SPLIT(I4258,""/""),,1))"),45107.0)</f>
        <v>45107</v>
      </c>
      <c r="L4258" s="1">
        <v>0.0</v>
      </c>
      <c r="M4258" s="1" t="s">
        <v>2892</v>
      </c>
      <c r="N4258" s="1"/>
      <c r="O4258" s="1" t="s">
        <v>30</v>
      </c>
      <c r="P4258" s="1" t="s">
        <v>31</v>
      </c>
      <c r="Q4258" s="1" t="s">
        <v>188</v>
      </c>
      <c r="R4258" s="1" t="s">
        <v>188</v>
      </c>
      <c r="S4258" s="1" t="s">
        <v>189</v>
      </c>
      <c r="T4258" s="1" t="s">
        <v>136</v>
      </c>
      <c r="U4258" s="1">
        <v>1.0059132E8</v>
      </c>
      <c r="X4258" s="1" t="s">
        <v>74</v>
      </c>
      <c r="Y4258" s="1" t="s">
        <v>2593</v>
      </c>
      <c r="Z4258" s="1" t="s">
        <v>37</v>
      </c>
    </row>
    <row r="4259" hidden="1">
      <c r="A4259" s="1" t="s">
        <v>12124</v>
      </c>
      <c r="B4259" s="1" t="s">
        <v>2727</v>
      </c>
      <c r="C4259" s="1" t="s">
        <v>12125</v>
      </c>
      <c r="D4259" s="1" t="s">
        <v>78</v>
      </c>
      <c r="E4259" s="1" t="s">
        <v>28</v>
      </c>
      <c r="F4259" s="2">
        <v>150000.0</v>
      </c>
      <c r="G4259" s="1" t="s">
        <v>9603</v>
      </c>
      <c r="H4259" s="4">
        <f>IFERROR(__xludf.DUMMYFUNCTION("DATE(INDEX(SPLIT(G4259,""/""),,3),INDEX(SPLIT(G4259,""/""),,2),INDEX(SPLIT(G4259,""/""),,1))"),44033.0)</f>
        <v>44033</v>
      </c>
      <c r="I4259" s="1" t="s">
        <v>1097</v>
      </c>
      <c r="J4259" s="4">
        <f>IFERROR(__xludf.DUMMYFUNCTION("DATE(INDEX(SPLIT(I4259,""/""),,3),INDEX(SPLIT(I4259,""/""),,2),INDEX(SPLIT(I4259,""/""),,1))"),45107.0)</f>
        <v>45107</v>
      </c>
      <c r="L4259" s="1">
        <v>0.0</v>
      </c>
      <c r="M4259" s="1" t="s">
        <v>2892</v>
      </c>
      <c r="N4259" s="1"/>
      <c r="O4259" s="1" t="s">
        <v>30</v>
      </c>
      <c r="P4259" s="1" t="s">
        <v>31</v>
      </c>
      <c r="Q4259" s="1" t="s">
        <v>188</v>
      </c>
      <c r="R4259" s="1" t="s">
        <v>188</v>
      </c>
      <c r="S4259" s="1" t="s">
        <v>189</v>
      </c>
      <c r="T4259" s="1" t="s">
        <v>136</v>
      </c>
      <c r="U4259" s="1">
        <v>1.0059132E8</v>
      </c>
      <c r="X4259" s="1" t="s">
        <v>74</v>
      </c>
      <c r="Y4259" s="1" t="s">
        <v>2593</v>
      </c>
      <c r="Z4259" s="1" t="s">
        <v>37</v>
      </c>
    </row>
    <row r="4260" hidden="1">
      <c r="A4260" s="1" t="s">
        <v>12126</v>
      </c>
      <c r="B4260" s="1" t="s">
        <v>11977</v>
      </c>
      <c r="C4260" s="1" t="s">
        <v>12127</v>
      </c>
      <c r="D4260" s="1" t="s">
        <v>27</v>
      </c>
      <c r="E4260" s="1" t="s">
        <v>28</v>
      </c>
      <c r="F4260" s="2">
        <v>150000.0</v>
      </c>
      <c r="G4260" s="1" t="s">
        <v>1058</v>
      </c>
      <c r="H4260" s="4">
        <f>IFERROR(__xludf.DUMMYFUNCTION("DATE(INDEX(SPLIT(G4260,""/""),,3),INDEX(SPLIT(G4260,""/""),,2),INDEX(SPLIT(G4260,""/""),,1))"),44733.0)</f>
        <v>44733</v>
      </c>
      <c r="I4260" s="1" t="s">
        <v>12128</v>
      </c>
      <c r="J4260" s="4">
        <f>IFERROR(__xludf.DUMMYFUNCTION("DATE(INDEX(SPLIT(I4260,""/""),,3),INDEX(SPLIT(I4260,""/""),,2),INDEX(SPLIT(I4260,""/""),,1))"),44942.0)</f>
        <v>44942</v>
      </c>
      <c r="L4260" s="1">
        <v>0.0</v>
      </c>
      <c r="M4260" s="1" t="s">
        <v>6570</v>
      </c>
      <c r="N4260" s="1"/>
      <c r="O4260" s="1" t="s">
        <v>30</v>
      </c>
      <c r="P4260" s="1" t="s">
        <v>31</v>
      </c>
      <c r="Q4260" s="1" t="s">
        <v>53</v>
      </c>
      <c r="R4260" s="1" t="s">
        <v>53</v>
      </c>
      <c r="S4260" s="1" t="s">
        <v>54</v>
      </c>
      <c r="U4260" s="1">
        <v>1.01230882E8</v>
      </c>
      <c r="X4260" s="1" t="s">
        <v>117</v>
      </c>
      <c r="Y4260" s="1" t="s">
        <v>6570</v>
      </c>
      <c r="Z4260" s="1" t="s">
        <v>37</v>
      </c>
    </row>
    <row r="4261" hidden="1">
      <c r="A4261" s="1" t="s">
        <v>12129</v>
      </c>
      <c r="B4261" s="1" t="s">
        <v>341</v>
      </c>
      <c r="C4261" s="1" t="s">
        <v>12130</v>
      </c>
      <c r="D4261" s="1" t="s">
        <v>27</v>
      </c>
      <c r="E4261" s="1" t="s">
        <v>28</v>
      </c>
      <c r="F4261" s="2">
        <v>150000.0</v>
      </c>
      <c r="G4261" s="1" t="s">
        <v>359</v>
      </c>
      <c r="H4261" s="4">
        <f>IFERROR(__xludf.DUMMYFUNCTION("DATE(INDEX(SPLIT(G4261,""/""),,3),INDEX(SPLIT(G4261,""/""),,2),INDEX(SPLIT(G4261,""/""),,1))"),44740.0)</f>
        <v>44740</v>
      </c>
      <c r="I4261" s="1" t="s">
        <v>130</v>
      </c>
      <c r="J4261" s="4">
        <f>IFERROR(__xludf.DUMMYFUNCTION("DATE(INDEX(SPLIT(I4261,""/""),,3),INDEX(SPLIT(I4261,""/""),,2),INDEX(SPLIT(I4261,""/""),,1))"),44804.0)</f>
        <v>44804</v>
      </c>
      <c r="L4261" s="1">
        <v>0.0</v>
      </c>
      <c r="M4261" s="1" t="s">
        <v>608</v>
      </c>
      <c r="N4261" s="1"/>
      <c r="O4261" s="1" t="s">
        <v>30</v>
      </c>
      <c r="P4261" s="1" t="s">
        <v>31</v>
      </c>
      <c r="Q4261" s="1" t="s">
        <v>235</v>
      </c>
      <c r="R4261" s="1" t="s">
        <v>235</v>
      </c>
      <c r="S4261" s="1" t="s">
        <v>236</v>
      </c>
      <c r="U4261" s="1">
        <v>1.00660495E8</v>
      </c>
      <c r="X4261" s="1" t="s">
        <v>239</v>
      </c>
      <c r="Y4261" s="1" t="s">
        <v>2373</v>
      </c>
      <c r="Z4261" s="1" t="s">
        <v>37</v>
      </c>
    </row>
    <row r="4262" hidden="1">
      <c r="A4262" s="1" t="s">
        <v>12131</v>
      </c>
      <c r="B4262" s="1" t="s">
        <v>784</v>
      </c>
      <c r="C4262" s="1" t="s">
        <v>12132</v>
      </c>
      <c r="D4262" s="1" t="s">
        <v>122</v>
      </c>
      <c r="E4262" s="1" t="s">
        <v>28</v>
      </c>
      <c r="F4262" s="2">
        <v>150000.0</v>
      </c>
      <c r="G4262" s="1" t="s">
        <v>41</v>
      </c>
      <c r="H4262" s="4">
        <f>IFERROR(__xludf.DUMMYFUNCTION("DATE(INDEX(SPLIT(G4262,""/""),,3),INDEX(SPLIT(G4262,""/""),,2),INDEX(SPLIT(G4262,""/""),,1))"),44607.0)</f>
        <v>44607</v>
      </c>
      <c r="I4262" s="1" t="s">
        <v>281</v>
      </c>
      <c r="J4262" s="4">
        <f>IFERROR(__xludf.DUMMYFUNCTION("DATE(INDEX(SPLIT(I4262,""/""),,3),INDEX(SPLIT(I4262,""/""),,2),INDEX(SPLIT(I4262,""/""),,1))"),44865.0)</f>
        <v>44865</v>
      </c>
      <c r="L4262" s="1">
        <v>0.0</v>
      </c>
      <c r="M4262" s="1" t="s">
        <v>787</v>
      </c>
      <c r="N4262" s="1"/>
      <c r="O4262" s="1" t="s">
        <v>30</v>
      </c>
      <c r="P4262" s="1" t="s">
        <v>31</v>
      </c>
      <c r="Q4262" s="1" t="s">
        <v>53</v>
      </c>
      <c r="R4262" s="1" t="s">
        <v>53</v>
      </c>
      <c r="S4262" s="1" t="s">
        <v>54</v>
      </c>
      <c r="U4262" s="1">
        <v>1.00610205E8</v>
      </c>
      <c r="X4262" s="1" t="s">
        <v>63</v>
      </c>
      <c r="Y4262" s="1" t="s">
        <v>3839</v>
      </c>
      <c r="Z4262" s="1" t="s">
        <v>37</v>
      </c>
    </row>
    <row r="4263" hidden="1">
      <c r="A4263" s="1" t="s">
        <v>12133</v>
      </c>
      <c r="B4263" s="1" t="s">
        <v>8030</v>
      </c>
      <c r="C4263" s="1" t="s">
        <v>12134</v>
      </c>
      <c r="D4263" s="1" t="s">
        <v>27</v>
      </c>
      <c r="E4263" s="1" t="s">
        <v>28</v>
      </c>
      <c r="F4263" s="2">
        <v>150000.0</v>
      </c>
      <c r="G4263" s="1" t="s">
        <v>1442</v>
      </c>
      <c r="H4263" s="4">
        <f>IFERROR(__xludf.DUMMYFUNCTION("DATE(INDEX(SPLIT(G4263,""/""),,3),INDEX(SPLIT(G4263,""/""),,2),INDEX(SPLIT(G4263,""/""),,1))"),44727.0)</f>
        <v>44727</v>
      </c>
      <c r="I4263" s="4">
        <v>44875.0</v>
      </c>
      <c r="J4263" s="4">
        <f>IFERROR(__xludf.DUMMYFUNCTION("DATE(INDEX(SPLIT(I4263,""/""),,3),INDEX(SPLIT(I4263,""/""),,2),INDEX(SPLIT(I4263,""/""),,1))"),44845.0)</f>
        <v>44845</v>
      </c>
      <c r="L4263" s="1">
        <v>0.0</v>
      </c>
      <c r="M4263" s="1" t="s">
        <v>4011</v>
      </c>
      <c r="N4263" s="1"/>
      <c r="O4263" s="1" t="s">
        <v>30</v>
      </c>
      <c r="P4263" s="1" t="s">
        <v>31</v>
      </c>
      <c r="Q4263" s="1" t="s">
        <v>95</v>
      </c>
      <c r="R4263" s="1" t="s">
        <v>95</v>
      </c>
      <c r="S4263" s="1" t="s">
        <v>96</v>
      </c>
      <c r="T4263" s="1" t="s">
        <v>111</v>
      </c>
      <c r="U4263" s="1">
        <v>1.00702554E8</v>
      </c>
      <c r="X4263" s="1" t="s">
        <v>63</v>
      </c>
      <c r="Y4263" s="1" t="s">
        <v>8032</v>
      </c>
      <c r="Z4263" s="1" t="s">
        <v>206</v>
      </c>
    </row>
    <row r="4264" hidden="1">
      <c r="A4264" s="1" t="s">
        <v>12135</v>
      </c>
      <c r="B4264" s="1" t="s">
        <v>1066</v>
      </c>
      <c r="C4264" s="1" t="s">
        <v>12136</v>
      </c>
      <c r="D4264" s="1" t="s">
        <v>27</v>
      </c>
      <c r="E4264" s="1" t="s">
        <v>28</v>
      </c>
      <c r="F4264" s="2">
        <v>150000.0</v>
      </c>
      <c r="G4264" s="1" t="s">
        <v>1259</v>
      </c>
      <c r="H4264" s="4">
        <f>IFERROR(__xludf.DUMMYFUNCTION("DATE(INDEX(SPLIT(G4264,""/""),,3),INDEX(SPLIT(G4264,""/""),,2),INDEX(SPLIT(G4264,""/""),,1))"),44763.0)</f>
        <v>44763</v>
      </c>
      <c r="I4264" s="4">
        <v>44690.0</v>
      </c>
      <c r="J4264" s="4">
        <f>IFERROR(__xludf.DUMMYFUNCTION("DATE(INDEX(SPLIT(I4264,""/""),,3),INDEX(SPLIT(I4264,""/""),,2),INDEX(SPLIT(I4264,""/""),,1))"),44809.0)</f>
        <v>44809</v>
      </c>
      <c r="L4264" s="1">
        <v>0.0</v>
      </c>
      <c r="M4264" s="1" t="s">
        <v>12137</v>
      </c>
      <c r="N4264" s="1"/>
      <c r="O4264" s="1" t="s">
        <v>30</v>
      </c>
      <c r="P4264" s="1" t="s">
        <v>31</v>
      </c>
      <c r="Q4264" s="1" t="s">
        <v>32</v>
      </c>
      <c r="R4264" s="1" t="s">
        <v>32</v>
      </c>
      <c r="S4264" s="1" t="s">
        <v>33</v>
      </c>
      <c r="U4264" s="1">
        <v>1.0125102E8</v>
      </c>
      <c r="X4264" s="1" t="s">
        <v>125</v>
      </c>
      <c r="Y4264" s="1" t="s">
        <v>12138</v>
      </c>
      <c r="Z4264" s="1" t="s">
        <v>37</v>
      </c>
    </row>
    <row r="4265">
      <c r="A4265" s="1" t="s">
        <v>12139</v>
      </c>
      <c r="B4265" s="1" t="s">
        <v>1216</v>
      </c>
      <c r="C4265" s="1" t="s">
        <v>12140</v>
      </c>
      <c r="D4265" s="1" t="s">
        <v>78</v>
      </c>
      <c r="E4265" s="1" t="s">
        <v>28</v>
      </c>
      <c r="F4265" s="2">
        <v>150000.0</v>
      </c>
      <c r="G4265" s="4">
        <v>44902.0</v>
      </c>
      <c r="H4265" s="4">
        <f>IFERROR(__xludf.DUMMYFUNCTION("DATE(INDEX(SPLIT(G4265,""/""),,3),INDEX(SPLIT(G4265,""/""),,2),INDEX(SPLIT(G4265,""/""),,1))"),44754.0)</f>
        <v>44754</v>
      </c>
      <c r="I4265" s="1" t="s">
        <v>226</v>
      </c>
      <c r="J4265" s="4">
        <f>IFERROR(__xludf.DUMMYFUNCTION("DATE(INDEX(SPLIT(I4265,""/""),,3),INDEX(SPLIT(I4265,""/""),,2),INDEX(SPLIT(I4265,""/""),,1))"),44771.0)</f>
        <v>44771</v>
      </c>
      <c r="L4265" s="1">
        <v>0.0</v>
      </c>
      <c r="M4265" s="1" t="s">
        <v>4397</v>
      </c>
      <c r="N4265" s="1"/>
      <c r="O4265" s="1" t="s">
        <v>30</v>
      </c>
      <c r="P4265" s="1" t="s">
        <v>31</v>
      </c>
      <c r="Q4265" s="1" t="s">
        <v>235</v>
      </c>
      <c r="R4265" s="1" t="s">
        <v>235</v>
      </c>
      <c r="S4265" s="1" t="s">
        <v>236</v>
      </c>
      <c r="T4265" s="1" t="s">
        <v>753</v>
      </c>
      <c r="U4265" s="1">
        <v>1.0064547E8</v>
      </c>
      <c r="X4265" s="1" t="s">
        <v>88</v>
      </c>
      <c r="Y4265" s="1" t="s">
        <v>1922</v>
      </c>
      <c r="Z4265" s="1" t="s">
        <v>37</v>
      </c>
    </row>
    <row r="4266" hidden="1">
      <c r="A4266" s="1" t="s">
        <v>12141</v>
      </c>
      <c r="B4266" s="1" t="s">
        <v>5562</v>
      </c>
      <c r="C4266" s="1" t="s">
        <v>12142</v>
      </c>
      <c r="D4266" s="1" t="s">
        <v>68</v>
      </c>
      <c r="E4266" s="1" t="s">
        <v>28</v>
      </c>
      <c r="F4266" s="2">
        <v>150000.0</v>
      </c>
      <c r="G4266" s="1" t="s">
        <v>298</v>
      </c>
      <c r="H4266" s="4">
        <f>IFERROR(__xludf.DUMMYFUNCTION("DATE(INDEX(SPLIT(G4266,""/""),,3),INDEX(SPLIT(G4266,""/""),,2),INDEX(SPLIT(G4266,""/""),,1))"),44762.0)</f>
        <v>44762</v>
      </c>
      <c r="I4266" s="4">
        <v>44689.0</v>
      </c>
      <c r="J4266" s="4">
        <f>IFERROR(__xludf.DUMMYFUNCTION("DATE(INDEX(SPLIT(I4266,""/""),,3),INDEX(SPLIT(I4266,""/""),,2),INDEX(SPLIT(I4266,""/""),,1))"),44778.0)</f>
        <v>44778</v>
      </c>
      <c r="L4266" s="1">
        <v>0.0</v>
      </c>
      <c r="M4266" s="1" t="s">
        <v>5564</v>
      </c>
      <c r="N4266" s="1"/>
      <c r="O4266" s="1" t="s">
        <v>30</v>
      </c>
      <c r="P4266" s="1" t="s">
        <v>31</v>
      </c>
      <c r="Q4266" s="1" t="s">
        <v>235</v>
      </c>
      <c r="R4266" s="1" t="s">
        <v>235</v>
      </c>
      <c r="S4266" s="1" t="s">
        <v>236</v>
      </c>
      <c r="T4266" s="1" t="s">
        <v>438</v>
      </c>
      <c r="U4266" s="1">
        <v>1.00623111E8</v>
      </c>
      <c r="X4266" s="1" t="s">
        <v>98</v>
      </c>
      <c r="Y4266" s="1" t="s">
        <v>5564</v>
      </c>
      <c r="Z4266" s="1" t="s">
        <v>37</v>
      </c>
    </row>
    <row r="4267">
      <c r="A4267" s="1" t="s">
        <v>12143</v>
      </c>
      <c r="B4267" s="1" t="s">
        <v>1371</v>
      </c>
      <c r="C4267" s="1" t="s">
        <v>12144</v>
      </c>
      <c r="D4267" s="1" t="s">
        <v>27</v>
      </c>
      <c r="E4267" s="1" t="s">
        <v>28</v>
      </c>
      <c r="F4267" s="2">
        <v>150000.0</v>
      </c>
      <c r="G4267" s="4">
        <v>44625.0</v>
      </c>
      <c r="H4267" s="4">
        <f>IFERROR(__xludf.DUMMYFUNCTION("DATE(INDEX(SPLIT(G4267,""/""),,3),INDEX(SPLIT(G4267,""/""),,2),INDEX(SPLIT(G4267,""/""),,1))"),44684.0)</f>
        <v>44684</v>
      </c>
      <c r="I4267" s="1" t="s">
        <v>1244</v>
      </c>
      <c r="J4267" s="4">
        <f>IFERROR(__xludf.DUMMYFUNCTION("DATE(INDEX(SPLIT(I4267,""/""),,3),INDEX(SPLIT(I4267,""/""),,2),INDEX(SPLIT(I4267,""/""),,1))"),44742.0)</f>
        <v>44742</v>
      </c>
      <c r="L4267" s="1">
        <v>0.0</v>
      </c>
      <c r="M4267" s="1" t="s">
        <v>1036</v>
      </c>
      <c r="N4267" s="1"/>
      <c r="O4267" s="1" t="s">
        <v>30</v>
      </c>
      <c r="P4267" s="1" t="s">
        <v>31</v>
      </c>
      <c r="Q4267" s="1" t="s">
        <v>95</v>
      </c>
      <c r="R4267" s="1" t="s">
        <v>95</v>
      </c>
      <c r="S4267" s="1" t="s">
        <v>96</v>
      </c>
      <c r="T4267" s="1" t="s">
        <v>111</v>
      </c>
      <c r="U4267" s="1">
        <v>1.00633489E8</v>
      </c>
      <c r="X4267" s="1" t="s">
        <v>63</v>
      </c>
      <c r="Y4267" s="1" t="s">
        <v>3541</v>
      </c>
      <c r="Z4267" s="1" t="s">
        <v>37</v>
      </c>
    </row>
    <row r="4268" hidden="1">
      <c r="A4268" s="1" t="s">
        <v>12145</v>
      </c>
      <c r="B4268" s="1" t="s">
        <v>12146</v>
      </c>
      <c r="C4268" s="1" t="s">
        <v>12147</v>
      </c>
      <c r="D4268" s="1" t="s">
        <v>27</v>
      </c>
      <c r="E4268" s="1" t="s">
        <v>28</v>
      </c>
      <c r="F4268" s="2">
        <v>150000.0</v>
      </c>
      <c r="G4268" s="1" t="s">
        <v>9603</v>
      </c>
      <c r="H4268" s="4">
        <f>IFERROR(__xludf.DUMMYFUNCTION("DATE(INDEX(SPLIT(G4268,""/""),,3),INDEX(SPLIT(G4268,""/""),,2),INDEX(SPLIT(G4268,""/""),,1))"),44033.0)</f>
        <v>44033</v>
      </c>
      <c r="I4268" s="1" t="s">
        <v>1097</v>
      </c>
      <c r="J4268" s="4">
        <f>IFERROR(__xludf.DUMMYFUNCTION("DATE(INDEX(SPLIT(I4268,""/""),,3),INDEX(SPLIT(I4268,""/""),,2),INDEX(SPLIT(I4268,""/""),,1))"),45107.0)</f>
        <v>45107</v>
      </c>
      <c r="L4268" s="1">
        <v>0.0</v>
      </c>
      <c r="M4268" s="1" t="s">
        <v>2892</v>
      </c>
      <c r="N4268" s="1"/>
      <c r="O4268" s="1" t="s">
        <v>30</v>
      </c>
      <c r="P4268" s="1" t="s">
        <v>31</v>
      </c>
      <c r="Q4268" s="1" t="s">
        <v>188</v>
      </c>
      <c r="R4268" s="1" t="s">
        <v>188</v>
      </c>
      <c r="S4268" s="1" t="s">
        <v>189</v>
      </c>
      <c r="T4268" s="1" t="s">
        <v>136</v>
      </c>
      <c r="U4268" s="1">
        <v>1.0059132E8</v>
      </c>
      <c r="X4268" s="1" t="s">
        <v>74</v>
      </c>
      <c r="Y4268" s="1" t="s">
        <v>2593</v>
      </c>
      <c r="Z4268" s="1" t="s">
        <v>37</v>
      </c>
    </row>
    <row r="4269" hidden="1">
      <c r="A4269" s="1" t="s">
        <v>12148</v>
      </c>
      <c r="B4269" s="1" t="s">
        <v>516</v>
      </c>
      <c r="C4269" s="1" t="s">
        <v>12149</v>
      </c>
      <c r="D4269" s="1" t="s">
        <v>27</v>
      </c>
      <c r="E4269" s="1" t="s">
        <v>28</v>
      </c>
      <c r="F4269" s="2">
        <v>150000.0</v>
      </c>
      <c r="G4269" s="4">
        <v>44657.0</v>
      </c>
      <c r="H4269" s="4">
        <f>IFERROR(__xludf.DUMMYFUNCTION("DATE(INDEX(SPLIT(G4269,""/""),,3),INDEX(SPLIT(G4269,""/""),,2),INDEX(SPLIT(G4269,""/""),,1))"),44716.0)</f>
        <v>44716</v>
      </c>
      <c r="I4269" s="1" t="s">
        <v>130</v>
      </c>
      <c r="J4269" s="4">
        <f>IFERROR(__xludf.DUMMYFUNCTION("DATE(INDEX(SPLIT(I4269,""/""),,3),INDEX(SPLIT(I4269,""/""),,2),INDEX(SPLIT(I4269,""/""),,1))"),44804.0)</f>
        <v>44804</v>
      </c>
      <c r="L4269" s="1">
        <v>0.0</v>
      </c>
      <c r="M4269" s="1" t="s">
        <v>211</v>
      </c>
      <c r="N4269" s="1"/>
      <c r="O4269" s="1" t="s">
        <v>30</v>
      </c>
      <c r="P4269" s="1" t="s">
        <v>31</v>
      </c>
      <c r="Q4269" s="1" t="s">
        <v>71</v>
      </c>
      <c r="R4269" s="1" t="s">
        <v>71</v>
      </c>
      <c r="S4269" s="1" t="s">
        <v>72</v>
      </c>
      <c r="T4269" s="1" t="s">
        <v>136</v>
      </c>
      <c r="U4269" s="1">
        <v>1.00590896E8</v>
      </c>
      <c r="X4269" s="1" t="s">
        <v>74</v>
      </c>
      <c r="Y4269" s="1" t="s">
        <v>12150</v>
      </c>
      <c r="Z4269" s="1" t="s">
        <v>37</v>
      </c>
    </row>
    <row r="4270">
      <c r="A4270" s="1" t="s">
        <v>12151</v>
      </c>
      <c r="B4270" s="1" t="s">
        <v>4268</v>
      </c>
      <c r="C4270" s="1" t="s">
        <v>12152</v>
      </c>
      <c r="D4270" s="1" t="s">
        <v>122</v>
      </c>
      <c r="E4270" s="1" t="s">
        <v>28</v>
      </c>
      <c r="F4270" s="2">
        <v>150000.0</v>
      </c>
      <c r="G4270" s="1" t="s">
        <v>271</v>
      </c>
      <c r="H4270" s="4">
        <f>IFERROR(__xludf.DUMMYFUNCTION("DATE(INDEX(SPLIT(G4270,""/""),,3),INDEX(SPLIT(G4270,""/""),,2),INDEX(SPLIT(G4270,""/""),,1))"),44680.0)</f>
        <v>44680</v>
      </c>
      <c r="I4270" s="1" t="s">
        <v>1244</v>
      </c>
      <c r="J4270" s="4">
        <f>IFERROR(__xludf.DUMMYFUNCTION("DATE(INDEX(SPLIT(I4270,""/""),,3),INDEX(SPLIT(I4270,""/""),,2),INDEX(SPLIT(I4270,""/""),,1))"),44742.0)</f>
        <v>44742</v>
      </c>
      <c r="L4270" s="1">
        <v>0.0</v>
      </c>
      <c r="M4270" s="1" t="s">
        <v>2067</v>
      </c>
      <c r="N4270" s="1"/>
      <c r="O4270" s="1" t="s">
        <v>30</v>
      </c>
      <c r="P4270" s="1" t="s">
        <v>31</v>
      </c>
      <c r="Q4270" s="1" t="s">
        <v>95</v>
      </c>
      <c r="R4270" s="1" t="s">
        <v>95</v>
      </c>
      <c r="S4270" s="1" t="s">
        <v>96</v>
      </c>
      <c r="T4270" s="1" t="s">
        <v>111</v>
      </c>
      <c r="U4270" s="1">
        <v>1.00631322E8</v>
      </c>
      <c r="X4270" s="1" t="s">
        <v>63</v>
      </c>
      <c r="Y4270" s="1" t="s">
        <v>7026</v>
      </c>
      <c r="Z4270" s="1" t="s">
        <v>37</v>
      </c>
    </row>
    <row r="4271" hidden="1">
      <c r="A4271" s="1" t="s">
        <v>12153</v>
      </c>
      <c r="B4271" s="1" t="s">
        <v>12154</v>
      </c>
      <c r="C4271" s="1" t="s">
        <v>12155</v>
      </c>
      <c r="D4271" s="1" t="s">
        <v>78</v>
      </c>
      <c r="E4271" s="1" t="s">
        <v>28</v>
      </c>
      <c r="F4271" s="2">
        <v>150000.0</v>
      </c>
      <c r="G4271" s="1" t="s">
        <v>418</v>
      </c>
      <c r="H4271" s="4">
        <f>IFERROR(__xludf.DUMMYFUNCTION("DATE(INDEX(SPLIT(G4271,""/""),,3),INDEX(SPLIT(G4271,""/""),,2),INDEX(SPLIT(G4271,""/""),,1))"),44755.0)</f>
        <v>44755</v>
      </c>
      <c r="I4271" s="4">
        <v>44601.0</v>
      </c>
      <c r="J4271" s="4">
        <f>IFERROR(__xludf.DUMMYFUNCTION("DATE(INDEX(SPLIT(I4271,""/""),,3),INDEX(SPLIT(I4271,""/""),,2),INDEX(SPLIT(I4271,""/""),,1))"),44806.0)</f>
        <v>44806</v>
      </c>
      <c r="L4271" s="1">
        <v>0.0</v>
      </c>
      <c r="M4271" s="1" t="s">
        <v>2072</v>
      </c>
      <c r="N4271" s="1"/>
      <c r="O4271" s="1" t="s">
        <v>30</v>
      </c>
      <c r="P4271" s="1" t="s">
        <v>31</v>
      </c>
      <c r="Q4271" s="1" t="s">
        <v>71</v>
      </c>
      <c r="R4271" s="1" t="s">
        <v>71</v>
      </c>
      <c r="S4271" s="1" t="s">
        <v>72</v>
      </c>
      <c r="T4271" s="1" t="s">
        <v>136</v>
      </c>
      <c r="U4271" s="1">
        <v>1.00628181E8</v>
      </c>
      <c r="X4271" s="1" t="s">
        <v>74</v>
      </c>
      <c r="Y4271" s="1" t="s">
        <v>5132</v>
      </c>
      <c r="Z4271" s="1" t="s">
        <v>37</v>
      </c>
    </row>
    <row r="4272" hidden="1">
      <c r="A4272" s="1" t="s">
        <v>12156</v>
      </c>
      <c r="B4272" s="1" t="s">
        <v>2186</v>
      </c>
      <c r="C4272" s="1" t="s">
        <v>12157</v>
      </c>
      <c r="D4272" s="1" t="s">
        <v>122</v>
      </c>
      <c r="E4272" s="1" t="s">
        <v>28</v>
      </c>
      <c r="F4272" s="2">
        <v>150000.0</v>
      </c>
      <c r="G4272" s="1" t="s">
        <v>394</v>
      </c>
      <c r="H4272" s="4">
        <f>IFERROR(__xludf.DUMMYFUNCTION("DATE(INDEX(SPLIT(G4272,""/""),,3),INDEX(SPLIT(G4272,""/""),,2),INDEX(SPLIT(G4272,""/""),,1))"),44677.0)</f>
        <v>44677</v>
      </c>
      <c r="I4272" s="1" t="s">
        <v>130</v>
      </c>
      <c r="J4272" s="4">
        <f>IFERROR(__xludf.DUMMYFUNCTION("DATE(INDEX(SPLIT(I4272,""/""),,3),INDEX(SPLIT(I4272,""/""),,2),INDEX(SPLIT(I4272,""/""),,1))"),44804.0)</f>
        <v>44804</v>
      </c>
      <c r="L4272" s="1">
        <v>0.0</v>
      </c>
      <c r="M4272" s="1" t="s">
        <v>620</v>
      </c>
      <c r="N4272" s="1"/>
      <c r="O4272" s="1" t="s">
        <v>30</v>
      </c>
      <c r="P4272" s="1" t="s">
        <v>31</v>
      </c>
      <c r="Q4272" s="1" t="s">
        <v>32</v>
      </c>
      <c r="R4272" s="1" t="s">
        <v>32</v>
      </c>
      <c r="S4272" s="1" t="s">
        <v>33</v>
      </c>
      <c r="U4272" s="1">
        <v>1.00609607E8</v>
      </c>
      <c r="X4272" s="1" t="s">
        <v>190</v>
      </c>
      <c r="Y4272" s="1" t="s">
        <v>2188</v>
      </c>
      <c r="Z4272" s="1" t="s">
        <v>37</v>
      </c>
    </row>
    <row r="4273">
      <c r="A4273" s="1" t="s">
        <v>12158</v>
      </c>
      <c r="B4273" s="1" t="s">
        <v>12159</v>
      </c>
      <c r="C4273" s="1" t="s">
        <v>12160</v>
      </c>
      <c r="D4273" s="1" t="s">
        <v>122</v>
      </c>
      <c r="E4273" s="1" t="s">
        <v>28</v>
      </c>
      <c r="F4273" s="2">
        <v>150000.0</v>
      </c>
      <c r="G4273" s="4">
        <v>44652.0</v>
      </c>
      <c r="H4273" s="4">
        <f>IFERROR(__xludf.DUMMYFUNCTION("DATE(INDEX(SPLIT(G4273,""/""),,3),INDEX(SPLIT(G4273,""/""),,2),INDEX(SPLIT(G4273,""/""),,1))"),44565.0)</f>
        <v>44565</v>
      </c>
      <c r="I4273" s="1" t="s">
        <v>69</v>
      </c>
      <c r="J4273" s="4">
        <f>IFERROR(__xludf.DUMMYFUNCTION("DATE(INDEX(SPLIT(I4273,""/""),,3),INDEX(SPLIT(I4273,""/""),,2),INDEX(SPLIT(I4273,""/""),,1))"),44773.0)</f>
        <v>44773</v>
      </c>
      <c r="L4273" s="1">
        <v>0.0</v>
      </c>
      <c r="M4273" s="1" t="s">
        <v>3507</v>
      </c>
      <c r="N4273" s="1"/>
      <c r="O4273" s="1" t="s">
        <v>30</v>
      </c>
      <c r="P4273" s="1" t="s">
        <v>31</v>
      </c>
      <c r="Q4273" s="1" t="s">
        <v>235</v>
      </c>
      <c r="R4273" s="1" t="s">
        <v>235</v>
      </c>
      <c r="S4273" s="1" t="s">
        <v>236</v>
      </c>
      <c r="T4273" s="1" t="s">
        <v>1349</v>
      </c>
      <c r="U4273" s="1">
        <v>1.00585834E8</v>
      </c>
      <c r="Y4273" s="1" t="s">
        <v>3508</v>
      </c>
      <c r="Z4273" s="1" t="s">
        <v>37</v>
      </c>
    </row>
    <row r="4274" hidden="1">
      <c r="A4274" s="1" t="s">
        <v>12161</v>
      </c>
      <c r="B4274" s="1" t="s">
        <v>4361</v>
      </c>
      <c r="C4274" s="1" t="s">
        <v>12162</v>
      </c>
      <c r="D4274" s="1" t="s">
        <v>27</v>
      </c>
      <c r="E4274" s="1" t="s">
        <v>28</v>
      </c>
      <c r="F4274" s="2">
        <v>150000.0</v>
      </c>
      <c r="G4274" s="1" t="s">
        <v>1190</v>
      </c>
      <c r="H4274" s="4">
        <f>IFERROR(__xludf.DUMMYFUNCTION("DATE(INDEX(SPLIT(G4274,""/""),,3),INDEX(SPLIT(G4274,""/""),,2),INDEX(SPLIT(G4274,""/""),,1))"),44397.0)</f>
        <v>44397</v>
      </c>
      <c r="I4274" s="1" t="s">
        <v>130</v>
      </c>
      <c r="J4274" s="4">
        <f>IFERROR(__xludf.DUMMYFUNCTION("DATE(INDEX(SPLIT(I4274,""/""),,3),INDEX(SPLIT(I4274,""/""),,2),INDEX(SPLIT(I4274,""/""),,1))"),44804.0)</f>
        <v>44804</v>
      </c>
      <c r="L4274" s="1">
        <v>0.0</v>
      </c>
      <c r="M4274" s="1" t="s">
        <v>8315</v>
      </c>
      <c r="N4274" s="1"/>
      <c r="O4274" s="1" t="s">
        <v>30</v>
      </c>
      <c r="P4274" s="1" t="s">
        <v>31</v>
      </c>
      <c r="Q4274" s="1" t="s">
        <v>95</v>
      </c>
      <c r="R4274" s="1" t="s">
        <v>95</v>
      </c>
      <c r="S4274" s="1" t="s">
        <v>96</v>
      </c>
      <c r="T4274" s="1" t="s">
        <v>111</v>
      </c>
      <c r="U4274" s="1">
        <v>1.00625107E8</v>
      </c>
      <c r="X4274" s="1" t="s">
        <v>63</v>
      </c>
      <c r="Y4274" s="1" t="s">
        <v>985</v>
      </c>
      <c r="Z4274" s="1" t="s">
        <v>206</v>
      </c>
    </row>
    <row r="4275" hidden="1">
      <c r="A4275" s="1" t="s">
        <v>12163</v>
      </c>
      <c r="B4275" s="1" t="s">
        <v>605</v>
      </c>
      <c r="C4275" s="1" t="s">
        <v>10522</v>
      </c>
      <c r="D4275" s="1" t="s">
        <v>27</v>
      </c>
      <c r="E4275" s="1" t="s">
        <v>28</v>
      </c>
      <c r="F4275" s="2">
        <v>150000.0</v>
      </c>
      <c r="G4275" s="1" t="s">
        <v>359</v>
      </c>
      <c r="H4275" s="4">
        <f>IFERROR(__xludf.DUMMYFUNCTION("DATE(INDEX(SPLIT(G4275,""/""),,3),INDEX(SPLIT(G4275,""/""),,2),INDEX(SPLIT(G4275,""/""),,1))"),44740.0)</f>
        <v>44740</v>
      </c>
      <c r="I4275" s="4">
        <v>44630.0</v>
      </c>
      <c r="J4275" s="4">
        <f>IFERROR(__xludf.DUMMYFUNCTION("DATE(INDEX(SPLIT(I4275,""/""),,3),INDEX(SPLIT(I4275,""/""),,2),INDEX(SPLIT(I4275,""/""),,1))"),44837.0)</f>
        <v>44837</v>
      </c>
      <c r="L4275" s="1">
        <v>0.0</v>
      </c>
      <c r="M4275" s="1" t="s">
        <v>1548</v>
      </c>
      <c r="N4275" s="1"/>
      <c r="O4275" s="1" t="s">
        <v>30</v>
      </c>
      <c r="P4275" s="1" t="s">
        <v>31</v>
      </c>
      <c r="Q4275" s="1" t="s">
        <v>32</v>
      </c>
      <c r="R4275" s="1" t="s">
        <v>32</v>
      </c>
      <c r="S4275" s="1" t="s">
        <v>33</v>
      </c>
      <c r="U4275" s="1">
        <v>1.01215106E8</v>
      </c>
      <c r="X4275" s="1" t="s">
        <v>117</v>
      </c>
      <c r="Y4275" s="1" t="s">
        <v>1548</v>
      </c>
      <c r="Z4275" s="1" t="s">
        <v>37</v>
      </c>
    </row>
    <row r="4276">
      <c r="A4276" s="1" t="s">
        <v>12164</v>
      </c>
      <c r="B4276" s="1" t="s">
        <v>12165</v>
      </c>
      <c r="C4276" s="1" t="s">
        <v>12166</v>
      </c>
      <c r="D4276" s="1" t="s">
        <v>68</v>
      </c>
      <c r="E4276" s="1" t="s">
        <v>28</v>
      </c>
      <c r="F4276" s="2">
        <v>150000.0</v>
      </c>
      <c r="G4276" s="4">
        <v>44840.0</v>
      </c>
      <c r="H4276" s="4">
        <f>IFERROR(__xludf.DUMMYFUNCTION("DATE(INDEX(SPLIT(G4276,""/""),,3),INDEX(SPLIT(G4276,""/""),,2),INDEX(SPLIT(G4276,""/""),,1))"),44722.0)</f>
        <v>44722</v>
      </c>
      <c r="I4276" s="1" t="s">
        <v>226</v>
      </c>
      <c r="J4276" s="4">
        <f>IFERROR(__xludf.DUMMYFUNCTION("DATE(INDEX(SPLIT(I4276,""/""),,3),INDEX(SPLIT(I4276,""/""),,2),INDEX(SPLIT(I4276,""/""),,1))"),44771.0)</f>
        <v>44771</v>
      </c>
      <c r="L4276" s="1">
        <v>0.0</v>
      </c>
      <c r="M4276" s="1" t="s">
        <v>1333</v>
      </c>
      <c r="N4276" s="1"/>
      <c r="O4276" s="1" t="s">
        <v>30</v>
      </c>
      <c r="P4276" s="1" t="s">
        <v>31</v>
      </c>
      <c r="Q4276" s="1" t="s">
        <v>71</v>
      </c>
      <c r="R4276" s="1" t="s">
        <v>71</v>
      </c>
      <c r="S4276" s="1" t="s">
        <v>72</v>
      </c>
      <c r="T4276" s="1" t="s">
        <v>136</v>
      </c>
      <c r="U4276" s="1">
        <v>1.006299E8</v>
      </c>
      <c r="X4276" s="1" t="s">
        <v>2028</v>
      </c>
      <c r="Y4276" s="1" t="s">
        <v>1333</v>
      </c>
      <c r="Z4276" s="1" t="s">
        <v>37</v>
      </c>
    </row>
    <row r="4277" hidden="1">
      <c r="A4277" s="1" t="s">
        <v>12167</v>
      </c>
      <c r="B4277" s="1" t="s">
        <v>605</v>
      </c>
      <c r="C4277" s="1" t="s">
        <v>10522</v>
      </c>
      <c r="D4277" s="1" t="s">
        <v>27</v>
      </c>
      <c r="E4277" s="1" t="s">
        <v>28</v>
      </c>
      <c r="F4277" s="2">
        <v>150000.0</v>
      </c>
      <c r="G4277" s="1" t="s">
        <v>359</v>
      </c>
      <c r="H4277" s="4">
        <f>IFERROR(__xludf.DUMMYFUNCTION("DATE(INDEX(SPLIT(G4277,""/""),,3),INDEX(SPLIT(G4277,""/""),,2),INDEX(SPLIT(G4277,""/""),,1))"),44740.0)</f>
        <v>44740</v>
      </c>
      <c r="I4277" s="4">
        <v>44630.0</v>
      </c>
      <c r="J4277" s="4">
        <f>IFERROR(__xludf.DUMMYFUNCTION("DATE(INDEX(SPLIT(I4277,""/""),,3),INDEX(SPLIT(I4277,""/""),,2),INDEX(SPLIT(I4277,""/""),,1))"),44837.0)</f>
        <v>44837</v>
      </c>
      <c r="L4277" s="1">
        <v>0.0</v>
      </c>
      <c r="M4277" s="1" t="s">
        <v>1548</v>
      </c>
      <c r="N4277" s="1"/>
      <c r="O4277" s="1" t="s">
        <v>30</v>
      </c>
      <c r="P4277" s="1" t="s">
        <v>31</v>
      </c>
      <c r="Q4277" s="1" t="s">
        <v>32</v>
      </c>
      <c r="R4277" s="1" t="s">
        <v>32</v>
      </c>
      <c r="S4277" s="1" t="s">
        <v>33</v>
      </c>
      <c r="U4277" s="1">
        <v>1.01215106E8</v>
      </c>
      <c r="X4277" s="1" t="s">
        <v>63</v>
      </c>
      <c r="Y4277" s="1" t="s">
        <v>1548</v>
      </c>
      <c r="Z4277" s="1" t="s">
        <v>37</v>
      </c>
    </row>
    <row r="4278">
      <c r="A4278" s="1" t="s">
        <v>12168</v>
      </c>
      <c r="B4278" s="1" t="s">
        <v>12169</v>
      </c>
      <c r="C4278" s="1" t="s">
        <v>12170</v>
      </c>
      <c r="D4278" s="1" t="s">
        <v>78</v>
      </c>
      <c r="E4278" s="1" t="s">
        <v>28</v>
      </c>
      <c r="F4278" s="2">
        <v>150000.0</v>
      </c>
      <c r="G4278" s="1" t="s">
        <v>41</v>
      </c>
      <c r="H4278" s="4">
        <f>IFERROR(__xludf.DUMMYFUNCTION("DATE(INDEX(SPLIT(G4278,""/""),,3),INDEX(SPLIT(G4278,""/""),,2),INDEX(SPLIT(G4278,""/""),,1))"),44607.0)</f>
        <v>44607</v>
      </c>
      <c r="I4278" s="1" t="s">
        <v>1244</v>
      </c>
      <c r="J4278" s="4">
        <f>IFERROR(__xludf.DUMMYFUNCTION("DATE(INDEX(SPLIT(I4278,""/""),,3),INDEX(SPLIT(I4278,""/""),,2),INDEX(SPLIT(I4278,""/""),,1))"),44742.0)</f>
        <v>44742</v>
      </c>
      <c r="L4278" s="1">
        <v>0.0</v>
      </c>
      <c r="M4278" s="1" t="s">
        <v>12171</v>
      </c>
      <c r="N4278" s="1"/>
      <c r="O4278" s="1" t="s">
        <v>30</v>
      </c>
      <c r="P4278" s="1" t="s">
        <v>31</v>
      </c>
      <c r="Q4278" s="1" t="s">
        <v>228</v>
      </c>
      <c r="R4278" s="1" t="s">
        <v>228</v>
      </c>
      <c r="S4278" s="1" t="s">
        <v>229</v>
      </c>
      <c r="T4278" s="1" t="s">
        <v>513</v>
      </c>
      <c r="U4278" s="1">
        <v>1.0059632E8</v>
      </c>
      <c r="X4278" s="1" t="s">
        <v>254</v>
      </c>
      <c r="Y4278" s="1" t="s">
        <v>12172</v>
      </c>
      <c r="Z4278" s="1" t="s">
        <v>37</v>
      </c>
    </row>
    <row r="4279" hidden="1">
      <c r="A4279" s="1" t="s">
        <v>12173</v>
      </c>
      <c r="B4279" s="1" t="s">
        <v>4361</v>
      </c>
      <c r="C4279" s="1" t="s">
        <v>12174</v>
      </c>
      <c r="D4279" s="1" t="s">
        <v>27</v>
      </c>
      <c r="E4279" s="1" t="s">
        <v>28</v>
      </c>
      <c r="F4279" s="2">
        <v>150000.0</v>
      </c>
      <c r="G4279" s="1" t="s">
        <v>1190</v>
      </c>
      <c r="H4279" s="4">
        <f>IFERROR(__xludf.DUMMYFUNCTION("DATE(INDEX(SPLIT(G4279,""/""),,3),INDEX(SPLIT(G4279,""/""),,2),INDEX(SPLIT(G4279,""/""),,1))"),44397.0)</f>
        <v>44397</v>
      </c>
      <c r="I4279" s="1" t="s">
        <v>281</v>
      </c>
      <c r="J4279" s="4">
        <f>IFERROR(__xludf.DUMMYFUNCTION("DATE(INDEX(SPLIT(I4279,""/""),,3),INDEX(SPLIT(I4279,""/""),,2),INDEX(SPLIT(I4279,""/""),,1))"),44865.0)</f>
        <v>44865</v>
      </c>
      <c r="L4279" s="1">
        <v>0.0</v>
      </c>
      <c r="M4279" s="1" t="s">
        <v>8315</v>
      </c>
      <c r="N4279" s="1"/>
      <c r="O4279" s="1" t="s">
        <v>30</v>
      </c>
      <c r="P4279" s="1" t="s">
        <v>31</v>
      </c>
      <c r="Q4279" s="1" t="s">
        <v>95</v>
      </c>
      <c r="R4279" s="1" t="s">
        <v>95</v>
      </c>
      <c r="S4279" s="1" t="s">
        <v>96</v>
      </c>
      <c r="T4279" s="1" t="s">
        <v>111</v>
      </c>
      <c r="U4279" s="1">
        <v>1.00625107E8</v>
      </c>
      <c r="X4279" s="1" t="s">
        <v>63</v>
      </c>
      <c r="Y4279" s="1" t="s">
        <v>985</v>
      </c>
      <c r="Z4279" s="1" t="s">
        <v>206</v>
      </c>
    </row>
    <row r="4280" hidden="1">
      <c r="A4280" s="1" t="s">
        <v>12175</v>
      </c>
      <c r="B4280" s="1" t="s">
        <v>672</v>
      </c>
      <c r="C4280" s="1" t="s">
        <v>12176</v>
      </c>
      <c r="D4280" s="1" t="s">
        <v>27</v>
      </c>
      <c r="E4280" s="1" t="s">
        <v>28</v>
      </c>
      <c r="F4280" s="2">
        <v>150000.0</v>
      </c>
      <c r="G4280" s="1" t="s">
        <v>4294</v>
      </c>
      <c r="H4280" s="4">
        <f>IFERROR(__xludf.DUMMYFUNCTION("DATE(INDEX(SPLIT(G4280,""/""),,3),INDEX(SPLIT(G4280,""/""),,2),INDEX(SPLIT(G4280,""/""),,1))"),44133.0)</f>
        <v>44133</v>
      </c>
      <c r="I4280" s="1" t="s">
        <v>109</v>
      </c>
      <c r="J4280" s="4">
        <f>IFERROR(__xludf.DUMMYFUNCTION("DATE(INDEX(SPLIT(I4280,""/""),,3),INDEX(SPLIT(I4280,""/""),,2),INDEX(SPLIT(I4280,""/""),,1))"),44834.0)</f>
        <v>44834</v>
      </c>
      <c r="L4280" s="1">
        <v>0.0</v>
      </c>
      <c r="M4280" s="1" t="s">
        <v>1303</v>
      </c>
      <c r="N4280" s="1"/>
      <c r="O4280" s="1" t="s">
        <v>30</v>
      </c>
      <c r="P4280" s="1" t="s">
        <v>31</v>
      </c>
      <c r="Q4280" s="1" t="s">
        <v>235</v>
      </c>
      <c r="R4280" s="1" t="s">
        <v>235</v>
      </c>
      <c r="S4280" s="1" t="s">
        <v>236</v>
      </c>
      <c r="T4280" s="1" t="s">
        <v>438</v>
      </c>
      <c r="U4280" s="1">
        <v>1.00609073E8</v>
      </c>
      <c r="X4280" s="1" t="s">
        <v>88</v>
      </c>
      <c r="Y4280" s="1" t="s">
        <v>1303</v>
      </c>
      <c r="Z4280" s="1" t="s">
        <v>37</v>
      </c>
    </row>
    <row r="4281">
      <c r="A4281" s="1" t="s">
        <v>12177</v>
      </c>
      <c r="B4281" s="1" t="s">
        <v>4938</v>
      </c>
      <c r="C4281" s="1" t="s">
        <v>12178</v>
      </c>
      <c r="D4281" s="1" t="s">
        <v>78</v>
      </c>
      <c r="E4281" s="1" t="s">
        <v>28</v>
      </c>
      <c r="F4281" s="2">
        <v>150000.0</v>
      </c>
      <c r="G4281" s="4">
        <v>44654.0</v>
      </c>
      <c r="H4281" s="4">
        <f>IFERROR(__xludf.DUMMYFUNCTION("DATE(INDEX(SPLIT(G4281,""/""),,3),INDEX(SPLIT(G4281,""/""),,2),INDEX(SPLIT(G4281,""/""),,1))"),44624.0)</f>
        <v>44624</v>
      </c>
      <c r="I4281" s="1" t="s">
        <v>69</v>
      </c>
      <c r="J4281" s="4">
        <f>IFERROR(__xludf.DUMMYFUNCTION("DATE(INDEX(SPLIT(I4281,""/""),,3),INDEX(SPLIT(I4281,""/""),,2),INDEX(SPLIT(I4281,""/""),,1))"),44773.0)</f>
        <v>44773</v>
      </c>
      <c r="L4281" s="1">
        <v>0.0</v>
      </c>
      <c r="M4281" s="1" t="s">
        <v>4477</v>
      </c>
      <c r="N4281" s="1"/>
      <c r="O4281" s="1" t="s">
        <v>30</v>
      </c>
      <c r="P4281" s="1" t="s">
        <v>31</v>
      </c>
      <c r="Q4281" s="1" t="s">
        <v>228</v>
      </c>
      <c r="R4281" s="1" t="s">
        <v>228</v>
      </c>
      <c r="S4281" s="1" t="s">
        <v>229</v>
      </c>
      <c r="T4281" s="1" t="s">
        <v>513</v>
      </c>
      <c r="U4281" s="1">
        <v>1.00592715E8</v>
      </c>
      <c r="X4281" s="1" t="s">
        <v>98</v>
      </c>
      <c r="Y4281" s="1" t="s">
        <v>4477</v>
      </c>
      <c r="Z4281" s="1" t="s">
        <v>37</v>
      </c>
    </row>
    <row r="4282" hidden="1">
      <c r="A4282" s="1" t="s">
        <v>12179</v>
      </c>
      <c r="B4282" s="1" t="s">
        <v>301</v>
      </c>
      <c r="C4282" s="1" t="s">
        <v>12180</v>
      </c>
      <c r="D4282" s="1" t="s">
        <v>27</v>
      </c>
      <c r="E4282" s="1" t="s">
        <v>28</v>
      </c>
      <c r="F4282" s="2">
        <v>150000.0</v>
      </c>
      <c r="G4282" s="4">
        <v>44806.0</v>
      </c>
      <c r="H4282" s="4">
        <f>IFERROR(__xludf.DUMMYFUNCTION("DATE(INDEX(SPLIT(G4282,""/""),,3),INDEX(SPLIT(G4282,""/""),,2),INDEX(SPLIT(G4282,""/""),,1))"),44601.0)</f>
        <v>44601</v>
      </c>
      <c r="I4282" s="1" t="s">
        <v>109</v>
      </c>
      <c r="J4282" s="4">
        <f>IFERROR(__xludf.DUMMYFUNCTION("DATE(INDEX(SPLIT(I4282,""/""),,3),INDEX(SPLIT(I4282,""/""),,2),INDEX(SPLIT(I4282,""/""),,1))"),44834.0)</f>
        <v>44834</v>
      </c>
      <c r="L4282" s="1">
        <v>0.0</v>
      </c>
      <c r="M4282" s="1" t="s">
        <v>12181</v>
      </c>
      <c r="N4282" s="1"/>
      <c r="O4282" s="1" t="s">
        <v>30</v>
      </c>
      <c r="P4282" s="1" t="s">
        <v>31</v>
      </c>
      <c r="Q4282" s="1" t="s">
        <v>32</v>
      </c>
      <c r="R4282" s="1" t="s">
        <v>32</v>
      </c>
      <c r="S4282" s="1" t="s">
        <v>33</v>
      </c>
      <c r="U4282" s="1">
        <v>1.00597572E8</v>
      </c>
      <c r="X4282" s="1" t="s">
        <v>305</v>
      </c>
      <c r="Y4282" s="1" t="s">
        <v>12181</v>
      </c>
      <c r="Z4282" s="1" t="s">
        <v>527</v>
      </c>
    </row>
    <row r="4283" hidden="1">
      <c r="A4283" s="1" t="s">
        <v>12182</v>
      </c>
      <c r="B4283" s="1" t="s">
        <v>12183</v>
      </c>
      <c r="C4283" s="1" t="s">
        <v>12184</v>
      </c>
      <c r="D4283" s="1" t="s">
        <v>27</v>
      </c>
      <c r="E4283" s="1" t="s">
        <v>28</v>
      </c>
      <c r="F4283" s="2">
        <v>150000.0</v>
      </c>
      <c r="G4283" s="1" t="s">
        <v>1767</v>
      </c>
      <c r="H4283" s="4">
        <f>IFERROR(__xludf.DUMMYFUNCTION("DATE(INDEX(SPLIT(G4283,""/""),,3),INDEX(SPLIT(G4283,""/""),,2),INDEX(SPLIT(G4283,""/""),,1))"),44698.0)</f>
        <v>44698</v>
      </c>
      <c r="I4283" s="1" t="s">
        <v>130</v>
      </c>
      <c r="J4283" s="4">
        <f>IFERROR(__xludf.DUMMYFUNCTION("DATE(INDEX(SPLIT(I4283,""/""),,3),INDEX(SPLIT(I4283,""/""),,2),INDEX(SPLIT(I4283,""/""),,1))"),44804.0)</f>
        <v>44804</v>
      </c>
      <c r="L4283" s="1">
        <v>0.0</v>
      </c>
      <c r="M4283" s="1" t="s">
        <v>2371</v>
      </c>
      <c r="N4283" s="1"/>
      <c r="O4283" s="1" t="s">
        <v>30</v>
      </c>
      <c r="P4283" s="1" t="s">
        <v>31</v>
      </c>
      <c r="Q4283" s="1" t="s">
        <v>53</v>
      </c>
      <c r="R4283" s="1" t="s">
        <v>53</v>
      </c>
      <c r="S4283" s="1" t="s">
        <v>54</v>
      </c>
      <c r="T4283" s="1" t="s">
        <v>2372</v>
      </c>
      <c r="U4283" s="1">
        <v>1.00649936E8</v>
      </c>
      <c r="X4283" s="1" t="s">
        <v>239</v>
      </c>
      <c r="Y4283" s="1" t="s">
        <v>12185</v>
      </c>
      <c r="Z4283" s="1" t="s">
        <v>37</v>
      </c>
    </row>
    <row r="4284">
      <c r="A4284" s="1" t="s">
        <v>12186</v>
      </c>
      <c r="B4284" s="1" t="s">
        <v>12187</v>
      </c>
      <c r="C4284" s="1" t="s">
        <v>12188</v>
      </c>
      <c r="D4284" s="1" t="s">
        <v>27</v>
      </c>
      <c r="E4284" s="1" t="s">
        <v>28</v>
      </c>
      <c r="F4284" s="2">
        <v>150000.0</v>
      </c>
      <c r="G4284" s="1" t="s">
        <v>6672</v>
      </c>
      <c r="H4284" s="4">
        <f>IFERROR(__xludf.DUMMYFUNCTION("DATE(INDEX(SPLIT(G4284,""/""),,3),INDEX(SPLIT(G4284,""/""),,2),INDEX(SPLIT(G4284,""/""),,1))"),44543.0)</f>
        <v>44543</v>
      </c>
      <c r="I4284" s="1" t="s">
        <v>2300</v>
      </c>
      <c r="J4284" s="4">
        <f>IFERROR(__xludf.DUMMYFUNCTION("DATE(INDEX(SPLIT(I4284,""/""),,3),INDEX(SPLIT(I4284,""/""),,2),INDEX(SPLIT(I4284,""/""),,1))"),44712.0)</f>
        <v>44712</v>
      </c>
      <c r="L4284" s="1">
        <v>0.0</v>
      </c>
      <c r="M4284" s="1" t="s">
        <v>12189</v>
      </c>
      <c r="N4284" s="1"/>
      <c r="O4284" s="1" t="s">
        <v>30</v>
      </c>
      <c r="P4284" s="1" t="s">
        <v>31</v>
      </c>
      <c r="Q4284" s="1" t="s">
        <v>228</v>
      </c>
      <c r="R4284" s="1" t="s">
        <v>228</v>
      </c>
      <c r="S4284" s="1" t="s">
        <v>229</v>
      </c>
      <c r="T4284" s="1" t="s">
        <v>640</v>
      </c>
      <c r="U4284" s="1">
        <v>1.01146063E8</v>
      </c>
      <c r="X4284" s="1" t="s">
        <v>190</v>
      </c>
      <c r="Y4284" s="1" t="s">
        <v>12189</v>
      </c>
      <c r="Z4284" s="1" t="s">
        <v>37</v>
      </c>
    </row>
    <row r="4285">
      <c r="A4285" s="1" t="s">
        <v>12190</v>
      </c>
      <c r="B4285" s="1" t="s">
        <v>4101</v>
      </c>
      <c r="C4285" s="1" t="s">
        <v>12191</v>
      </c>
      <c r="D4285" s="1" t="s">
        <v>122</v>
      </c>
      <c r="E4285" s="1" t="s">
        <v>28</v>
      </c>
      <c r="F4285" s="2">
        <v>150000.0</v>
      </c>
      <c r="G4285" s="4">
        <v>44567.0</v>
      </c>
      <c r="H4285" s="4">
        <f>IFERROR(__xludf.DUMMYFUNCTION("DATE(INDEX(SPLIT(G4285,""/""),,3),INDEX(SPLIT(G4285,""/""),,2),INDEX(SPLIT(G4285,""/""),,1))"),44713.0)</f>
        <v>44713</v>
      </c>
      <c r="I4285" s="1" t="s">
        <v>226</v>
      </c>
      <c r="J4285" s="4">
        <f>IFERROR(__xludf.DUMMYFUNCTION("DATE(INDEX(SPLIT(I4285,""/""),,3),INDEX(SPLIT(I4285,""/""),,2),INDEX(SPLIT(I4285,""/""),,1))"),44771.0)</f>
        <v>44771</v>
      </c>
      <c r="L4285" s="1">
        <v>0.0</v>
      </c>
      <c r="M4285" s="1" t="s">
        <v>3537</v>
      </c>
      <c r="N4285" s="1"/>
      <c r="O4285" s="1" t="s">
        <v>30</v>
      </c>
      <c r="P4285" s="1" t="s">
        <v>31</v>
      </c>
      <c r="Q4285" s="1" t="s">
        <v>32</v>
      </c>
      <c r="R4285" s="1" t="s">
        <v>32</v>
      </c>
      <c r="S4285" s="1" t="s">
        <v>33</v>
      </c>
      <c r="T4285" s="1" t="s">
        <v>103</v>
      </c>
      <c r="U4285" s="1">
        <v>1.00589948E8</v>
      </c>
      <c r="X4285" s="1" t="s">
        <v>312</v>
      </c>
      <c r="Y4285" s="1" t="s">
        <v>3537</v>
      </c>
      <c r="Z4285" s="1" t="s">
        <v>37</v>
      </c>
    </row>
    <row r="4286" hidden="1">
      <c r="A4286" s="1" t="s">
        <v>12192</v>
      </c>
      <c r="B4286" s="1" t="s">
        <v>5483</v>
      </c>
      <c r="C4286" s="1" t="s">
        <v>12193</v>
      </c>
      <c r="D4286" s="1" t="s">
        <v>27</v>
      </c>
      <c r="E4286" s="1" t="s">
        <v>28</v>
      </c>
      <c r="F4286" s="2">
        <v>150000.0</v>
      </c>
      <c r="G4286" s="1" t="s">
        <v>2309</v>
      </c>
      <c r="H4286" s="4">
        <f>IFERROR(__xludf.DUMMYFUNCTION("DATE(INDEX(SPLIT(G4286,""/""),,3),INDEX(SPLIT(G4286,""/""),,2),INDEX(SPLIT(G4286,""/""),,1))"),44672.0)</f>
        <v>44672</v>
      </c>
      <c r="I4286" s="1" t="s">
        <v>109</v>
      </c>
      <c r="J4286" s="4">
        <f>IFERROR(__xludf.DUMMYFUNCTION("DATE(INDEX(SPLIT(I4286,""/""),,3),INDEX(SPLIT(I4286,""/""),,2),INDEX(SPLIT(I4286,""/""),,1))"),44834.0)</f>
        <v>44834</v>
      </c>
      <c r="L4286" s="1">
        <v>0.0</v>
      </c>
      <c r="M4286" s="1" t="s">
        <v>2787</v>
      </c>
      <c r="N4286" s="1"/>
      <c r="O4286" s="1" t="s">
        <v>30</v>
      </c>
      <c r="P4286" s="1" t="s">
        <v>31</v>
      </c>
      <c r="Q4286" s="1" t="s">
        <v>157</v>
      </c>
      <c r="R4286" s="1" t="s">
        <v>157</v>
      </c>
      <c r="S4286" s="1" t="s">
        <v>158</v>
      </c>
      <c r="T4286" s="1" t="s">
        <v>442</v>
      </c>
      <c r="U4286" s="1">
        <v>1.00708984E8</v>
      </c>
      <c r="X4286" s="1" t="s">
        <v>190</v>
      </c>
      <c r="Y4286" s="1" t="s">
        <v>3223</v>
      </c>
      <c r="Z4286" s="1" t="s">
        <v>37</v>
      </c>
    </row>
    <row r="4287" hidden="1">
      <c r="A4287" s="1" t="s">
        <v>12194</v>
      </c>
      <c r="B4287" s="1" t="s">
        <v>12195</v>
      </c>
      <c r="C4287" s="1" t="s">
        <v>12196</v>
      </c>
      <c r="D4287" s="1" t="s">
        <v>27</v>
      </c>
      <c r="E4287" s="1" t="s">
        <v>28</v>
      </c>
      <c r="F4287" s="2">
        <v>150000.0</v>
      </c>
      <c r="G4287" s="4">
        <v>44657.0</v>
      </c>
      <c r="H4287" s="4">
        <f>IFERROR(__xludf.DUMMYFUNCTION("DATE(INDEX(SPLIT(G4287,""/""),,3),INDEX(SPLIT(G4287,""/""),,2),INDEX(SPLIT(G4287,""/""),,1))"),44716.0)</f>
        <v>44716</v>
      </c>
      <c r="I4287" s="1" t="s">
        <v>85</v>
      </c>
      <c r="J4287" s="4">
        <f>IFERROR(__xludf.DUMMYFUNCTION("DATE(INDEX(SPLIT(I4287,""/""),,3),INDEX(SPLIT(I4287,""/""),,2),INDEX(SPLIT(I4287,""/""),,1))"),44799.0)</f>
        <v>44799</v>
      </c>
      <c r="L4287" s="1">
        <v>0.0</v>
      </c>
      <c r="M4287" s="1" t="s">
        <v>2856</v>
      </c>
      <c r="N4287" s="1"/>
      <c r="O4287" s="1" t="s">
        <v>30</v>
      </c>
      <c r="P4287" s="1" t="s">
        <v>31</v>
      </c>
      <c r="Q4287" s="1" t="s">
        <v>71</v>
      </c>
      <c r="R4287" s="1" t="s">
        <v>71</v>
      </c>
      <c r="S4287" s="1" t="s">
        <v>72</v>
      </c>
      <c r="T4287" s="1" t="s">
        <v>615</v>
      </c>
      <c r="U4287" s="1">
        <v>1.00637221E8</v>
      </c>
      <c r="X4287" s="1" t="s">
        <v>5049</v>
      </c>
      <c r="Y4287" s="1" t="s">
        <v>899</v>
      </c>
      <c r="Z4287" s="1" t="s">
        <v>37</v>
      </c>
    </row>
    <row r="4288" hidden="1">
      <c r="A4288" s="1" t="s">
        <v>12197</v>
      </c>
      <c r="B4288" s="1" t="s">
        <v>1113</v>
      </c>
      <c r="C4288" s="1" t="s">
        <v>12198</v>
      </c>
      <c r="D4288" s="1" t="s">
        <v>27</v>
      </c>
      <c r="E4288" s="1" t="s">
        <v>28</v>
      </c>
      <c r="F4288" s="2">
        <v>150000.0</v>
      </c>
      <c r="G4288" s="1" t="s">
        <v>2419</v>
      </c>
      <c r="H4288" s="4">
        <f>IFERROR(__xludf.DUMMYFUNCTION("DATE(INDEX(SPLIT(G4288,""/""),,3),INDEX(SPLIT(G4288,""/""),,2),INDEX(SPLIT(G4288,""/""),,1))"),44482.0)</f>
        <v>44482</v>
      </c>
      <c r="I4288" s="4">
        <v>44662.0</v>
      </c>
      <c r="J4288" s="4">
        <f>IFERROR(__xludf.DUMMYFUNCTION("DATE(INDEX(SPLIT(I4288,""/""),,3),INDEX(SPLIT(I4288,""/""),,2),INDEX(SPLIT(I4288,""/""),,1))"),44869.0)</f>
        <v>44869</v>
      </c>
      <c r="L4288" s="1">
        <v>0.0</v>
      </c>
      <c r="M4288" s="1" t="s">
        <v>1649</v>
      </c>
      <c r="N4288" s="1"/>
      <c r="O4288" s="1" t="s">
        <v>30</v>
      </c>
      <c r="P4288" s="1" t="s">
        <v>31</v>
      </c>
      <c r="Q4288" s="1" t="s">
        <v>157</v>
      </c>
      <c r="R4288" s="1" t="s">
        <v>157</v>
      </c>
      <c r="S4288" s="1" t="s">
        <v>158</v>
      </c>
      <c r="T4288" s="1" t="s">
        <v>159</v>
      </c>
      <c r="U4288" s="1">
        <v>1.00643454E8</v>
      </c>
      <c r="V4288" s="1" t="s">
        <v>12199</v>
      </c>
      <c r="W4288" s="1" t="s">
        <v>717</v>
      </c>
      <c r="X4288" s="1" t="s">
        <v>490</v>
      </c>
      <c r="Y4288" s="1" t="s">
        <v>1649</v>
      </c>
      <c r="Z4288" s="1" t="s">
        <v>37</v>
      </c>
    </row>
    <row r="4289" hidden="1">
      <c r="A4289" s="1" t="s">
        <v>12200</v>
      </c>
      <c r="B4289" s="1" t="s">
        <v>9304</v>
      </c>
      <c r="C4289" s="1" t="s">
        <v>12201</v>
      </c>
      <c r="D4289" s="1" t="s">
        <v>27</v>
      </c>
      <c r="E4289" s="1" t="s">
        <v>28</v>
      </c>
      <c r="F4289" s="2">
        <v>150000.0</v>
      </c>
      <c r="G4289" s="4">
        <v>43990.0</v>
      </c>
      <c r="H4289" s="4">
        <f>IFERROR(__xludf.DUMMYFUNCTION("DATE(INDEX(SPLIT(G4289,""/""),,3),INDEX(SPLIT(G4289,""/""),,2),INDEX(SPLIT(G4289,""/""),,1))"),44049.0)</f>
        <v>44049</v>
      </c>
      <c r="I4289" s="1" t="s">
        <v>921</v>
      </c>
      <c r="J4289" s="4">
        <f>IFERROR(__xludf.DUMMYFUNCTION("DATE(INDEX(SPLIT(I4289,""/""),,3),INDEX(SPLIT(I4289,""/""),,2),INDEX(SPLIT(I4289,""/""),,1))"),44981.0)</f>
        <v>44981</v>
      </c>
      <c r="L4289" s="1">
        <v>0.0</v>
      </c>
      <c r="M4289" s="1" t="s">
        <v>4735</v>
      </c>
      <c r="N4289" s="1"/>
      <c r="O4289" s="1" t="s">
        <v>30</v>
      </c>
      <c r="P4289" s="1" t="s">
        <v>31</v>
      </c>
      <c r="Q4289" s="1" t="s">
        <v>71</v>
      </c>
      <c r="R4289" s="1" t="s">
        <v>71</v>
      </c>
      <c r="S4289" s="1" t="s">
        <v>72</v>
      </c>
      <c r="T4289" s="1" t="s">
        <v>136</v>
      </c>
      <c r="U4289" s="1">
        <v>1.00609615E8</v>
      </c>
      <c r="X4289" s="1" t="s">
        <v>74</v>
      </c>
      <c r="Y4289" s="1" t="s">
        <v>2593</v>
      </c>
      <c r="Z4289" s="1" t="s">
        <v>206</v>
      </c>
    </row>
    <row r="4290">
      <c r="A4290" s="1" t="s">
        <v>12202</v>
      </c>
      <c r="B4290" s="1" t="s">
        <v>12203</v>
      </c>
      <c r="C4290" s="1" t="s">
        <v>12204</v>
      </c>
      <c r="D4290" s="1" t="s">
        <v>122</v>
      </c>
      <c r="E4290" s="1" t="s">
        <v>28</v>
      </c>
      <c r="F4290" s="2">
        <v>150000.0</v>
      </c>
      <c r="G4290" s="4">
        <v>44173.0</v>
      </c>
      <c r="H4290" s="4">
        <f>IFERROR(__xludf.DUMMYFUNCTION("DATE(INDEX(SPLIT(G4290,""/""),,3),INDEX(SPLIT(G4290,""/""),,2),INDEX(SPLIT(G4290,""/""),,1))"),44055.0)</f>
        <v>44055</v>
      </c>
      <c r="I4290" s="1" t="s">
        <v>69</v>
      </c>
      <c r="J4290" s="4">
        <f>IFERROR(__xludf.DUMMYFUNCTION("DATE(INDEX(SPLIT(I4290,""/""),,3),INDEX(SPLIT(I4290,""/""),,2),INDEX(SPLIT(I4290,""/""),,1))"),44773.0)</f>
        <v>44773</v>
      </c>
      <c r="L4290" s="1">
        <v>0.0</v>
      </c>
      <c r="M4290" s="1" t="s">
        <v>259</v>
      </c>
      <c r="N4290" s="1"/>
      <c r="O4290" s="1" t="s">
        <v>30</v>
      </c>
      <c r="P4290" s="1" t="s">
        <v>31</v>
      </c>
      <c r="Q4290" s="1" t="s">
        <v>95</v>
      </c>
      <c r="R4290" s="1" t="s">
        <v>95</v>
      </c>
      <c r="S4290" s="1" t="s">
        <v>96</v>
      </c>
      <c r="T4290" s="1" t="s">
        <v>260</v>
      </c>
      <c r="U4290" s="1">
        <v>1.00659114E8</v>
      </c>
      <c r="X4290" s="1" t="s">
        <v>239</v>
      </c>
      <c r="Y4290" s="1" t="s">
        <v>448</v>
      </c>
      <c r="Z4290" s="1" t="s">
        <v>37</v>
      </c>
    </row>
    <row r="4291" hidden="1">
      <c r="A4291" s="1" t="s">
        <v>12205</v>
      </c>
      <c r="B4291" s="1" t="s">
        <v>12203</v>
      </c>
      <c r="C4291" s="1" t="s">
        <v>12206</v>
      </c>
      <c r="D4291" s="1" t="s">
        <v>122</v>
      </c>
      <c r="E4291" s="1" t="s">
        <v>28</v>
      </c>
      <c r="F4291" s="2">
        <v>150000.0</v>
      </c>
      <c r="G4291" s="4">
        <v>43868.0</v>
      </c>
      <c r="H4291" s="4">
        <f>IFERROR(__xludf.DUMMYFUNCTION("DATE(INDEX(SPLIT(G4291,""/""),,3),INDEX(SPLIT(G4291,""/""),,2),INDEX(SPLIT(G4291,""/""),,1))"),44014.0)</f>
        <v>44014</v>
      </c>
      <c r="I4291" s="1" t="s">
        <v>130</v>
      </c>
      <c r="J4291" s="4">
        <f>IFERROR(__xludf.DUMMYFUNCTION("DATE(INDEX(SPLIT(I4291,""/""),,3),INDEX(SPLIT(I4291,""/""),,2),INDEX(SPLIT(I4291,""/""),,1))"),44804.0)</f>
        <v>44804</v>
      </c>
      <c r="K4291" s="1" t="s">
        <v>12207</v>
      </c>
      <c r="L4291" s="1">
        <v>0.0</v>
      </c>
      <c r="M4291" s="1" t="s">
        <v>259</v>
      </c>
      <c r="N4291" s="1"/>
      <c r="O4291" s="1" t="s">
        <v>30</v>
      </c>
      <c r="P4291" s="1" t="s">
        <v>31</v>
      </c>
      <c r="Q4291" s="1" t="s">
        <v>95</v>
      </c>
      <c r="R4291" s="1" t="s">
        <v>95</v>
      </c>
      <c r="S4291" s="1" t="s">
        <v>96</v>
      </c>
      <c r="T4291" s="1" t="s">
        <v>237</v>
      </c>
      <c r="U4291" s="1">
        <v>1.00659114E8</v>
      </c>
      <c r="X4291" s="1" t="s">
        <v>239</v>
      </c>
      <c r="Y4291" s="1" t="s">
        <v>259</v>
      </c>
      <c r="Z4291" s="1" t="s">
        <v>37</v>
      </c>
    </row>
    <row r="4292" hidden="1">
      <c r="A4292" s="1" t="s">
        <v>12208</v>
      </c>
      <c r="B4292" s="1" t="s">
        <v>645</v>
      </c>
      <c r="C4292" s="1" t="s">
        <v>12209</v>
      </c>
      <c r="D4292" s="1" t="s">
        <v>78</v>
      </c>
      <c r="E4292" s="1" t="s">
        <v>28</v>
      </c>
      <c r="F4292" s="2">
        <v>150000.0</v>
      </c>
      <c r="G4292" s="1" t="s">
        <v>624</v>
      </c>
      <c r="H4292" s="4">
        <f>IFERROR(__xludf.DUMMYFUNCTION("DATE(INDEX(SPLIT(G4292,""/""),,3),INDEX(SPLIT(G4292,""/""),,2),INDEX(SPLIT(G4292,""/""),,1))"),44642.0)</f>
        <v>44642</v>
      </c>
      <c r="I4292" s="1" t="s">
        <v>1097</v>
      </c>
      <c r="J4292" s="4">
        <f>IFERROR(__xludf.DUMMYFUNCTION("DATE(INDEX(SPLIT(I4292,""/""),,3),INDEX(SPLIT(I4292,""/""),,2),INDEX(SPLIT(I4292,""/""),,1))"),45107.0)</f>
        <v>45107</v>
      </c>
      <c r="L4292" s="1">
        <v>0.0</v>
      </c>
      <c r="M4292" s="1" t="s">
        <v>172</v>
      </c>
      <c r="N4292" s="1"/>
      <c r="O4292" s="1" t="s">
        <v>30</v>
      </c>
      <c r="P4292" s="1" t="s">
        <v>31</v>
      </c>
      <c r="Q4292" s="1" t="s">
        <v>95</v>
      </c>
      <c r="R4292" s="1" t="s">
        <v>95</v>
      </c>
      <c r="S4292" s="1" t="s">
        <v>96</v>
      </c>
      <c r="T4292" s="1" t="s">
        <v>97</v>
      </c>
      <c r="U4292" s="1">
        <v>1.00658519E8</v>
      </c>
      <c r="X4292" s="1" t="s">
        <v>46</v>
      </c>
      <c r="Y4292" s="1" t="s">
        <v>1076</v>
      </c>
      <c r="Z4292" s="1" t="s">
        <v>37</v>
      </c>
    </row>
    <row r="4293" hidden="1">
      <c r="A4293" s="1" t="s">
        <v>12210</v>
      </c>
      <c r="B4293" s="1" t="s">
        <v>2515</v>
      </c>
      <c r="C4293" s="1" t="s">
        <v>12211</v>
      </c>
      <c r="D4293" s="1" t="s">
        <v>27</v>
      </c>
      <c r="E4293" s="1" t="s">
        <v>28</v>
      </c>
      <c r="F4293" s="2">
        <v>150000.0</v>
      </c>
      <c r="G4293" s="4">
        <v>44685.0</v>
      </c>
      <c r="H4293" s="4">
        <f>IFERROR(__xludf.DUMMYFUNCTION("DATE(INDEX(SPLIT(G4293,""/""),,3),INDEX(SPLIT(G4293,""/""),,2),INDEX(SPLIT(G4293,""/""),,1))"),44656.0)</f>
        <v>44656</v>
      </c>
      <c r="I4293" s="1" t="s">
        <v>130</v>
      </c>
      <c r="J4293" s="4">
        <f>IFERROR(__xludf.DUMMYFUNCTION("DATE(INDEX(SPLIT(I4293,""/""),,3),INDEX(SPLIT(I4293,""/""),,2),INDEX(SPLIT(I4293,""/""),,1))"),44804.0)</f>
        <v>44804</v>
      </c>
      <c r="L4293" s="1">
        <v>0.0</v>
      </c>
      <c r="M4293" s="1" t="s">
        <v>2517</v>
      </c>
      <c r="N4293" s="1"/>
      <c r="O4293" s="1" t="s">
        <v>30</v>
      </c>
      <c r="P4293" s="1" t="s">
        <v>31</v>
      </c>
      <c r="Q4293" s="1" t="s">
        <v>32</v>
      </c>
      <c r="R4293" s="1" t="s">
        <v>32</v>
      </c>
      <c r="S4293" s="1" t="s">
        <v>33</v>
      </c>
      <c r="T4293" s="1" t="s">
        <v>1195</v>
      </c>
      <c r="U4293" s="1">
        <v>1.01090216E8</v>
      </c>
      <c r="X4293" s="1" t="s">
        <v>490</v>
      </c>
      <c r="Y4293" s="1" t="s">
        <v>12212</v>
      </c>
      <c r="Z4293" s="1" t="s">
        <v>37</v>
      </c>
    </row>
    <row r="4294" hidden="1">
      <c r="A4294" s="1" t="s">
        <v>12213</v>
      </c>
      <c r="B4294" s="1" t="s">
        <v>12214</v>
      </c>
      <c r="C4294" s="1" t="s">
        <v>12215</v>
      </c>
      <c r="D4294" s="1" t="s">
        <v>27</v>
      </c>
      <c r="E4294" s="1" t="s">
        <v>28</v>
      </c>
      <c r="F4294" s="2">
        <v>150000.0</v>
      </c>
      <c r="G4294" s="1" t="s">
        <v>1767</v>
      </c>
      <c r="H4294" s="4">
        <f>IFERROR(__xludf.DUMMYFUNCTION("DATE(INDEX(SPLIT(G4294,""/""),,3),INDEX(SPLIT(G4294,""/""),,2),INDEX(SPLIT(G4294,""/""),,1))"),44698.0)</f>
        <v>44698</v>
      </c>
      <c r="I4294" s="1" t="s">
        <v>281</v>
      </c>
      <c r="J4294" s="4">
        <f>IFERROR(__xludf.DUMMYFUNCTION("DATE(INDEX(SPLIT(I4294,""/""),,3),INDEX(SPLIT(I4294,""/""),,2),INDEX(SPLIT(I4294,""/""),,1))"),44865.0)</f>
        <v>44865</v>
      </c>
      <c r="L4294" s="1">
        <v>0.0</v>
      </c>
      <c r="M4294" s="1" t="s">
        <v>5273</v>
      </c>
      <c r="N4294" s="1"/>
      <c r="O4294" s="1" t="s">
        <v>30</v>
      </c>
      <c r="P4294" s="1" t="s">
        <v>31</v>
      </c>
      <c r="Q4294" s="1" t="s">
        <v>188</v>
      </c>
      <c r="R4294" s="1" t="s">
        <v>188</v>
      </c>
      <c r="S4294" s="1" t="s">
        <v>189</v>
      </c>
      <c r="T4294" s="1" t="s">
        <v>1344</v>
      </c>
      <c r="U4294" s="1">
        <v>1.01176139E8</v>
      </c>
      <c r="X4294" s="1" t="s">
        <v>63</v>
      </c>
      <c r="Y4294" s="1" t="s">
        <v>5273</v>
      </c>
      <c r="Z4294" s="1" t="s">
        <v>527</v>
      </c>
    </row>
    <row r="4295">
      <c r="A4295" s="1" t="s">
        <v>12216</v>
      </c>
      <c r="B4295" s="1" t="s">
        <v>12217</v>
      </c>
      <c r="C4295" s="1" t="s">
        <v>12218</v>
      </c>
      <c r="D4295" s="1" t="s">
        <v>78</v>
      </c>
      <c r="E4295" s="1" t="s">
        <v>28</v>
      </c>
      <c r="F4295" s="2">
        <v>150000.0</v>
      </c>
      <c r="G4295" s="1" t="s">
        <v>93</v>
      </c>
      <c r="H4295" s="4">
        <f>IFERROR(__xludf.DUMMYFUNCTION("DATE(INDEX(SPLIT(G4295,""/""),,3),INDEX(SPLIT(G4295,""/""),,2),INDEX(SPLIT(G4295,""/""),,1))"),44671.0)</f>
        <v>44671</v>
      </c>
      <c r="I4295" s="1" t="s">
        <v>226</v>
      </c>
      <c r="J4295" s="4">
        <f>IFERROR(__xludf.DUMMYFUNCTION("DATE(INDEX(SPLIT(I4295,""/""),,3),INDEX(SPLIT(I4295,""/""),,2),INDEX(SPLIT(I4295,""/""),,1))"),44771.0)</f>
        <v>44771</v>
      </c>
      <c r="L4295" s="1">
        <v>0.0</v>
      </c>
      <c r="M4295" s="1" t="s">
        <v>3538</v>
      </c>
      <c r="N4295" s="1"/>
      <c r="O4295" s="1" t="s">
        <v>30</v>
      </c>
      <c r="P4295" s="1" t="s">
        <v>31</v>
      </c>
      <c r="Q4295" s="1" t="s">
        <v>32</v>
      </c>
      <c r="R4295" s="1" t="s">
        <v>32</v>
      </c>
      <c r="S4295" s="1" t="s">
        <v>33</v>
      </c>
      <c r="U4295" s="1">
        <v>1.00589892E8</v>
      </c>
      <c r="X4295" s="1" t="s">
        <v>254</v>
      </c>
      <c r="Y4295" s="1" t="s">
        <v>3538</v>
      </c>
      <c r="Z4295" s="1" t="s">
        <v>527</v>
      </c>
    </row>
    <row r="4296">
      <c r="A4296" s="1" t="s">
        <v>12219</v>
      </c>
      <c r="B4296" s="1" t="s">
        <v>12220</v>
      </c>
      <c r="C4296" s="1" t="s">
        <v>12221</v>
      </c>
      <c r="D4296" s="1" t="s">
        <v>27</v>
      </c>
      <c r="E4296" s="1" t="s">
        <v>28</v>
      </c>
      <c r="F4296" s="2">
        <v>150000.0</v>
      </c>
      <c r="G4296" s="1" t="s">
        <v>1500</v>
      </c>
      <c r="H4296" s="4">
        <f>IFERROR(__xludf.DUMMYFUNCTION("DATE(INDEX(SPLIT(G4296,""/""),,3),INDEX(SPLIT(G4296,""/""),,2),INDEX(SPLIT(G4296,""/""),,1))"),44695.0)</f>
        <v>44695</v>
      </c>
      <c r="I4296" s="1" t="s">
        <v>1244</v>
      </c>
      <c r="J4296" s="4">
        <f>IFERROR(__xludf.DUMMYFUNCTION("DATE(INDEX(SPLIT(I4296,""/""),,3),INDEX(SPLIT(I4296,""/""),,2),INDEX(SPLIT(I4296,""/""),,1))"),44742.0)</f>
        <v>44742</v>
      </c>
      <c r="L4296" s="1">
        <v>0.0</v>
      </c>
      <c r="M4296" s="1" t="s">
        <v>4530</v>
      </c>
      <c r="N4296" s="1"/>
      <c r="O4296" s="1" t="s">
        <v>30</v>
      </c>
      <c r="P4296" s="1" t="s">
        <v>31</v>
      </c>
      <c r="Q4296" s="1" t="s">
        <v>157</v>
      </c>
      <c r="R4296" s="1" t="s">
        <v>157</v>
      </c>
      <c r="S4296" s="1" t="s">
        <v>158</v>
      </c>
      <c r="U4296" s="1">
        <v>1.00659846E8</v>
      </c>
      <c r="X4296" s="1" t="s">
        <v>254</v>
      </c>
      <c r="Y4296" s="1" t="s">
        <v>4530</v>
      </c>
      <c r="Z4296" s="1" t="s">
        <v>37</v>
      </c>
    </row>
    <row r="4297" hidden="1">
      <c r="A4297" s="1" t="s">
        <v>12222</v>
      </c>
      <c r="B4297" s="1" t="s">
        <v>308</v>
      </c>
      <c r="C4297" s="1" t="s">
        <v>12223</v>
      </c>
      <c r="D4297" s="1" t="s">
        <v>78</v>
      </c>
      <c r="E4297" s="1" t="s">
        <v>28</v>
      </c>
      <c r="F4297" s="2">
        <v>150000.0</v>
      </c>
      <c r="G4297" s="1" t="s">
        <v>576</v>
      </c>
      <c r="H4297" s="4">
        <f>IFERROR(__xludf.DUMMYFUNCTION("DATE(INDEX(SPLIT(G4297,""/""),,3),INDEX(SPLIT(G4297,""/""),,2),INDEX(SPLIT(G4297,""/""),,1))"),44614.0)</f>
        <v>44614</v>
      </c>
      <c r="I4297" s="1" t="s">
        <v>109</v>
      </c>
      <c r="J4297" s="4">
        <f>IFERROR(__xludf.DUMMYFUNCTION("DATE(INDEX(SPLIT(I4297,""/""),,3),INDEX(SPLIT(I4297,""/""),,2),INDEX(SPLIT(I4297,""/""),,1))"),44834.0)</f>
        <v>44834</v>
      </c>
      <c r="L4297" s="1">
        <v>0.0</v>
      </c>
      <c r="M4297" s="1" t="s">
        <v>2096</v>
      </c>
      <c r="N4297" s="1"/>
      <c r="O4297" s="1" t="s">
        <v>30</v>
      </c>
      <c r="P4297" s="1" t="s">
        <v>31</v>
      </c>
      <c r="Q4297" s="1" t="s">
        <v>228</v>
      </c>
      <c r="R4297" s="1" t="s">
        <v>228</v>
      </c>
      <c r="S4297" s="1" t="s">
        <v>229</v>
      </c>
      <c r="T4297" s="1" t="s">
        <v>640</v>
      </c>
      <c r="U4297" s="1">
        <v>1.00619128E8</v>
      </c>
      <c r="X4297" s="1" t="s">
        <v>312</v>
      </c>
      <c r="Y4297" s="1" t="s">
        <v>3049</v>
      </c>
      <c r="Z4297" s="1" t="s">
        <v>37</v>
      </c>
    </row>
    <row r="4298">
      <c r="A4298" s="1" t="s">
        <v>12224</v>
      </c>
      <c r="B4298" s="1" t="s">
        <v>12225</v>
      </c>
      <c r="C4298" s="1" t="s">
        <v>12226</v>
      </c>
      <c r="D4298" s="1" t="s">
        <v>122</v>
      </c>
      <c r="E4298" s="1" t="s">
        <v>28</v>
      </c>
      <c r="F4298" s="2">
        <v>150000.0</v>
      </c>
      <c r="G4298" s="1" t="s">
        <v>5418</v>
      </c>
      <c r="H4298" s="4">
        <f>IFERROR(__xludf.DUMMYFUNCTION("DATE(INDEX(SPLIT(G4298,""/""),,3),INDEX(SPLIT(G4298,""/""),,2),INDEX(SPLIT(G4298,""/""),,1))"),44093.0)</f>
        <v>44093</v>
      </c>
      <c r="I4298" s="1" t="s">
        <v>69</v>
      </c>
      <c r="J4298" s="4">
        <f>IFERROR(__xludf.DUMMYFUNCTION("DATE(INDEX(SPLIT(I4298,""/""),,3),INDEX(SPLIT(I4298,""/""),,2),INDEX(SPLIT(I4298,""/""),,1))"),44773.0)</f>
        <v>44773</v>
      </c>
      <c r="L4298" s="1">
        <v>0.0</v>
      </c>
      <c r="M4298" s="1" t="s">
        <v>11638</v>
      </c>
      <c r="N4298" s="1"/>
      <c r="O4298" s="1" t="s">
        <v>30</v>
      </c>
      <c r="P4298" s="1" t="s">
        <v>31</v>
      </c>
      <c r="Q4298" s="1" t="s">
        <v>228</v>
      </c>
      <c r="R4298" s="1" t="s">
        <v>228</v>
      </c>
      <c r="S4298" s="1" t="s">
        <v>229</v>
      </c>
      <c r="T4298" s="1" t="s">
        <v>513</v>
      </c>
      <c r="U4298" s="1">
        <v>1.00592873E8</v>
      </c>
      <c r="X4298" s="1" t="s">
        <v>46</v>
      </c>
      <c r="Y4298" s="1" t="s">
        <v>4535</v>
      </c>
      <c r="Z4298" s="1" t="s">
        <v>206</v>
      </c>
    </row>
    <row r="4299" hidden="1">
      <c r="A4299" s="1" t="s">
        <v>12227</v>
      </c>
      <c r="B4299" s="1" t="s">
        <v>12228</v>
      </c>
      <c r="C4299" s="1" t="s">
        <v>12229</v>
      </c>
      <c r="D4299" s="1" t="s">
        <v>122</v>
      </c>
      <c r="E4299" s="1" t="s">
        <v>28</v>
      </c>
      <c r="F4299" s="2">
        <v>150000.0</v>
      </c>
      <c r="G4299" s="1" t="s">
        <v>1281</v>
      </c>
      <c r="H4299" s="4">
        <f>IFERROR(__xludf.DUMMYFUNCTION("DATE(INDEX(SPLIT(G4299,""/""),,3),INDEX(SPLIT(G4299,""/""),,2),INDEX(SPLIT(G4299,""/""),,1))"),44469.0)</f>
        <v>44469</v>
      </c>
      <c r="I4299" s="1" t="s">
        <v>130</v>
      </c>
      <c r="J4299" s="4">
        <f>IFERROR(__xludf.DUMMYFUNCTION("DATE(INDEX(SPLIT(I4299,""/""),,3),INDEX(SPLIT(I4299,""/""),,2),INDEX(SPLIT(I4299,""/""),,1))"),44804.0)</f>
        <v>44804</v>
      </c>
      <c r="L4299" s="1">
        <v>0.0</v>
      </c>
      <c r="M4299" s="1" t="s">
        <v>1904</v>
      </c>
      <c r="N4299" s="1"/>
      <c r="O4299" s="1" t="s">
        <v>30</v>
      </c>
      <c r="P4299" s="1" t="s">
        <v>31</v>
      </c>
      <c r="Q4299" s="1" t="s">
        <v>95</v>
      </c>
      <c r="R4299" s="1" t="s">
        <v>95</v>
      </c>
      <c r="S4299" s="1" t="s">
        <v>96</v>
      </c>
      <c r="T4299" s="1" t="s">
        <v>311</v>
      </c>
      <c r="U4299" s="1">
        <v>1.0059365E8</v>
      </c>
      <c r="X4299" s="1" t="s">
        <v>190</v>
      </c>
      <c r="Y4299" s="1" t="s">
        <v>1904</v>
      </c>
      <c r="Z4299" s="1" t="s">
        <v>37</v>
      </c>
    </row>
    <row r="4300" hidden="1">
      <c r="A4300" s="1" t="s">
        <v>12230</v>
      </c>
      <c r="B4300" s="1" t="s">
        <v>1192</v>
      </c>
      <c r="C4300" s="1" t="s">
        <v>12231</v>
      </c>
      <c r="D4300" s="1" t="s">
        <v>27</v>
      </c>
      <c r="E4300" s="1" t="s">
        <v>28</v>
      </c>
      <c r="F4300" s="2">
        <v>150000.0</v>
      </c>
      <c r="G4300" s="4">
        <v>44806.0</v>
      </c>
      <c r="H4300" s="4">
        <f>IFERROR(__xludf.DUMMYFUNCTION("DATE(INDEX(SPLIT(G4300,""/""),,3),INDEX(SPLIT(G4300,""/""),,2),INDEX(SPLIT(G4300,""/""),,1))"),44601.0)</f>
        <v>44601</v>
      </c>
      <c r="I4300" s="1" t="s">
        <v>872</v>
      </c>
      <c r="J4300" s="4">
        <f>IFERROR(__xludf.DUMMYFUNCTION("DATE(INDEX(SPLIT(I4300,""/""),,3),INDEX(SPLIT(I4300,""/""),,2),INDEX(SPLIT(I4300,""/""),,1))"),44820.0)</f>
        <v>44820</v>
      </c>
      <c r="L4300" s="1">
        <v>0.0</v>
      </c>
      <c r="M4300" s="1" t="s">
        <v>3099</v>
      </c>
      <c r="N4300" s="1"/>
      <c r="O4300" s="1" t="s">
        <v>30</v>
      </c>
      <c r="P4300" s="1" t="s">
        <v>31</v>
      </c>
      <c r="Q4300" s="1" t="s">
        <v>95</v>
      </c>
      <c r="R4300" s="1" t="s">
        <v>95</v>
      </c>
      <c r="S4300" s="1" t="s">
        <v>96</v>
      </c>
      <c r="T4300" s="1" t="s">
        <v>97</v>
      </c>
      <c r="U4300" s="1">
        <v>1.00589299E8</v>
      </c>
      <c r="X4300" s="1" t="s">
        <v>125</v>
      </c>
      <c r="Y4300" s="1" t="s">
        <v>5978</v>
      </c>
      <c r="Z4300" s="1" t="s">
        <v>37</v>
      </c>
    </row>
    <row r="4301" hidden="1">
      <c r="A4301" s="1" t="s">
        <v>12232</v>
      </c>
      <c r="B4301" s="1" t="s">
        <v>12233</v>
      </c>
      <c r="C4301" s="1" t="s">
        <v>12234</v>
      </c>
      <c r="D4301" s="1" t="s">
        <v>78</v>
      </c>
      <c r="E4301" s="1" t="s">
        <v>28</v>
      </c>
      <c r="F4301" s="2">
        <v>150000.0</v>
      </c>
      <c r="G4301" s="1" t="s">
        <v>286</v>
      </c>
      <c r="H4301" s="4">
        <f>IFERROR(__xludf.DUMMYFUNCTION("DATE(INDEX(SPLIT(G4301,""/""),,3),INDEX(SPLIT(G4301,""/""),,2),INDEX(SPLIT(G4301,""/""),,1))"),44609.0)</f>
        <v>44609</v>
      </c>
      <c r="I4301" s="1" t="s">
        <v>109</v>
      </c>
      <c r="J4301" s="4">
        <f>IFERROR(__xludf.DUMMYFUNCTION("DATE(INDEX(SPLIT(I4301,""/""),,3),INDEX(SPLIT(I4301,""/""),,2),INDEX(SPLIT(I4301,""/""),,1))"),44834.0)</f>
        <v>44834</v>
      </c>
      <c r="L4301" s="1">
        <v>0.0</v>
      </c>
      <c r="M4301" s="1" t="s">
        <v>2592</v>
      </c>
      <c r="N4301" s="1"/>
      <c r="O4301" s="1" t="s">
        <v>30</v>
      </c>
      <c r="P4301" s="1" t="s">
        <v>31</v>
      </c>
      <c r="Q4301" s="1" t="s">
        <v>71</v>
      </c>
      <c r="R4301" s="1" t="s">
        <v>71</v>
      </c>
      <c r="S4301" s="1" t="s">
        <v>72</v>
      </c>
      <c r="T4301" s="1" t="s">
        <v>136</v>
      </c>
      <c r="U4301" s="1">
        <v>1.00586452E8</v>
      </c>
      <c r="X4301" s="1" t="s">
        <v>74</v>
      </c>
      <c r="Y4301" s="1" t="s">
        <v>2593</v>
      </c>
      <c r="Z4301" s="1" t="s">
        <v>37</v>
      </c>
    </row>
    <row r="4302" hidden="1">
      <c r="A4302" s="1" t="s">
        <v>12235</v>
      </c>
      <c r="B4302" s="1" t="s">
        <v>8190</v>
      </c>
      <c r="C4302" s="1" t="s">
        <v>12236</v>
      </c>
      <c r="D4302" s="1" t="s">
        <v>122</v>
      </c>
      <c r="E4302" s="1" t="s">
        <v>28</v>
      </c>
      <c r="F4302" s="2">
        <v>150000.0</v>
      </c>
      <c r="G4302" s="1" t="s">
        <v>8192</v>
      </c>
      <c r="H4302" s="4">
        <f>IFERROR(__xludf.DUMMYFUNCTION("DATE(INDEX(SPLIT(G4302,""/""),,3),INDEX(SPLIT(G4302,""/""),,2),INDEX(SPLIT(G4302,""/""),,1))"),44032.0)</f>
        <v>44032</v>
      </c>
      <c r="I4302" s="1" t="s">
        <v>8193</v>
      </c>
      <c r="J4302" s="4">
        <f>IFERROR(__xludf.DUMMYFUNCTION("DATE(INDEX(SPLIT(I4302,""/""),,3),INDEX(SPLIT(I4302,""/""),,2),INDEX(SPLIT(I4302,""/""),,1))"),45504.0)</f>
        <v>45504</v>
      </c>
      <c r="L4302" s="1">
        <v>0.0</v>
      </c>
      <c r="M4302" s="1" t="s">
        <v>211</v>
      </c>
      <c r="N4302" s="1"/>
      <c r="O4302" s="1" t="s">
        <v>30</v>
      </c>
      <c r="P4302" s="1" t="s">
        <v>31</v>
      </c>
      <c r="Q4302" s="1" t="s">
        <v>71</v>
      </c>
      <c r="R4302" s="1" t="s">
        <v>71</v>
      </c>
      <c r="S4302" s="1" t="s">
        <v>72</v>
      </c>
      <c r="T4302" s="1" t="s">
        <v>136</v>
      </c>
      <c r="U4302" s="1">
        <v>1.00590896E8</v>
      </c>
      <c r="X4302" s="1" t="s">
        <v>74</v>
      </c>
      <c r="Y4302" s="1" t="s">
        <v>2058</v>
      </c>
      <c r="Z4302" s="1" t="s">
        <v>37</v>
      </c>
    </row>
    <row r="4303">
      <c r="A4303" s="1" t="s">
        <v>12237</v>
      </c>
      <c r="B4303" s="1" t="s">
        <v>1665</v>
      </c>
      <c r="C4303" s="1" t="s">
        <v>12238</v>
      </c>
      <c r="D4303" s="1" t="s">
        <v>78</v>
      </c>
      <c r="E4303" s="1" t="s">
        <v>28</v>
      </c>
      <c r="F4303" s="2">
        <v>150000.0</v>
      </c>
      <c r="G4303" s="4">
        <v>44626.0</v>
      </c>
      <c r="H4303" s="4">
        <f>IFERROR(__xludf.DUMMYFUNCTION("DATE(INDEX(SPLIT(G4303,""/""),,3),INDEX(SPLIT(G4303,""/""),,2),INDEX(SPLIT(G4303,""/""),,1))"),44715.0)</f>
        <v>44715</v>
      </c>
      <c r="I4303" s="1" t="s">
        <v>69</v>
      </c>
      <c r="J4303" s="4">
        <f>IFERROR(__xludf.DUMMYFUNCTION("DATE(INDEX(SPLIT(I4303,""/""),,3),INDEX(SPLIT(I4303,""/""),,2),INDEX(SPLIT(I4303,""/""),,1))"),44773.0)</f>
        <v>44773</v>
      </c>
      <c r="L4303" s="1">
        <v>0.0</v>
      </c>
      <c r="M4303" s="1" t="s">
        <v>524</v>
      </c>
      <c r="N4303" s="1"/>
      <c r="O4303" s="1" t="s">
        <v>30</v>
      </c>
      <c r="P4303" s="1" t="s">
        <v>31</v>
      </c>
      <c r="Q4303" s="1" t="s">
        <v>32</v>
      </c>
      <c r="R4303" s="1" t="s">
        <v>32</v>
      </c>
      <c r="S4303" s="1" t="s">
        <v>33</v>
      </c>
      <c r="U4303" s="1">
        <v>1.00627768E8</v>
      </c>
      <c r="X4303" s="1" t="s">
        <v>490</v>
      </c>
      <c r="Y4303" s="1" t="s">
        <v>524</v>
      </c>
      <c r="Z4303" s="1" t="s">
        <v>527</v>
      </c>
    </row>
    <row r="4304">
      <c r="A4304" s="1" t="s">
        <v>12239</v>
      </c>
      <c r="B4304" s="1" t="s">
        <v>392</v>
      </c>
      <c r="C4304" s="1" t="s">
        <v>12240</v>
      </c>
      <c r="D4304" s="1" t="s">
        <v>68</v>
      </c>
      <c r="E4304" s="1" t="s">
        <v>28</v>
      </c>
      <c r="F4304" s="2">
        <v>150000.0</v>
      </c>
      <c r="G4304" s="4">
        <v>44779.0</v>
      </c>
      <c r="H4304" s="4">
        <f>IFERROR(__xludf.DUMMYFUNCTION("DATE(INDEX(SPLIT(G4304,""/""),,3),INDEX(SPLIT(G4304,""/""),,2),INDEX(SPLIT(G4304,""/""),,1))"),44720.0)</f>
        <v>44720</v>
      </c>
      <c r="I4304" s="1" t="s">
        <v>472</v>
      </c>
      <c r="J4304" s="4">
        <f>IFERROR(__xludf.DUMMYFUNCTION("DATE(INDEX(SPLIT(I4304,""/""),,3),INDEX(SPLIT(I4304,""/""),,2),INDEX(SPLIT(I4304,""/""),,1))"),44760.0)</f>
        <v>44760</v>
      </c>
      <c r="K4304" s="1" t="s">
        <v>12241</v>
      </c>
      <c r="L4304" s="1">
        <v>0.0</v>
      </c>
      <c r="M4304" s="1" t="s">
        <v>7498</v>
      </c>
      <c r="N4304" s="1"/>
      <c r="O4304" s="1" t="s">
        <v>30</v>
      </c>
      <c r="P4304" s="1" t="s">
        <v>31</v>
      </c>
      <c r="Q4304" s="1" t="s">
        <v>235</v>
      </c>
      <c r="R4304" s="1" t="s">
        <v>235</v>
      </c>
      <c r="S4304" s="1" t="s">
        <v>236</v>
      </c>
      <c r="U4304" s="1">
        <v>1.01093101E8</v>
      </c>
      <c r="X4304" s="1" t="s">
        <v>239</v>
      </c>
      <c r="Y4304" s="1" t="s">
        <v>4705</v>
      </c>
      <c r="Z4304" s="1" t="s">
        <v>206</v>
      </c>
    </row>
    <row r="4305" hidden="1">
      <c r="A4305" s="1" t="s">
        <v>12242</v>
      </c>
      <c r="B4305" s="1" t="s">
        <v>12243</v>
      </c>
      <c r="C4305" s="1" t="s">
        <v>12244</v>
      </c>
      <c r="D4305" s="1" t="s">
        <v>78</v>
      </c>
      <c r="E4305" s="1" t="s">
        <v>28</v>
      </c>
      <c r="F4305" s="2">
        <v>150000.0</v>
      </c>
      <c r="G4305" s="4">
        <v>44902.0</v>
      </c>
      <c r="H4305" s="4">
        <f>IFERROR(__xludf.DUMMYFUNCTION("DATE(INDEX(SPLIT(G4305,""/""),,3),INDEX(SPLIT(G4305,""/""),,2),INDEX(SPLIT(G4305,""/""),,1))"),44754.0)</f>
        <v>44754</v>
      </c>
      <c r="I4305" s="1" t="s">
        <v>42</v>
      </c>
      <c r="J4305" s="4">
        <f>IFERROR(__xludf.DUMMYFUNCTION("DATE(INDEX(SPLIT(I4305,""/""),,3),INDEX(SPLIT(I4305,""/""),,2),INDEX(SPLIT(I4305,""/""),,1))"),44926.0)</f>
        <v>44926</v>
      </c>
      <c r="L4305" s="1">
        <v>0.0</v>
      </c>
      <c r="M4305" s="1" t="s">
        <v>441</v>
      </c>
      <c r="N4305" s="1"/>
      <c r="O4305" s="1" t="s">
        <v>30</v>
      </c>
      <c r="P4305" s="1" t="s">
        <v>31</v>
      </c>
      <c r="Q4305" s="1" t="s">
        <v>157</v>
      </c>
      <c r="R4305" s="1" t="s">
        <v>157</v>
      </c>
      <c r="S4305" s="1" t="s">
        <v>158</v>
      </c>
      <c r="U4305" s="1">
        <v>1.00581784E8</v>
      </c>
      <c r="X4305" s="1" t="s">
        <v>125</v>
      </c>
      <c r="Y4305" s="1" t="s">
        <v>847</v>
      </c>
      <c r="Z4305" s="1" t="s">
        <v>37</v>
      </c>
    </row>
    <row r="4306">
      <c r="A4306" s="1" t="s">
        <v>12245</v>
      </c>
      <c r="B4306" s="1" t="s">
        <v>12246</v>
      </c>
      <c r="C4306" s="1" t="s">
        <v>12247</v>
      </c>
      <c r="D4306" s="1" t="s">
        <v>78</v>
      </c>
      <c r="E4306" s="1" t="s">
        <v>28</v>
      </c>
      <c r="F4306" s="2">
        <v>150000.0</v>
      </c>
      <c r="G4306" s="1" t="s">
        <v>108</v>
      </c>
      <c r="H4306" s="4">
        <f>IFERROR(__xludf.DUMMYFUNCTION("DATE(INDEX(SPLIT(G4306,""/""),,3),INDEX(SPLIT(G4306,""/""),,2),INDEX(SPLIT(G4306,""/""),,1))"),44725.0)</f>
        <v>44725</v>
      </c>
      <c r="I4306" s="1" t="s">
        <v>226</v>
      </c>
      <c r="J4306" s="4">
        <f>IFERROR(__xludf.DUMMYFUNCTION("DATE(INDEX(SPLIT(I4306,""/""),,3),INDEX(SPLIT(I4306,""/""),,2),INDEX(SPLIT(I4306,""/""),,1))"),44771.0)</f>
        <v>44771</v>
      </c>
      <c r="L4306" s="1">
        <v>0.0</v>
      </c>
      <c r="M4306" s="1" t="s">
        <v>5336</v>
      </c>
      <c r="N4306" s="1"/>
      <c r="O4306" s="1" t="s">
        <v>30</v>
      </c>
      <c r="P4306" s="1" t="s">
        <v>31</v>
      </c>
      <c r="Q4306" s="1" t="s">
        <v>71</v>
      </c>
      <c r="R4306" s="1" t="s">
        <v>71</v>
      </c>
      <c r="S4306" s="1" t="s">
        <v>72</v>
      </c>
      <c r="T4306" s="1" t="s">
        <v>136</v>
      </c>
      <c r="U4306" s="1">
        <v>1.00615814E8</v>
      </c>
      <c r="Y4306" s="1" t="s">
        <v>4211</v>
      </c>
      <c r="Z4306" s="1" t="s">
        <v>206</v>
      </c>
    </row>
    <row r="4307" hidden="1">
      <c r="A4307" s="1" t="s">
        <v>12248</v>
      </c>
      <c r="B4307" s="1" t="s">
        <v>3673</v>
      </c>
      <c r="C4307" s="1" t="s">
        <v>12249</v>
      </c>
      <c r="D4307" s="1" t="s">
        <v>27</v>
      </c>
      <c r="E4307" s="1" t="s">
        <v>28</v>
      </c>
      <c r="F4307" s="2">
        <v>150000.0</v>
      </c>
      <c r="G4307" s="1" t="s">
        <v>9556</v>
      </c>
      <c r="H4307" s="4">
        <f>IFERROR(__xludf.DUMMYFUNCTION("DATE(INDEX(SPLIT(G4307,""/""),,3),INDEX(SPLIT(G4307,""/""),,2),INDEX(SPLIT(G4307,""/""),,1))"),44312.0)</f>
        <v>44312</v>
      </c>
      <c r="I4307" s="1" t="s">
        <v>42</v>
      </c>
      <c r="J4307" s="4">
        <f>IFERROR(__xludf.DUMMYFUNCTION("DATE(INDEX(SPLIT(I4307,""/""),,3),INDEX(SPLIT(I4307,""/""),,2),INDEX(SPLIT(I4307,""/""),,1))"),44926.0)</f>
        <v>44926</v>
      </c>
      <c r="L4307" s="1">
        <v>0.0</v>
      </c>
      <c r="M4307" s="1" t="s">
        <v>891</v>
      </c>
      <c r="N4307" s="1"/>
      <c r="O4307" s="1" t="s">
        <v>30</v>
      </c>
      <c r="P4307" s="1" t="s">
        <v>31</v>
      </c>
      <c r="Q4307" s="1" t="s">
        <v>32</v>
      </c>
      <c r="R4307" s="1" t="s">
        <v>32</v>
      </c>
      <c r="S4307" s="1" t="s">
        <v>33</v>
      </c>
      <c r="T4307" s="1" t="s">
        <v>402</v>
      </c>
      <c r="U4307" s="1">
        <v>1.00866856E8</v>
      </c>
      <c r="X4307" s="1" t="s">
        <v>125</v>
      </c>
      <c r="Y4307" s="1" t="s">
        <v>891</v>
      </c>
      <c r="Z4307" s="1" t="s">
        <v>37</v>
      </c>
    </row>
    <row r="4308" hidden="1">
      <c r="A4308" s="1" t="s">
        <v>12250</v>
      </c>
      <c r="B4308" s="1" t="s">
        <v>3293</v>
      </c>
      <c r="C4308" s="1" t="s">
        <v>12251</v>
      </c>
      <c r="D4308" s="1" t="s">
        <v>27</v>
      </c>
      <c r="E4308" s="1" t="s">
        <v>28</v>
      </c>
      <c r="F4308" s="2">
        <v>150000.0</v>
      </c>
      <c r="G4308" s="1" t="s">
        <v>3295</v>
      </c>
      <c r="H4308" s="4">
        <f>IFERROR(__xludf.DUMMYFUNCTION("DATE(INDEX(SPLIT(G4308,""/""),,3),INDEX(SPLIT(G4308,""/""),,2),INDEX(SPLIT(G4308,""/""),,1))"),44575.0)</f>
        <v>44575</v>
      </c>
      <c r="I4308" s="1" t="s">
        <v>85</v>
      </c>
      <c r="J4308" s="4">
        <f>IFERROR(__xludf.DUMMYFUNCTION("DATE(INDEX(SPLIT(I4308,""/""),,3),INDEX(SPLIT(I4308,""/""),,2),INDEX(SPLIT(I4308,""/""),,1))"),44799.0)</f>
        <v>44799</v>
      </c>
      <c r="L4308" s="1">
        <v>0.0</v>
      </c>
      <c r="M4308" s="1" t="s">
        <v>770</v>
      </c>
      <c r="N4308" s="1"/>
      <c r="O4308" s="1" t="s">
        <v>30</v>
      </c>
      <c r="P4308" s="1" t="s">
        <v>31</v>
      </c>
      <c r="Q4308" s="1" t="s">
        <v>157</v>
      </c>
      <c r="R4308" s="1" t="s">
        <v>157</v>
      </c>
      <c r="S4308" s="1" t="s">
        <v>158</v>
      </c>
      <c r="T4308" s="1" t="s">
        <v>442</v>
      </c>
      <c r="U4308" s="1">
        <v>1.00623421E8</v>
      </c>
      <c r="X4308" s="1" t="s">
        <v>63</v>
      </c>
      <c r="Y4308" s="1" t="s">
        <v>3296</v>
      </c>
      <c r="Z4308" s="1" t="s">
        <v>37</v>
      </c>
    </row>
    <row r="4309" hidden="1">
      <c r="A4309" s="1" t="s">
        <v>12252</v>
      </c>
      <c r="B4309" s="1" t="s">
        <v>784</v>
      </c>
      <c r="C4309" s="1" t="s">
        <v>12253</v>
      </c>
      <c r="D4309" s="1" t="s">
        <v>27</v>
      </c>
      <c r="E4309" s="1" t="s">
        <v>28</v>
      </c>
      <c r="F4309" s="2">
        <v>150000.0</v>
      </c>
      <c r="G4309" s="4">
        <v>44743.0</v>
      </c>
      <c r="H4309" s="4">
        <f>IFERROR(__xludf.DUMMYFUNCTION("DATE(INDEX(SPLIT(G4309,""/""),,3),INDEX(SPLIT(G4309,""/""),,2),INDEX(SPLIT(G4309,""/""),,1))"),44568.0)</f>
        <v>44568</v>
      </c>
      <c r="I4309" s="1" t="s">
        <v>203</v>
      </c>
      <c r="J4309" s="4">
        <f>IFERROR(__xludf.DUMMYFUNCTION("DATE(INDEX(SPLIT(I4309,""/""),,3),INDEX(SPLIT(I4309,""/""),,2),INDEX(SPLIT(I4309,""/""),,1))"),44925.0)</f>
        <v>44925</v>
      </c>
      <c r="L4309" s="1">
        <v>0.0</v>
      </c>
      <c r="M4309" s="1" t="s">
        <v>2828</v>
      </c>
      <c r="N4309" s="1"/>
      <c r="O4309" s="1" t="s">
        <v>30</v>
      </c>
      <c r="P4309" s="1" t="s">
        <v>31</v>
      </c>
      <c r="Q4309" s="1" t="s">
        <v>228</v>
      </c>
      <c r="R4309" s="1" t="s">
        <v>228</v>
      </c>
      <c r="S4309" s="1" t="s">
        <v>229</v>
      </c>
      <c r="U4309" s="1">
        <v>1.00630147E8</v>
      </c>
      <c r="X4309" s="1" t="s">
        <v>63</v>
      </c>
      <c r="Y4309" s="1" t="s">
        <v>2828</v>
      </c>
      <c r="Z4309" s="1" t="s">
        <v>527</v>
      </c>
    </row>
    <row r="4310">
      <c r="A4310" s="1" t="s">
        <v>12254</v>
      </c>
      <c r="B4310" s="1" t="s">
        <v>12255</v>
      </c>
      <c r="C4310" s="1" t="s">
        <v>12256</v>
      </c>
      <c r="D4310" s="1" t="s">
        <v>122</v>
      </c>
      <c r="E4310" s="1" t="s">
        <v>28</v>
      </c>
      <c r="F4310" s="2">
        <v>150000.0</v>
      </c>
      <c r="G4310" s="4">
        <v>44512.0</v>
      </c>
      <c r="H4310" s="4">
        <f>IFERROR(__xludf.DUMMYFUNCTION("DATE(INDEX(SPLIT(G4310,""/""),,3),INDEX(SPLIT(G4310,""/""),,2),INDEX(SPLIT(G4310,""/""),,1))"),44541.0)</f>
        <v>44541</v>
      </c>
      <c r="I4310" s="1" t="s">
        <v>226</v>
      </c>
      <c r="J4310" s="4">
        <f>IFERROR(__xludf.DUMMYFUNCTION("DATE(INDEX(SPLIT(I4310,""/""),,3),INDEX(SPLIT(I4310,""/""),,2),INDEX(SPLIT(I4310,""/""),,1))"),44771.0)</f>
        <v>44771</v>
      </c>
      <c r="L4310" s="1">
        <v>0.0</v>
      </c>
      <c r="M4310" s="1" t="s">
        <v>11623</v>
      </c>
      <c r="N4310" s="1"/>
      <c r="O4310" s="1" t="s">
        <v>30</v>
      </c>
      <c r="P4310" s="1" t="s">
        <v>31</v>
      </c>
      <c r="Q4310" s="1" t="s">
        <v>228</v>
      </c>
      <c r="R4310" s="1" t="s">
        <v>228</v>
      </c>
      <c r="S4310" s="1" t="s">
        <v>229</v>
      </c>
      <c r="T4310" s="1" t="s">
        <v>513</v>
      </c>
      <c r="U4310" s="1">
        <v>1.01154609E8</v>
      </c>
      <c r="X4310" s="1" t="s">
        <v>63</v>
      </c>
      <c r="Y4310" s="1" t="s">
        <v>3133</v>
      </c>
      <c r="Z4310" s="1" t="s">
        <v>37</v>
      </c>
    </row>
    <row r="4311">
      <c r="A4311" s="1" t="s">
        <v>12257</v>
      </c>
      <c r="B4311" s="1" t="s">
        <v>152</v>
      </c>
      <c r="C4311" s="1" t="s">
        <v>12258</v>
      </c>
      <c r="D4311" s="1" t="s">
        <v>78</v>
      </c>
      <c r="E4311" s="1" t="s">
        <v>28</v>
      </c>
      <c r="F4311" s="2">
        <v>150000.0</v>
      </c>
      <c r="G4311" s="1" t="s">
        <v>3972</v>
      </c>
      <c r="H4311" s="4">
        <f>IFERROR(__xludf.DUMMYFUNCTION("DATE(INDEX(SPLIT(G4311,""/""),,3),INDEX(SPLIT(G4311,""/""),,2),INDEX(SPLIT(G4311,""/""),,1))"),44637.0)</f>
        <v>44637</v>
      </c>
      <c r="I4311" s="1" t="s">
        <v>226</v>
      </c>
      <c r="J4311" s="4">
        <f>IFERROR(__xludf.DUMMYFUNCTION("DATE(INDEX(SPLIT(I4311,""/""),,3),INDEX(SPLIT(I4311,""/""),,2),INDEX(SPLIT(I4311,""/""),,1))"),44771.0)</f>
        <v>44771</v>
      </c>
      <c r="L4311" s="1">
        <v>0.0</v>
      </c>
      <c r="M4311" s="1" t="s">
        <v>156</v>
      </c>
      <c r="N4311" s="1"/>
      <c r="O4311" s="1" t="s">
        <v>30</v>
      </c>
      <c r="P4311" s="1" t="s">
        <v>31</v>
      </c>
      <c r="Q4311" s="1" t="s">
        <v>157</v>
      </c>
      <c r="R4311" s="1" t="s">
        <v>157</v>
      </c>
      <c r="S4311" s="1" t="s">
        <v>158</v>
      </c>
      <c r="U4311" s="1">
        <v>1.00619165E8</v>
      </c>
      <c r="X4311" s="1" t="s">
        <v>35</v>
      </c>
      <c r="Y4311" s="1" t="s">
        <v>1570</v>
      </c>
      <c r="Z4311" s="1" t="s">
        <v>37</v>
      </c>
    </row>
    <row r="4312" hidden="1">
      <c r="A4312" s="1" t="s">
        <v>12259</v>
      </c>
      <c r="B4312" s="1" t="s">
        <v>690</v>
      </c>
      <c r="C4312" s="1" t="s">
        <v>12260</v>
      </c>
      <c r="D4312" s="1" t="s">
        <v>122</v>
      </c>
      <c r="E4312" s="1" t="s">
        <v>28</v>
      </c>
      <c r="F4312" s="2">
        <v>150000.0</v>
      </c>
      <c r="G4312" s="1" t="s">
        <v>233</v>
      </c>
      <c r="H4312" s="4">
        <f>IFERROR(__xludf.DUMMYFUNCTION("DATE(INDEX(SPLIT(G4312,""/""),,3),INDEX(SPLIT(G4312,""/""),,2),INDEX(SPLIT(G4312,""/""),,1))"),44729.0)</f>
        <v>44729</v>
      </c>
      <c r="I4312" s="1" t="s">
        <v>1678</v>
      </c>
      <c r="J4312" s="4">
        <f>IFERROR(__xludf.DUMMYFUNCTION("DATE(INDEX(SPLIT(I4312,""/""),,3),INDEX(SPLIT(I4312,""/""),,2),INDEX(SPLIT(I4312,""/""),,1))"),44819.0)</f>
        <v>44819</v>
      </c>
      <c r="L4312" s="1">
        <v>0.0</v>
      </c>
      <c r="M4312" s="1" t="s">
        <v>3860</v>
      </c>
      <c r="N4312" s="1"/>
      <c r="O4312" s="1" t="s">
        <v>30</v>
      </c>
      <c r="P4312" s="1" t="s">
        <v>31</v>
      </c>
      <c r="Q4312" s="1" t="s">
        <v>235</v>
      </c>
      <c r="R4312" s="1" t="s">
        <v>235</v>
      </c>
      <c r="S4312" s="1" t="s">
        <v>236</v>
      </c>
      <c r="T4312" s="1" t="s">
        <v>753</v>
      </c>
      <c r="U4312" s="1">
        <v>1.00636461E8</v>
      </c>
      <c r="X4312" s="1" t="s">
        <v>88</v>
      </c>
      <c r="Y4312" s="1" t="s">
        <v>3860</v>
      </c>
      <c r="Z4312" s="1" t="s">
        <v>37</v>
      </c>
    </row>
    <row r="4313" hidden="1">
      <c r="A4313" s="1" t="s">
        <v>12261</v>
      </c>
      <c r="B4313" s="1" t="s">
        <v>3429</v>
      </c>
      <c r="C4313" s="1" t="s">
        <v>12262</v>
      </c>
      <c r="D4313" s="1" t="s">
        <v>78</v>
      </c>
      <c r="E4313" s="1" t="s">
        <v>28</v>
      </c>
      <c r="F4313" s="2">
        <v>150000.0</v>
      </c>
      <c r="G4313" s="4">
        <v>44872.0</v>
      </c>
      <c r="H4313" s="4">
        <f>IFERROR(__xludf.DUMMYFUNCTION("DATE(INDEX(SPLIT(G4313,""/""),,3),INDEX(SPLIT(G4313,""/""),,2),INDEX(SPLIT(G4313,""/""),,1))"),44753.0)</f>
        <v>44753</v>
      </c>
      <c r="I4313" s="1" t="s">
        <v>109</v>
      </c>
      <c r="J4313" s="4">
        <f>IFERROR(__xludf.DUMMYFUNCTION("DATE(INDEX(SPLIT(I4313,""/""),,3),INDEX(SPLIT(I4313,""/""),,2),INDEX(SPLIT(I4313,""/""),,1))"),44834.0)</f>
        <v>44834</v>
      </c>
      <c r="L4313" s="1">
        <v>0.0</v>
      </c>
      <c r="M4313" s="1" t="s">
        <v>61</v>
      </c>
      <c r="N4313" s="1"/>
      <c r="O4313" s="1" t="s">
        <v>30</v>
      </c>
      <c r="P4313" s="1" t="s">
        <v>31</v>
      </c>
      <c r="Q4313" s="1" t="s">
        <v>32</v>
      </c>
      <c r="R4313" s="1" t="s">
        <v>32</v>
      </c>
      <c r="S4313" s="1" t="s">
        <v>33</v>
      </c>
      <c r="T4313" s="1" t="s">
        <v>640</v>
      </c>
      <c r="U4313" s="1">
        <v>1.0060843E8</v>
      </c>
      <c r="X4313" s="1" t="s">
        <v>63</v>
      </c>
      <c r="Y4313" s="1" t="s">
        <v>61</v>
      </c>
      <c r="Z4313" s="1" t="s">
        <v>37</v>
      </c>
    </row>
    <row r="4314" hidden="1">
      <c r="A4314" s="1" t="s">
        <v>12263</v>
      </c>
      <c r="B4314" s="1" t="s">
        <v>12264</v>
      </c>
      <c r="C4314" s="1" t="s">
        <v>12265</v>
      </c>
      <c r="D4314" s="1" t="s">
        <v>122</v>
      </c>
      <c r="E4314" s="1" t="s">
        <v>28</v>
      </c>
      <c r="F4314" s="2">
        <v>150000.0</v>
      </c>
      <c r="G4314" s="4">
        <v>44780.0</v>
      </c>
      <c r="H4314" s="4">
        <f>IFERROR(__xludf.DUMMYFUNCTION("DATE(INDEX(SPLIT(G4314,""/""),,3),INDEX(SPLIT(G4314,""/""),,2),INDEX(SPLIT(G4314,""/""),,1))"),44750.0)</f>
        <v>44750</v>
      </c>
      <c r="I4314" s="1" t="s">
        <v>42</v>
      </c>
      <c r="J4314" s="4">
        <f>IFERROR(__xludf.DUMMYFUNCTION("DATE(INDEX(SPLIT(I4314,""/""),,3),INDEX(SPLIT(I4314,""/""),,2),INDEX(SPLIT(I4314,""/""),,1))"),44926.0)</f>
        <v>44926</v>
      </c>
      <c r="L4314" s="1">
        <v>0.0</v>
      </c>
      <c r="M4314" s="1" t="s">
        <v>2568</v>
      </c>
      <c r="N4314" s="1"/>
      <c r="O4314" s="1" t="s">
        <v>30</v>
      </c>
      <c r="P4314" s="1" t="s">
        <v>31</v>
      </c>
      <c r="Q4314" s="1" t="s">
        <v>228</v>
      </c>
      <c r="R4314" s="1" t="s">
        <v>228</v>
      </c>
      <c r="S4314" s="1" t="s">
        <v>229</v>
      </c>
      <c r="T4314" s="1" t="s">
        <v>513</v>
      </c>
      <c r="U4314" s="1">
        <v>1.00659458E8</v>
      </c>
      <c r="X4314" s="1" t="s">
        <v>46</v>
      </c>
      <c r="Y4314" s="1" t="s">
        <v>2568</v>
      </c>
      <c r="Z4314" s="1" t="s">
        <v>37</v>
      </c>
    </row>
    <row r="4315" hidden="1">
      <c r="A4315" s="1" t="s">
        <v>12266</v>
      </c>
      <c r="B4315" s="1" t="s">
        <v>12264</v>
      </c>
      <c r="C4315" s="1" t="s">
        <v>12267</v>
      </c>
      <c r="D4315" s="1" t="s">
        <v>122</v>
      </c>
      <c r="E4315" s="1" t="s">
        <v>28</v>
      </c>
      <c r="F4315" s="2">
        <v>150000.0</v>
      </c>
      <c r="G4315" s="4">
        <v>44780.0</v>
      </c>
      <c r="H4315" s="4">
        <f>IFERROR(__xludf.DUMMYFUNCTION("DATE(INDEX(SPLIT(G4315,""/""),,3),INDEX(SPLIT(G4315,""/""),,2),INDEX(SPLIT(G4315,""/""),,1))"),44750.0)</f>
        <v>44750</v>
      </c>
      <c r="I4315" s="1" t="s">
        <v>42</v>
      </c>
      <c r="J4315" s="4">
        <f>IFERROR(__xludf.DUMMYFUNCTION("DATE(INDEX(SPLIT(I4315,""/""),,3),INDEX(SPLIT(I4315,""/""),,2),INDEX(SPLIT(I4315,""/""),,1))"),44926.0)</f>
        <v>44926</v>
      </c>
      <c r="L4315" s="1">
        <v>0.0</v>
      </c>
      <c r="M4315" s="1" t="s">
        <v>2568</v>
      </c>
      <c r="N4315" s="1"/>
      <c r="O4315" s="1" t="s">
        <v>30</v>
      </c>
      <c r="P4315" s="1" t="s">
        <v>31</v>
      </c>
      <c r="Q4315" s="1" t="s">
        <v>228</v>
      </c>
      <c r="R4315" s="1" t="s">
        <v>228</v>
      </c>
      <c r="S4315" s="1" t="s">
        <v>229</v>
      </c>
      <c r="T4315" s="1" t="s">
        <v>513</v>
      </c>
      <c r="U4315" s="1">
        <v>1.00659458E8</v>
      </c>
      <c r="X4315" s="1" t="s">
        <v>46</v>
      </c>
      <c r="Y4315" s="1" t="s">
        <v>2568</v>
      </c>
      <c r="Z4315" s="1" t="s">
        <v>37</v>
      </c>
    </row>
    <row r="4316">
      <c r="A4316" s="1" t="s">
        <v>12268</v>
      </c>
      <c r="B4316" s="1" t="s">
        <v>6188</v>
      </c>
      <c r="C4316" s="1" t="s">
        <v>12269</v>
      </c>
      <c r="D4316" s="1" t="s">
        <v>122</v>
      </c>
      <c r="E4316" s="1" t="s">
        <v>28</v>
      </c>
      <c r="F4316" s="2">
        <v>150000.0</v>
      </c>
      <c r="G4316" s="1" t="s">
        <v>3883</v>
      </c>
      <c r="H4316" s="4">
        <f>IFERROR(__xludf.DUMMYFUNCTION("DATE(INDEX(SPLIT(G4316,""/""),,3),INDEX(SPLIT(G4316,""/""),,2),INDEX(SPLIT(G4316,""/""),,1))"),44666.0)</f>
        <v>44666</v>
      </c>
      <c r="I4316" s="1" t="s">
        <v>1501</v>
      </c>
      <c r="J4316" s="4">
        <f>IFERROR(__xludf.DUMMYFUNCTION("DATE(INDEX(SPLIT(I4316,""/""),,3),INDEX(SPLIT(I4316,""/""),,2),INDEX(SPLIT(I4316,""/""),,1))"),44711.0)</f>
        <v>44711</v>
      </c>
      <c r="L4316" s="1">
        <v>0.0</v>
      </c>
      <c r="M4316" s="1" t="s">
        <v>3052</v>
      </c>
      <c r="N4316" s="1"/>
      <c r="O4316" s="1" t="s">
        <v>30</v>
      </c>
      <c r="P4316" s="1" t="s">
        <v>31</v>
      </c>
      <c r="Q4316" s="1" t="s">
        <v>32</v>
      </c>
      <c r="R4316" s="1" t="s">
        <v>32</v>
      </c>
      <c r="S4316" s="1" t="s">
        <v>33</v>
      </c>
      <c r="T4316" s="1" t="s">
        <v>103</v>
      </c>
      <c r="U4316" s="1">
        <v>1.00610367E8</v>
      </c>
      <c r="X4316" s="1" t="s">
        <v>63</v>
      </c>
      <c r="Y4316" s="1" t="s">
        <v>3182</v>
      </c>
      <c r="Z4316" s="1" t="s">
        <v>37</v>
      </c>
    </row>
    <row r="4317" hidden="1">
      <c r="A4317" s="1" t="s">
        <v>12270</v>
      </c>
      <c r="B4317" s="1" t="s">
        <v>1070</v>
      </c>
      <c r="C4317" s="1" t="s">
        <v>12271</v>
      </c>
      <c r="D4317" s="1" t="s">
        <v>78</v>
      </c>
      <c r="E4317" s="1" t="s">
        <v>28</v>
      </c>
      <c r="F4317" s="2">
        <v>150000.0</v>
      </c>
      <c r="G4317" s="1" t="s">
        <v>3883</v>
      </c>
      <c r="H4317" s="4">
        <f>IFERROR(__xludf.DUMMYFUNCTION("DATE(INDEX(SPLIT(G4317,""/""),,3),INDEX(SPLIT(G4317,""/""),,2),INDEX(SPLIT(G4317,""/""),,1))"),44666.0)</f>
        <v>44666</v>
      </c>
      <c r="I4317" s="1" t="s">
        <v>872</v>
      </c>
      <c r="J4317" s="4">
        <f>IFERROR(__xludf.DUMMYFUNCTION("DATE(INDEX(SPLIT(I4317,""/""),,3),INDEX(SPLIT(I4317,""/""),,2),INDEX(SPLIT(I4317,""/""),,1))"),44820.0)</f>
        <v>44820</v>
      </c>
      <c r="L4317" s="1">
        <v>0.0</v>
      </c>
      <c r="M4317" s="1" t="s">
        <v>1072</v>
      </c>
      <c r="N4317" s="1"/>
      <c r="O4317" s="1" t="s">
        <v>30</v>
      </c>
      <c r="P4317" s="1" t="s">
        <v>31</v>
      </c>
      <c r="Q4317" s="1" t="s">
        <v>157</v>
      </c>
      <c r="R4317" s="1" t="s">
        <v>157</v>
      </c>
      <c r="S4317" s="1" t="s">
        <v>158</v>
      </c>
      <c r="T4317" s="1" t="s">
        <v>111</v>
      </c>
      <c r="U4317" s="1">
        <v>1.00594872E8</v>
      </c>
      <c r="X4317" s="1" t="s">
        <v>305</v>
      </c>
      <c r="Y4317" s="1" t="s">
        <v>1770</v>
      </c>
      <c r="Z4317" s="1" t="s">
        <v>37</v>
      </c>
    </row>
    <row r="4318" hidden="1">
      <c r="A4318" s="1" t="s">
        <v>12272</v>
      </c>
      <c r="B4318" s="1" t="s">
        <v>12273</v>
      </c>
      <c r="C4318" s="1" t="s">
        <v>12274</v>
      </c>
      <c r="D4318" s="1" t="s">
        <v>27</v>
      </c>
      <c r="E4318" s="1" t="s">
        <v>28</v>
      </c>
      <c r="F4318" s="2">
        <v>150000.0</v>
      </c>
      <c r="G4318" s="1" t="s">
        <v>1154</v>
      </c>
      <c r="H4318" s="4">
        <f>IFERROR(__xludf.DUMMYFUNCTION("DATE(INDEX(SPLIT(G4318,""/""),,3),INDEX(SPLIT(G4318,""/""),,2),INDEX(SPLIT(G4318,""/""),,1))"),44735.0)</f>
        <v>44735</v>
      </c>
      <c r="I4318" s="1" t="s">
        <v>109</v>
      </c>
      <c r="J4318" s="4">
        <f>IFERROR(__xludf.DUMMYFUNCTION("DATE(INDEX(SPLIT(I4318,""/""),,3),INDEX(SPLIT(I4318,""/""),,2),INDEX(SPLIT(I4318,""/""),,1))"),44834.0)</f>
        <v>44834</v>
      </c>
      <c r="L4318" s="1">
        <v>0.0</v>
      </c>
      <c r="M4318" s="1" t="s">
        <v>1856</v>
      </c>
      <c r="N4318" s="1"/>
      <c r="O4318" s="1" t="s">
        <v>30</v>
      </c>
      <c r="P4318" s="1" t="s">
        <v>31</v>
      </c>
      <c r="Q4318" s="1" t="s">
        <v>32</v>
      </c>
      <c r="R4318" s="1" t="s">
        <v>32</v>
      </c>
      <c r="S4318" s="1" t="s">
        <v>33</v>
      </c>
      <c r="U4318" s="1">
        <v>1.00587434E8</v>
      </c>
      <c r="X4318" s="1" t="s">
        <v>254</v>
      </c>
      <c r="Y4318" s="1" t="s">
        <v>11886</v>
      </c>
      <c r="Z4318" s="1" t="s">
        <v>37</v>
      </c>
    </row>
    <row r="4319" hidden="1">
      <c r="A4319" s="1" t="s">
        <v>12275</v>
      </c>
      <c r="B4319" s="1" t="s">
        <v>12276</v>
      </c>
      <c r="C4319" s="1" t="s">
        <v>12277</v>
      </c>
      <c r="D4319" s="1" t="s">
        <v>27</v>
      </c>
      <c r="E4319" s="1" t="s">
        <v>28</v>
      </c>
      <c r="F4319" s="2">
        <v>150000.0</v>
      </c>
      <c r="G4319" s="1" t="s">
        <v>343</v>
      </c>
      <c r="H4319" s="4">
        <f>IFERROR(__xludf.DUMMYFUNCTION("DATE(INDEX(SPLIT(G4319,""/""),,3),INDEX(SPLIT(G4319,""/""),,2),INDEX(SPLIT(G4319,""/""),,1))"),44761.0)</f>
        <v>44761</v>
      </c>
      <c r="I4319" s="1" t="s">
        <v>130</v>
      </c>
      <c r="J4319" s="4">
        <f>IFERROR(__xludf.DUMMYFUNCTION("DATE(INDEX(SPLIT(I4319,""/""),,3),INDEX(SPLIT(I4319,""/""),,2),INDEX(SPLIT(I4319,""/""),,1))"),44804.0)</f>
        <v>44804</v>
      </c>
      <c r="L4319" s="1">
        <v>0.0</v>
      </c>
      <c r="M4319" s="1" t="s">
        <v>7830</v>
      </c>
      <c r="N4319" s="1"/>
      <c r="O4319" s="1" t="s">
        <v>30</v>
      </c>
      <c r="P4319" s="1" t="s">
        <v>31</v>
      </c>
      <c r="Q4319" s="1" t="s">
        <v>235</v>
      </c>
      <c r="R4319" s="1" t="s">
        <v>235</v>
      </c>
      <c r="S4319" s="1" t="s">
        <v>236</v>
      </c>
      <c r="U4319" s="1">
        <v>1.00658814E8</v>
      </c>
      <c r="X4319" s="1" t="s">
        <v>88</v>
      </c>
      <c r="Y4319" s="1" t="s">
        <v>10279</v>
      </c>
      <c r="Z4319" s="1" t="s">
        <v>37</v>
      </c>
    </row>
    <row r="4320" hidden="1">
      <c r="A4320" s="1" t="s">
        <v>12278</v>
      </c>
      <c r="B4320" s="1" t="s">
        <v>8289</v>
      </c>
      <c r="C4320" s="1" t="s">
        <v>12279</v>
      </c>
      <c r="D4320" s="1" t="s">
        <v>27</v>
      </c>
      <c r="E4320" s="1" t="s">
        <v>28</v>
      </c>
      <c r="F4320" s="2">
        <v>150000.0</v>
      </c>
      <c r="G4320" s="1" t="s">
        <v>343</v>
      </c>
      <c r="H4320" s="4">
        <f>IFERROR(__xludf.DUMMYFUNCTION("DATE(INDEX(SPLIT(G4320,""/""),,3),INDEX(SPLIT(G4320,""/""),,2),INDEX(SPLIT(G4320,""/""),,1))"),44761.0)</f>
        <v>44761</v>
      </c>
      <c r="I4320" s="1" t="s">
        <v>130</v>
      </c>
      <c r="J4320" s="4">
        <f>IFERROR(__xludf.DUMMYFUNCTION("DATE(INDEX(SPLIT(I4320,""/""),,3),INDEX(SPLIT(I4320,""/""),,2),INDEX(SPLIT(I4320,""/""),,1))"),44804.0)</f>
        <v>44804</v>
      </c>
      <c r="L4320" s="1">
        <v>0.0</v>
      </c>
      <c r="M4320" s="1" t="s">
        <v>259</v>
      </c>
      <c r="N4320" s="1"/>
      <c r="O4320" s="1" t="s">
        <v>30</v>
      </c>
      <c r="P4320" s="1" t="s">
        <v>31</v>
      </c>
      <c r="Q4320" s="1" t="s">
        <v>95</v>
      </c>
      <c r="R4320" s="1" t="s">
        <v>95</v>
      </c>
      <c r="S4320" s="1" t="s">
        <v>96</v>
      </c>
      <c r="T4320" s="1" t="s">
        <v>260</v>
      </c>
      <c r="U4320" s="1">
        <v>1.00659114E8</v>
      </c>
      <c r="X4320" s="1" t="s">
        <v>239</v>
      </c>
      <c r="Y4320" s="1" t="s">
        <v>3167</v>
      </c>
      <c r="Z4320" s="1" t="s">
        <v>37</v>
      </c>
    </row>
    <row r="4321" hidden="1">
      <c r="A4321" s="1" t="s">
        <v>12280</v>
      </c>
      <c r="B4321" s="1" t="s">
        <v>1144</v>
      </c>
      <c r="C4321" s="1" t="s">
        <v>12281</v>
      </c>
      <c r="D4321" s="1" t="s">
        <v>27</v>
      </c>
      <c r="E4321" s="1" t="s">
        <v>28</v>
      </c>
      <c r="F4321" s="2">
        <v>150000.0</v>
      </c>
      <c r="G4321" s="1" t="s">
        <v>4423</v>
      </c>
      <c r="H4321" s="4">
        <f>IFERROR(__xludf.DUMMYFUNCTION("DATE(INDEX(SPLIT(G4321,""/""),,3),INDEX(SPLIT(G4321,""/""),,2),INDEX(SPLIT(G4321,""/""),,1))"),44337.0)</f>
        <v>44337</v>
      </c>
      <c r="I4321" s="1" t="s">
        <v>1097</v>
      </c>
      <c r="J4321" s="4">
        <f>IFERROR(__xludf.DUMMYFUNCTION("DATE(INDEX(SPLIT(I4321,""/""),,3),INDEX(SPLIT(I4321,""/""),,2),INDEX(SPLIT(I4321,""/""),,1))"),45107.0)</f>
        <v>45107</v>
      </c>
      <c r="L4321" s="1">
        <v>0.0</v>
      </c>
      <c r="M4321" s="1" t="s">
        <v>2614</v>
      </c>
      <c r="N4321" s="1"/>
      <c r="O4321" s="1" t="s">
        <v>30</v>
      </c>
      <c r="P4321" s="1" t="s">
        <v>31</v>
      </c>
      <c r="Q4321" s="1" t="s">
        <v>53</v>
      </c>
      <c r="R4321" s="1" t="s">
        <v>53</v>
      </c>
      <c r="S4321" s="1" t="s">
        <v>54</v>
      </c>
      <c r="T4321" s="1" t="s">
        <v>197</v>
      </c>
      <c r="U4321" s="1">
        <v>1.00592932E8</v>
      </c>
      <c r="X4321" s="1" t="s">
        <v>63</v>
      </c>
      <c r="Y4321" s="1" t="s">
        <v>2614</v>
      </c>
      <c r="Z4321" s="1" t="s">
        <v>37</v>
      </c>
    </row>
    <row r="4322" hidden="1">
      <c r="A4322" s="1" t="s">
        <v>12282</v>
      </c>
      <c r="B4322" s="1" t="s">
        <v>12283</v>
      </c>
      <c r="C4322" s="1" t="s">
        <v>12284</v>
      </c>
      <c r="D4322" s="1" t="s">
        <v>78</v>
      </c>
      <c r="E4322" s="1" t="s">
        <v>28</v>
      </c>
      <c r="F4322" s="2">
        <v>150000.0</v>
      </c>
      <c r="G4322" s="1" t="s">
        <v>93</v>
      </c>
      <c r="H4322" s="4">
        <f>IFERROR(__xludf.DUMMYFUNCTION("DATE(INDEX(SPLIT(G4322,""/""),,3),INDEX(SPLIT(G4322,""/""),,2),INDEX(SPLIT(G4322,""/""),,1))"),44671.0)</f>
        <v>44671</v>
      </c>
      <c r="I4322" s="1" t="s">
        <v>130</v>
      </c>
      <c r="J4322" s="4">
        <f>IFERROR(__xludf.DUMMYFUNCTION("DATE(INDEX(SPLIT(I4322,""/""),,3),INDEX(SPLIT(I4322,""/""),,2),INDEX(SPLIT(I4322,""/""),,1))"),44804.0)</f>
        <v>44804</v>
      </c>
      <c r="L4322" s="1">
        <v>0.0</v>
      </c>
      <c r="M4322" s="1" t="s">
        <v>1284</v>
      </c>
      <c r="N4322" s="1"/>
      <c r="O4322" s="1" t="s">
        <v>30</v>
      </c>
      <c r="P4322" s="1" t="s">
        <v>31</v>
      </c>
      <c r="Q4322" s="1" t="s">
        <v>32</v>
      </c>
      <c r="R4322" s="1" t="s">
        <v>32</v>
      </c>
      <c r="S4322" s="1" t="s">
        <v>33</v>
      </c>
      <c r="U4322" s="1">
        <v>1.00626898E8</v>
      </c>
      <c r="X4322" s="1" t="s">
        <v>117</v>
      </c>
      <c r="Y4322" s="1" t="s">
        <v>1284</v>
      </c>
      <c r="Z4322" s="1" t="s">
        <v>37</v>
      </c>
    </row>
    <row r="4323" hidden="1">
      <c r="A4323" s="1" t="s">
        <v>12285</v>
      </c>
      <c r="B4323" s="1" t="s">
        <v>1192</v>
      </c>
      <c r="C4323" s="1" t="s">
        <v>12286</v>
      </c>
      <c r="D4323" s="1" t="s">
        <v>27</v>
      </c>
      <c r="E4323" s="1" t="s">
        <v>28</v>
      </c>
      <c r="F4323" s="2">
        <v>150000.0</v>
      </c>
      <c r="G4323" s="4">
        <v>44775.0</v>
      </c>
      <c r="H4323" s="4">
        <f>IFERROR(__xludf.DUMMYFUNCTION("DATE(INDEX(SPLIT(G4323,""/""),,3),INDEX(SPLIT(G4323,""/""),,2),INDEX(SPLIT(G4323,""/""),,1))"),44600.0)</f>
        <v>44600</v>
      </c>
      <c r="I4323" s="1" t="s">
        <v>1171</v>
      </c>
      <c r="J4323" s="4">
        <f>IFERROR(__xludf.DUMMYFUNCTION("DATE(INDEX(SPLIT(I4323,""/""),,3),INDEX(SPLIT(I4323,""/""),,2),INDEX(SPLIT(I4323,""/""),,1))"),44789.0)</f>
        <v>44789</v>
      </c>
      <c r="L4323" s="1">
        <v>0.0</v>
      </c>
      <c r="M4323" s="1" t="s">
        <v>1194</v>
      </c>
      <c r="N4323" s="1"/>
      <c r="O4323" s="1" t="s">
        <v>30</v>
      </c>
      <c r="P4323" s="1" t="s">
        <v>31</v>
      </c>
      <c r="Q4323" s="1" t="s">
        <v>32</v>
      </c>
      <c r="R4323" s="1" t="s">
        <v>32</v>
      </c>
      <c r="S4323" s="1" t="s">
        <v>33</v>
      </c>
      <c r="T4323" s="1" t="s">
        <v>1195</v>
      </c>
      <c r="U4323" s="1">
        <v>1.00586863E8</v>
      </c>
      <c r="X4323" s="1" t="s">
        <v>125</v>
      </c>
      <c r="Y4323" s="1" t="s">
        <v>5978</v>
      </c>
      <c r="Z4323" s="1" t="s">
        <v>37</v>
      </c>
    </row>
    <row r="4324" hidden="1">
      <c r="A4324" s="1" t="s">
        <v>12287</v>
      </c>
      <c r="B4324" s="1" t="s">
        <v>1286</v>
      </c>
      <c r="C4324" s="1" t="s">
        <v>12288</v>
      </c>
      <c r="D4324" s="1" t="s">
        <v>27</v>
      </c>
      <c r="E4324" s="1" t="s">
        <v>28</v>
      </c>
      <c r="F4324" s="2">
        <v>150000.0</v>
      </c>
      <c r="G4324" s="4">
        <v>44442.0</v>
      </c>
      <c r="H4324" s="4">
        <f>IFERROR(__xludf.DUMMYFUNCTION("DATE(INDEX(SPLIT(G4324,""/""),,3),INDEX(SPLIT(G4324,""/""),,2),INDEX(SPLIT(G4324,""/""),,1))"),44264.0)</f>
        <v>44264</v>
      </c>
      <c r="I4324" s="1" t="s">
        <v>109</v>
      </c>
      <c r="J4324" s="4">
        <f>IFERROR(__xludf.DUMMYFUNCTION("DATE(INDEX(SPLIT(I4324,""/""),,3),INDEX(SPLIT(I4324,""/""),,2),INDEX(SPLIT(I4324,""/""),,1))"),44834.0)</f>
        <v>44834</v>
      </c>
      <c r="L4324" s="1">
        <v>0.0</v>
      </c>
      <c r="M4324" s="1" t="s">
        <v>4432</v>
      </c>
      <c r="N4324" s="1"/>
      <c r="O4324" s="1" t="s">
        <v>30</v>
      </c>
      <c r="P4324" s="1" t="s">
        <v>31</v>
      </c>
      <c r="Q4324" s="1" t="s">
        <v>32</v>
      </c>
      <c r="R4324" s="1" t="s">
        <v>32</v>
      </c>
      <c r="S4324" s="1" t="s">
        <v>33</v>
      </c>
      <c r="T4324" s="1" t="s">
        <v>103</v>
      </c>
      <c r="U4324" s="1">
        <v>1.00584558E8</v>
      </c>
      <c r="X4324" s="1" t="s">
        <v>312</v>
      </c>
      <c r="Y4324" s="1" t="s">
        <v>2367</v>
      </c>
      <c r="Z4324" s="1" t="s">
        <v>37</v>
      </c>
    </row>
    <row r="4325">
      <c r="A4325" s="1" t="s">
        <v>12289</v>
      </c>
      <c r="B4325" s="1" t="s">
        <v>12290</v>
      </c>
      <c r="C4325" s="1" t="s">
        <v>12291</v>
      </c>
      <c r="D4325" s="1" t="s">
        <v>122</v>
      </c>
      <c r="E4325" s="1" t="s">
        <v>28</v>
      </c>
      <c r="F4325" s="2">
        <v>150000.0</v>
      </c>
      <c r="G4325" s="1" t="s">
        <v>10076</v>
      </c>
      <c r="H4325" s="4">
        <f>IFERROR(__xludf.DUMMYFUNCTION("DATE(INDEX(SPLIT(G4325,""/""),,3),INDEX(SPLIT(G4325,""/""),,2),INDEX(SPLIT(G4325,""/""),,1))"),44062.0)</f>
        <v>44062</v>
      </c>
      <c r="I4325" s="1" t="s">
        <v>1244</v>
      </c>
      <c r="J4325" s="4">
        <f>IFERROR(__xludf.DUMMYFUNCTION("DATE(INDEX(SPLIT(I4325,""/""),,3),INDEX(SPLIT(I4325,""/""),,2),INDEX(SPLIT(I4325,""/""),,1))"),44742.0)</f>
        <v>44742</v>
      </c>
      <c r="L4325" s="1">
        <v>0.0</v>
      </c>
      <c r="M4325" s="1" t="s">
        <v>11638</v>
      </c>
      <c r="N4325" s="1"/>
      <c r="O4325" s="1" t="s">
        <v>30</v>
      </c>
      <c r="P4325" s="1" t="s">
        <v>31</v>
      </c>
      <c r="Q4325" s="1" t="s">
        <v>228</v>
      </c>
      <c r="R4325" s="1" t="s">
        <v>228</v>
      </c>
      <c r="S4325" s="1" t="s">
        <v>229</v>
      </c>
      <c r="T4325" s="1" t="s">
        <v>513</v>
      </c>
      <c r="U4325" s="1">
        <v>1.00592873E8</v>
      </c>
      <c r="X4325" s="1" t="s">
        <v>98</v>
      </c>
      <c r="Y4325" s="1" t="s">
        <v>12172</v>
      </c>
      <c r="Z4325" s="1" t="s">
        <v>206</v>
      </c>
    </row>
    <row r="4326" hidden="1">
      <c r="A4326" s="1" t="s">
        <v>12292</v>
      </c>
      <c r="B4326" s="1" t="s">
        <v>1629</v>
      </c>
      <c r="C4326" s="1" t="s">
        <v>12293</v>
      </c>
      <c r="D4326" s="1" t="s">
        <v>27</v>
      </c>
      <c r="E4326" s="1" t="s">
        <v>28</v>
      </c>
      <c r="F4326" s="2">
        <v>150000.0</v>
      </c>
      <c r="G4326" s="4">
        <v>44899.0</v>
      </c>
      <c r="H4326" s="4">
        <f>IFERROR(__xludf.DUMMYFUNCTION("DATE(INDEX(SPLIT(G4326,""/""),,3),INDEX(SPLIT(G4326,""/""),,2),INDEX(SPLIT(G4326,""/""),,1))"),44663.0)</f>
        <v>44663</v>
      </c>
      <c r="I4326" s="1" t="s">
        <v>317</v>
      </c>
      <c r="J4326" s="4">
        <f>IFERROR(__xludf.DUMMYFUNCTION("DATE(INDEX(SPLIT(I4326,""/""),,3),INDEX(SPLIT(I4326,""/""),,2),INDEX(SPLIT(I4326,""/""),,1))"),44862.0)</f>
        <v>44862</v>
      </c>
      <c r="L4326" s="1">
        <v>0.0</v>
      </c>
      <c r="M4326" s="1" t="s">
        <v>1000</v>
      </c>
      <c r="N4326" s="1"/>
      <c r="O4326" s="1" t="s">
        <v>30</v>
      </c>
      <c r="P4326" s="1" t="s">
        <v>31</v>
      </c>
      <c r="Q4326" s="1" t="s">
        <v>95</v>
      </c>
      <c r="R4326" s="1" t="s">
        <v>95</v>
      </c>
      <c r="S4326" s="1" t="s">
        <v>96</v>
      </c>
      <c r="T4326" s="1" t="s">
        <v>311</v>
      </c>
      <c r="U4326" s="1">
        <v>1.00623453E8</v>
      </c>
      <c r="X4326" s="1" t="s">
        <v>410</v>
      </c>
      <c r="Y4326" s="1" t="s">
        <v>2761</v>
      </c>
      <c r="Z4326" s="1" t="s">
        <v>37</v>
      </c>
    </row>
    <row r="4327" hidden="1">
      <c r="A4327" s="1" t="s">
        <v>12294</v>
      </c>
      <c r="B4327" s="1" t="s">
        <v>4205</v>
      </c>
      <c r="C4327" s="1" t="s">
        <v>12295</v>
      </c>
      <c r="D4327" s="1" t="s">
        <v>27</v>
      </c>
      <c r="E4327" s="1" t="s">
        <v>28</v>
      </c>
      <c r="F4327" s="2">
        <v>150000.0</v>
      </c>
      <c r="G4327" s="4">
        <v>44235.0</v>
      </c>
      <c r="H4327" s="4">
        <f>IFERROR(__xludf.DUMMYFUNCTION("DATE(INDEX(SPLIT(G4327,""/""),,3),INDEX(SPLIT(G4327,""/""),,2),INDEX(SPLIT(G4327,""/""),,1))"),44410.0)</f>
        <v>44410</v>
      </c>
      <c r="I4327" s="1" t="s">
        <v>1495</v>
      </c>
      <c r="J4327" s="4">
        <f>IFERROR(__xludf.DUMMYFUNCTION("DATE(INDEX(SPLIT(I4327,""/""),,3),INDEX(SPLIT(I4327,""/""),,2),INDEX(SPLIT(I4327,""/""),,1))"),44864.0)</f>
        <v>44864</v>
      </c>
      <c r="L4327" s="1">
        <v>0.0</v>
      </c>
      <c r="M4327" s="1" t="s">
        <v>1052</v>
      </c>
      <c r="N4327" s="1"/>
      <c r="O4327" s="1" t="s">
        <v>30</v>
      </c>
      <c r="P4327" s="1" t="s">
        <v>31</v>
      </c>
      <c r="Q4327" s="1" t="s">
        <v>235</v>
      </c>
      <c r="R4327" s="1" t="s">
        <v>235</v>
      </c>
      <c r="S4327" s="1" t="s">
        <v>236</v>
      </c>
      <c r="T4327" s="1" t="s">
        <v>237</v>
      </c>
      <c r="U4327" s="1">
        <v>1.00650344E8</v>
      </c>
      <c r="X4327" s="1" t="s">
        <v>239</v>
      </c>
      <c r="Y4327" s="1" t="s">
        <v>3589</v>
      </c>
      <c r="Z4327" s="1" t="s">
        <v>37</v>
      </c>
    </row>
    <row r="4328">
      <c r="A4328" s="1" t="s">
        <v>12296</v>
      </c>
      <c r="B4328" s="1" t="s">
        <v>650</v>
      </c>
      <c r="C4328" s="1" t="s">
        <v>12297</v>
      </c>
      <c r="D4328" s="1" t="s">
        <v>27</v>
      </c>
      <c r="E4328" s="1" t="s">
        <v>28</v>
      </c>
      <c r="F4328" s="2">
        <v>150000.0</v>
      </c>
      <c r="G4328" s="1" t="s">
        <v>1500</v>
      </c>
      <c r="H4328" s="4">
        <f>IFERROR(__xludf.DUMMYFUNCTION("DATE(INDEX(SPLIT(G4328,""/""),,3),INDEX(SPLIT(G4328,""/""),,2),INDEX(SPLIT(G4328,""/""),,1))"),44695.0)</f>
        <v>44695</v>
      </c>
      <c r="I4328" s="1" t="s">
        <v>69</v>
      </c>
      <c r="J4328" s="4">
        <f>IFERROR(__xludf.DUMMYFUNCTION("DATE(INDEX(SPLIT(I4328,""/""),,3),INDEX(SPLIT(I4328,""/""),,2),INDEX(SPLIT(I4328,""/""),,1))"),44773.0)</f>
        <v>44773</v>
      </c>
      <c r="L4328" s="1">
        <v>0.0</v>
      </c>
      <c r="M4328" s="1" t="s">
        <v>653</v>
      </c>
      <c r="N4328" s="1"/>
      <c r="O4328" s="1" t="s">
        <v>30</v>
      </c>
      <c r="P4328" s="1" t="s">
        <v>31</v>
      </c>
      <c r="Q4328" s="1" t="s">
        <v>157</v>
      </c>
      <c r="R4328" s="1" t="s">
        <v>157</v>
      </c>
      <c r="S4328" s="1" t="s">
        <v>158</v>
      </c>
      <c r="U4328" s="1">
        <v>1.00591141E8</v>
      </c>
      <c r="X4328" s="1" t="s">
        <v>63</v>
      </c>
      <c r="Y4328" s="1" t="s">
        <v>5629</v>
      </c>
      <c r="Z4328" s="1" t="s">
        <v>37</v>
      </c>
    </row>
    <row r="4329">
      <c r="A4329" s="1" t="s">
        <v>12298</v>
      </c>
      <c r="B4329" s="1" t="s">
        <v>1257</v>
      </c>
      <c r="C4329" s="1" t="s">
        <v>12299</v>
      </c>
      <c r="D4329" s="1" t="s">
        <v>122</v>
      </c>
      <c r="E4329" s="1" t="s">
        <v>28</v>
      </c>
      <c r="F4329" s="2">
        <v>150000.0</v>
      </c>
      <c r="G4329" s="1" t="s">
        <v>1500</v>
      </c>
      <c r="H4329" s="4">
        <f>IFERROR(__xludf.DUMMYFUNCTION("DATE(INDEX(SPLIT(G4329,""/""),,3),INDEX(SPLIT(G4329,""/""),,2),INDEX(SPLIT(G4329,""/""),,1))"),44695.0)</f>
        <v>44695</v>
      </c>
      <c r="I4329" s="1" t="s">
        <v>1244</v>
      </c>
      <c r="J4329" s="4">
        <f>IFERROR(__xludf.DUMMYFUNCTION("DATE(INDEX(SPLIT(I4329,""/""),,3),INDEX(SPLIT(I4329,""/""),,2),INDEX(SPLIT(I4329,""/""),,1))"),44742.0)</f>
        <v>44742</v>
      </c>
      <c r="L4329" s="1">
        <v>0.0</v>
      </c>
      <c r="M4329" s="1" t="s">
        <v>9922</v>
      </c>
      <c r="N4329" s="1"/>
      <c r="O4329" s="1" t="s">
        <v>30</v>
      </c>
      <c r="P4329" s="1" t="s">
        <v>31</v>
      </c>
      <c r="Q4329" s="1" t="s">
        <v>228</v>
      </c>
      <c r="R4329" s="1" t="s">
        <v>228</v>
      </c>
      <c r="S4329" s="1" t="s">
        <v>229</v>
      </c>
      <c r="U4329" s="1">
        <v>1.00609628E8</v>
      </c>
      <c r="X4329" s="1" t="s">
        <v>81</v>
      </c>
      <c r="Y4329" s="1" t="s">
        <v>8012</v>
      </c>
      <c r="Z4329" s="1" t="s">
        <v>37</v>
      </c>
    </row>
    <row r="4330" hidden="1">
      <c r="A4330" s="1" t="s">
        <v>12300</v>
      </c>
      <c r="B4330" s="1" t="s">
        <v>5976</v>
      </c>
      <c r="C4330" s="1" t="s">
        <v>12301</v>
      </c>
      <c r="D4330" s="1" t="s">
        <v>27</v>
      </c>
      <c r="E4330" s="1" t="s">
        <v>28</v>
      </c>
      <c r="F4330" s="2">
        <v>150000.0</v>
      </c>
      <c r="G4330" s="1" t="s">
        <v>108</v>
      </c>
      <c r="H4330" s="4">
        <f>IFERROR(__xludf.DUMMYFUNCTION("DATE(INDEX(SPLIT(G4330,""/""),,3),INDEX(SPLIT(G4330,""/""),,2),INDEX(SPLIT(G4330,""/""),,1))"),44725.0)</f>
        <v>44725</v>
      </c>
      <c r="I4330" s="1" t="s">
        <v>1269</v>
      </c>
      <c r="J4330" s="4">
        <f>IFERROR(__xludf.DUMMYFUNCTION("DATE(INDEX(SPLIT(I4330,""/""),,3),INDEX(SPLIT(I4330,""/""),,2),INDEX(SPLIT(I4330,""/""),,1))"),45000.0)</f>
        <v>45000</v>
      </c>
      <c r="L4330" s="1">
        <v>0.0</v>
      </c>
      <c r="M4330" s="1" t="s">
        <v>1610</v>
      </c>
      <c r="N4330" s="1"/>
      <c r="O4330" s="1" t="s">
        <v>30</v>
      </c>
      <c r="P4330" s="1" t="s">
        <v>31</v>
      </c>
      <c r="Q4330" s="1" t="s">
        <v>53</v>
      </c>
      <c r="R4330" s="1" t="s">
        <v>53</v>
      </c>
      <c r="S4330" s="1" t="s">
        <v>54</v>
      </c>
      <c r="T4330" s="1" t="s">
        <v>1386</v>
      </c>
      <c r="U4330" s="1">
        <v>1.01141441E8</v>
      </c>
      <c r="X4330" s="1" t="s">
        <v>190</v>
      </c>
      <c r="Y4330" s="1" t="s">
        <v>5978</v>
      </c>
      <c r="Z4330" s="1" t="s">
        <v>37</v>
      </c>
    </row>
    <row r="4331">
      <c r="A4331" s="1" t="s">
        <v>12302</v>
      </c>
      <c r="B4331" s="1" t="s">
        <v>9784</v>
      </c>
      <c r="C4331" s="1" t="s">
        <v>12303</v>
      </c>
      <c r="D4331" s="1" t="s">
        <v>27</v>
      </c>
      <c r="E4331" s="1" t="s">
        <v>28</v>
      </c>
      <c r="F4331" s="2">
        <v>150000.0</v>
      </c>
      <c r="G4331" s="4">
        <v>44868.0</v>
      </c>
      <c r="H4331" s="4">
        <f>IFERROR(__xludf.DUMMYFUNCTION("DATE(INDEX(SPLIT(G4331,""/""),,3),INDEX(SPLIT(G4331,""/""),,2),INDEX(SPLIT(G4331,""/""),,1))"),44631.0)</f>
        <v>44631</v>
      </c>
      <c r="I4331" s="1" t="s">
        <v>2300</v>
      </c>
      <c r="J4331" s="4">
        <f>IFERROR(__xludf.DUMMYFUNCTION("DATE(INDEX(SPLIT(I4331,""/""),,3),INDEX(SPLIT(I4331,""/""),,2),INDEX(SPLIT(I4331,""/""),,1))"),44712.0)</f>
        <v>44712</v>
      </c>
      <c r="L4331" s="1">
        <v>0.0</v>
      </c>
      <c r="M4331" s="1" t="s">
        <v>2171</v>
      </c>
      <c r="N4331" s="1"/>
      <c r="O4331" s="1" t="s">
        <v>30</v>
      </c>
      <c r="P4331" s="1" t="s">
        <v>31</v>
      </c>
      <c r="Q4331" s="1" t="s">
        <v>53</v>
      </c>
      <c r="R4331" s="1" t="s">
        <v>53</v>
      </c>
      <c r="S4331" s="1" t="s">
        <v>54</v>
      </c>
      <c r="T4331" s="1" t="s">
        <v>1386</v>
      </c>
      <c r="U4331" s="1">
        <v>1.00638494E8</v>
      </c>
      <c r="X4331" s="1" t="s">
        <v>63</v>
      </c>
      <c r="Y4331" s="1" t="s">
        <v>2172</v>
      </c>
      <c r="Z4331" s="1" t="s">
        <v>527</v>
      </c>
    </row>
    <row r="4332">
      <c r="A4332" s="1" t="s">
        <v>12304</v>
      </c>
      <c r="B4332" s="1" t="s">
        <v>9784</v>
      </c>
      <c r="C4332" s="1" t="s">
        <v>12303</v>
      </c>
      <c r="D4332" s="1" t="s">
        <v>27</v>
      </c>
      <c r="E4332" s="1" t="s">
        <v>28</v>
      </c>
      <c r="F4332" s="2">
        <v>150000.0</v>
      </c>
      <c r="G4332" s="4">
        <v>44868.0</v>
      </c>
      <c r="H4332" s="4">
        <f>IFERROR(__xludf.DUMMYFUNCTION("DATE(INDEX(SPLIT(G4332,""/""),,3),INDEX(SPLIT(G4332,""/""),,2),INDEX(SPLIT(G4332,""/""),,1))"),44631.0)</f>
        <v>44631</v>
      </c>
      <c r="I4332" s="1" t="s">
        <v>2300</v>
      </c>
      <c r="J4332" s="4">
        <f>IFERROR(__xludf.DUMMYFUNCTION("DATE(INDEX(SPLIT(I4332,""/""),,3),INDEX(SPLIT(I4332,""/""),,2),INDEX(SPLIT(I4332,""/""),,1))"),44712.0)</f>
        <v>44712</v>
      </c>
      <c r="L4332" s="1">
        <v>0.0</v>
      </c>
      <c r="M4332" s="1" t="s">
        <v>2171</v>
      </c>
      <c r="N4332" s="1"/>
      <c r="O4332" s="1" t="s">
        <v>30</v>
      </c>
      <c r="P4332" s="1" t="s">
        <v>31</v>
      </c>
      <c r="Q4332" s="1" t="s">
        <v>53</v>
      </c>
      <c r="R4332" s="1" t="s">
        <v>53</v>
      </c>
      <c r="S4332" s="1" t="s">
        <v>54</v>
      </c>
      <c r="T4332" s="1" t="s">
        <v>1386</v>
      </c>
      <c r="U4332" s="1">
        <v>1.00638494E8</v>
      </c>
      <c r="X4332" s="1" t="s">
        <v>63</v>
      </c>
      <c r="Y4332" s="1" t="s">
        <v>2172</v>
      </c>
      <c r="Z4332" s="1" t="s">
        <v>527</v>
      </c>
    </row>
    <row r="4333">
      <c r="A4333" s="1" t="s">
        <v>12305</v>
      </c>
      <c r="B4333" s="1" t="s">
        <v>1606</v>
      </c>
      <c r="C4333" s="1" t="s">
        <v>12306</v>
      </c>
      <c r="D4333" s="1" t="s">
        <v>78</v>
      </c>
      <c r="E4333" s="1" t="s">
        <v>28</v>
      </c>
      <c r="F4333" s="2">
        <v>150000.0</v>
      </c>
      <c r="G4333" s="4">
        <v>44598.0</v>
      </c>
      <c r="H4333" s="4">
        <f>IFERROR(__xludf.DUMMYFUNCTION("DATE(INDEX(SPLIT(G4333,""/""),,3),INDEX(SPLIT(G4333,""/""),,2),INDEX(SPLIT(G4333,""/""),,1))"),44714.0)</f>
        <v>44714</v>
      </c>
      <c r="I4333" s="1" t="s">
        <v>226</v>
      </c>
      <c r="J4333" s="4">
        <f>IFERROR(__xludf.DUMMYFUNCTION("DATE(INDEX(SPLIT(I4333,""/""),,3),INDEX(SPLIT(I4333,""/""),,2),INDEX(SPLIT(I4333,""/""),,1))"),44771.0)</f>
        <v>44771</v>
      </c>
      <c r="L4333" s="1">
        <v>0.0</v>
      </c>
      <c r="M4333" s="1" t="s">
        <v>1019</v>
      </c>
      <c r="N4333" s="1"/>
      <c r="O4333" s="1" t="s">
        <v>30</v>
      </c>
      <c r="P4333" s="1" t="s">
        <v>31</v>
      </c>
      <c r="Q4333" s="1" t="s">
        <v>95</v>
      </c>
      <c r="R4333" s="1" t="s">
        <v>95</v>
      </c>
      <c r="S4333" s="1" t="s">
        <v>96</v>
      </c>
      <c r="T4333" s="1" t="s">
        <v>489</v>
      </c>
      <c r="U4333" s="1">
        <v>1.00607644E8</v>
      </c>
      <c r="X4333" s="1" t="s">
        <v>74</v>
      </c>
      <c r="Y4333" s="1" t="s">
        <v>12307</v>
      </c>
      <c r="Z4333" s="1" t="s">
        <v>37</v>
      </c>
    </row>
    <row r="4334" hidden="1">
      <c r="A4334" s="1" t="s">
        <v>12308</v>
      </c>
      <c r="B4334" s="1" t="s">
        <v>3288</v>
      </c>
      <c r="C4334" s="1" t="s">
        <v>12309</v>
      </c>
      <c r="D4334" s="1" t="s">
        <v>78</v>
      </c>
      <c r="E4334" s="1" t="s">
        <v>28</v>
      </c>
      <c r="F4334" s="2">
        <v>150000.0</v>
      </c>
      <c r="G4334" s="4">
        <v>44780.0</v>
      </c>
      <c r="H4334" s="4">
        <f>IFERROR(__xludf.DUMMYFUNCTION("DATE(INDEX(SPLIT(G4334,""/""),,3),INDEX(SPLIT(G4334,""/""),,2),INDEX(SPLIT(G4334,""/""),,1))"),44750.0)</f>
        <v>44750</v>
      </c>
      <c r="I4334" s="1" t="s">
        <v>42</v>
      </c>
      <c r="J4334" s="4">
        <f>IFERROR(__xludf.DUMMYFUNCTION("DATE(INDEX(SPLIT(I4334,""/""),,3),INDEX(SPLIT(I4334,""/""),,2),INDEX(SPLIT(I4334,""/""),,1))"),44926.0)</f>
        <v>44926</v>
      </c>
      <c r="L4334" s="1">
        <v>0.0</v>
      </c>
      <c r="M4334" s="1" t="s">
        <v>2568</v>
      </c>
      <c r="N4334" s="1"/>
      <c r="O4334" s="1" t="s">
        <v>30</v>
      </c>
      <c r="P4334" s="1" t="s">
        <v>31</v>
      </c>
      <c r="Q4334" s="1" t="s">
        <v>228</v>
      </c>
      <c r="R4334" s="1" t="s">
        <v>228</v>
      </c>
      <c r="S4334" s="1" t="s">
        <v>229</v>
      </c>
      <c r="T4334" s="1" t="s">
        <v>513</v>
      </c>
      <c r="U4334" s="1">
        <v>1.00659458E8</v>
      </c>
      <c r="X4334" s="1" t="s">
        <v>239</v>
      </c>
      <c r="Y4334" s="1" t="s">
        <v>2568</v>
      </c>
      <c r="Z4334" s="1" t="s">
        <v>37</v>
      </c>
    </row>
    <row r="4335">
      <c r="A4335" s="1" t="s">
        <v>12310</v>
      </c>
      <c r="B4335" s="1" t="s">
        <v>1429</v>
      </c>
      <c r="C4335" s="1" t="s">
        <v>12311</v>
      </c>
      <c r="D4335" s="1" t="s">
        <v>27</v>
      </c>
      <c r="E4335" s="1" t="s">
        <v>28</v>
      </c>
      <c r="F4335" s="2">
        <v>150000.0</v>
      </c>
      <c r="G4335" s="1" t="s">
        <v>1381</v>
      </c>
      <c r="H4335" s="4">
        <f>IFERROR(__xludf.DUMMYFUNCTION("DATE(INDEX(SPLIT(G4335,""/""),,3),INDEX(SPLIT(G4335,""/""),,2),INDEX(SPLIT(G4335,""/""),,1))"),44643.0)</f>
        <v>44643</v>
      </c>
      <c r="I4335" s="1" t="s">
        <v>69</v>
      </c>
      <c r="J4335" s="4">
        <f>IFERROR(__xludf.DUMMYFUNCTION("DATE(INDEX(SPLIT(I4335,""/""),,3),INDEX(SPLIT(I4335,""/""),,2),INDEX(SPLIT(I4335,""/""),,1))"),44773.0)</f>
        <v>44773</v>
      </c>
      <c r="L4335" s="1">
        <v>0.0</v>
      </c>
      <c r="M4335" s="1" t="s">
        <v>1959</v>
      </c>
      <c r="N4335" s="1"/>
      <c r="O4335" s="1" t="s">
        <v>30</v>
      </c>
      <c r="P4335" s="1" t="s">
        <v>31</v>
      </c>
      <c r="Q4335" s="1" t="s">
        <v>228</v>
      </c>
      <c r="R4335" s="1" t="s">
        <v>228</v>
      </c>
      <c r="S4335" s="1" t="s">
        <v>229</v>
      </c>
      <c r="T4335" s="1" t="s">
        <v>640</v>
      </c>
      <c r="U4335" s="1">
        <v>1.00955805E8</v>
      </c>
      <c r="X4335" s="1" t="s">
        <v>190</v>
      </c>
      <c r="Y4335" s="1" t="s">
        <v>8772</v>
      </c>
      <c r="Z4335" s="1" t="s">
        <v>37</v>
      </c>
    </row>
    <row r="4336">
      <c r="A4336" s="1" t="s">
        <v>12312</v>
      </c>
      <c r="B4336" s="1" t="s">
        <v>2650</v>
      </c>
      <c r="C4336" s="1" t="s">
        <v>12313</v>
      </c>
      <c r="D4336" s="1" t="s">
        <v>122</v>
      </c>
      <c r="E4336" s="1" t="s">
        <v>28</v>
      </c>
      <c r="F4336" s="2">
        <v>150000.0</v>
      </c>
      <c r="G4336" s="1" t="s">
        <v>600</v>
      </c>
      <c r="H4336" s="4">
        <f>IFERROR(__xludf.DUMMYFUNCTION("DATE(INDEX(SPLIT(G4336,""/""),,3),INDEX(SPLIT(G4336,""/""),,2),INDEX(SPLIT(G4336,""/""),,1))"),44665.0)</f>
        <v>44665</v>
      </c>
      <c r="I4336" s="1" t="s">
        <v>2300</v>
      </c>
      <c r="J4336" s="4">
        <f>IFERROR(__xludf.DUMMYFUNCTION("DATE(INDEX(SPLIT(I4336,""/""),,3),INDEX(SPLIT(I4336,""/""),,2),INDEX(SPLIT(I4336,""/""),,1))"),44712.0)</f>
        <v>44712</v>
      </c>
      <c r="L4336" s="1">
        <v>0.0</v>
      </c>
      <c r="M4336" s="1" t="s">
        <v>8081</v>
      </c>
      <c r="N4336" s="1"/>
      <c r="O4336" s="1" t="s">
        <v>30</v>
      </c>
      <c r="P4336" s="1" t="s">
        <v>31</v>
      </c>
      <c r="Q4336" s="1" t="s">
        <v>228</v>
      </c>
      <c r="R4336" s="1" t="s">
        <v>228</v>
      </c>
      <c r="S4336" s="1" t="s">
        <v>229</v>
      </c>
      <c r="T4336" s="1" t="s">
        <v>513</v>
      </c>
      <c r="U4336" s="1">
        <v>1.01154613E8</v>
      </c>
      <c r="X4336" s="1" t="s">
        <v>98</v>
      </c>
      <c r="Y4336" s="1" t="s">
        <v>12314</v>
      </c>
      <c r="Z4336" s="1" t="s">
        <v>37</v>
      </c>
    </row>
    <row r="4337">
      <c r="A4337" s="1" t="s">
        <v>12315</v>
      </c>
      <c r="B4337" s="1" t="s">
        <v>8795</v>
      </c>
      <c r="C4337" s="1" t="s">
        <v>12316</v>
      </c>
      <c r="D4337" s="1" t="s">
        <v>122</v>
      </c>
      <c r="E4337" s="1" t="s">
        <v>28</v>
      </c>
      <c r="F4337" s="2">
        <v>150000.0</v>
      </c>
      <c r="G4337" s="4">
        <v>44900.0</v>
      </c>
      <c r="H4337" s="4">
        <f>IFERROR(__xludf.DUMMYFUNCTION("DATE(INDEX(SPLIT(G4337,""/""),,3),INDEX(SPLIT(G4337,""/""),,2),INDEX(SPLIT(G4337,""/""),,1))"),44693.0)</f>
        <v>44693</v>
      </c>
      <c r="I4337" s="1" t="s">
        <v>226</v>
      </c>
      <c r="J4337" s="4">
        <f>IFERROR(__xludf.DUMMYFUNCTION("DATE(INDEX(SPLIT(I4337,""/""),,3),INDEX(SPLIT(I4337,""/""),,2),INDEX(SPLIT(I4337,""/""),,1))"),44771.0)</f>
        <v>44771</v>
      </c>
      <c r="L4337" s="1">
        <v>0.0</v>
      </c>
      <c r="M4337" s="1" t="s">
        <v>4117</v>
      </c>
      <c r="N4337" s="1"/>
      <c r="O4337" s="1" t="s">
        <v>30</v>
      </c>
      <c r="P4337" s="1" t="s">
        <v>31</v>
      </c>
      <c r="Q4337" s="1" t="s">
        <v>95</v>
      </c>
      <c r="R4337" s="1" t="s">
        <v>95</v>
      </c>
      <c r="S4337" s="1" t="s">
        <v>96</v>
      </c>
      <c r="T4337" s="1" t="s">
        <v>260</v>
      </c>
      <c r="U4337" s="1">
        <v>1.00658777E8</v>
      </c>
      <c r="V4337" s="1" t="s">
        <v>12317</v>
      </c>
      <c r="W4337" s="1" t="s">
        <v>45</v>
      </c>
      <c r="X4337" s="1" t="s">
        <v>239</v>
      </c>
      <c r="Y4337" s="1" t="s">
        <v>6377</v>
      </c>
      <c r="Z4337" s="1" t="s">
        <v>206</v>
      </c>
    </row>
    <row r="4338">
      <c r="A4338" s="1" t="s">
        <v>12318</v>
      </c>
      <c r="B4338" s="1" t="s">
        <v>4276</v>
      </c>
      <c r="C4338" s="1" t="s">
        <v>12319</v>
      </c>
      <c r="D4338" s="1" t="s">
        <v>78</v>
      </c>
      <c r="E4338" s="1" t="s">
        <v>28</v>
      </c>
      <c r="F4338" s="2">
        <v>150000.0</v>
      </c>
      <c r="G4338" s="4">
        <v>44900.0</v>
      </c>
      <c r="H4338" s="4">
        <f>IFERROR(__xludf.DUMMYFUNCTION("DATE(INDEX(SPLIT(G4338,""/""),,3),INDEX(SPLIT(G4338,""/""),,2),INDEX(SPLIT(G4338,""/""),,1))"),44693.0)</f>
        <v>44693</v>
      </c>
      <c r="I4338" s="4">
        <v>44626.0</v>
      </c>
      <c r="J4338" s="4">
        <f>IFERROR(__xludf.DUMMYFUNCTION("DATE(INDEX(SPLIT(I4338,""/""),,3),INDEX(SPLIT(I4338,""/""),,2),INDEX(SPLIT(I4338,""/""),,1))"),44715.0)</f>
        <v>44715</v>
      </c>
      <c r="L4338" s="1">
        <v>0.0</v>
      </c>
      <c r="M4338" s="1" t="s">
        <v>2973</v>
      </c>
      <c r="N4338" s="1"/>
      <c r="O4338" s="1" t="s">
        <v>30</v>
      </c>
      <c r="P4338" s="1" t="s">
        <v>31</v>
      </c>
      <c r="Q4338" s="1" t="s">
        <v>95</v>
      </c>
      <c r="R4338" s="1" t="s">
        <v>95</v>
      </c>
      <c r="S4338" s="1" t="s">
        <v>96</v>
      </c>
      <c r="U4338" s="1">
        <v>1.00610052E8</v>
      </c>
      <c r="X4338" s="1" t="s">
        <v>490</v>
      </c>
      <c r="Y4338" s="1" t="s">
        <v>12320</v>
      </c>
      <c r="Z4338" s="1" t="s">
        <v>527</v>
      </c>
    </row>
    <row r="4339">
      <c r="A4339" s="1" t="s">
        <v>12321</v>
      </c>
      <c r="B4339" s="1" t="s">
        <v>2000</v>
      </c>
      <c r="C4339" s="1" t="s">
        <v>12322</v>
      </c>
      <c r="D4339" s="1" t="s">
        <v>78</v>
      </c>
      <c r="E4339" s="1" t="s">
        <v>28</v>
      </c>
      <c r="F4339" s="2">
        <v>150000.0</v>
      </c>
      <c r="G4339" s="4">
        <v>44839.0</v>
      </c>
      <c r="H4339" s="4">
        <f>IFERROR(__xludf.DUMMYFUNCTION("DATE(INDEX(SPLIT(G4339,""/""),,3),INDEX(SPLIT(G4339,""/""),,2),INDEX(SPLIT(G4339,""/""),,1))"),44691.0)</f>
        <v>44691</v>
      </c>
      <c r="I4339" s="1" t="s">
        <v>226</v>
      </c>
      <c r="J4339" s="4">
        <f>IFERROR(__xludf.DUMMYFUNCTION("DATE(INDEX(SPLIT(I4339,""/""),,3),INDEX(SPLIT(I4339,""/""),,2),INDEX(SPLIT(I4339,""/""),,1))"),44771.0)</f>
        <v>44771</v>
      </c>
      <c r="L4339" s="1">
        <v>0.0</v>
      </c>
      <c r="M4339" s="1" t="s">
        <v>5636</v>
      </c>
      <c r="N4339" s="1"/>
      <c r="O4339" s="1" t="s">
        <v>30</v>
      </c>
      <c r="P4339" s="1" t="s">
        <v>31</v>
      </c>
      <c r="Q4339" s="1" t="s">
        <v>228</v>
      </c>
      <c r="R4339" s="1" t="s">
        <v>228</v>
      </c>
      <c r="S4339" s="1" t="s">
        <v>229</v>
      </c>
      <c r="U4339" s="1">
        <v>1.00605581E8</v>
      </c>
      <c r="X4339" s="1" t="s">
        <v>88</v>
      </c>
      <c r="Y4339" s="1" t="s">
        <v>12035</v>
      </c>
      <c r="Z4339" s="1" t="s">
        <v>37</v>
      </c>
    </row>
    <row r="4340" hidden="1">
      <c r="A4340" s="1" t="s">
        <v>12323</v>
      </c>
      <c r="B4340" s="1" t="s">
        <v>2453</v>
      </c>
      <c r="C4340" s="1" t="s">
        <v>12324</v>
      </c>
      <c r="D4340" s="1" t="s">
        <v>27</v>
      </c>
      <c r="E4340" s="1" t="s">
        <v>28</v>
      </c>
      <c r="F4340" s="2">
        <v>150000.0</v>
      </c>
      <c r="G4340" s="1" t="s">
        <v>4036</v>
      </c>
      <c r="H4340" s="4">
        <f>IFERROR(__xludf.DUMMYFUNCTION("DATE(INDEX(SPLIT(G4340,""/""),,3),INDEX(SPLIT(G4340,""/""),,2),INDEX(SPLIT(G4340,""/""),,1))"),44592.0)</f>
        <v>44592</v>
      </c>
      <c r="I4340" s="1" t="s">
        <v>109</v>
      </c>
      <c r="J4340" s="4">
        <f>IFERROR(__xludf.DUMMYFUNCTION("DATE(INDEX(SPLIT(I4340,""/""),,3),INDEX(SPLIT(I4340,""/""),,2),INDEX(SPLIT(I4340,""/""),,1))"),44834.0)</f>
        <v>44834</v>
      </c>
      <c r="L4340" s="1">
        <v>0.0</v>
      </c>
      <c r="M4340" s="1" t="s">
        <v>891</v>
      </c>
      <c r="N4340" s="1"/>
      <c r="O4340" s="1" t="s">
        <v>30</v>
      </c>
      <c r="P4340" s="1" t="s">
        <v>31</v>
      </c>
      <c r="Q4340" s="1" t="s">
        <v>32</v>
      </c>
      <c r="R4340" s="1" t="s">
        <v>32</v>
      </c>
      <c r="S4340" s="1" t="s">
        <v>33</v>
      </c>
      <c r="T4340" s="1" t="s">
        <v>402</v>
      </c>
      <c r="U4340" s="1">
        <v>1.00866856E8</v>
      </c>
      <c r="X4340" s="1" t="s">
        <v>239</v>
      </c>
      <c r="Y4340" s="1" t="s">
        <v>891</v>
      </c>
      <c r="Z4340" s="1" t="s">
        <v>37</v>
      </c>
    </row>
    <row r="4341" hidden="1">
      <c r="A4341" s="1" t="s">
        <v>12325</v>
      </c>
      <c r="B4341" s="1" t="s">
        <v>2642</v>
      </c>
      <c r="C4341" s="1" t="s">
        <v>12326</v>
      </c>
      <c r="D4341" s="1" t="s">
        <v>78</v>
      </c>
      <c r="E4341" s="1" t="s">
        <v>28</v>
      </c>
      <c r="F4341" s="2">
        <v>150000.0</v>
      </c>
      <c r="G4341" s="1" t="s">
        <v>12327</v>
      </c>
      <c r="H4341" s="4">
        <f>IFERROR(__xludf.DUMMYFUNCTION("DATE(INDEX(SPLIT(G4341,""/""),,3),INDEX(SPLIT(G4341,""/""),,2),INDEX(SPLIT(G4341,""/""),,1))"),43888.0)</f>
        <v>43888</v>
      </c>
      <c r="I4341" s="1" t="s">
        <v>1097</v>
      </c>
      <c r="J4341" s="4">
        <f>IFERROR(__xludf.DUMMYFUNCTION("DATE(INDEX(SPLIT(I4341,""/""),,3),INDEX(SPLIT(I4341,""/""),,2),INDEX(SPLIT(I4341,""/""),,1))"),45107.0)</f>
        <v>45107</v>
      </c>
      <c r="L4341" s="1">
        <v>0.0</v>
      </c>
      <c r="M4341" s="1" t="s">
        <v>4735</v>
      </c>
      <c r="N4341" s="1"/>
      <c r="O4341" s="1" t="s">
        <v>30</v>
      </c>
      <c r="P4341" s="1" t="s">
        <v>31</v>
      </c>
      <c r="Q4341" s="1" t="s">
        <v>71</v>
      </c>
      <c r="R4341" s="1" t="s">
        <v>71</v>
      </c>
      <c r="S4341" s="1" t="s">
        <v>72</v>
      </c>
      <c r="T4341" s="1" t="s">
        <v>136</v>
      </c>
      <c r="U4341" s="1">
        <v>1.00609615E8</v>
      </c>
      <c r="X4341" s="1" t="s">
        <v>74</v>
      </c>
      <c r="Y4341" s="1" t="s">
        <v>5737</v>
      </c>
      <c r="Z4341" s="1" t="s">
        <v>206</v>
      </c>
    </row>
    <row r="4342" hidden="1">
      <c r="A4342" s="1" t="s">
        <v>12328</v>
      </c>
      <c r="B4342" s="1" t="s">
        <v>12329</v>
      </c>
      <c r="C4342" s="1" t="s">
        <v>10058</v>
      </c>
      <c r="D4342" s="1" t="s">
        <v>27</v>
      </c>
      <c r="E4342" s="1" t="s">
        <v>28</v>
      </c>
      <c r="F4342" s="2">
        <v>150000.0</v>
      </c>
      <c r="G4342" s="4">
        <v>44568.0</v>
      </c>
      <c r="H4342" s="4">
        <f>IFERROR(__xludf.DUMMYFUNCTION("DATE(INDEX(SPLIT(G4342,""/""),,3),INDEX(SPLIT(G4342,""/""),,2),INDEX(SPLIT(G4342,""/""),,1))"),44743.0)</f>
        <v>44743</v>
      </c>
      <c r="I4342" s="1" t="s">
        <v>360</v>
      </c>
      <c r="J4342" s="4">
        <f>IFERROR(__xludf.DUMMYFUNCTION("DATE(INDEX(SPLIT(I4342,""/""),,3),INDEX(SPLIT(I4342,""/""),,2),INDEX(SPLIT(I4342,""/""),,1))"),44895.0)</f>
        <v>44895</v>
      </c>
      <c r="L4342" s="1">
        <v>0.0</v>
      </c>
      <c r="M4342" s="1" t="s">
        <v>299</v>
      </c>
      <c r="N4342" s="1"/>
      <c r="O4342" s="1" t="s">
        <v>30</v>
      </c>
      <c r="P4342" s="1" t="s">
        <v>31</v>
      </c>
      <c r="Q4342" s="1" t="s">
        <v>71</v>
      </c>
      <c r="R4342" s="1" t="s">
        <v>71</v>
      </c>
      <c r="S4342" s="1" t="s">
        <v>72</v>
      </c>
      <c r="U4342" s="1">
        <v>1.00610483E8</v>
      </c>
      <c r="X4342" s="1" t="s">
        <v>98</v>
      </c>
      <c r="Y4342" s="1" t="s">
        <v>1822</v>
      </c>
      <c r="Z4342" s="1" t="s">
        <v>37</v>
      </c>
    </row>
    <row r="4343" hidden="1">
      <c r="A4343" s="1" t="s">
        <v>12330</v>
      </c>
      <c r="B4343" s="1" t="s">
        <v>3655</v>
      </c>
      <c r="C4343" s="1" t="s">
        <v>12331</v>
      </c>
      <c r="D4343" s="1" t="s">
        <v>27</v>
      </c>
      <c r="E4343" s="1" t="s">
        <v>28</v>
      </c>
      <c r="F4343" s="2">
        <v>150000.0</v>
      </c>
      <c r="G4343" s="1" t="s">
        <v>50</v>
      </c>
      <c r="H4343" s="4">
        <f>IFERROR(__xludf.DUMMYFUNCTION("DATE(INDEX(SPLIT(G4343,""/""),,3),INDEX(SPLIT(G4343,""/""),,2),INDEX(SPLIT(G4343,""/""),,1))"),44547.0)</f>
        <v>44547</v>
      </c>
      <c r="I4343" s="1" t="s">
        <v>109</v>
      </c>
      <c r="J4343" s="4">
        <f>IFERROR(__xludf.DUMMYFUNCTION("DATE(INDEX(SPLIT(I4343,""/""),,3),INDEX(SPLIT(I4343,""/""),,2),INDEX(SPLIT(I4343,""/""),,1))"),44834.0)</f>
        <v>44834</v>
      </c>
      <c r="L4343" s="1">
        <v>0.0</v>
      </c>
      <c r="M4343" s="1" t="s">
        <v>8293</v>
      </c>
      <c r="N4343" s="1"/>
      <c r="O4343" s="1" t="s">
        <v>30</v>
      </c>
      <c r="P4343" s="1" t="s">
        <v>31</v>
      </c>
      <c r="Q4343" s="1" t="s">
        <v>235</v>
      </c>
      <c r="R4343" s="1" t="s">
        <v>235</v>
      </c>
      <c r="S4343" s="1" t="s">
        <v>236</v>
      </c>
      <c r="T4343" s="1" t="s">
        <v>438</v>
      </c>
      <c r="U4343" s="1">
        <v>1.00582836E8</v>
      </c>
      <c r="X4343" s="1" t="s">
        <v>88</v>
      </c>
      <c r="Y4343" s="1" t="s">
        <v>4574</v>
      </c>
      <c r="Z4343" s="1" t="s">
        <v>527</v>
      </c>
    </row>
    <row r="4344" hidden="1">
      <c r="A4344" s="1" t="s">
        <v>12332</v>
      </c>
      <c r="B4344" s="1" t="s">
        <v>1655</v>
      </c>
      <c r="C4344" s="1" t="s">
        <v>12333</v>
      </c>
      <c r="D4344" s="1" t="s">
        <v>78</v>
      </c>
      <c r="E4344" s="1" t="s">
        <v>28</v>
      </c>
      <c r="F4344" s="2">
        <v>150000.0</v>
      </c>
      <c r="G4344" s="4">
        <v>44868.0</v>
      </c>
      <c r="H4344" s="4">
        <f>IFERROR(__xludf.DUMMYFUNCTION("DATE(INDEX(SPLIT(G4344,""/""),,3),INDEX(SPLIT(G4344,""/""),,2),INDEX(SPLIT(G4344,""/""),,1))"),44631.0)</f>
        <v>44631</v>
      </c>
      <c r="I4344" s="4">
        <v>44571.0</v>
      </c>
      <c r="J4344" s="4">
        <f>IFERROR(__xludf.DUMMYFUNCTION("DATE(INDEX(SPLIT(I4344,""/""),,3),INDEX(SPLIT(I4344,""/""),,2),INDEX(SPLIT(I4344,""/""),,1))"),44835.0)</f>
        <v>44835</v>
      </c>
      <c r="L4344" s="1">
        <v>0.0</v>
      </c>
      <c r="M4344" s="1" t="s">
        <v>5411</v>
      </c>
      <c r="N4344" s="1"/>
      <c r="O4344" s="1" t="s">
        <v>30</v>
      </c>
      <c r="P4344" s="1" t="s">
        <v>31</v>
      </c>
      <c r="Q4344" s="1" t="s">
        <v>53</v>
      </c>
      <c r="R4344" s="1" t="s">
        <v>53</v>
      </c>
      <c r="S4344" s="1" t="s">
        <v>54</v>
      </c>
      <c r="T4344" s="1" t="s">
        <v>1195</v>
      </c>
      <c r="U4344" s="1">
        <v>1.00610826E8</v>
      </c>
      <c r="X4344" s="1" t="s">
        <v>490</v>
      </c>
      <c r="Y4344" s="1" t="s">
        <v>12334</v>
      </c>
      <c r="Z4344" s="1" t="s">
        <v>37</v>
      </c>
    </row>
    <row r="4345" hidden="1">
      <c r="A4345" s="1" t="s">
        <v>12335</v>
      </c>
      <c r="B4345" s="1" t="s">
        <v>12336</v>
      </c>
      <c r="C4345" s="1" t="s">
        <v>12337</v>
      </c>
      <c r="D4345" s="1" t="s">
        <v>78</v>
      </c>
      <c r="E4345" s="1" t="s">
        <v>28</v>
      </c>
      <c r="F4345" s="2">
        <v>150000.0</v>
      </c>
      <c r="G4345" s="1" t="s">
        <v>343</v>
      </c>
      <c r="H4345" s="4">
        <f>IFERROR(__xludf.DUMMYFUNCTION("DATE(INDEX(SPLIT(G4345,""/""),,3),INDEX(SPLIT(G4345,""/""),,2),INDEX(SPLIT(G4345,""/""),,1))"),44761.0)</f>
        <v>44761</v>
      </c>
      <c r="I4345" s="1" t="s">
        <v>109</v>
      </c>
      <c r="J4345" s="4">
        <f>IFERROR(__xludf.DUMMYFUNCTION("DATE(INDEX(SPLIT(I4345,""/""),,3),INDEX(SPLIT(I4345,""/""),,2),INDEX(SPLIT(I4345,""/""),,1))"),44834.0)</f>
        <v>44834</v>
      </c>
      <c r="L4345" s="1">
        <v>0.0</v>
      </c>
      <c r="M4345" s="1" t="s">
        <v>3944</v>
      </c>
      <c r="N4345" s="1"/>
      <c r="O4345" s="1" t="s">
        <v>30</v>
      </c>
      <c r="P4345" s="1" t="s">
        <v>31</v>
      </c>
      <c r="Q4345" s="1" t="s">
        <v>228</v>
      </c>
      <c r="R4345" s="1" t="s">
        <v>228</v>
      </c>
      <c r="S4345" s="1" t="s">
        <v>229</v>
      </c>
      <c r="T4345" s="1" t="s">
        <v>640</v>
      </c>
      <c r="U4345" s="1">
        <v>1.00655073E8</v>
      </c>
      <c r="Y4345" s="1" t="s">
        <v>7093</v>
      </c>
      <c r="Z4345" s="1" t="s">
        <v>37</v>
      </c>
    </row>
    <row r="4346">
      <c r="A4346" s="1" t="s">
        <v>12338</v>
      </c>
      <c r="B4346" s="1" t="s">
        <v>5955</v>
      </c>
      <c r="C4346" s="1" t="s">
        <v>12339</v>
      </c>
      <c r="D4346" s="1" t="s">
        <v>78</v>
      </c>
      <c r="E4346" s="1" t="s">
        <v>28</v>
      </c>
      <c r="F4346" s="2">
        <v>150000.0</v>
      </c>
      <c r="G4346" s="1" t="s">
        <v>2297</v>
      </c>
      <c r="H4346" s="4">
        <f>IFERROR(__xludf.DUMMYFUNCTION("DATE(INDEX(SPLIT(G4346,""/""),,3),INDEX(SPLIT(G4346,""/""),,2),INDEX(SPLIT(G4346,""/""),,1))"),44730.0)</f>
        <v>44730</v>
      </c>
      <c r="I4346" s="1" t="s">
        <v>503</v>
      </c>
      <c r="J4346" s="4">
        <f>IFERROR(__xludf.DUMMYFUNCTION("DATE(INDEX(SPLIT(I4346,""/""),,3),INDEX(SPLIT(I4346,""/""),,2),INDEX(SPLIT(I4346,""/""),,1))"),44736.0)</f>
        <v>44736</v>
      </c>
      <c r="L4346" s="1">
        <v>0.0</v>
      </c>
      <c r="M4346" s="1" t="s">
        <v>5957</v>
      </c>
      <c r="N4346" s="1"/>
      <c r="O4346" s="1" t="s">
        <v>30</v>
      </c>
      <c r="P4346" s="1" t="s">
        <v>31</v>
      </c>
      <c r="Q4346" s="1" t="s">
        <v>157</v>
      </c>
      <c r="R4346" s="1" t="s">
        <v>157</v>
      </c>
      <c r="S4346" s="1" t="s">
        <v>158</v>
      </c>
      <c r="U4346" s="1">
        <v>1.00606619E8</v>
      </c>
      <c r="X4346" s="1" t="s">
        <v>490</v>
      </c>
      <c r="Y4346" s="1" t="s">
        <v>5958</v>
      </c>
      <c r="Z4346" s="1" t="s">
        <v>527</v>
      </c>
    </row>
    <row r="4347" hidden="1">
      <c r="A4347" s="1" t="s">
        <v>12340</v>
      </c>
      <c r="B4347" s="1" t="s">
        <v>6351</v>
      </c>
      <c r="C4347" s="1" t="s">
        <v>12341</v>
      </c>
      <c r="D4347" s="1" t="s">
        <v>27</v>
      </c>
      <c r="E4347" s="1" t="s">
        <v>28</v>
      </c>
      <c r="F4347" s="2">
        <v>150000.0</v>
      </c>
      <c r="G4347" s="4">
        <v>44420.0</v>
      </c>
      <c r="H4347" s="4">
        <f>IFERROR(__xludf.DUMMYFUNCTION("DATE(INDEX(SPLIT(G4347,""/""),,3),INDEX(SPLIT(G4347,""/""),,2),INDEX(SPLIT(G4347,""/""),,1))"),44538.0)</f>
        <v>44538</v>
      </c>
      <c r="I4347" s="1" t="s">
        <v>130</v>
      </c>
      <c r="J4347" s="4">
        <f>IFERROR(__xludf.DUMMYFUNCTION("DATE(INDEX(SPLIT(I4347,""/""),,3),INDEX(SPLIT(I4347,""/""),,2),INDEX(SPLIT(I4347,""/""),,1))"),44804.0)</f>
        <v>44804</v>
      </c>
      <c r="L4347" s="1">
        <v>0.0</v>
      </c>
      <c r="M4347" s="1" t="s">
        <v>6353</v>
      </c>
      <c r="N4347" s="1"/>
      <c r="O4347" s="1" t="s">
        <v>30</v>
      </c>
      <c r="P4347" s="1" t="s">
        <v>31</v>
      </c>
      <c r="Q4347" s="1" t="s">
        <v>53</v>
      </c>
      <c r="R4347" s="1" t="s">
        <v>53</v>
      </c>
      <c r="S4347" s="1" t="s">
        <v>54</v>
      </c>
      <c r="T4347" s="1" t="s">
        <v>2372</v>
      </c>
      <c r="U4347" s="1">
        <v>1.00609257E8</v>
      </c>
      <c r="X4347" s="1" t="s">
        <v>239</v>
      </c>
      <c r="Y4347" s="1" t="s">
        <v>6354</v>
      </c>
      <c r="Z4347" s="1" t="s">
        <v>37</v>
      </c>
    </row>
    <row r="4348" hidden="1">
      <c r="A4348" s="1" t="s">
        <v>12342</v>
      </c>
      <c r="B4348" s="1" t="s">
        <v>6351</v>
      </c>
      <c r="C4348" s="1" t="s">
        <v>12343</v>
      </c>
      <c r="D4348" s="1" t="s">
        <v>27</v>
      </c>
      <c r="E4348" s="1" t="s">
        <v>28</v>
      </c>
      <c r="F4348" s="2">
        <v>150000.0</v>
      </c>
      <c r="G4348" s="4">
        <v>44420.0</v>
      </c>
      <c r="H4348" s="4">
        <f>IFERROR(__xludf.DUMMYFUNCTION("DATE(INDEX(SPLIT(G4348,""/""),,3),INDEX(SPLIT(G4348,""/""),,2),INDEX(SPLIT(G4348,""/""),,1))"),44538.0)</f>
        <v>44538</v>
      </c>
      <c r="I4348" s="1" t="s">
        <v>130</v>
      </c>
      <c r="J4348" s="4">
        <f>IFERROR(__xludf.DUMMYFUNCTION("DATE(INDEX(SPLIT(I4348,""/""),,3),INDEX(SPLIT(I4348,""/""),,2),INDEX(SPLIT(I4348,""/""),,1))"),44804.0)</f>
        <v>44804</v>
      </c>
      <c r="L4348" s="1">
        <v>0.0</v>
      </c>
      <c r="M4348" s="1" t="s">
        <v>6353</v>
      </c>
      <c r="N4348" s="1"/>
      <c r="O4348" s="1" t="s">
        <v>30</v>
      </c>
      <c r="P4348" s="1" t="s">
        <v>31</v>
      </c>
      <c r="Q4348" s="1" t="s">
        <v>53</v>
      </c>
      <c r="R4348" s="1" t="s">
        <v>53</v>
      </c>
      <c r="S4348" s="1" t="s">
        <v>54</v>
      </c>
      <c r="T4348" s="1" t="s">
        <v>2372</v>
      </c>
      <c r="U4348" s="1">
        <v>1.00609257E8</v>
      </c>
      <c r="X4348" s="1" t="s">
        <v>239</v>
      </c>
      <c r="Y4348" s="1" t="s">
        <v>6354</v>
      </c>
      <c r="Z4348" s="1" t="s">
        <v>37</v>
      </c>
    </row>
    <row r="4349" hidden="1">
      <c r="A4349" s="1" t="s">
        <v>12344</v>
      </c>
      <c r="B4349" s="1" t="s">
        <v>6351</v>
      </c>
      <c r="C4349" s="1" t="s">
        <v>12345</v>
      </c>
      <c r="D4349" s="1" t="s">
        <v>27</v>
      </c>
      <c r="E4349" s="1" t="s">
        <v>28</v>
      </c>
      <c r="F4349" s="2">
        <v>150000.0</v>
      </c>
      <c r="G4349" s="4">
        <v>44420.0</v>
      </c>
      <c r="H4349" s="4">
        <f>IFERROR(__xludf.DUMMYFUNCTION("DATE(INDEX(SPLIT(G4349,""/""),,3),INDEX(SPLIT(G4349,""/""),,2),INDEX(SPLIT(G4349,""/""),,1))"),44538.0)</f>
        <v>44538</v>
      </c>
      <c r="I4349" s="1" t="s">
        <v>109</v>
      </c>
      <c r="J4349" s="4">
        <f>IFERROR(__xludf.DUMMYFUNCTION("DATE(INDEX(SPLIT(I4349,""/""),,3),INDEX(SPLIT(I4349,""/""),,2),INDEX(SPLIT(I4349,""/""),,1))"),44834.0)</f>
        <v>44834</v>
      </c>
      <c r="L4349" s="1">
        <v>0.0</v>
      </c>
      <c r="M4349" s="1" t="s">
        <v>6353</v>
      </c>
      <c r="N4349" s="1"/>
      <c r="O4349" s="1" t="s">
        <v>30</v>
      </c>
      <c r="P4349" s="1" t="s">
        <v>31</v>
      </c>
      <c r="Q4349" s="1" t="s">
        <v>53</v>
      </c>
      <c r="R4349" s="1" t="s">
        <v>53</v>
      </c>
      <c r="S4349" s="1" t="s">
        <v>54</v>
      </c>
      <c r="T4349" s="1" t="s">
        <v>2372</v>
      </c>
      <c r="U4349" s="1">
        <v>1.00609257E8</v>
      </c>
      <c r="X4349" s="1" t="s">
        <v>239</v>
      </c>
      <c r="Y4349" s="1" t="s">
        <v>6354</v>
      </c>
      <c r="Z4349" s="1" t="s">
        <v>37</v>
      </c>
    </row>
    <row r="4350" hidden="1">
      <c r="A4350" s="1" t="s">
        <v>12346</v>
      </c>
      <c r="B4350" s="1" t="s">
        <v>7868</v>
      </c>
      <c r="C4350" s="1" t="s">
        <v>12347</v>
      </c>
      <c r="D4350" s="1" t="s">
        <v>27</v>
      </c>
      <c r="E4350" s="1" t="s">
        <v>28</v>
      </c>
      <c r="F4350" s="2">
        <v>150000.0</v>
      </c>
      <c r="G4350" s="4">
        <v>44565.0</v>
      </c>
      <c r="H4350" s="4">
        <f>IFERROR(__xludf.DUMMYFUNCTION("DATE(INDEX(SPLIT(G4350,""/""),,3),INDEX(SPLIT(G4350,""/""),,2),INDEX(SPLIT(G4350,""/""),,1))"),44652.0)</f>
        <v>44652</v>
      </c>
      <c r="I4350" s="1" t="s">
        <v>1909</v>
      </c>
      <c r="J4350" s="4">
        <f>IFERROR(__xludf.DUMMYFUNCTION("DATE(INDEX(SPLIT(I4350,""/""),,3),INDEX(SPLIT(I4350,""/""),,2),INDEX(SPLIT(I4350,""/""),,1))"),44883.0)</f>
        <v>44883</v>
      </c>
      <c r="L4350" s="1">
        <v>0.0</v>
      </c>
      <c r="M4350" s="1" t="s">
        <v>1398</v>
      </c>
      <c r="N4350" s="1"/>
      <c r="O4350" s="1" t="s">
        <v>30</v>
      </c>
      <c r="P4350" s="1" t="s">
        <v>31</v>
      </c>
      <c r="Q4350" s="1" t="s">
        <v>95</v>
      </c>
      <c r="R4350" s="1" t="s">
        <v>95</v>
      </c>
      <c r="S4350" s="1" t="s">
        <v>96</v>
      </c>
      <c r="T4350" s="1" t="s">
        <v>111</v>
      </c>
      <c r="U4350" s="1">
        <v>1.0061941E8</v>
      </c>
      <c r="X4350" s="1" t="s">
        <v>63</v>
      </c>
      <c r="Y4350" s="1" t="s">
        <v>12110</v>
      </c>
      <c r="Z4350" s="1" t="s">
        <v>37</v>
      </c>
    </row>
    <row r="4351" hidden="1">
      <c r="A4351" s="1" t="s">
        <v>12348</v>
      </c>
      <c r="B4351" s="1" t="s">
        <v>497</v>
      </c>
      <c r="C4351" s="1" t="s">
        <v>12349</v>
      </c>
      <c r="D4351" s="1" t="s">
        <v>27</v>
      </c>
      <c r="E4351" s="1" t="s">
        <v>28</v>
      </c>
      <c r="F4351" s="2">
        <v>150000.0</v>
      </c>
      <c r="G4351" s="4">
        <v>44776.0</v>
      </c>
      <c r="H4351" s="4">
        <f>IFERROR(__xludf.DUMMYFUNCTION("DATE(INDEX(SPLIT(G4351,""/""),,3),INDEX(SPLIT(G4351,""/""),,2),INDEX(SPLIT(G4351,""/""),,1))"),44628.0)</f>
        <v>44628</v>
      </c>
      <c r="I4351" s="1" t="s">
        <v>130</v>
      </c>
      <c r="J4351" s="4">
        <f>IFERROR(__xludf.DUMMYFUNCTION("DATE(INDEX(SPLIT(I4351,""/""),,3),INDEX(SPLIT(I4351,""/""),,2),INDEX(SPLIT(I4351,""/""),,1))"),44804.0)</f>
        <v>44804</v>
      </c>
      <c r="L4351" s="1">
        <v>0.0</v>
      </c>
      <c r="M4351" s="1" t="s">
        <v>2312</v>
      </c>
      <c r="N4351" s="1"/>
      <c r="O4351" s="1" t="s">
        <v>30</v>
      </c>
      <c r="P4351" s="1" t="s">
        <v>31</v>
      </c>
      <c r="Q4351" s="1" t="s">
        <v>32</v>
      </c>
      <c r="R4351" s="1" t="s">
        <v>32</v>
      </c>
      <c r="S4351" s="1" t="s">
        <v>33</v>
      </c>
      <c r="U4351" s="1">
        <v>1.00610903E8</v>
      </c>
      <c r="X4351" s="1" t="s">
        <v>35</v>
      </c>
      <c r="Y4351" s="1" t="s">
        <v>4099</v>
      </c>
      <c r="Z4351" s="1" t="s">
        <v>37</v>
      </c>
    </row>
    <row r="4352">
      <c r="A4352" s="1" t="s">
        <v>12350</v>
      </c>
      <c r="B4352" s="1" t="s">
        <v>1198</v>
      </c>
      <c r="C4352" s="1" t="s">
        <v>12351</v>
      </c>
      <c r="D4352" s="1" t="s">
        <v>27</v>
      </c>
      <c r="E4352" s="1" t="s">
        <v>28</v>
      </c>
      <c r="F4352" s="2">
        <v>150000.0</v>
      </c>
      <c r="G4352" s="1" t="s">
        <v>2963</v>
      </c>
      <c r="H4352" s="4">
        <f>IFERROR(__xludf.DUMMYFUNCTION("DATE(INDEX(SPLIT(G4352,""/""),,3),INDEX(SPLIT(G4352,""/""),,2),INDEX(SPLIT(G4352,""/""),,1))"),44524.0)</f>
        <v>44524</v>
      </c>
      <c r="I4352" s="1" t="s">
        <v>2300</v>
      </c>
      <c r="J4352" s="4">
        <f>IFERROR(__xludf.DUMMYFUNCTION("DATE(INDEX(SPLIT(I4352,""/""),,3),INDEX(SPLIT(I4352,""/""),,2),INDEX(SPLIT(I4352,""/""),,1))"),44712.0)</f>
        <v>44712</v>
      </c>
      <c r="L4352" s="1">
        <v>0.0</v>
      </c>
      <c r="M4352" s="1" t="s">
        <v>1759</v>
      </c>
      <c r="N4352" s="1"/>
      <c r="O4352" s="1" t="s">
        <v>30</v>
      </c>
      <c r="P4352" s="1" t="s">
        <v>31</v>
      </c>
      <c r="Q4352" s="1" t="s">
        <v>95</v>
      </c>
      <c r="R4352" s="1" t="s">
        <v>95</v>
      </c>
      <c r="S4352" s="1" t="s">
        <v>96</v>
      </c>
      <c r="T4352" s="1" t="s">
        <v>602</v>
      </c>
      <c r="U4352" s="1">
        <v>1.00596555E8</v>
      </c>
      <c r="X4352" s="1" t="s">
        <v>88</v>
      </c>
      <c r="Y4352" s="1" t="s">
        <v>9571</v>
      </c>
      <c r="Z4352" s="1" t="s">
        <v>206</v>
      </c>
    </row>
    <row r="4353" hidden="1">
      <c r="A4353" s="1" t="s">
        <v>12352</v>
      </c>
      <c r="B4353" s="1" t="s">
        <v>12353</v>
      </c>
      <c r="C4353" s="1" t="s">
        <v>12354</v>
      </c>
      <c r="D4353" s="1" t="s">
        <v>27</v>
      </c>
      <c r="E4353" s="1" t="s">
        <v>28</v>
      </c>
      <c r="F4353" s="2">
        <v>150000.0</v>
      </c>
      <c r="G4353" s="1" t="s">
        <v>3972</v>
      </c>
      <c r="H4353" s="4">
        <f>IFERROR(__xludf.DUMMYFUNCTION("DATE(INDEX(SPLIT(G4353,""/""),,3),INDEX(SPLIT(G4353,""/""),,2),INDEX(SPLIT(G4353,""/""),,1))"),44637.0)</f>
        <v>44637</v>
      </c>
      <c r="I4353" s="1" t="s">
        <v>109</v>
      </c>
      <c r="J4353" s="4">
        <f>IFERROR(__xludf.DUMMYFUNCTION("DATE(INDEX(SPLIT(I4353,""/""),,3),INDEX(SPLIT(I4353,""/""),,2),INDEX(SPLIT(I4353,""/""),,1))"),44834.0)</f>
        <v>44834</v>
      </c>
      <c r="L4353" s="1">
        <v>0.0</v>
      </c>
      <c r="M4353" s="1" t="s">
        <v>2600</v>
      </c>
      <c r="N4353" s="1"/>
      <c r="O4353" s="1" t="s">
        <v>30</v>
      </c>
      <c r="P4353" s="1" t="s">
        <v>31</v>
      </c>
      <c r="Q4353" s="1" t="s">
        <v>32</v>
      </c>
      <c r="R4353" s="1" t="s">
        <v>32</v>
      </c>
      <c r="S4353" s="1" t="s">
        <v>33</v>
      </c>
      <c r="U4353" s="1">
        <v>1.00642238E8</v>
      </c>
      <c r="X4353" s="1" t="s">
        <v>125</v>
      </c>
      <c r="Y4353" s="1" t="s">
        <v>2758</v>
      </c>
      <c r="Z4353" s="1" t="s">
        <v>37</v>
      </c>
    </row>
    <row r="4354" hidden="1">
      <c r="A4354" s="1" t="s">
        <v>12355</v>
      </c>
      <c r="B4354" s="1" t="s">
        <v>12060</v>
      </c>
      <c r="C4354" s="1" t="s">
        <v>12356</v>
      </c>
      <c r="D4354" s="1" t="s">
        <v>78</v>
      </c>
      <c r="E4354" s="1" t="s">
        <v>28</v>
      </c>
      <c r="F4354" s="2">
        <v>150000.0</v>
      </c>
      <c r="G4354" s="4">
        <v>44568.0</v>
      </c>
      <c r="H4354" s="4">
        <f>IFERROR(__xludf.DUMMYFUNCTION("DATE(INDEX(SPLIT(G4354,""/""),,3),INDEX(SPLIT(G4354,""/""),,2),INDEX(SPLIT(G4354,""/""),,1))"),44743.0)</f>
        <v>44743</v>
      </c>
      <c r="I4354" s="1" t="s">
        <v>42</v>
      </c>
      <c r="J4354" s="4">
        <f>IFERROR(__xludf.DUMMYFUNCTION("DATE(INDEX(SPLIT(I4354,""/""),,3),INDEX(SPLIT(I4354,""/""),,2),INDEX(SPLIT(I4354,""/""),,1))"),44926.0)</f>
        <v>44926</v>
      </c>
      <c r="L4354" s="1">
        <v>0.0</v>
      </c>
      <c r="M4354" s="1" t="s">
        <v>2568</v>
      </c>
      <c r="N4354" s="1"/>
      <c r="O4354" s="1" t="s">
        <v>30</v>
      </c>
      <c r="P4354" s="1" t="s">
        <v>31</v>
      </c>
      <c r="Q4354" s="1" t="s">
        <v>228</v>
      </c>
      <c r="R4354" s="1" t="s">
        <v>228</v>
      </c>
      <c r="S4354" s="1" t="s">
        <v>229</v>
      </c>
      <c r="T4354" s="1" t="s">
        <v>513</v>
      </c>
      <c r="U4354" s="1">
        <v>1.00659458E8</v>
      </c>
      <c r="X4354" s="1" t="s">
        <v>117</v>
      </c>
      <c r="Y4354" s="1" t="s">
        <v>2568</v>
      </c>
      <c r="Z4354" s="1" t="s">
        <v>37</v>
      </c>
    </row>
    <row r="4355" hidden="1">
      <c r="A4355" s="1" t="s">
        <v>12357</v>
      </c>
      <c r="B4355" s="1" t="s">
        <v>1748</v>
      </c>
      <c r="C4355" s="1" t="s">
        <v>12358</v>
      </c>
      <c r="D4355" s="1" t="s">
        <v>27</v>
      </c>
      <c r="E4355" s="1" t="s">
        <v>28</v>
      </c>
      <c r="F4355" s="2">
        <v>150000.0</v>
      </c>
      <c r="G4355" s="4">
        <v>44450.0</v>
      </c>
      <c r="H4355" s="4">
        <f>IFERROR(__xludf.DUMMYFUNCTION("DATE(INDEX(SPLIT(G4355,""/""),,3),INDEX(SPLIT(G4355,""/""),,2),INDEX(SPLIT(G4355,""/""),,1))"),44509.0)</f>
        <v>44509</v>
      </c>
      <c r="I4355" s="4">
        <v>44813.0</v>
      </c>
      <c r="J4355" s="4">
        <f>IFERROR(__xludf.DUMMYFUNCTION("DATE(INDEX(SPLIT(I4355,""/""),,3),INDEX(SPLIT(I4355,""/""),,2),INDEX(SPLIT(I4355,""/""),,1))"),44813.0)</f>
        <v>44813</v>
      </c>
      <c r="L4355" s="1">
        <v>0.0</v>
      </c>
      <c r="M4355" s="1" t="s">
        <v>3860</v>
      </c>
      <c r="N4355" s="1"/>
      <c r="O4355" s="1" t="s">
        <v>30</v>
      </c>
      <c r="P4355" s="1" t="s">
        <v>31</v>
      </c>
      <c r="Q4355" s="1" t="s">
        <v>235</v>
      </c>
      <c r="R4355" s="1" t="s">
        <v>235</v>
      </c>
      <c r="S4355" s="1" t="s">
        <v>236</v>
      </c>
      <c r="T4355" s="1" t="s">
        <v>753</v>
      </c>
      <c r="U4355" s="1">
        <v>1.00636461E8</v>
      </c>
      <c r="X4355" s="1" t="s">
        <v>88</v>
      </c>
      <c r="Y4355" s="1" t="s">
        <v>3860</v>
      </c>
      <c r="Z4355" s="1" t="s">
        <v>37</v>
      </c>
    </row>
    <row r="4356" hidden="1">
      <c r="A4356" s="1" t="s">
        <v>12359</v>
      </c>
      <c r="B4356" s="1" t="s">
        <v>532</v>
      </c>
      <c r="C4356" s="1" t="s">
        <v>12360</v>
      </c>
      <c r="D4356" s="1" t="s">
        <v>27</v>
      </c>
      <c r="E4356" s="1" t="s">
        <v>28</v>
      </c>
      <c r="F4356" s="2">
        <v>150000.0</v>
      </c>
      <c r="G4356" s="1" t="s">
        <v>1551</v>
      </c>
      <c r="H4356" s="4">
        <f>IFERROR(__xludf.DUMMYFUNCTION("DATE(INDEX(SPLIT(G4356,""/""),,3),INDEX(SPLIT(G4356,""/""),,2),INDEX(SPLIT(G4356,""/""),,1))"),44618.0)</f>
        <v>44618</v>
      </c>
      <c r="I4356" s="4">
        <v>44570.0</v>
      </c>
      <c r="J4356" s="4">
        <f>IFERROR(__xludf.DUMMYFUNCTION("DATE(INDEX(SPLIT(I4356,""/""),,3),INDEX(SPLIT(I4356,""/""),,2),INDEX(SPLIT(I4356,""/""),,1))"),44805.0)</f>
        <v>44805</v>
      </c>
      <c r="L4356" s="1">
        <v>0.0</v>
      </c>
      <c r="M4356" s="1" t="s">
        <v>3503</v>
      </c>
      <c r="N4356" s="1"/>
      <c r="O4356" s="1" t="s">
        <v>30</v>
      </c>
      <c r="P4356" s="1" t="s">
        <v>31</v>
      </c>
      <c r="Q4356" s="1" t="s">
        <v>95</v>
      </c>
      <c r="R4356" s="1" t="s">
        <v>95</v>
      </c>
      <c r="S4356" s="1" t="s">
        <v>96</v>
      </c>
      <c r="T4356" s="1" t="s">
        <v>537</v>
      </c>
      <c r="U4356" s="1">
        <v>1.00625578E8</v>
      </c>
      <c r="X4356" s="1" t="s">
        <v>490</v>
      </c>
      <c r="Y4356" s="1" t="s">
        <v>12361</v>
      </c>
      <c r="Z4356" s="1" t="s">
        <v>37</v>
      </c>
    </row>
    <row r="4357" hidden="1">
      <c r="A4357" s="1" t="s">
        <v>12362</v>
      </c>
      <c r="B4357" s="1" t="s">
        <v>2650</v>
      </c>
      <c r="C4357" s="1" t="s">
        <v>12363</v>
      </c>
      <c r="D4357" s="1" t="s">
        <v>78</v>
      </c>
      <c r="E4357" s="1" t="s">
        <v>28</v>
      </c>
      <c r="F4357" s="2">
        <v>150000.0</v>
      </c>
      <c r="G4357" s="1" t="s">
        <v>472</v>
      </c>
      <c r="H4357" s="4">
        <f>IFERROR(__xludf.DUMMYFUNCTION("DATE(INDEX(SPLIT(G4357,""/""),,3),INDEX(SPLIT(G4357,""/""),,2),INDEX(SPLIT(G4357,""/""),,1))"),44760.0)</f>
        <v>44760</v>
      </c>
      <c r="I4357" s="1" t="s">
        <v>109</v>
      </c>
      <c r="J4357" s="4">
        <f>IFERROR(__xludf.DUMMYFUNCTION("DATE(INDEX(SPLIT(I4357,""/""),,3),INDEX(SPLIT(I4357,""/""),,2),INDEX(SPLIT(I4357,""/""),,1))"),44834.0)</f>
        <v>44834</v>
      </c>
      <c r="L4357" s="1">
        <v>0.0</v>
      </c>
      <c r="M4357" s="1" t="s">
        <v>7088</v>
      </c>
      <c r="N4357" s="1"/>
      <c r="O4357" s="1" t="s">
        <v>30</v>
      </c>
      <c r="P4357" s="1" t="s">
        <v>31</v>
      </c>
      <c r="Q4357" s="1" t="s">
        <v>228</v>
      </c>
      <c r="R4357" s="1" t="s">
        <v>228</v>
      </c>
      <c r="S4357" s="1" t="s">
        <v>229</v>
      </c>
      <c r="T4357" s="1" t="s">
        <v>513</v>
      </c>
      <c r="U4357" s="1">
        <v>1.00597339E8</v>
      </c>
      <c r="X4357" s="1" t="s">
        <v>609</v>
      </c>
      <c r="Y4357" s="1" t="s">
        <v>7089</v>
      </c>
      <c r="Z4357" s="1" t="s">
        <v>37</v>
      </c>
    </row>
    <row r="4358" hidden="1">
      <c r="A4358" s="1" t="s">
        <v>12364</v>
      </c>
      <c r="B4358" s="1" t="s">
        <v>6356</v>
      </c>
      <c r="C4358" s="1" t="s">
        <v>12365</v>
      </c>
      <c r="D4358" s="1" t="s">
        <v>27</v>
      </c>
      <c r="E4358" s="1" t="s">
        <v>28</v>
      </c>
      <c r="F4358" s="2">
        <v>150000.0</v>
      </c>
      <c r="G4358" s="1" t="s">
        <v>600</v>
      </c>
      <c r="H4358" s="4">
        <f>IFERROR(__xludf.DUMMYFUNCTION("DATE(INDEX(SPLIT(G4358,""/""),,3),INDEX(SPLIT(G4358,""/""),,2),INDEX(SPLIT(G4358,""/""),,1))"),44665.0)</f>
        <v>44665</v>
      </c>
      <c r="I4358" s="4">
        <v>44601.0</v>
      </c>
      <c r="J4358" s="4">
        <f>IFERROR(__xludf.DUMMYFUNCTION("DATE(INDEX(SPLIT(I4358,""/""),,3),INDEX(SPLIT(I4358,""/""),,2),INDEX(SPLIT(I4358,""/""),,1))"),44806.0)</f>
        <v>44806</v>
      </c>
      <c r="L4358" s="1">
        <v>0.0</v>
      </c>
      <c r="M4358" s="1" t="s">
        <v>1230</v>
      </c>
      <c r="N4358" s="1"/>
      <c r="O4358" s="1" t="s">
        <v>30</v>
      </c>
      <c r="P4358" s="1" t="s">
        <v>31</v>
      </c>
      <c r="Q4358" s="1" t="s">
        <v>53</v>
      </c>
      <c r="R4358" s="1" t="s">
        <v>53</v>
      </c>
      <c r="S4358" s="1" t="s">
        <v>54</v>
      </c>
      <c r="U4358" s="1">
        <v>1.01127868E8</v>
      </c>
      <c r="X4358" s="1" t="s">
        <v>312</v>
      </c>
      <c r="Y4358" s="1" t="s">
        <v>2367</v>
      </c>
      <c r="Z4358" s="1" t="s">
        <v>37</v>
      </c>
    </row>
    <row r="4359">
      <c r="A4359" s="1" t="s">
        <v>12366</v>
      </c>
      <c r="B4359" s="1" t="s">
        <v>1286</v>
      </c>
      <c r="C4359" s="1" t="s">
        <v>12367</v>
      </c>
      <c r="D4359" s="1" t="s">
        <v>27</v>
      </c>
      <c r="E4359" s="1" t="s">
        <v>28</v>
      </c>
      <c r="F4359" s="2">
        <v>150000.0</v>
      </c>
      <c r="G4359" s="1" t="s">
        <v>600</v>
      </c>
      <c r="H4359" s="4">
        <f>IFERROR(__xludf.DUMMYFUNCTION("DATE(INDEX(SPLIT(G4359,""/""),,3),INDEX(SPLIT(G4359,""/""),,2),INDEX(SPLIT(G4359,""/""),,1))"),44665.0)</f>
        <v>44665</v>
      </c>
      <c r="I4359" s="1" t="s">
        <v>226</v>
      </c>
      <c r="J4359" s="4">
        <f>IFERROR(__xludf.DUMMYFUNCTION("DATE(INDEX(SPLIT(I4359,""/""),,3),INDEX(SPLIT(I4359,""/""),,2),INDEX(SPLIT(I4359,""/""),,1))"),44771.0)</f>
        <v>44771</v>
      </c>
      <c r="L4359" s="1">
        <v>0.0</v>
      </c>
      <c r="M4359" s="1" t="s">
        <v>2787</v>
      </c>
      <c r="N4359" s="1"/>
      <c r="O4359" s="1" t="s">
        <v>30</v>
      </c>
      <c r="P4359" s="1" t="s">
        <v>31</v>
      </c>
      <c r="Q4359" s="1" t="s">
        <v>157</v>
      </c>
      <c r="R4359" s="1" t="s">
        <v>157</v>
      </c>
      <c r="S4359" s="1" t="s">
        <v>158</v>
      </c>
      <c r="U4359" s="1">
        <v>1.00708984E8</v>
      </c>
      <c r="X4359" s="1" t="s">
        <v>312</v>
      </c>
      <c r="Y4359" s="1" t="s">
        <v>2367</v>
      </c>
      <c r="Z4359" s="1" t="s">
        <v>37</v>
      </c>
    </row>
    <row r="4360" hidden="1">
      <c r="A4360" s="1" t="s">
        <v>12368</v>
      </c>
      <c r="B4360" s="1" t="s">
        <v>10400</v>
      </c>
      <c r="C4360" s="1" t="s">
        <v>12369</v>
      </c>
      <c r="D4360" s="1" t="s">
        <v>27</v>
      </c>
      <c r="E4360" s="1" t="s">
        <v>28</v>
      </c>
      <c r="F4360" s="2">
        <v>150000.0</v>
      </c>
      <c r="G4360" s="1" t="s">
        <v>1023</v>
      </c>
      <c r="H4360" s="4">
        <f>IFERROR(__xludf.DUMMYFUNCTION("DATE(INDEX(SPLIT(G4360,""/""),,3),INDEX(SPLIT(G4360,""/""),,2),INDEX(SPLIT(G4360,""/""),,1))"),44090.0)</f>
        <v>44090</v>
      </c>
      <c r="I4360" s="1" t="s">
        <v>109</v>
      </c>
      <c r="J4360" s="4">
        <f>IFERROR(__xludf.DUMMYFUNCTION("DATE(INDEX(SPLIT(I4360,""/""),,3),INDEX(SPLIT(I4360,""/""),,2),INDEX(SPLIT(I4360,""/""),,1))"),44834.0)</f>
        <v>44834</v>
      </c>
      <c r="L4360" s="1">
        <v>0.0</v>
      </c>
      <c r="M4360" s="1" t="s">
        <v>1200</v>
      </c>
      <c r="N4360" s="1"/>
      <c r="O4360" s="1" t="s">
        <v>30</v>
      </c>
      <c r="P4360" s="1" t="s">
        <v>31</v>
      </c>
      <c r="Q4360" s="1" t="s">
        <v>235</v>
      </c>
      <c r="R4360" s="1" t="s">
        <v>235</v>
      </c>
      <c r="S4360" s="1" t="s">
        <v>236</v>
      </c>
      <c r="T4360" s="1" t="s">
        <v>438</v>
      </c>
      <c r="U4360" s="1">
        <v>1.00586959E8</v>
      </c>
      <c r="X4360" s="1" t="s">
        <v>88</v>
      </c>
      <c r="Y4360" s="1" t="s">
        <v>2865</v>
      </c>
      <c r="Z4360" s="1" t="s">
        <v>37</v>
      </c>
    </row>
    <row r="4361" hidden="1">
      <c r="A4361" s="1" t="s">
        <v>12370</v>
      </c>
      <c r="B4361" s="1" t="s">
        <v>12371</v>
      </c>
      <c r="C4361" s="1" t="s">
        <v>12372</v>
      </c>
      <c r="D4361" s="1" t="s">
        <v>78</v>
      </c>
      <c r="E4361" s="1" t="s">
        <v>28</v>
      </c>
      <c r="F4361" s="2">
        <v>150000.0</v>
      </c>
      <c r="G4361" s="1" t="s">
        <v>2655</v>
      </c>
      <c r="H4361" s="4">
        <f>IFERROR(__xludf.DUMMYFUNCTION("DATE(INDEX(SPLIT(G4361,""/""),,3),INDEX(SPLIT(G4361,""/""),,2),INDEX(SPLIT(G4361,""/""),,1))"),44467.0)</f>
        <v>44467</v>
      </c>
      <c r="I4361" s="1" t="s">
        <v>130</v>
      </c>
      <c r="J4361" s="4">
        <f>IFERROR(__xludf.DUMMYFUNCTION("DATE(INDEX(SPLIT(I4361,""/""),,3),INDEX(SPLIT(I4361,""/""),,2),INDEX(SPLIT(I4361,""/""),,1))"),44804.0)</f>
        <v>44804</v>
      </c>
      <c r="L4361" s="1">
        <v>0.0</v>
      </c>
      <c r="M4361" s="1" t="s">
        <v>2592</v>
      </c>
      <c r="N4361" s="1"/>
      <c r="O4361" s="1" t="s">
        <v>30</v>
      </c>
      <c r="P4361" s="1" t="s">
        <v>31</v>
      </c>
      <c r="Q4361" s="1" t="s">
        <v>71</v>
      </c>
      <c r="R4361" s="1" t="s">
        <v>71</v>
      </c>
      <c r="S4361" s="1" t="s">
        <v>72</v>
      </c>
      <c r="T4361" s="1" t="s">
        <v>136</v>
      </c>
      <c r="U4361" s="1">
        <v>1.00586452E8</v>
      </c>
      <c r="X4361" s="1" t="s">
        <v>74</v>
      </c>
      <c r="Y4361" s="1" t="s">
        <v>2593</v>
      </c>
      <c r="Z4361" s="1" t="s">
        <v>37</v>
      </c>
    </row>
    <row r="4362" hidden="1">
      <c r="A4362" s="1" t="s">
        <v>12373</v>
      </c>
      <c r="B4362" s="1" t="s">
        <v>605</v>
      </c>
      <c r="C4362" s="1" t="s">
        <v>12374</v>
      </c>
      <c r="D4362" s="1" t="s">
        <v>78</v>
      </c>
      <c r="E4362" s="1" t="s">
        <v>28</v>
      </c>
      <c r="F4362" s="2">
        <v>150000.0</v>
      </c>
      <c r="G4362" s="1" t="s">
        <v>343</v>
      </c>
      <c r="H4362" s="4">
        <f>IFERROR(__xludf.DUMMYFUNCTION("DATE(INDEX(SPLIT(G4362,""/""),,3),INDEX(SPLIT(G4362,""/""),,2),INDEX(SPLIT(G4362,""/""),,1))"),44761.0)</f>
        <v>44761</v>
      </c>
      <c r="I4362" s="1" t="s">
        <v>109</v>
      </c>
      <c r="J4362" s="4">
        <f>IFERROR(__xludf.DUMMYFUNCTION("DATE(INDEX(SPLIT(I4362,""/""),,3),INDEX(SPLIT(I4362,""/""),,2),INDEX(SPLIT(I4362,""/""),,1))"),44834.0)</f>
        <v>44834</v>
      </c>
      <c r="L4362" s="1">
        <v>0.0</v>
      </c>
      <c r="M4362" s="1" t="s">
        <v>3944</v>
      </c>
      <c r="N4362" s="1"/>
      <c r="O4362" s="1" t="s">
        <v>30</v>
      </c>
      <c r="P4362" s="1" t="s">
        <v>31</v>
      </c>
      <c r="Q4362" s="1" t="s">
        <v>228</v>
      </c>
      <c r="R4362" s="1" t="s">
        <v>228</v>
      </c>
      <c r="S4362" s="1" t="s">
        <v>229</v>
      </c>
      <c r="T4362" s="1" t="s">
        <v>640</v>
      </c>
      <c r="U4362" s="1">
        <v>1.00655073E8</v>
      </c>
      <c r="X4362" s="1" t="s">
        <v>609</v>
      </c>
      <c r="Y4362" s="1" t="s">
        <v>7093</v>
      </c>
      <c r="Z4362" s="1" t="s">
        <v>37</v>
      </c>
    </row>
    <row r="4363" hidden="1">
      <c r="A4363" s="1" t="s">
        <v>12375</v>
      </c>
      <c r="B4363" s="1" t="s">
        <v>1042</v>
      </c>
      <c r="C4363" s="1" t="s">
        <v>12376</v>
      </c>
      <c r="D4363" s="1" t="s">
        <v>78</v>
      </c>
      <c r="E4363" s="1" t="s">
        <v>28</v>
      </c>
      <c r="F4363" s="2">
        <v>150000.0</v>
      </c>
      <c r="G4363" s="4">
        <v>44685.0</v>
      </c>
      <c r="H4363" s="4">
        <f>IFERROR(__xludf.DUMMYFUNCTION("DATE(INDEX(SPLIT(G4363,""/""),,3),INDEX(SPLIT(G4363,""/""),,2),INDEX(SPLIT(G4363,""/""),,1))"),44656.0)</f>
        <v>44656</v>
      </c>
      <c r="I4363" s="1" t="s">
        <v>109</v>
      </c>
      <c r="J4363" s="4">
        <f>IFERROR(__xludf.DUMMYFUNCTION("DATE(INDEX(SPLIT(I4363,""/""),,3),INDEX(SPLIT(I4363,""/""),,2),INDEX(SPLIT(I4363,""/""),,1))"),44834.0)</f>
        <v>44834</v>
      </c>
      <c r="L4363" s="1">
        <v>0.0</v>
      </c>
      <c r="M4363" s="1" t="s">
        <v>7088</v>
      </c>
      <c r="N4363" s="1"/>
      <c r="O4363" s="1" t="s">
        <v>30</v>
      </c>
      <c r="P4363" s="1" t="s">
        <v>31</v>
      </c>
      <c r="Q4363" s="1" t="s">
        <v>228</v>
      </c>
      <c r="R4363" s="1" t="s">
        <v>228</v>
      </c>
      <c r="S4363" s="1" t="s">
        <v>229</v>
      </c>
      <c r="T4363" s="1" t="s">
        <v>345</v>
      </c>
      <c r="U4363" s="1">
        <v>1.00597339E8</v>
      </c>
      <c r="X4363" s="1" t="s">
        <v>88</v>
      </c>
      <c r="Y4363" s="1" t="s">
        <v>7089</v>
      </c>
      <c r="Z4363" s="1" t="s">
        <v>37</v>
      </c>
    </row>
    <row r="4364" hidden="1">
      <c r="A4364" s="1" t="s">
        <v>12377</v>
      </c>
      <c r="B4364" s="1" t="s">
        <v>470</v>
      </c>
      <c r="C4364" s="1" t="s">
        <v>12378</v>
      </c>
      <c r="D4364" s="1" t="s">
        <v>78</v>
      </c>
      <c r="E4364" s="1" t="s">
        <v>28</v>
      </c>
      <c r="F4364" s="2">
        <v>150000.0</v>
      </c>
      <c r="G4364" s="4">
        <v>44685.0</v>
      </c>
      <c r="H4364" s="4">
        <f>IFERROR(__xludf.DUMMYFUNCTION("DATE(INDEX(SPLIT(G4364,""/""),,3),INDEX(SPLIT(G4364,""/""),,2),INDEX(SPLIT(G4364,""/""),,1))"),44656.0)</f>
        <v>44656</v>
      </c>
      <c r="I4364" s="1" t="s">
        <v>281</v>
      </c>
      <c r="J4364" s="4">
        <f>IFERROR(__xludf.DUMMYFUNCTION("DATE(INDEX(SPLIT(I4364,""/""),,3),INDEX(SPLIT(I4364,""/""),,2),INDEX(SPLIT(I4364,""/""),,1))"),44865.0)</f>
        <v>44865</v>
      </c>
      <c r="L4364" s="1">
        <v>0.0</v>
      </c>
      <c r="M4364" s="1" t="s">
        <v>172</v>
      </c>
      <c r="N4364" s="1"/>
      <c r="O4364" s="1" t="s">
        <v>30</v>
      </c>
      <c r="P4364" s="1" t="s">
        <v>31</v>
      </c>
      <c r="Q4364" s="1" t="s">
        <v>95</v>
      </c>
      <c r="R4364" s="1" t="s">
        <v>95</v>
      </c>
      <c r="S4364" s="1" t="s">
        <v>96</v>
      </c>
      <c r="T4364" s="1" t="s">
        <v>571</v>
      </c>
      <c r="U4364" s="1">
        <v>1.00658519E8</v>
      </c>
      <c r="X4364" s="1" t="s">
        <v>254</v>
      </c>
      <c r="Y4364" s="1" t="s">
        <v>2434</v>
      </c>
      <c r="Z4364" s="1" t="s">
        <v>37</v>
      </c>
    </row>
    <row r="4365">
      <c r="A4365" s="1" t="s">
        <v>12379</v>
      </c>
      <c r="B4365" s="1" t="s">
        <v>3040</v>
      </c>
      <c r="C4365" s="1" t="s">
        <v>12380</v>
      </c>
      <c r="D4365" s="1" t="s">
        <v>78</v>
      </c>
      <c r="E4365" s="1" t="s">
        <v>28</v>
      </c>
      <c r="F4365" s="2">
        <v>150000.0</v>
      </c>
      <c r="G4365" s="1" t="s">
        <v>1244</v>
      </c>
      <c r="H4365" s="4">
        <f>IFERROR(__xludf.DUMMYFUNCTION("DATE(INDEX(SPLIT(G4365,""/""),,3),INDEX(SPLIT(G4365,""/""),,2),INDEX(SPLIT(G4365,""/""),,1))"),44742.0)</f>
        <v>44742</v>
      </c>
      <c r="I4365" s="1" t="s">
        <v>226</v>
      </c>
      <c r="J4365" s="4">
        <f>IFERROR(__xludf.DUMMYFUNCTION("DATE(INDEX(SPLIT(I4365,""/""),,3),INDEX(SPLIT(I4365,""/""),,2),INDEX(SPLIT(I4365,""/""),,1))"),44771.0)</f>
        <v>44771</v>
      </c>
      <c r="L4365" s="1">
        <v>0.0</v>
      </c>
      <c r="M4365" s="1" t="s">
        <v>5452</v>
      </c>
      <c r="N4365" s="1"/>
      <c r="O4365" s="1" t="s">
        <v>30</v>
      </c>
      <c r="P4365" s="1" t="s">
        <v>31</v>
      </c>
      <c r="Q4365" s="1" t="s">
        <v>188</v>
      </c>
      <c r="R4365" s="1" t="s">
        <v>188</v>
      </c>
      <c r="S4365" s="1" t="s">
        <v>189</v>
      </c>
      <c r="U4365" s="1">
        <v>1.00655649E8</v>
      </c>
      <c r="X4365" s="1" t="s">
        <v>125</v>
      </c>
      <c r="Y4365" s="1" t="s">
        <v>6199</v>
      </c>
      <c r="Z4365" s="1" t="s">
        <v>37</v>
      </c>
    </row>
    <row r="4366" hidden="1">
      <c r="A4366" s="1" t="s">
        <v>12381</v>
      </c>
      <c r="B4366" s="1" t="s">
        <v>12382</v>
      </c>
      <c r="C4366" s="1" t="s">
        <v>12383</v>
      </c>
      <c r="D4366" s="1" t="s">
        <v>122</v>
      </c>
      <c r="E4366" s="1" t="s">
        <v>28</v>
      </c>
      <c r="F4366" s="2">
        <v>150000.0</v>
      </c>
      <c r="G4366" s="1" t="s">
        <v>343</v>
      </c>
      <c r="H4366" s="4">
        <f>IFERROR(__xludf.DUMMYFUNCTION("DATE(INDEX(SPLIT(G4366,""/""),,3),INDEX(SPLIT(G4366,""/""),,2),INDEX(SPLIT(G4366,""/""),,1))"),44761.0)</f>
        <v>44761</v>
      </c>
      <c r="I4366" s="1" t="s">
        <v>130</v>
      </c>
      <c r="J4366" s="4">
        <f>IFERROR(__xludf.DUMMYFUNCTION("DATE(INDEX(SPLIT(I4366,""/""),,3),INDEX(SPLIT(I4366,""/""),,2),INDEX(SPLIT(I4366,""/""),,1))"),44804.0)</f>
        <v>44804</v>
      </c>
      <c r="L4366" s="1">
        <v>0.0</v>
      </c>
      <c r="M4366" s="1" t="s">
        <v>11254</v>
      </c>
      <c r="N4366" s="1"/>
      <c r="O4366" s="1" t="s">
        <v>30</v>
      </c>
      <c r="P4366" s="1" t="s">
        <v>31</v>
      </c>
      <c r="Q4366" s="1" t="s">
        <v>228</v>
      </c>
      <c r="R4366" s="1" t="s">
        <v>228</v>
      </c>
      <c r="S4366" s="1" t="s">
        <v>229</v>
      </c>
      <c r="U4366" s="1">
        <v>1.00602248E8</v>
      </c>
      <c r="X4366" s="1" t="s">
        <v>5049</v>
      </c>
      <c r="Y4366" s="1" t="s">
        <v>5688</v>
      </c>
      <c r="Z4366" s="1" t="s">
        <v>37</v>
      </c>
    </row>
    <row r="4367" hidden="1">
      <c r="A4367" s="1" t="s">
        <v>12384</v>
      </c>
      <c r="B4367" s="1" t="s">
        <v>1743</v>
      </c>
      <c r="C4367" s="1" t="s">
        <v>12385</v>
      </c>
      <c r="D4367" s="1" t="s">
        <v>122</v>
      </c>
      <c r="E4367" s="1" t="s">
        <v>28</v>
      </c>
      <c r="F4367" s="2">
        <v>150000.0</v>
      </c>
      <c r="G4367" s="1" t="s">
        <v>1244</v>
      </c>
      <c r="H4367" s="4">
        <f>IFERROR(__xludf.DUMMYFUNCTION("DATE(INDEX(SPLIT(G4367,""/""),,3),INDEX(SPLIT(G4367,""/""),,2),INDEX(SPLIT(G4367,""/""),,1))"),44742.0)</f>
        <v>44742</v>
      </c>
      <c r="I4367" s="4">
        <v>44662.0</v>
      </c>
      <c r="J4367" s="4">
        <f>IFERROR(__xludf.DUMMYFUNCTION("DATE(INDEX(SPLIT(I4367,""/""),,3),INDEX(SPLIT(I4367,""/""),,2),INDEX(SPLIT(I4367,""/""),,1))"),44869.0)</f>
        <v>44869</v>
      </c>
      <c r="L4367" s="1">
        <v>0.0</v>
      </c>
      <c r="M4367" s="1" t="s">
        <v>2592</v>
      </c>
      <c r="N4367" s="1"/>
      <c r="O4367" s="1" t="s">
        <v>30</v>
      </c>
      <c r="P4367" s="1" t="s">
        <v>31</v>
      </c>
      <c r="Q4367" s="1" t="s">
        <v>71</v>
      </c>
      <c r="R4367" s="1" t="s">
        <v>71</v>
      </c>
      <c r="S4367" s="1" t="s">
        <v>72</v>
      </c>
      <c r="T4367" s="1" t="s">
        <v>136</v>
      </c>
      <c r="U4367" s="1">
        <v>1.00586452E8</v>
      </c>
      <c r="X4367" s="1" t="s">
        <v>74</v>
      </c>
      <c r="Y4367" s="1" t="s">
        <v>2592</v>
      </c>
      <c r="Z4367" s="1" t="s">
        <v>37</v>
      </c>
    </row>
    <row r="4368" hidden="1">
      <c r="A4368" s="1" t="s">
        <v>12386</v>
      </c>
      <c r="B4368" s="1" t="s">
        <v>12387</v>
      </c>
      <c r="C4368" s="1" t="s">
        <v>12388</v>
      </c>
      <c r="D4368" s="1" t="s">
        <v>78</v>
      </c>
      <c r="E4368" s="1" t="s">
        <v>28</v>
      </c>
      <c r="F4368" s="2">
        <v>150000.0</v>
      </c>
      <c r="G4368" s="4">
        <v>43710.0</v>
      </c>
      <c r="H4368" s="4">
        <f>IFERROR(__xludf.DUMMYFUNCTION("DATE(INDEX(SPLIT(G4368,""/""),,3),INDEX(SPLIT(G4368,""/""),,2),INDEX(SPLIT(G4368,""/""),,1))"),43505.0)</f>
        <v>43505</v>
      </c>
      <c r="I4368" s="1" t="s">
        <v>317</v>
      </c>
      <c r="J4368" s="4">
        <f>IFERROR(__xludf.DUMMYFUNCTION("DATE(INDEX(SPLIT(I4368,""/""),,3),INDEX(SPLIT(I4368,""/""),,2),INDEX(SPLIT(I4368,""/""),,1))"),44862.0)</f>
        <v>44862</v>
      </c>
      <c r="L4368" s="1">
        <v>0.0</v>
      </c>
      <c r="M4368" s="1" t="s">
        <v>2237</v>
      </c>
      <c r="N4368" s="1"/>
      <c r="O4368" s="1" t="s">
        <v>30</v>
      </c>
      <c r="P4368" s="1" t="s">
        <v>31</v>
      </c>
      <c r="Q4368" s="1" t="s">
        <v>32</v>
      </c>
      <c r="R4368" s="1" t="s">
        <v>32</v>
      </c>
      <c r="S4368" s="1" t="s">
        <v>33</v>
      </c>
      <c r="T4368" s="1" t="s">
        <v>1349</v>
      </c>
      <c r="U4368" s="1">
        <v>1.00611284E8</v>
      </c>
      <c r="X4368" s="1" t="s">
        <v>375</v>
      </c>
      <c r="Y4368" s="1" t="s">
        <v>12389</v>
      </c>
      <c r="Z4368" s="1" t="s">
        <v>37</v>
      </c>
    </row>
    <row r="4369">
      <c r="A4369" s="1" t="s">
        <v>12390</v>
      </c>
      <c r="B4369" s="1" t="s">
        <v>12391</v>
      </c>
      <c r="C4369" s="1" t="s">
        <v>12392</v>
      </c>
      <c r="D4369" s="1" t="s">
        <v>122</v>
      </c>
      <c r="E4369" s="1" t="s">
        <v>28</v>
      </c>
      <c r="F4369" s="2">
        <v>150000.0</v>
      </c>
      <c r="G4369" s="4">
        <v>44481.0</v>
      </c>
      <c r="H4369" s="4">
        <f>IFERROR(__xludf.DUMMYFUNCTION("DATE(INDEX(SPLIT(G4369,""/""),,3),INDEX(SPLIT(G4369,""/""),,2),INDEX(SPLIT(G4369,""/""),,1))"),44540.0)</f>
        <v>44540</v>
      </c>
      <c r="I4369" s="1" t="s">
        <v>2300</v>
      </c>
      <c r="J4369" s="4">
        <f>IFERROR(__xludf.DUMMYFUNCTION("DATE(INDEX(SPLIT(I4369,""/""),,3),INDEX(SPLIT(I4369,""/""),,2),INDEX(SPLIT(I4369,""/""),,1))"),44712.0)</f>
        <v>44712</v>
      </c>
      <c r="L4369" s="1">
        <v>0.0</v>
      </c>
      <c r="M4369" s="1" t="s">
        <v>8354</v>
      </c>
      <c r="N4369" s="1"/>
      <c r="O4369" s="1" t="s">
        <v>30</v>
      </c>
      <c r="P4369" s="1" t="s">
        <v>31</v>
      </c>
      <c r="Q4369" s="1" t="s">
        <v>228</v>
      </c>
      <c r="R4369" s="1" t="s">
        <v>228</v>
      </c>
      <c r="S4369" s="1" t="s">
        <v>229</v>
      </c>
      <c r="T4369" s="1" t="s">
        <v>640</v>
      </c>
      <c r="U4369" s="1">
        <v>1.00627554E8</v>
      </c>
      <c r="X4369" s="1" t="s">
        <v>74</v>
      </c>
      <c r="Y4369" s="1" t="s">
        <v>8354</v>
      </c>
      <c r="Z4369" s="1" t="s">
        <v>206</v>
      </c>
    </row>
    <row r="4370" hidden="1">
      <c r="A4370" s="1" t="s">
        <v>12393</v>
      </c>
      <c r="B4370" s="1" t="s">
        <v>12394</v>
      </c>
      <c r="C4370" s="1" t="s">
        <v>12395</v>
      </c>
      <c r="D4370" s="1" t="s">
        <v>122</v>
      </c>
      <c r="E4370" s="1" t="s">
        <v>28</v>
      </c>
      <c r="F4370" s="2">
        <v>150000.0</v>
      </c>
      <c r="G4370" s="4">
        <v>44748.0</v>
      </c>
      <c r="H4370" s="4">
        <f>IFERROR(__xludf.DUMMYFUNCTION("DATE(INDEX(SPLIT(G4370,""/""),,3),INDEX(SPLIT(G4370,""/""),,2),INDEX(SPLIT(G4370,""/""),,1))"),44719.0)</f>
        <v>44719</v>
      </c>
      <c r="I4370" s="4">
        <v>44604.0</v>
      </c>
      <c r="J4370" s="4">
        <f>IFERROR(__xludf.DUMMYFUNCTION("DATE(INDEX(SPLIT(I4370,""/""),,3),INDEX(SPLIT(I4370,""/""),,2),INDEX(SPLIT(I4370,""/""),,1))"),44897.0)</f>
        <v>44897</v>
      </c>
      <c r="L4370" s="1">
        <v>0.0</v>
      </c>
      <c r="M4370" s="1" t="s">
        <v>2472</v>
      </c>
      <c r="N4370" s="1"/>
      <c r="O4370" s="1" t="s">
        <v>30</v>
      </c>
      <c r="P4370" s="1" t="s">
        <v>31</v>
      </c>
      <c r="Q4370" s="1" t="s">
        <v>228</v>
      </c>
      <c r="R4370" s="1" t="s">
        <v>228</v>
      </c>
      <c r="S4370" s="1" t="s">
        <v>229</v>
      </c>
      <c r="T4370" s="1" t="s">
        <v>640</v>
      </c>
      <c r="U4370" s="1">
        <v>1.00645232E8</v>
      </c>
      <c r="X4370" s="1" t="s">
        <v>239</v>
      </c>
      <c r="Y4370" s="1" t="s">
        <v>9005</v>
      </c>
      <c r="Z4370" s="1" t="s">
        <v>37</v>
      </c>
    </row>
    <row r="4371" hidden="1">
      <c r="A4371" s="1" t="s">
        <v>12396</v>
      </c>
      <c r="B4371" s="1" t="s">
        <v>9161</v>
      </c>
      <c r="C4371" s="1" t="s">
        <v>12397</v>
      </c>
      <c r="D4371" s="1" t="s">
        <v>78</v>
      </c>
      <c r="E4371" s="1" t="s">
        <v>28</v>
      </c>
      <c r="F4371" s="2">
        <v>150000.0</v>
      </c>
      <c r="G4371" s="1" t="s">
        <v>12398</v>
      </c>
      <c r="H4371" s="4">
        <f>IFERROR(__xludf.DUMMYFUNCTION("DATE(INDEX(SPLIT(G4371,""/""),,3),INDEX(SPLIT(G4371,""/""),,2),INDEX(SPLIT(G4371,""/""),,1))"),43676.0)</f>
        <v>43676</v>
      </c>
      <c r="I4371" s="4">
        <v>44933.0</v>
      </c>
      <c r="J4371" s="4">
        <f>IFERROR(__xludf.DUMMYFUNCTION("DATE(INDEX(SPLIT(I4371,""/""),,3),INDEX(SPLIT(I4371,""/""),,2),INDEX(SPLIT(I4371,""/""),,1))"),45108.0)</f>
        <v>45108</v>
      </c>
      <c r="L4371" s="1">
        <v>0.0</v>
      </c>
      <c r="M4371" s="1" t="s">
        <v>3573</v>
      </c>
      <c r="N4371" s="1"/>
      <c r="O4371" s="1" t="s">
        <v>30</v>
      </c>
      <c r="P4371" s="1" t="s">
        <v>31</v>
      </c>
      <c r="Q4371" s="1" t="s">
        <v>157</v>
      </c>
      <c r="R4371" s="1" t="s">
        <v>157</v>
      </c>
      <c r="S4371" s="1" t="s">
        <v>158</v>
      </c>
      <c r="T4371" s="1" t="s">
        <v>442</v>
      </c>
      <c r="U4371" s="1">
        <v>1.00651086E8</v>
      </c>
      <c r="X4371" s="1" t="s">
        <v>375</v>
      </c>
      <c r="Y4371" s="1" t="s">
        <v>847</v>
      </c>
      <c r="Z4371" s="1" t="s">
        <v>37</v>
      </c>
    </row>
    <row r="4372" hidden="1">
      <c r="A4372" s="1" t="s">
        <v>12399</v>
      </c>
      <c r="B4372" s="1" t="s">
        <v>532</v>
      </c>
      <c r="C4372" s="1" t="s">
        <v>12400</v>
      </c>
      <c r="D4372" s="1" t="s">
        <v>122</v>
      </c>
      <c r="E4372" s="1" t="s">
        <v>28</v>
      </c>
      <c r="F4372" s="2">
        <v>150000.0</v>
      </c>
      <c r="G4372" s="4">
        <v>44567.0</v>
      </c>
      <c r="H4372" s="4">
        <f>IFERROR(__xludf.DUMMYFUNCTION("DATE(INDEX(SPLIT(G4372,""/""),,3),INDEX(SPLIT(G4372,""/""),,2),INDEX(SPLIT(G4372,""/""),,1))"),44713.0)</f>
        <v>44713</v>
      </c>
      <c r="I4372" s="1" t="s">
        <v>1799</v>
      </c>
      <c r="J4372" s="4">
        <f>IFERROR(__xludf.DUMMYFUNCTION("DATE(INDEX(SPLIT(I4372,""/""),,3),INDEX(SPLIT(I4372,""/""),,2),INDEX(SPLIT(I4372,""/""),,1))"),44788.0)</f>
        <v>44788</v>
      </c>
      <c r="L4372" s="1">
        <v>0.0</v>
      </c>
      <c r="M4372" s="1" t="s">
        <v>1675</v>
      </c>
      <c r="N4372" s="1"/>
      <c r="O4372" s="1" t="s">
        <v>30</v>
      </c>
      <c r="P4372" s="1" t="s">
        <v>31</v>
      </c>
      <c r="Q4372" s="1" t="s">
        <v>32</v>
      </c>
      <c r="R4372" s="1" t="s">
        <v>32</v>
      </c>
      <c r="S4372" s="1" t="s">
        <v>33</v>
      </c>
      <c r="U4372" s="1">
        <v>1.00656371E8</v>
      </c>
      <c r="X4372" s="1" t="s">
        <v>490</v>
      </c>
      <c r="Y4372" s="1" t="s">
        <v>4304</v>
      </c>
      <c r="Z4372" s="1" t="s">
        <v>527</v>
      </c>
    </row>
    <row r="4373" hidden="1">
      <c r="A4373" s="1" t="s">
        <v>12401</v>
      </c>
      <c r="B4373" s="1" t="s">
        <v>709</v>
      </c>
      <c r="C4373" s="1" t="s">
        <v>12402</v>
      </c>
      <c r="D4373" s="1" t="s">
        <v>78</v>
      </c>
      <c r="E4373" s="1" t="s">
        <v>28</v>
      </c>
      <c r="F4373" s="2">
        <v>150000.0</v>
      </c>
      <c r="G4373" s="1" t="s">
        <v>233</v>
      </c>
      <c r="H4373" s="4">
        <f>IFERROR(__xludf.DUMMYFUNCTION("DATE(INDEX(SPLIT(G4373,""/""),,3),INDEX(SPLIT(G4373,""/""),,2),INDEX(SPLIT(G4373,""/""),,1))"),44729.0)</f>
        <v>44729</v>
      </c>
      <c r="I4373" s="4">
        <v>44569.0</v>
      </c>
      <c r="J4373" s="4">
        <f>IFERROR(__xludf.DUMMYFUNCTION("DATE(INDEX(SPLIT(I4373,""/""),,3),INDEX(SPLIT(I4373,""/""),,2),INDEX(SPLIT(I4373,""/""),,1))"),44774.0)</f>
        <v>44774</v>
      </c>
      <c r="L4373" s="1">
        <v>0.0</v>
      </c>
      <c r="M4373" s="1" t="s">
        <v>12403</v>
      </c>
      <c r="N4373" s="1"/>
      <c r="O4373" s="1" t="s">
        <v>30</v>
      </c>
      <c r="P4373" s="1" t="s">
        <v>31</v>
      </c>
      <c r="Q4373" s="1" t="s">
        <v>32</v>
      </c>
      <c r="R4373" s="1" t="s">
        <v>32</v>
      </c>
      <c r="S4373" s="1" t="s">
        <v>33</v>
      </c>
      <c r="U4373" s="1">
        <v>1.00654774E8</v>
      </c>
      <c r="X4373" s="1" t="s">
        <v>35</v>
      </c>
      <c r="Y4373" s="1" t="s">
        <v>685</v>
      </c>
      <c r="Z4373" s="1" t="s">
        <v>37</v>
      </c>
    </row>
    <row r="4374">
      <c r="A4374" s="1" t="s">
        <v>12404</v>
      </c>
      <c r="B4374" s="1" t="s">
        <v>948</v>
      </c>
      <c r="C4374" s="1" t="s">
        <v>12405</v>
      </c>
      <c r="D4374" s="1" t="s">
        <v>27</v>
      </c>
      <c r="E4374" s="1" t="s">
        <v>28</v>
      </c>
      <c r="F4374" s="2">
        <v>150000.0</v>
      </c>
      <c r="G4374" s="1" t="s">
        <v>2900</v>
      </c>
      <c r="H4374" s="4">
        <f>IFERROR(__xludf.DUMMYFUNCTION("DATE(INDEX(SPLIT(G4374,""/""),,3),INDEX(SPLIT(G4374,""/""),,2),INDEX(SPLIT(G4374,""/""),,1))"),44678.0)</f>
        <v>44678</v>
      </c>
      <c r="I4374" s="1" t="s">
        <v>69</v>
      </c>
      <c r="J4374" s="4">
        <f>IFERROR(__xludf.DUMMYFUNCTION("DATE(INDEX(SPLIT(I4374,""/""),,3),INDEX(SPLIT(I4374,""/""),,2),INDEX(SPLIT(I4374,""/""),,1))"),44773.0)</f>
        <v>44773</v>
      </c>
      <c r="L4374" s="1">
        <v>0.0</v>
      </c>
      <c r="M4374" s="1" t="s">
        <v>8050</v>
      </c>
      <c r="N4374" s="1"/>
      <c r="O4374" s="1" t="s">
        <v>30</v>
      </c>
      <c r="P4374" s="1" t="s">
        <v>31</v>
      </c>
      <c r="Q4374" s="1" t="s">
        <v>228</v>
      </c>
      <c r="R4374" s="1" t="s">
        <v>228</v>
      </c>
      <c r="S4374" s="1" t="s">
        <v>229</v>
      </c>
      <c r="U4374" s="1">
        <v>1.00599745E8</v>
      </c>
      <c r="X4374" s="1" t="s">
        <v>74</v>
      </c>
      <c r="Y4374" s="1" t="s">
        <v>9105</v>
      </c>
      <c r="Z4374" s="1" t="s">
        <v>1783</v>
      </c>
    </row>
    <row r="4375" hidden="1">
      <c r="A4375" s="1" t="s">
        <v>12406</v>
      </c>
      <c r="B4375" s="1" t="s">
        <v>1371</v>
      </c>
      <c r="C4375" s="1" t="s">
        <v>12407</v>
      </c>
      <c r="D4375" s="1" t="s">
        <v>78</v>
      </c>
      <c r="E4375" s="1" t="s">
        <v>28</v>
      </c>
      <c r="F4375" s="2">
        <v>150000.0</v>
      </c>
      <c r="G4375" s="1" t="s">
        <v>779</v>
      </c>
      <c r="H4375" s="4">
        <f>IFERROR(__xludf.DUMMYFUNCTION("DATE(INDEX(SPLIT(G4375,""/""),,3),INDEX(SPLIT(G4375,""/""),,2),INDEX(SPLIT(G4375,""/""),,1))"),44734.0)</f>
        <v>44734</v>
      </c>
      <c r="I4375" s="1" t="s">
        <v>109</v>
      </c>
      <c r="J4375" s="4">
        <f>IFERROR(__xludf.DUMMYFUNCTION("DATE(INDEX(SPLIT(I4375,""/""),,3),INDEX(SPLIT(I4375,""/""),,2),INDEX(SPLIT(I4375,""/""),,1))"),44834.0)</f>
        <v>44834</v>
      </c>
      <c r="L4375" s="1">
        <v>0.0</v>
      </c>
      <c r="M4375" s="1" t="s">
        <v>1484</v>
      </c>
      <c r="N4375" s="1"/>
      <c r="O4375" s="1" t="s">
        <v>30</v>
      </c>
      <c r="P4375" s="1" t="s">
        <v>31</v>
      </c>
      <c r="Q4375" s="1" t="s">
        <v>95</v>
      </c>
      <c r="R4375" s="1" t="s">
        <v>95</v>
      </c>
      <c r="S4375" s="1" t="s">
        <v>96</v>
      </c>
      <c r="T4375" s="1" t="s">
        <v>111</v>
      </c>
      <c r="U4375" s="1">
        <v>1.00585718E8</v>
      </c>
      <c r="X4375" s="1" t="s">
        <v>63</v>
      </c>
      <c r="Y4375" s="1" t="s">
        <v>3541</v>
      </c>
      <c r="Z4375" s="1" t="s">
        <v>37</v>
      </c>
    </row>
    <row r="4376" hidden="1">
      <c r="A4376" s="1" t="s">
        <v>12408</v>
      </c>
      <c r="B4376" s="1" t="s">
        <v>2009</v>
      </c>
      <c r="C4376" s="1" t="s">
        <v>12409</v>
      </c>
      <c r="D4376" s="1" t="s">
        <v>78</v>
      </c>
      <c r="E4376" s="1" t="s">
        <v>28</v>
      </c>
      <c r="F4376" s="2">
        <v>150000.0</v>
      </c>
      <c r="G4376" s="4">
        <v>44200.0</v>
      </c>
      <c r="H4376" s="4">
        <f>IFERROR(__xludf.DUMMYFUNCTION("DATE(INDEX(SPLIT(G4376,""/""),,3),INDEX(SPLIT(G4376,""/""),,2),INDEX(SPLIT(G4376,""/""),,1))"),44287.0)</f>
        <v>44287</v>
      </c>
      <c r="I4376" s="1" t="s">
        <v>109</v>
      </c>
      <c r="J4376" s="4">
        <f>IFERROR(__xludf.DUMMYFUNCTION("DATE(INDEX(SPLIT(I4376,""/""),,3),INDEX(SPLIT(I4376,""/""),,2),INDEX(SPLIT(I4376,""/""),,1))"),44834.0)</f>
        <v>44834</v>
      </c>
      <c r="L4376" s="1">
        <v>0.0</v>
      </c>
      <c r="M4376" s="1" t="s">
        <v>1385</v>
      </c>
      <c r="N4376" s="1"/>
      <c r="O4376" s="1" t="s">
        <v>30</v>
      </c>
      <c r="P4376" s="1" t="s">
        <v>31</v>
      </c>
      <c r="Q4376" s="1" t="s">
        <v>235</v>
      </c>
      <c r="R4376" s="1" t="s">
        <v>235</v>
      </c>
      <c r="S4376" s="1" t="s">
        <v>236</v>
      </c>
      <c r="T4376" s="1" t="s">
        <v>1386</v>
      </c>
      <c r="U4376" s="1">
        <v>1.00594397E8</v>
      </c>
      <c r="X4376" s="1" t="s">
        <v>239</v>
      </c>
      <c r="Y4376" s="1" t="s">
        <v>2977</v>
      </c>
      <c r="Z4376" s="1" t="s">
        <v>37</v>
      </c>
    </row>
    <row r="4377" hidden="1">
      <c r="A4377" s="1" t="s">
        <v>12410</v>
      </c>
      <c r="B4377" s="1" t="s">
        <v>1144</v>
      </c>
      <c r="C4377" s="1" t="s">
        <v>12411</v>
      </c>
      <c r="D4377" s="1" t="s">
        <v>27</v>
      </c>
      <c r="E4377" s="1" t="s">
        <v>28</v>
      </c>
      <c r="F4377" s="2">
        <v>150000.0</v>
      </c>
      <c r="G4377" s="4">
        <v>44201.0</v>
      </c>
      <c r="H4377" s="4">
        <f>IFERROR(__xludf.DUMMYFUNCTION("DATE(INDEX(SPLIT(G4377,""/""),,3),INDEX(SPLIT(G4377,""/""),,2),INDEX(SPLIT(G4377,""/""),,1))"),44317.0)</f>
        <v>44317</v>
      </c>
      <c r="I4377" s="1" t="s">
        <v>1097</v>
      </c>
      <c r="J4377" s="4">
        <f>IFERROR(__xludf.DUMMYFUNCTION("DATE(INDEX(SPLIT(I4377,""/""),,3),INDEX(SPLIT(I4377,""/""),,2),INDEX(SPLIT(I4377,""/""),,1))"),45107.0)</f>
        <v>45107</v>
      </c>
      <c r="L4377" s="1">
        <v>0.0</v>
      </c>
      <c r="M4377" s="1" t="s">
        <v>2614</v>
      </c>
      <c r="N4377" s="1"/>
      <c r="O4377" s="1" t="s">
        <v>30</v>
      </c>
      <c r="P4377" s="1" t="s">
        <v>31</v>
      </c>
      <c r="Q4377" s="1" t="s">
        <v>53</v>
      </c>
      <c r="R4377" s="1" t="s">
        <v>53</v>
      </c>
      <c r="S4377" s="1" t="s">
        <v>54</v>
      </c>
      <c r="T4377" s="1" t="s">
        <v>197</v>
      </c>
      <c r="U4377" s="1">
        <v>1.00592932E8</v>
      </c>
      <c r="X4377" s="1" t="s">
        <v>63</v>
      </c>
      <c r="Y4377" s="1" t="s">
        <v>12004</v>
      </c>
      <c r="Z4377" s="1" t="s">
        <v>37</v>
      </c>
    </row>
    <row r="4378">
      <c r="A4378" s="1" t="s">
        <v>12412</v>
      </c>
      <c r="B4378" s="1" t="s">
        <v>12413</v>
      </c>
      <c r="C4378" s="1" t="s">
        <v>12414</v>
      </c>
      <c r="D4378" s="1" t="s">
        <v>122</v>
      </c>
      <c r="E4378" s="1" t="s">
        <v>28</v>
      </c>
      <c r="F4378" s="2">
        <v>150000.0</v>
      </c>
      <c r="G4378" s="4">
        <v>44900.0</v>
      </c>
      <c r="H4378" s="4">
        <f>IFERROR(__xludf.DUMMYFUNCTION("DATE(INDEX(SPLIT(G4378,""/""),,3),INDEX(SPLIT(G4378,""/""),,2),INDEX(SPLIT(G4378,""/""),,1))"),44693.0)</f>
        <v>44693</v>
      </c>
      <c r="I4378" s="1" t="s">
        <v>2300</v>
      </c>
      <c r="J4378" s="4">
        <f>IFERROR(__xludf.DUMMYFUNCTION("DATE(INDEX(SPLIT(I4378,""/""),,3),INDEX(SPLIT(I4378,""/""),,2),INDEX(SPLIT(I4378,""/""),,1))"),44712.0)</f>
        <v>44712</v>
      </c>
      <c r="L4378" s="1">
        <v>0.0</v>
      </c>
      <c r="M4378" s="1" t="s">
        <v>2935</v>
      </c>
      <c r="N4378" s="1"/>
      <c r="O4378" s="1" t="s">
        <v>30</v>
      </c>
      <c r="P4378" s="1" t="s">
        <v>31</v>
      </c>
      <c r="Q4378" s="1" t="s">
        <v>188</v>
      </c>
      <c r="R4378" s="1" t="s">
        <v>188</v>
      </c>
      <c r="S4378" s="1" t="s">
        <v>189</v>
      </c>
      <c r="U4378" s="1">
        <v>1.00602451E8</v>
      </c>
      <c r="X4378" s="1" t="s">
        <v>125</v>
      </c>
      <c r="Y4378" s="1" t="s">
        <v>12415</v>
      </c>
      <c r="Z4378" s="1" t="s">
        <v>37</v>
      </c>
    </row>
    <row r="4379" hidden="1">
      <c r="A4379" s="1" t="s">
        <v>12416</v>
      </c>
      <c r="B4379" s="1" t="s">
        <v>370</v>
      </c>
      <c r="C4379" s="1" t="s">
        <v>12417</v>
      </c>
      <c r="D4379" s="1" t="s">
        <v>27</v>
      </c>
      <c r="E4379" s="1" t="s">
        <v>28</v>
      </c>
      <c r="F4379" s="2">
        <v>150000.0</v>
      </c>
      <c r="G4379" s="1" t="s">
        <v>418</v>
      </c>
      <c r="H4379" s="4">
        <f>IFERROR(__xludf.DUMMYFUNCTION("DATE(INDEX(SPLIT(G4379,""/""),,3),INDEX(SPLIT(G4379,""/""),,2),INDEX(SPLIT(G4379,""/""),,1))"),44755.0)</f>
        <v>44755</v>
      </c>
      <c r="I4379" s="1" t="s">
        <v>134</v>
      </c>
      <c r="J4379" s="4">
        <f>IFERROR(__xludf.DUMMYFUNCTION("DATE(INDEX(SPLIT(I4379,""/""),,3),INDEX(SPLIT(I4379,""/""),,2),INDEX(SPLIT(I4379,""/""),,1))"),44792.0)</f>
        <v>44792</v>
      </c>
      <c r="L4379" s="1">
        <v>0.0</v>
      </c>
      <c r="M4379" s="1" t="s">
        <v>2086</v>
      </c>
      <c r="N4379" s="1"/>
      <c r="O4379" s="1" t="s">
        <v>30</v>
      </c>
      <c r="P4379" s="1" t="s">
        <v>31</v>
      </c>
      <c r="Q4379" s="1" t="s">
        <v>235</v>
      </c>
      <c r="R4379" s="1" t="s">
        <v>235</v>
      </c>
      <c r="S4379" s="1" t="s">
        <v>236</v>
      </c>
      <c r="U4379" s="1">
        <v>1.00647488E8</v>
      </c>
      <c r="X4379" s="1" t="s">
        <v>239</v>
      </c>
      <c r="Y4379" s="1" t="s">
        <v>2086</v>
      </c>
      <c r="Z4379" s="1" t="s">
        <v>37</v>
      </c>
    </row>
    <row r="4380" hidden="1">
      <c r="A4380" s="1" t="s">
        <v>12418</v>
      </c>
      <c r="B4380" s="1" t="s">
        <v>497</v>
      </c>
      <c r="C4380" s="1" t="s">
        <v>12419</v>
      </c>
      <c r="D4380" s="1" t="s">
        <v>27</v>
      </c>
      <c r="E4380" s="1" t="s">
        <v>28</v>
      </c>
      <c r="F4380" s="2">
        <v>150000.0</v>
      </c>
      <c r="G4380" s="1" t="s">
        <v>2425</v>
      </c>
      <c r="H4380" s="4">
        <f>IFERROR(__xludf.DUMMYFUNCTION("DATE(INDEX(SPLIT(G4380,""/""),,3),INDEX(SPLIT(G4380,""/""),,2),INDEX(SPLIT(G4380,""/""),,1))"),44302.0)</f>
        <v>44302</v>
      </c>
      <c r="I4380" s="1" t="s">
        <v>130</v>
      </c>
      <c r="J4380" s="4">
        <f>IFERROR(__xludf.DUMMYFUNCTION("DATE(INDEX(SPLIT(I4380,""/""),,3),INDEX(SPLIT(I4380,""/""),,2),INDEX(SPLIT(I4380,""/""),,1))"),44804.0)</f>
        <v>44804</v>
      </c>
      <c r="L4380" s="1">
        <v>0.0</v>
      </c>
      <c r="M4380" s="1" t="s">
        <v>597</v>
      </c>
      <c r="N4380" s="1"/>
      <c r="O4380" s="1" t="s">
        <v>30</v>
      </c>
      <c r="P4380" s="1" t="s">
        <v>31</v>
      </c>
      <c r="Q4380" s="1" t="s">
        <v>32</v>
      </c>
      <c r="R4380" s="1" t="s">
        <v>32</v>
      </c>
      <c r="S4380" s="1" t="s">
        <v>33</v>
      </c>
      <c r="T4380" s="1" t="s">
        <v>34</v>
      </c>
      <c r="U4380" s="1">
        <v>1.0064407E8</v>
      </c>
      <c r="X4380" s="1" t="s">
        <v>35</v>
      </c>
      <c r="Y4380" s="1" t="s">
        <v>4099</v>
      </c>
      <c r="Z4380" s="1" t="s">
        <v>37</v>
      </c>
    </row>
    <row r="4381" hidden="1">
      <c r="A4381" s="1" t="s">
        <v>12420</v>
      </c>
      <c r="B4381" s="1" t="s">
        <v>784</v>
      </c>
      <c r="C4381" s="1" t="s">
        <v>12421</v>
      </c>
      <c r="D4381" s="1" t="s">
        <v>78</v>
      </c>
      <c r="E4381" s="1" t="s">
        <v>28</v>
      </c>
      <c r="F4381" s="2">
        <v>150000.0</v>
      </c>
      <c r="G4381" s="4">
        <v>44563.0</v>
      </c>
      <c r="H4381" s="4">
        <f>IFERROR(__xludf.DUMMYFUNCTION("DATE(INDEX(SPLIT(G4381,""/""),,3),INDEX(SPLIT(G4381,""/""),,2),INDEX(SPLIT(G4381,""/""),,1))"),44593.0)</f>
        <v>44593</v>
      </c>
      <c r="I4381" s="1" t="s">
        <v>130</v>
      </c>
      <c r="J4381" s="4">
        <f>IFERROR(__xludf.DUMMYFUNCTION("DATE(INDEX(SPLIT(I4381,""/""),,3),INDEX(SPLIT(I4381,""/""),,2),INDEX(SPLIT(I4381,""/""),,1))"),44804.0)</f>
        <v>44804</v>
      </c>
      <c r="L4381" s="1">
        <v>0.0</v>
      </c>
      <c r="M4381" s="1" t="s">
        <v>1398</v>
      </c>
      <c r="N4381" s="1"/>
      <c r="O4381" s="1" t="s">
        <v>30</v>
      </c>
      <c r="P4381" s="1" t="s">
        <v>31</v>
      </c>
      <c r="Q4381" s="1" t="s">
        <v>95</v>
      </c>
      <c r="R4381" s="1" t="s">
        <v>95</v>
      </c>
      <c r="S4381" s="1" t="s">
        <v>96</v>
      </c>
      <c r="T4381" s="1" t="s">
        <v>111</v>
      </c>
      <c r="U4381" s="1">
        <v>1.0061941E8</v>
      </c>
      <c r="X4381" s="1" t="s">
        <v>63</v>
      </c>
      <c r="Y4381" s="1" t="s">
        <v>1770</v>
      </c>
      <c r="Z4381" s="1" t="s">
        <v>37</v>
      </c>
    </row>
    <row r="4382">
      <c r="A4382" s="1" t="s">
        <v>12422</v>
      </c>
      <c r="B4382" s="1" t="s">
        <v>605</v>
      </c>
      <c r="C4382" s="1" t="s">
        <v>12423</v>
      </c>
      <c r="D4382" s="1" t="s">
        <v>122</v>
      </c>
      <c r="E4382" s="1" t="s">
        <v>28</v>
      </c>
      <c r="F4382" s="2">
        <v>150000.0</v>
      </c>
      <c r="G4382" s="4">
        <v>44777.0</v>
      </c>
      <c r="H4382" s="4">
        <f>IFERROR(__xludf.DUMMYFUNCTION("DATE(INDEX(SPLIT(G4382,""/""),,3),INDEX(SPLIT(G4382,""/""),,2),INDEX(SPLIT(G4382,""/""),,1))"),44659.0)</f>
        <v>44659</v>
      </c>
      <c r="I4382" s="4">
        <v>44688.0</v>
      </c>
      <c r="J4382" s="4">
        <f>IFERROR(__xludf.DUMMYFUNCTION("DATE(INDEX(SPLIT(I4382,""/""),,3),INDEX(SPLIT(I4382,""/""),,2),INDEX(SPLIT(I4382,""/""),,1))"),44747.0)</f>
        <v>44747</v>
      </c>
      <c r="L4382" s="1">
        <v>0.0</v>
      </c>
      <c r="M4382" s="1" t="s">
        <v>3507</v>
      </c>
      <c r="N4382" s="1"/>
      <c r="O4382" s="1" t="s">
        <v>30</v>
      </c>
      <c r="P4382" s="1" t="s">
        <v>31</v>
      </c>
      <c r="Q4382" s="1" t="s">
        <v>235</v>
      </c>
      <c r="R4382" s="1" t="s">
        <v>235</v>
      </c>
      <c r="S4382" s="1" t="s">
        <v>236</v>
      </c>
      <c r="T4382" s="1" t="s">
        <v>1349</v>
      </c>
      <c r="U4382" s="1">
        <v>1.00585834E8</v>
      </c>
      <c r="X4382" s="1" t="s">
        <v>375</v>
      </c>
      <c r="Y4382" s="1" t="s">
        <v>3508</v>
      </c>
      <c r="Z4382" s="1" t="s">
        <v>37</v>
      </c>
    </row>
    <row r="4383" hidden="1">
      <c r="A4383" s="1" t="s">
        <v>12424</v>
      </c>
      <c r="B4383" s="1" t="s">
        <v>177</v>
      </c>
      <c r="C4383" s="1" t="s">
        <v>12425</v>
      </c>
      <c r="D4383" s="1" t="s">
        <v>27</v>
      </c>
      <c r="E4383" s="1" t="s">
        <v>28</v>
      </c>
      <c r="F4383" s="2">
        <v>150000.0</v>
      </c>
      <c r="G4383" s="4">
        <v>44595.0</v>
      </c>
      <c r="H4383" s="4">
        <f>IFERROR(__xludf.DUMMYFUNCTION("DATE(INDEX(SPLIT(G4383,""/""),,3),INDEX(SPLIT(G4383,""/""),,2),INDEX(SPLIT(G4383,""/""),,1))"),44622.0)</f>
        <v>44622</v>
      </c>
      <c r="I4383" s="4">
        <v>44601.0</v>
      </c>
      <c r="J4383" s="4">
        <f>IFERROR(__xludf.DUMMYFUNCTION("DATE(INDEX(SPLIT(I4383,""/""),,3),INDEX(SPLIT(I4383,""/""),,2),INDEX(SPLIT(I4383,""/""),,1))"),44806.0)</f>
        <v>44806</v>
      </c>
      <c r="L4383" s="1">
        <v>0.0</v>
      </c>
      <c r="M4383" s="1" t="s">
        <v>936</v>
      </c>
      <c r="N4383" s="1"/>
      <c r="O4383" s="1" t="s">
        <v>30</v>
      </c>
      <c r="P4383" s="1" t="s">
        <v>31</v>
      </c>
      <c r="Q4383" s="1" t="s">
        <v>71</v>
      </c>
      <c r="R4383" s="1" t="s">
        <v>71</v>
      </c>
      <c r="S4383" s="1" t="s">
        <v>72</v>
      </c>
      <c r="T4383" s="1" t="s">
        <v>73</v>
      </c>
      <c r="U4383" s="1">
        <v>1.00941744E8</v>
      </c>
      <c r="X4383" s="1" t="s">
        <v>74</v>
      </c>
      <c r="Y4383" s="1" t="s">
        <v>12426</v>
      </c>
      <c r="Z4383" s="1" t="s">
        <v>37</v>
      </c>
    </row>
    <row r="4384">
      <c r="A4384" s="1" t="s">
        <v>12427</v>
      </c>
      <c r="B4384" s="1" t="s">
        <v>12428</v>
      </c>
      <c r="C4384" s="1" t="s">
        <v>12429</v>
      </c>
      <c r="D4384" s="1" t="s">
        <v>122</v>
      </c>
      <c r="E4384" s="1" t="s">
        <v>28</v>
      </c>
      <c r="F4384" s="2">
        <v>150000.0</v>
      </c>
      <c r="G4384" s="4">
        <v>44449.0</v>
      </c>
      <c r="H4384" s="4">
        <f>IFERROR(__xludf.DUMMYFUNCTION("DATE(INDEX(SPLIT(G4384,""/""),,3),INDEX(SPLIT(G4384,""/""),,2),INDEX(SPLIT(G4384,""/""),,1))"),44478.0)</f>
        <v>44478</v>
      </c>
      <c r="I4384" s="1" t="s">
        <v>226</v>
      </c>
      <c r="J4384" s="4">
        <f>IFERROR(__xludf.DUMMYFUNCTION("DATE(INDEX(SPLIT(I4384,""/""),,3),INDEX(SPLIT(I4384,""/""),,2),INDEX(SPLIT(I4384,""/""),,1))"),44771.0)</f>
        <v>44771</v>
      </c>
      <c r="L4384" s="1">
        <v>0.0</v>
      </c>
      <c r="M4384" s="1" t="s">
        <v>1937</v>
      </c>
      <c r="N4384" s="1"/>
      <c r="O4384" s="1" t="s">
        <v>30</v>
      </c>
      <c r="P4384" s="1" t="s">
        <v>31</v>
      </c>
      <c r="Q4384" s="1" t="s">
        <v>157</v>
      </c>
      <c r="R4384" s="1" t="s">
        <v>157</v>
      </c>
      <c r="S4384" s="1" t="s">
        <v>158</v>
      </c>
      <c r="T4384" s="1" t="s">
        <v>159</v>
      </c>
      <c r="U4384" s="1">
        <v>1.00649264E8</v>
      </c>
      <c r="X4384" s="1" t="s">
        <v>239</v>
      </c>
      <c r="Y4384" s="1" t="s">
        <v>12430</v>
      </c>
      <c r="Z4384" s="1" t="s">
        <v>37</v>
      </c>
    </row>
    <row r="4385" hidden="1">
      <c r="A4385" s="1" t="s">
        <v>12431</v>
      </c>
      <c r="B4385" s="1" t="s">
        <v>177</v>
      </c>
      <c r="C4385" s="1" t="s">
        <v>12432</v>
      </c>
      <c r="D4385" s="1" t="s">
        <v>27</v>
      </c>
      <c r="E4385" s="1" t="s">
        <v>28</v>
      </c>
      <c r="F4385" s="2">
        <v>150000.0</v>
      </c>
      <c r="G4385" s="1" t="s">
        <v>4133</v>
      </c>
      <c r="H4385" s="4">
        <f>IFERROR(__xludf.DUMMYFUNCTION("DATE(INDEX(SPLIT(G4385,""/""),,3),INDEX(SPLIT(G4385,""/""),,2),INDEX(SPLIT(G4385,""/""),,1))"),44495.0)</f>
        <v>44495</v>
      </c>
      <c r="I4385" s="1" t="s">
        <v>203</v>
      </c>
      <c r="J4385" s="4">
        <f>IFERROR(__xludf.DUMMYFUNCTION("DATE(INDEX(SPLIT(I4385,""/""),,3),INDEX(SPLIT(I4385,""/""),,2),INDEX(SPLIT(I4385,""/""),,1))"),44925.0)</f>
        <v>44925</v>
      </c>
      <c r="L4385" s="1">
        <v>0.0</v>
      </c>
      <c r="M4385" s="1" t="s">
        <v>4134</v>
      </c>
      <c r="N4385" s="1"/>
      <c r="O4385" s="1" t="s">
        <v>30</v>
      </c>
      <c r="P4385" s="1" t="s">
        <v>31</v>
      </c>
      <c r="Q4385" s="1" t="s">
        <v>53</v>
      </c>
      <c r="R4385" s="1" t="s">
        <v>53</v>
      </c>
      <c r="S4385" s="1" t="s">
        <v>54</v>
      </c>
      <c r="T4385" s="1" t="s">
        <v>181</v>
      </c>
      <c r="U4385" s="1">
        <v>1.00652666E8</v>
      </c>
      <c r="X4385" s="1" t="s">
        <v>74</v>
      </c>
      <c r="Y4385" s="1" t="s">
        <v>4720</v>
      </c>
      <c r="Z4385" s="1" t="s">
        <v>37</v>
      </c>
    </row>
    <row r="4386" hidden="1">
      <c r="A4386" s="1" t="s">
        <v>12433</v>
      </c>
      <c r="B4386" s="1" t="s">
        <v>3005</v>
      </c>
      <c r="C4386" s="1" t="s">
        <v>12434</v>
      </c>
      <c r="D4386" s="1" t="s">
        <v>78</v>
      </c>
      <c r="E4386" s="1" t="s">
        <v>28</v>
      </c>
      <c r="F4386" s="2">
        <v>150000.0</v>
      </c>
      <c r="G4386" s="1" t="s">
        <v>472</v>
      </c>
      <c r="H4386" s="4">
        <f>IFERROR(__xludf.DUMMYFUNCTION("DATE(INDEX(SPLIT(G4386,""/""),,3),INDEX(SPLIT(G4386,""/""),,2),INDEX(SPLIT(G4386,""/""),,1))"),44760.0)</f>
        <v>44760</v>
      </c>
      <c r="I4386" s="1" t="s">
        <v>85</v>
      </c>
      <c r="J4386" s="4">
        <f>IFERROR(__xludf.DUMMYFUNCTION("DATE(INDEX(SPLIT(I4386,""/""),,3),INDEX(SPLIT(I4386,""/""),,2),INDEX(SPLIT(I4386,""/""),,1))"),44799.0)</f>
        <v>44799</v>
      </c>
      <c r="L4386" s="1">
        <v>0.0</v>
      </c>
      <c r="M4386" s="1" t="s">
        <v>9600</v>
      </c>
      <c r="N4386" s="1"/>
      <c r="O4386" s="1" t="s">
        <v>30</v>
      </c>
      <c r="P4386" s="1" t="s">
        <v>31</v>
      </c>
      <c r="Q4386" s="1" t="s">
        <v>95</v>
      </c>
      <c r="R4386" s="1" t="s">
        <v>95</v>
      </c>
      <c r="S4386" s="1" t="s">
        <v>96</v>
      </c>
      <c r="T4386" s="1" t="s">
        <v>12435</v>
      </c>
      <c r="U4386" s="1">
        <v>1.0064388E8</v>
      </c>
      <c r="X4386" s="1" t="s">
        <v>490</v>
      </c>
      <c r="Y4386" s="1" t="s">
        <v>9600</v>
      </c>
      <c r="Z4386" s="1" t="s">
        <v>527</v>
      </c>
    </row>
    <row r="4387" hidden="1">
      <c r="A4387" s="1" t="s">
        <v>12436</v>
      </c>
      <c r="B4387" s="1" t="s">
        <v>1619</v>
      </c>
      <c r="C4387" s="1" t="s">
        <v>12437</v>
      </c>
      <c r="D4387" s="1" t="s">
        <v>27</v>
      </c>
      <c r="E4387" s="1" t="s">
        <v>28</v>
      </c>
      <c r="F4387" s="2">
        <v>150000.0</v>
      </c>
      <c r="G4387" s="4">
        <v>44595.0</v>
      </c>
      <c r="H4387" s="4">
        <f>IFERROR(__xludf.DUMMYFUNCTION("DATE(INDEX(SPLIT(G4387,""/""),,3),INDEX(SPLIT(G4387,""/""),,2),INDEX(SPLIT(G4387,""/""),,1))"),44622.0)</f>
        <v>44622</v>
      </c>
      <c r="I4387" s="4">
        <v>44928.0</v>
      </c>
      <c r="J4387" s="4">
        <f>IFERROR(__xludf.DUMMYFUNCTION("DATE(INDEX(SPLIT(I4387,""/""),,3),INDEX(SPLIT(I4387,""/""),,2),INDEX(SPLIT(I4387,""/""),,1))"),44958.0)</f>
        <v>44958</v>
      </c>
      <c r="L4387" s="1">
        <v>0.0</v>
      </c>
      <c r="M4387" s="1" t="s">
        <v>830</v>
      </c>
      <c r="N4387" s="1"/>
      <c r="O4387" s="1" t="s">
        <v>30</v>
      </c>
      <c r="P4387" s="1" t="s">
        <v>31</v>
      </c>
      <c r="Q4387" s="1" t="s">
        <v>32</v>
      </c>
      <c r="R4387" s="1" t="s">
        <v>32</v>
      </c>
      <c r="S4387" s="1" t="s">
        <v>33</v>
      </c>
      <c r="T4387" s="1" t="s">
        <v>402</v>
      </c>
      <c r="U4387" s="1">
        <v>1.00621724E8</v>
      </c>
      <c r="X4387" s="1" t="s">
        <v>117</v>
      </c>
      <c r="Y4387" s="1" t="s">
        <v>6623</v>
      </c>
      <c r="Z4387" s="1" t="s">
        <v>206</v>
      </c>
    </row>
    <row r="4388" hidden="1">
      <c r="A4388" s="1" t="s">
        <v>12438</v>
      </c>
      <c r="B4388" s="1" t="s">
        <v>954</v>
      </c>
      <c r="C4388" s="1" t="s">
        <v>12439</v>
      </c>
      <c r="D4388" s="1" t="s">
        <v>27</v>
      </c>
      <c r="E4388" s="1" t="s">
        <v>28</v>
      </c>
      <c r="F4388" s="2">
        <v>150000.0</v>
      </c>
      <c r="G4388" s="1" t="s">
        <v>1244</v>
      </c>
      <c r="H4388" s="4">
        <f>IFERROR(__xludf.DUMMYFUNCTION("DATE(INDEX(SPLIT(G4388,""/""),,3),INDEX(SPLIT(G4388,""/""),,2),INDEX(SPLIT(G4388,""/""),,1))"),44742.0)</f>
        <v>44742</v>
      </c>
      <c r="I4388" s="4">
        <v>44573.0</v>
      </c>
      <c r="J4388" s="4">
        <f>IFERROR(__xludf.DUMMYFUNCTION("DATE(INDEX(SPLIT(I4388,""/""),,3),INDEX(SPLIT(I4388,""/""),,2),INDEX(SPLIT(I4388,""/""),,1))"),44896.0)</f>
        <v>44896</v>
      </c>
      <c r="L4388" s="1">
        <v>0.0</v>
      </c>
      <c r="M4388" s="1" t="s">
        <v>1723</v>
      </c>
      <c r="N4388" s="1"/>
      <c r="O4388" s="1" t="s">
        <v>30</v>
      </c>
      <c r="P4388" s="1" t="s">
        <v>31</v>
      </c>
      <c r="Q4388" s="1" t="s">
        <v>157</v>
      </c>
      <c r="R4388" s="1" t="s">
        <v>157</v>
      </c>
      <c r="S4388" s="1" t="s">
        <v>158</v>
      </c>
      <c r="U4388" s="1">
        <v>1.00654085E8</v>
      </c>
      <c r="X4388" s="1" t="s">
        <v>74</v>
      </c>
      <c r="Y4388" s="1" t="s">
        <v>957</v>
      </c>
      <c r="Z4388" s="1" t="s">
        <v>37</v>
      </c>
    </row>
    <row r="4389">
      <c r="A4389" s="1" t="s">
        <v>12440</v>
      </c>
      <c r="B4389" s="1" t="s">
        <v>1371</v>
      </c>
      <c r="C4389" s="1" t="s">
        <v>12441</v>
      </c>
      <c r="D4389" s="1" t="s">
        <v>122</v>
      </c>
      <c r="E4389" s="1" t="s">
        <v>28</v>
      </c>
      <c r="F4389" s="2">
        <v>150000.0</v>
      </c>
      <c r="G4389" s="4">
        <v>44748.0</v>
      </c>
      <c r="H4389" s="4">
        <f>IFERROR(__xludf.DUMMYFUNCTION("DATE(INDEX(SPLIT(G4389,""/""),,3),INDEX(SPLIT(G4389,""/""),,2),INDEX(SPLIT(G4389,""/""),,1))"),44719.0)</f>
        <v>44719</v>
      </c>
      <c r="I4389" s="1" t="s">
        <v>226</v>
      </c>
      <c r="J4389" s="4">
        <f>IFERROR(__xludf.DUMMYFUNCTION("DATE(INDEX(SPLIT(I4389,""/""),,3),INDEX(SPLIT(I4389,""/""),,2),INDEX(SPLIT(I4389,""/""),,1))"),44771.0)</f>
        <v>44771</v>
      </c>
      <c r="L4389" s="1">
        <v>0.0</v>
      </c>
      <c r="M4389" s="1" t="s">
        <v>6691</v>
      </c>
      <c r="N4389" s="1"/>
      <c r="O4389" s="1" t="s">
        <v>30</v>
      </c>
      <c r="P4389" s="1" t="s">
        <v>31</v>
      </c>
      <c r="Q4389" s="1" t="s">
        <v>95</v>
      </c>
      <c r="R4389" s="1" t="s">
        <v>95</v>
      </c>
      <c r="S4389" s="1" t="s">
        <v>96</v>
      </c>
      <c r="T4389" s="1" t="s">
        <v>111</v>
      </c>
      <c r="U4389" s="1">
        <v>1.00694651E8</v>
      </c>
      <c r="X4389" s="1" t="s">
        <v>63</v>
      </c>
      <c r="Y4389" s="1" t="s">
        <v>6691</v>
      </c>
      <c r="Z4389" s="1" t="s">
        <v>37</v>
      </c>
    </row>
    <row r="4390" hidden="1">
      <c r="A4390" s="1" t="s">
        <v>12442</v>
      </c>
      <c r="B4390" s="1" t="s">
        <v>954</v>
      </c>
      <c r="C4390" s="1" t="s">
        <v>12443</v>
      </c>
      <c r="D4390" s="1" t="s">
        <v>27</v>
      </c>
      <c r="E4390" s="1" t="s">
        <v>28</v>
      </c>
      <c r="F4390" s="2">
        <v>150000.0</v>
      </c>
      <c r="G4390" s="1" t="s">
        <v>1244</v>
      </c>
      <c r="H4390" s="4">
        <f>IFERROR(__xludf.DUMMYFUNCTION("DATE(INDEX(SPLIT(G4390,""/""),,3),INDEX(SPLIT(G4390,""/""),,2),INDEX(SPLIT(G4390,""/""),,1))"),44742.0)</f>
        <v>44742</v>
      </c>
      <c r="I4390" s="4">
        <v>45261.0</v>
      </c>
      <c r="J4390" s="4">
        <f>IFERROR(__xludf.DUMMYFUNCTION("DATE(INDEX(SPLIT(I4390,""/""),,3),INDEX(SPLIT(I4390,""/""),,2),INDEX(SPLIT(I4390,""/""),,1))"),44938.0)</f>
        <v>44938</v>
      </c>
      <c r="L4390" s="1">
        <v>0.0</v>
      </c>
      <c r="M4390" s="1" t="s">
        <v>3689</v>
      </c>
      <c r="N4390" s="1"/>
      <c r="O4390" s="1" t="s">
        <v>30</v>
      </c>
      <c r="P4390" s="1" t="s">
        <v>31</v>
      </c>
      <c r="Q4390" s="1" t="s">
        <v>53</v>
      </c>
      <c r="R4390" s="1" t="s">
        <v>53</v>
      </c>
      <c r="S4390" s="1" t="s">
        <v>54</v>
      </c>
      <c r="T4390" s="1" t="s">
        <v>1386</v>
      </c>
      <c r="U4390" s="1">
        <v>1.006008E8</v>
      </c>
      <c r="X4390" s="1" t="s">
        <v>74</v>
      </c>
      <c r="Y4390" s="1" t="s">
        <v>957</v>
      </c>
      <c r="Z4390" s="1" t="s">
        <v>1783</v>
      </c>
    </row>
    <row r="4391">
      <c r="A4391" s="1" t="s">
        <v>12444</v>
      </c>
      <c r="B4391" s="1" t="s">
        <v>1144</v>
      </c>
      <c r="C4391" s="1" t="s">
        <v>12445</v>
      </c>
      <c r="D4391" s="1" t="s">
        <v>68</v>
      </c>
      <c r="E4391" s="1" t="s">
        <v>28</v>
      </c>
      <c r="F4391" s="2">
        <v>150000.0</v>
      </c>
      <c r="G4391" s="1" t="s">
        <v>1569</v>
      </c>
      <c r="H4391" s="4">
        <f>IFERROR(__xludf.DUMMYFUNCTION("DATE(INDEX(SPLIT(G4391,""/""),,3),INDEX(SPLIT(G4391,""/""),,2),INDEX(SPLIT(G4391,""/""),,1))"),44645.0)</f>
        <v>44645</v>
      </c>
      <c r="I4391" s="1" t="s">
        <v>1244</v>
      </c>
      <c r="J4391" s="4">
        <f>IFERROR(__xludf.DUMMYFUNCTION("DATE(INDEX(SPLIT(I4391,""/""),,3),INDEX(SPLIT(I4391,""/""),,2),INDEX(SPLIT(I4391,""/""),,1))"),44742.0)</f>
        <v>44742</v>
      </c>
      <c r="L4391" s="1">
        <v>0.0</v>
      </c>
      <c r="M4391" s="1" t="s">
        <v>1146</v>
      </c>
      <c r="N4391" s="1"/>
      <c r="O4391" s="1" t="s">
        <v>30</v>
      </c>
      <c r="P4391" s="1" t="s">
        <v>31</v>
      </c>
      <c r="Q4391" s="1" t="s">
        <v>228</v>
      </c>
      <c r="R4391" s="1" t="s">
        <v>228</v>
      </c>
      <c r="S4391" s="1" t="s">
        <v>229</v>
      </c>
      <c r="T4391" s="1" t="s">
        <v>640</v>
      </c>
      <c r="U4391" s="1">
        <v>1.0061139E8</v>
      </c>
      <c r="X4391" s="1" t="s">
        <v>63</v>
      </c>
      <c r="Y4391" s="1" t="s">
        <v>1147</v>
      </c>
      <c r="Z4391" s="1" t="s">
        <v>37</v>
      </c>
    </row>
    <row r="4392">
      <c r="A4392" s="1" t="s">
        <v>12446</v>
      </c>
      <c r="B4392" s="1" t="s">
        <v>12447</v>
      </c>
      <c r="C4392" s="1" t="s">
        <v>12448</v>
      </c>
      <c r="D4392" s="1" t="s">
        <v>122</v>
      </c>
      <c r="E4392" s="1" t="s">
        <v>28</v>
      </c>
      <c r="F4392" s="2">
        <v>150000.0</v>
      </c>
      <c r="G4392" s="1" t="s">
        <v>354</v>
      </c>
      <c r="H4392" s="4">
        <f>IFERROR(__xludf.DUMMYFUNCTION("DATE(INDEX(SPLIT(G4392,""/""),,3),INDEX(SPLIT(G4392,""/""),,2),INDEX(SPLIT(G4392,""/""),,1))"),44673.0)</f>
        <v>44673</v>
      </c>
      <c r="I4392" s="1" t="s">
        <v>2422</v>
      </c>
      <c r="J4392" s="4">
        <f>IFERROR(__xludf.DUMMYFUNCTION("DATE(INDEX(SPLIT(I4392,""/""),,3),INDEX(SPLIT(I4392,""/""),,2),INDEX(SPLIT(I4392,""/""),,1))"),44769.0)</f>
        <v>44769</v>
      </c>
      <c r="L4392" s="1">
        <v>0.0</v>
      </c>
      <c r="M4392" s="1" t="s">
        <v>4117</v>
      </c>
      <c r="N4392" s="1"/>
      <c r="O4392" s="1" t="s">
        <v>30</v>
      </c>
      <c r="P4392" s="1" t="s">
        <v>31</v>
      </c>
      <c r="Q4392" s="1" t="s">
        <v>95</v>
      </c>
      <c r="R4392" s="1" t="s">
        <v>95</v>
      </c>
      <c r="S4392" s="1" t="s">
        <v>96</v>
      </c>
      <c r="T4392" s="1" t="s">
        <v>311</v>
      </c>
      <c r="U4392" s="1">
        <v>1.00658777E8</v>
      </c>
      <c r="X4392" s="1" t="s">
        <v>98</v>
      </c>
      <c r="Y4392" s="1" t="s">
        <v>4117</v>
      </c>
      <c r="Z4392" s="1" t="s">
        <v>206</v>
      </c>
    </row>
    <row r="4393" hidden="1">
      <c r="A4393" s="1" t="s">
        <v>12449</v>
      </c>
      <c r="B4393" s="1" t="s">
        <v>12450</v>
      </c>
      <c r="C4393" s="1" t="s">
        <v>12451</v>
      </c>
      <c r="D4393" s="1" t="s">
        <v>27</v>
      </c>
      <c r="E4393" s="1" t="s">
        <v>28</v>
      </c>
      <c r="F4393" s="2">
        <v>150000.0</v>
      </c>
      <c r="G4393" s="1" t="s">
        <v>4047</v>
      </c>
      <c r="H4393" s="4">
        <f>IFERROR(__xludf.DUMMYFUNCTION("DATE(INDEX(SPLIT(G4393,""/""),,3),INDEX(SPLIT(G4393,""/""),,2),INDEX(SPLIT(G4393,""/""),,1))"),44580.0)</f>
        <v>44580</v>
      </c>
      <c r="I4393" s="1" t="s">
        <v>109</v>
      </c>
      <c r="J4393" s="4">
        <f>IFERROR(__xludf.DUMMYFUNCTION("DATE(INDEX(SPLIT(I4393,""/""),,3),INDEX(SPLIT(I4393,""/""),,2),INDEX(SPLIT(I4393,""/""),,1))"),44834.0)</f>
        <v>44834</v>
      </c>
      <c r="L4393" s="1">
        <v>0.0</v>
      </c>
      <c r="M4393" s="1" t="s">
        <v>344</v>
      </c>
      <c r="N4393" s="1"/>
      <c r="O4393" s="1" t="s">
        <v>30</v>
      </c>
      <c r="P4393" s="1" t="s">
        <v>31</v>
      </c>
      <c r="Q4393" s="1" t="s">
        <v>188</v>
      </c>
      <c r="R4393" s="1" t="s">
        <v>188</v>
      </c>
      <c r="S4393" s="1" t="s">
        <v>189</v>
      </c>
      <c r="U4393" s="1">
        <v>1.00646804E8</v>
      </c>
      <c r="X4393" s="1" t="s">
        <v>239</v>
      </c>
      <c r="Y4393" s="1" t="s">
        <v>2147</v>
      </c>
      <c r="Z4393" s="1" t="s">
        <v>37</v>
      </c>
    </row>
    <row r="4394" hidden="1">
      <c r="A4394" s="1" t="s">
        <v>12452</v>
      </c>
      <c r="B4394" s="1" t="s">
        <v>645</v>
      </c>
      <c r="C4394" s="1" t="s">
        <v>12453</v>
      </c>
      <c r="D4394" s="1" t="s">
        <v>122</v>
      </c>
      <c r="E4394" s="1" t="s">
        <v>28</v>
      </c>
      <c r="F4394" s="2">
        <v>150000.0</v>
      </c>
      <c r="G4394" s="1" t="s">
        <v>1118</v>
      </c>
      <c r="H4394" s="4">
        <f>IFERROR(__xludf.DUMMYFUNCTION("DATE(INDEX(SPLIT(G4394,""/""),,3),INDEX(SPLIT(G4394,""/""),,2),INDEX(SPLIT(G4394,""/""),,1))"),44334.0)</f>
        <v>44334</v>
      </c>
      <c r="I4394" s="1" t="s">
        <v>130</v>
      </c>
      <c r="J4394" s="4">
        <f>IFERROR(__xludf.DUMMYFUNCTION("DATE(INDEX(SPLIT(I4394,""/""),,3),INDEX(SPLIT(I4394,""/""),,2),INDEX(SPLIT(I4394,""/""),,1))"),44804.0)</f>
        <v>44804</v>
      </c>
      <c r="L4394" s="1">
        <v>0.0</v>
      </c>
      <c r="M4394" s="1" t="s">
        <v>2510</v>
      </c>
      <c r="N4394" s="1"/>
      <c r="O4394" s="1" t="s">
        <v>30</v>
      </c>
      <c r="P4394" s="1" t="s">
        <v>31</v>
      </c>
      <c r="Q4394" s="1" t="s">
        <v>157</v>
      </c>
      <c r="R4394" s="1" t="s">
        <v>157</v>
      </c>
      <c r="S4394" s="1" t="s">
        <v>158</v>
      </c>
      <c r="T4394" s="1" t="s">
        <v>442</v>
      </c>
      <c r="U4394" s="1">
        <v>1.00634919E8</v>
      </c>
      <c r="V4394" s="1" t="s">
        <v>12454</v>
      </c>
      <c r="X4394" s="1" t="s">
        <v>117</v>
      </c>
      <c r="Y4394" s="1" t="s">
        <v>1076</v>
      </c>
      <c r="Z4394" s="1" t="s">
        <v>37</v>
      </c>
    </row>
    <row r="4395">
      <c r="A4395" s="1" t="s">
        <v>12455</v>
      </c>
      <c r="B4395" s="1" t="s">
        <v>12456</v>
      </c>
      <c r="C4395" s="1" t="s">
        <v>12457</v>
      </c>
      <c r="D4395" s="1" t="s">
        <v>78</v>
      </c>
      <c r="E4395" s="1" t="s">
        <v>28</v>
      </c>
      <c r="F4395" s="2">
        <v>150000.0</v>
      </c>
      <c r="G4395" s="4">
        <v>44870.0</v>
      </c>
      <c r="H4395" s="4">
        <f>IFERROR(__xludf.DUMMYFUNCTION("DATE(INDEX(SPLIT(G4395,""/""),,3),INDEX(SPLIT(G4395,""/""),,2),INDEX(SPLIT(G4395,""/""),,1))"),44692.0)</f>
        <v>44692</v>
      </c>
      <c r="I4395" s="1" t="s">
        <v>226</v>
      </c>
      <c r="J4395" s="4">
        <f>IFERROR(__xludf.DUMMYFUNCTION("DATE(INDEX(SPLIT(I4395,""/""),,3),INDEX(SPLIT(I4395,""/""),,2),INDEX(SPLIT(I4395,""/""),,1))"),44771.0)</f>
        <v>44771</v>
      </c>
      <c r="L4395" s="1">
        <v>0.0</v>
      </c>
      <c r="M4395" s="1" t="s">
        <v>6371</v>
      </c>
      <c r="N4395" s="1"/>
      <c r="O4395" s="1" t="s">
        <v>30</v>
      </c>
      <c r="P4395" s="1" t="s">
        <v>31</v>
      </c>
      <c r="Q4395" s="1" t="s">
        <v>228</v>
      </c>
      <c r="R4395" s="1" t="s">
        <v>228</v>
      </c>
      <c r="S4395" s="1" t="s">
        <v>229</v>
      </c>
      <c r="U4395" s="1">
        <v>1.00607287E8</v>
      </c>
      <c r="X4395" s="1" t="s">
        <v>125</v>
      </c>
      <c r="Y4395" s="1" t="s">
        <v>6371</v>
      </c>
      <c r="Z4395" s="1" t="s">
        <v>527</v>
      </c>
    </row>
    <row r="4396">
      <c r="A4396" s="1" t="s">
        <v>12458</v>
      </c>
      <c r="B4396" s="1" t="s">
        <v>756</v>
      </c>
      <c r="C4396" s="1" t="s">
        <v>12459</v>
      </c>
      <c r="D4396" s="1" t="s">
        <v>27</v>
      </c>
      <c r="E4396" s="1" t="s">
        <v>28</v>
      </c>
      <c r="F4396" s="2">
        <v>150000.0</v>
      </c>
      <c r="G4396" s="1" t="s">
        <v>551</v>
      </c>
      <c r="H4396" s="4">
        <f>IFERROR(__xludf.DUMMYFUNCTION("DATE(INDEX(SPLIT(G4396,""/""),,3),INDEX(SPLIT(G4396,""/""),,2),INDEX(SPLIT(G4396,""/""),,1))"),44701.0)</f>
        <v>44701</v>
      </c>
      <c r="I4396" s="1" t="s">
        <v>518</v>
      </c>
      <c r="J4396" s="4">
        <f>IFERROR(__xludf.DUMMYFUNCTION("DATE(INDEX(SPLIT(I4396,""/""),,3),INDEX(SPLIT(I4396,""/""),,2),INDEX(SPLIT(I4396,""/""),,1))"),44757.0)</f>
        <v>44757</v>
      </c>
      <c r="L4396" s="1">
        <v>0.0</v>
      </c>
      <c r="M4396" s="1" t="s">
        <v>459</v>
      </c>
      <c r="N4396" s="1"/>
      <c r="O4396" s="1" t="s">
        <v>30</v>
      </c>
      <c r="P4396" s="1" t="s">
        <v>31</v>
      </c>
      <c r="Q4396" s="1" t="s">
        <v>53</v>
      </c>
      <c r="R4396" s="1" t="s">
        <v>53</v>
      </c>
      <c r="S4396" s="1" t="s">
        <v>54</v>
      </c>
      <c r="T4396" s="1" t="s">
        <v>87</v>
      </c>
      <c r="U4396" s="1">
        <v>1.00653756E8</v>
      </c>
      <c r="X4396" s="1" t="s">
        <v>88</v>
      </c>
      <c r="Y4396" s="1" t="s">
        <v>459</v>
      </c>
      <c r="Z4396" s="1" t="s">
        <v>37</v>
      </c>
    </row>
    <row r="4397">
      <c r="A4397" s="1" t="s">
        <v>12460</v>
      </c>
      <c r="B4397" s="1" t="s">
        <v>12461</v>
      </c>
      <c r="C4397" s="1" t="s">
        <v>12462</v>
      </c>
      <c r="D4397" s="1" t="s">
        <v>27</v>
      </c>
      <c r="E4397" s="1" t="s">
        <v>28</v>
      </c>
      <c r="F4397" s="2">
        <v>150000.0</v>
      </c>
      <c r="G4397" s="1" t="s">
        <v>2064</v>
      </c>
      <c r="H4397" s="4">
        <f>IFERROR(__xludf.DUMMYFUNCTION("DATE(INDEX(SPLIT(G4397,""/""),,3),INDEX(SPLIT(G4397,""/""),,2),INDEX(SPLIT(G4397,""/""),,1))"),44616.0)</f>
        <v>44616</v>
      </c>
      <c r="I4397" s="1" t="s">
        <v>69</v>
      </c>
      <c r="J4397" s="4">
        <f>IFERROR(__xludf.DUMMYFUNCTION("DATE(INDEX(SPLIT(I4397,""/""),,3),INDEX(SPLIT(I4397,""/""),,2),INDEX(SPLIT(I4397,""/""),,1))"),44773.0)</f>
        <v>44773</v>
      </c>
      <c r="L4397" s="1">
        <v>0.0</v>
      </c>
      <c r="M4397" s="1" t="s">
        <v>3507</v>
      </c>
      <c r="N4397" s="1"/>
      <c r="O4397" s="1" t="s">
        <v>30</v>
      </c>
      <c r="P4397" s="1" t="s">
        <v>31</v>
      </c>
      <c r="Q4397" s="1" t="s">
        <v>235</v>
      </c>
      <c r="R4397" s="1" t="s">
        <v>235</v>
      </c>
      <c r="S4397" s="1" t="s">
        <v>236</v>
      </c>
      <c r="T4397" s="1" t="s">
        <v>1349</v>
      </c>
      <c r="U4397" s="1">
        <v>1.00585834E8</v>
      </c>
      <c r="X4397" s="1" t="s">
        <v>375</v>
      </c>
      <c r="Y4397" s="1" t="s">
        <v>3507</v>
      </c>
      <c r="Z4397" s="1" t="s">
        <v>37</v>
      </c>
    </row>
    <row r="4398" hidden="1">
      <c r="A4398" s="1" t="s">
        <v>12463</v>
      </c>
      <c r="B4398" s="1" t="s">
        <v>4779</v>
      </c>
      <c r="C4398" s="1" t="s">
        <v>12464</v>
      </c>
      <c r="D4398" s="1" t="s">
        <v>27</v>
      </c>
      <c r="E4398" s="1" t="s">
        <v>28</v>
      </c>
      <c r="F4398" s="2">
        <v>150000.0</v>
      </c>
      <c r="G4398" s="1" t="s">
        <v>1259</v>
      </c>
      <c r="H4398" s="4">
        <f>IFERROR(__xludf.DUMMYFUNCTION("DATE(INDEX(SPLIT(G4398,""/""),,3),INDEX(SPLIT(G4398,""/""),,2),INDEX(SPLIT(G4398,""/""),,1))"),44763.0)</f>
        <v>44763</v>
      </c>
      <c r="I4398" s="1" t="s">
        <v>109</v>
      </c>
      <c r="J4398" s="4">
        <f>IFERROR(__xludf.DUMMYFUNCTION("DATE(INDEX(SPLIT(I4398,""/""),,3),INDEX(SPLIT(I4398,""/""),,2),INDEX(SPLIT(I4398,""/""),,1))"),44834.0)</f>
        <v>44834</v>
      </c>
      <c r="L4398" s="1">
        <v>0.0</v>
      </c>
      <c r="M4398" s="1" t="s">
        <v>1230</v>
      </c>
      <c r="N4398" s="1"/>
      <c r="O4398" s="1" t="s">
        <v>30</v>
      </c>
      <c r="P4398" s="1" t="s">
        <v>31</v>
      </c>
      <c r="Q4398" s="1" t="s">
        <v>53</v>
      </c>
      <c r="R4398" s="1" t="s">
        <v>53</v>
      </c>
      <c r="S4398" s="1" t="s">
        <v>54</v>
      </c>
      <c r="U4398" s="1">
        <v>1.01127868E8</v>
      </c>
      <c r="X4398" s="1" t="s">
        <v>312</v>
      </c>
      <c r="Y4398" s="1" t="s">
        <v>2367</v>
      </c>
      <c r="Z4398" s="1" t="s">
        <v>37</v>
      </c>
    </row>
    <row r="4399">
      <c r="A4399" s="1" t="s">
        <v>12465</v>
      </c>
      <c r="B4399" s="1" t="s">
        <v>12466</v>
      </c>
      <c r="C4399" s="1" t="s">
        <v>12467</v>
      </c>
      <c r="D4399" s="1" t="s">
        <v>122</v>
      </c>
      <c r="E4399" s="1" t="s">
        <v>28</v>
      </c>
      <c r="F4399" s="2">
        <v>150000.0</v>
      </c>
      <c r="G4399" s="4">
        <v>44870.0</v>
      </c>
      <c r="H4399" s="4">
        <f>IFERROR(__xludf.DUMMYFUNCTION("DATE(INDEX(SPLIT(G4399,""/""),,3),INDEX(SPLIT(G4399,""/""),,2),INDEX(SPLIT(G4399,""/""),,1))"),44692.0)</f>
        <v>44692</v>
      </c>
      <c r="I4399" s="1" t="s">
        <v>1244</v>
      </c>
      <c r="J4399" s="4">
        <f>IFERROR(__xludf.DUMMYFUNCTION("DATE(INDEX(SPLIT(I4399,""/""),,3),INDEX(SPLIT(I4399,""/""),,2),INDEX(SPLIT(I4399,""/""),,1))"),44742.0)</f>
        <v>44742</v>
      </c>
      <c r="L4399" s="1">
        <v>0.0</v>
      </c>
      <c r="M4399" s="1" t="s">
        <v>7088</v>
      </c>
      <c r="N4399" s="1"/>
      <c r="O4399" s="1" t="s">
        <v>30</v>
      </c>
      <c r="P4399" s="1" t="s">
        <v>31</v>
      </c>
      <c r="Q4399" s="1" t="s">
        <v>228</v>
      </c>
      <c r="R4399" s="1" t="s">
        <v>228</v>
      </c>
      <c r="S4399" s="1" t="s">
        <v>229</v>
      </c>
      <c r="T4399" s="1" t="s">
        <v>513</v>
      </c>
      <c r="U4399" s="1">
        <v>1.00597339E8</v>
      </c>
      <c r="X4399" s="1" t="s">
        <v>490</v>
      </c>
      <c r="Y4399" s="1" t="s">
        <v>12468</v>
      </c>
      <c r="Z4399" s="1" t="s">
        <v>37</v>
      </c>
    </row>
    <row r="4400" hidden="1">
      <c r="A4400" s="1" t="s">
        <v>12469</v>
      </c>
      <c r="B4400" s="1" t="s">
        <v>6923</v>
      </c>
      <c r="C4400" s="1" t="s">
        <v>12470</v>
      </c>
      <c r="D4400" s="1" t="s">
        <v>27</v>
      </c>
      <c r="E4400" s="1" t="s">
        <v>28</v>
      </c>
      <c r="F4400" s="2">
        <v>150000.0</v>
      </c>
      <c r="G4400" s="1" t="s">
        <v>3186</v>
      </c>
      <c r="H4400" s="4">
        <f>IFERROR(__xludf.DUMMYFUNCTION("DATE(INDEX(SPLIT(G4400,""/""),,3),INDEX(SPLIT(G4400,""/""),,2),INDEX(SPLIT(G4400,""/""),,1))"),44529.0)</f>
        <v>44529</v>
      </c>
      <c r="I4400" s="1" t="s">
        <v>109</v>
      </c>
      <c r="J4400" s="4">
        <f>IFERROR(__xludf.DUMMYFUNCTION("DATE(INDEX(SPLIT(I4400,""/""),,3),INDEX(SPLIT(I4400,""/""),,2),INDEX(SPLIT(I4400,""/""),,1))"),44834.0)</f>
        <v>44834</v>
      </c>
      <c r="L4400" s="1">
        <v>0.0</v>
      </c>
      <c r="M4400" s="1" t="s">
        <v>542</v>
      </c>
      <c r="N4400" s="1"/>
      <c r="O4400" s="1" t="s">
        <v>30</v>
      </c>
      <c r="P4400" s="1" t="s">
        <v>31</v>
      </c>
      <c r="Q4400" s="1" t="s">
        <v>53</v>
      </c>
      <c r="R4400" s="1" t="s">
        <v>53</v>
      </c>
      <c r="S4400" s="1" t="s">
        <v>54</v>
      </c>
      <c r="T4400" s="1" t="s">
        <v>136</v>
      </c>
      <c r="U4400" s="1">
        <v>1.01001596E8</v>
      </c>
      <c r="X4400" s="1" t="s">
        <v>74</v>
      </c>
      <c r="Y4400" s="1" t="s">
        <v>952</v>
      </c>
      <c r="Z4400" s="1" t="s">
        <v>37</v>
      </c>
    </row>
    <row r="4401" hidden="1">
      <c r="A4401" s="1" t="s">
        <v>12471</v>
      </c>
      <c r="B4401" s="1" t="s">
        <v>6923</v>
      </c>
      <c r="C4401" s="1" t="s">
        <v>12472</v>
      </c>
      <c r="D4401" s="1" t="s">
        <v>27</v>
      </c>
      <c r="E4401" s="1" t="s">
        <v>28</v>
      </c>
      <c r="F4401" s="2">
        <v>150000.0</v>
      </c>
      <c r="G4401" s="1" t="s">
        <v>3186</v>
      </c>
      <c r="H4401" s="4">
        <f>IFERROR(__xludf.DUMMYFUNCTION("DATE(INDEX(SPLIT(G4401,""/""),,3),INDEX(SPLIT(G4401,""/""),,2),INDEX(SPLIT(G4401,""/""),,1))"),44529.0)</f>
        <v>44529</v>
      </c>
      <c r="I4401" s="1" t="s">
        <v>109</v>
      </c>
      <c r="J4401" s="4">
        <f>IFERROR(__xludf.DUMMYFUNCTION("DATE(INDEX(SPLIT(I4401,""/""),,3),INDEX(SPLIT(I4401,""/""),,2),INDEX(SPLIT(I4401,""/""),,1))"),44834.0)</f>
        <v>44834</v>
      </c>
      <c r="L4401" s="1">
        <v>0.0</v>
      </c>
      <c r="M4401" s="1" t="s">
        <v>542</v>
      </c>
      <c r="N4401" s="1"/>
      <c r="O4401" s="1" t="s">
        <v>30</v>
      </c>
      <c r="P4401" s="1" t="s">
        <v>31</v>
      </c>
      <c r="Q4401" s="1" t="s">
        <v>53</v>
      </c>
      <c r="R4401" s="1" t="s">
        <v>53</v>
      </c>
      <c r="S4401" s="1" t="s">
        <v>54</v>
      </c>
      <c r="T4401" s="1" t="s">
        <v>181</v>
      </c>
      <c r="U4401" s="1">
        <v>1.01001596E8</v>
      </c>
      <c r="X4401" s="1" t="s">
        <v>74</v>
      </c>
      <c r="Y4401" s="1" t="s">
        <v>952</v>
      </c>
      <c r="Z4401" s="1" t="s">
        <v>37</v>
      </c>
    </row>
    <row r="4402" hidden="1">
      <c r="A4402" s="1" t="s">
        <v>12473</v>
      </c>
      <c r="B4402" s="1" t="s">
        <v>1730</v>
      </c>
      <c r="C4402" s="1" t="s">
        <v>12474</v>
      </c>
      <c r="D4402" s="1" t="s">
        <v>27</v>
      </c>
      <c r="E4402" s="1" t="s">
        <v>28</v>
      </c>
      <c r="F4402" s="2">
        <v>150000.0</v>
      </c>
      <c r="G4402" s="4">
        <v>44777.0</v>
      </c>
      <c r="H4402" s="4">
        <f>IFERROR(__xludf.DUMMYFUNCTION("DATE(INDEX(SPLIT(G4402,""/""),,3),INDEX(SPLIT(G4402,""/""),,2),INDEX(SPLIT(G4402,""/""),,1))"),44659.0)</f>
        <v>44659</v>
      </c>
      <c r="I4402" s="1" t="s">
        <v>109</v>
      </c>
      <c r="J4402" s="4">
        <f>IFERROR(__xludf.DUMMYFUNCTION("DATE(INDEX(SPLIT(I4402,""/""),,3),INDEX(SPLIT(I4402,""/""),,2),INDEX(SPLIT(I4402,""/""),,1))"),44834.0)</f>
        <v>44834</v>
      </c>
      <c r="L4402" s="1">
        <v>0.0</v>
      </c>
      <c r="M4402" s="1" t="s">
        <v>863</v>
      </c>
      <c r="N4402" s="1"/>
      <c r="O4402" s="1" t="s">
        <v>30</v>
      </c>
      <c r="P4402" s="1" t="s">
        <v>31</v>
      </c>
      <c r="Q4402" s="1" t="s">
        <v>32</v>
      </c>
      <c r="R4402" s="1" t="s">
        <v>32</v>
      </c>
      <c r="S4402" s="1" t="s">
        <v>33</v>
      </c>
      <c r="U4402" s="1">
        <v>1.00650568E8</v>
      </c>
      <c r="X4402" s="1" t="s">
        <v>125</v>
      </c>
      <c r="Y4402" s="1" t="s">
        <v>5978</v>
      </c>
      <c r="Z4402" s="1" t="s">
        <v>37</v>
      </c>
    </row>
    <row r="4403" hidden="1">
      <c r="A4403" s="1" t="s">
        <v>12475</v>
      </c>
      <c r="B4403" s="1" t="s">
        <v>8289</v>
      </c>
      <c r="C4403" s="1" t="s">
        <v>12476</v>
      </c>
      <c r="D4403" s="1" t="s">
        <v>78</v>
      </c>
      <c r="E4403" s="1" t="s">
        <v>28</v>
      </c>
      <c r="F4403" s="2">
        <v>150000.0</v>
      </c>
      <c r="G4403" s="1" t="s">
        <v>418</v>
      </c>
      <c r="H4403" s="4">
        <f>IFERROR(__xludf.DUMMYFUNCTION("DATE(INDEX(SPLIT(G4403,""/""),,3),INDEX(SPLIT(G4403,""/""),,2),INDEX(SPLIT(G4403,""/""),,1))"),44755.0)</f>
        <v>44755</v>
      </c>
      <c r="I4403" s="1" t="s">
        <v>42</v>
      </c>
      <c r="J4403" s="4">
        <f>IFERROR(__xludf.DUMMYFUNCTION("DATE(INDEX(SPLIT(I4403,""/""),,3),INDEX(SPLIT(I4403,""/""),,2),INDEX(SPLIT(I4403,""/""),,1))"),44926.0)</f>
        <v>44926</v>
      </c>
      <c r="L4403" s="1">
        <v>0.0</v>
      </c>
      <c r="M4403" s="1" t="s">
        <v>2568</v>
      </c>
      <c r="N4403" s="1"/>
      <c r="O4403" s="1" t="s">
        <v>30</v>
      </c>
      <c r="P4403" s="1" t="s">
        <v>31</v>
      </c>
      <c r="Q4403" s="1" t="s">
        <v>228</v>
      </c>
      <c r="R4403" s="1" t="s">
        <v>228</v>
      </c>
      <c r="S4403" s="1" t="s">
        <v>229</v>
      </c>
      <c r="T4403" s="1" t="s">
        <v>513</v>
      </c>
      <c r="U4403" s="1">
        <v>1.00659458E8</v>
      </c>
      <c r="X4403" s="1" t="s">
        <v>239</v>
      </c>
      <c r="Y4403" s="1" t="s">
        <v>2568</v>
      </c>
      <c r="Z4403" s="1" t="s">
        <v>37</v>
      </c>
    </row>
    <row r="4404">
      <c r="A4404" s="1" t="s">
        <v>12477</v>
      </c>
      <c r="B4404" s="1" t="s">
        <v>3288</v>
      </c>
      <c r="C4404" s="1" t="s">
        <v>12478</v>
      </c>
      <c r="D4404" s="1" t="s">
        <v>27</v>
      </c>
      <c r="E4404" s="1" t="s">
        <v>28</v>
      </c>
      <c r="F4404" s="2">
        <v>150000.0</v>
      </c>
      <c r="G4404" s="4">
        <v>44297.0</v>
      </c>
      <c r="H4404" s="4">
        <f>IFERROR(__xludf.DUMMYFUNCTION("DATE(INDEX(SPLIT(G4404,""/""),,3),INDEX(SPLIT(G4404,""/""),,2),INDEX(SPLIT(G4404,""/""),,1))"),44504.0)</f>
        <v>44504</v>
      </c>
      <c r="I4404" s="1" t="s">
        <v>1442</v>
      </c>
      <c r="J4404" s="4">
        <f>IFERROR(__xludf.DUMMYFUNCTION("DATE(INDEX(SPLIT(I4404,""/""),,3),INDEX(SPLIT(I4404,""/""),,2),INDEX(SPLIT(I4404,""/""),,1))"),44727.0)</f>
        <v>44727</v>
      </c>
      <c r="L4404" s="1">
        <v>0.0</v>
      </c>
      <c r="M4404" s="1" t="s">
        <v>1828</v>
      </c>
      <c r="N4404" s="1"/>
      <c r="O4404" s="1" t="s">
        <v>30</v>
      </c>
      <c r="P4404" s="1" t="s">
        <v>31</v>
      </c>
      <c r="Q4404" s="1" t="s">
        <v>235</v>
      </c>
      <c r="R4404" s="1" t="s">
        <v>235</v>
      </c>
      <c r="S4404" s="1" t="s">
        <v>236</v>
      </c>
      <c r="T4404" s="1" t="s">
        <v>1349</v>
      </c>
      <c r="U4404" s="1">
        <v>1.00593918E8</v>
      </c>
      <c r="X4404" s="1" t="s">
        <v>375</v>
      </c>
      <c r="Y4404" s="1" t="s">
        <v>1828</v>
      </c>
      <c r="Z4404" s="1" t="s">
        <v>37</v>
      </c>
    </row>
    <row r="4405" hidden="1">
      <c r="A4405" s="1" t="s">
        <v>12479</v>
      </c>
      <c r="B4405" s="1" t="s">
        <v>12480</v>
      </c>
      <c r="C4405" s="1" t="s">
        <v>12481</v>
      </c>
      <c r="D4405" s="1" t="s">
        <v>27</v>
      </c>
      <c r="E4405" s="1" t="s">
        <v>28</v>
      </c>
      <c r="F4405" s="2">
        <v>150000.0</v>
      </c>
      <c r="G4405" s="1" t="s">
        <v>4346</v>
      </c>
      <c r="H4405" s="4">
        <f>IFERROR(__xludf.DUMMYFUNCTION("DATE(INDEX(SPLIT(G4405,""/""),,3),INDEX(SPLIT(G4405,""/""),,2),INDEX(SPLIT(G4405,""/""),,1))"),44765.0)</f>
        <v>44765</v>
      </c>
      <c r="I4405" s="4">
        <v>44570.0</v>
      </c>
      <c r="J4405" s="4">
        <f>IFERROR(__xludf.DUMMYFUNCTION("DATE(INDEX(SPLIT(I4405,""/""),,3),INDEX(SPLIT(I4405,""/""),,2),INDEX(SPLIT(I4405,""/""),,1))"),44805.0)</f>
        <v>44805</v>
      </c>
      <c r="L4405" s="1">
        <v>0.0</v>
      </c>
      <c r="M4405" s="1" t="s">
        <v>3670</v>
      </c>
      <c r="N4405" s="1"/>
      <c r="O4405" s="1" t="s">
        <v>30</v>
      </c>
      <c r="P4405" s="1" t="s">
        <v>31</v>
      </c>
      <c r="Q4405" s="1" t="s">
        <v>228</v>
      </c>
      <c r="R4405" s="1" t="s">
        <v>228</v>
      </c>
      <c r="S4405" s="1" t="s">
        <v>229</v>
      </c>
      <c r="U4405" s="1">
        <v>1.01093737E8</v>
      </c>
      <c r="X4405" s="1" t="s">
        <v>88</v>
      </c>
      <c r="Y4405" s="1" t="s">
        <v>3226</v>
      </c>
      <c r="Z4405" s="1" t="s">
        <v>206</v>
      </c>
    </row>
    <row r="4406" hidden="1">
      <c r="A4406" s="1" t="s">
        <v>12482</v>
      </c>
      <c r="B4406" s="1" t="s">
        <v>177</v>
      </c>
      <c r="C4406" s="1" t="s">
        <v>12483</v>
      </c>
      <c r="D4406" s="1" t="s">
        <v>122</v>
      </c>
      <c r="E4406" s="1" t="s">
        <v>28</v>
      </c>
      <c r="F4406" s="2">
        <v>150000.0</v>
      </c>
      <c r="G4406" s="1" t="s">
        <v>3458</v>
      </c>
      <c r="H4406" s="4">
        <f>IFERROR(__xludf.DUMMYFUNCTION("DATE(INDEX(SPLIT(G4406,""/""),,3),INDEX(SPLIT(G4406,""/""),,2),INDEX(SPLIT(G4406,""/""),,1))"),44548.0)</f>
        <v>44548</v>
      </c>
      <c r="I4406" s="4">
        <v>44689.0</v>
      </c>
      <c r="J4406" s="4">
        <f>IFERROR(__xludf.DUMMYFUNCTION("DATE(INDEX(SPLIT(I4406,""/""),,3),INDEX(SPLIT(I4406,""/""),,2),INDEX(SPLIT(I4406,""/""),,1))"),44778.0)</f>
        <v>44778</v>
      </c>
      <c r="L4406" s="1">
        <v>0.0</v>
      </c>
      <c r="M4406" s="1" t="s">
        <v>936</v>
      </c>
      <c r="N4406" s="1"/>
      <c r="O4406" s="1" t="s">
        <v>30</v>
      </c>
      <c r="P4406" s="1" t="s">
        <v>31</v>
      </c>
      <c r="Q4406" s="1" t="s">
        <v>71</v>
      </c>
      <c r="R4406" s="1" t="s">
        <v>71</v>
      </c>
      <c r="S4406" s="1" t="s">
        <v>72</v>
      </c>
      <c r="T4406" s="1" t="s">
        <v>73</v>
      </c>
      <c r="U4406" s="1">
        <v>1.00941744E8</v>
      </c>
      <c r="X4406" s="1" t="s">
        <v>74</v>
      </c>
      <c r="Y4406" s="1" t="s">
        <v>4720</v>
      </c>
      <c r="Z4406" s="1" t="s">
        <v>37</v>
      </c>
    </row>
    <row r="4407" hidden="1">
      <c r="A4407" s="1" t="s">
        <v>12484</v>
      </c>
      <c r="B4407" s="1" t="s">
        <v>12485</v>
      </c>
      <c r="C4407" s="1" t="s">
        <v>12486</v>
      </c>
      <c r="D4407" s="1" t="s">
        <v>122</v>
      </c>
      <c r="E4407" s="1" t="s">
        <v>28</v>
      </c>
      <c r="F4407" s="2">
        <v>150000.0</v>
      </c>
      <c r="G4407" s="1" t="s">
        <v>298</v>
      </c>
      <c r="H4407" s="4">
        <f>IFERROR(__xludf.DUMMYFUNCTION("DATE(INDEX(SPLIT(G4407,""/""),,3),INDEX(SPLIT(G4407,""/""),,2),INDEX(SPLIT(G4407,""/""),,1))"),44762.0)</f>
        <v>44762</v>
      </c>
      <c r="I4407" s="4">
        <v>44689.0</v>
      </c>
      <c r="J4407" s="4">
        <f>IFERROR(__xludf.DUMMYFUNCTION("DATE(INDEX(SPLIT(I4407,""/""),,3),INDEX(SPLIT(I4407,""/""),,2),INDEX(SPLIT(I4407,""/""),,1))"),44778.0)</f>
        <v>44778</v>
      </c>
      <c r="L4407" s="1">
        <v>0.0</v>
      </c>
      <c r="M4407" s="1" t="s">
        <v>3304</v>
      </c>
      <c r="N4407" s="1"/>
      <c r="O4407" s="1" t="s">
        <v>30</v>
      </c>
      <c r="P4407" s="1" t="s">
        <v>31</v>
      </c>
      <c r="Q4407" s="1" t="s">
        <v>188</v>
      </c>
      <c r="R4407" s="1" t="s">
        <v>188</v>
      </c>
      <c r="S4407" s="1" t="s">
        <v>189</v>
      </c>
      <c r="U4407" s="1">
        <v>1.00584866E8</v>
      </c>
      <c r="X4407" s="1" t="s">
        <v>410</v>
      </c>
      <c r="Y4407" s="1" t="s">
        <v>3794</v>
      </c>
      <c r="Z4407" s="1" t="s">
        <v>37</v>
      </c>
    </row>
    <row r="4408" hidden="1">
      <c r="A4408" s="1" t="s">
        <v>12487</v>
      </c>
      <c r="B4408" s="1" t="s">
        <v>617</v>
      </c>
      <c r="C4408" s="1" t="s">
        <v>12488</v>
      </c>
      <c r="D4408" s="1" t="s">
        <v>78</v>
      </c>
      <c r="E4408" s="1" t="s">
        <v>28</v>
      </c>
      <c r="F4408" s="2">
        <v>150000.0</v>
      </c>
      <c r="G4408" s="1" t="s">
        <v>382</v>
      </c>
      <c r="H4408" s="4">
        <f>IFERROR(__xludf.DUMMYFUNCTION("DATE(INDEX(SPLIT(G4408,""/""),,3),INDEX(SPLIT(G4408,""/""),,2),INDEX(SPLIT(G4408,""/""),,1))"),44758.0)</f>
        <v>44758</v>
      </c>
      <c r="I4408" s="1" t="s">
        <v>130</v>
      </c>
      <c r="J4408" s="4">
        <f>IFERROR(__xludf.DUMMYFUNCTION("DATE(INDEX(SPLIT(I4408,""/""),,3),INDEX(SPLIT(I4408,""/""),,2),INDEX(SPLIT(I4408,""/""),,1))"),44804.0)</f>
        <v>44804</v>
      </c>
      <c r="L4408" s="1">
        <v>0.0</v>
      </c>
      <c r="M4408" s="1" t="s">
        <v>6468</v>
      </c>
      <c r="N4408" s="1"/>
      <c r="O4408" s="1" t="s">
        <v>30</v>
      </c>
      <c r="P4408" s="1" t="s">
        <v>31</v>
      </c>
      <c r="Q4408" s="1" t="s">
        <v>32</v>
      </c>
      <c r="R4408" s="1" t="s">
        <v>32</v>
      </c>
      <c r="S4408" s="1" t="s">
        <v>33</v>
      </c>
      <c r="U4408" s="1">
        <v>1.00627876E8</v>
      </c>
      <c r="X4408" s="1" t="s">
        <v>81</v>
      </c>
      <c r="Y4408" s="1" t="s">
        <v>6468</v>
      </c>
      <c r="Z4408" s="1" t="s">
        <v>527</v>
      </c>
    </row>
    <row r="4409">
      <c r="A4409" s="1" t="s">
        <v>12489</v>
      </c>
      <c r="B4409" s="1" t="s">
        <v>12490</v>
      </c>
      <c r="C4409" s="1" t="s">
        <v>12491</v>
      </c>
      <c r="D4409" s="1" t="s">
        <v>122</v>
      </c>
      <c r="E4409" s="1" t="s">
        <v>28</v>
      </c>
      <c r="F4409" s="2">
        <v>150000.0</v>
      </c>
      <c r="G4409" s="1" t="s">
        <v>2300</v>
      </c>
      <c r="H4409" s="4">
        <f>IFERROR(__xludf.DUMMYFUNCTION("DATE(INDEX(SPLIT(G4409,""/""),,3),INDEX(SPLIT(G4409,""/""),,2),INDEX(SPLIT(G4409,""/""),,1))"),44712.0)</f>
        <v>44712</v>
      </c>
      <c r="I4409" s="4">
        <v>44780.0</v>
      </c>
      <c r="J4409" s="4">
        <f>IFERROR(__xludf.DUMMYFUNCTION("DATE(INDEX(SPLIT(I4409,""/""),,3),INDEX(SPLIT(I4409,""/""),,2),INDEX(SPLIT(I4409,""/""),,1))"),44750.0)</f>
        <v>44750</v>
      </c>
      <c r="L4409" s="1">
        <v>0.0</v>
      </c>
      <c r="M4409" s="1" t="s">
        <v>6570</v>
      </c>
      <c r="N4409" s="1"/>
      <c r="O4409" s="1" t="s">
        <v>30</v>
      </c>
      <c r="P4409" s="1" t="s">
        <v>31</v>
      </c>
      <c r="Q4409" s="1" t="s">
        <v>53</v>
      </c>
      <c r="R4409" s="1" t="s">
        <v>53</v>
      </c>
      <c r="S4409" s="1" t="s">
        <v>54</v>
      </c>
      <c r="T4409" s="1" t="s">
        <v>1386</v>
      </c>
      <c r="U4409" s="1">
        <v>1.01230882E8</v>
      </c>
      <c r="X4409" s="1" t="s">
        <v>63</v>
      </c>
      <c r="Y4409" s="1" t="s">
        <v>11008</v>
      </c>
      <c r="Z4409" s="1" t="s">
        <v>37</v>
      </c>
    </row>
    <row r="4410" hidden="1">
      <c r="A4410" s="1" t="s">
        <v>12492</v>
      </c>
      <c r="B4410" s="1" t="s">
        <v>177</v>
      </c>
      <c r="C4410" s="1" t="s">
        <v>12493</v>
      </c>
      <c r="D4410" s="1" t="s">
        <v>27</v>
      </c>
      <c r="E4410" s="1" t="s">
        <v>28</v>
      </c>
      <c r="F4410" s="2">
        <v>150000.0</v>
      </c>
      <c r="G4410" s="1" t="s">
        <v>711</v>
      </c>
      <c r="H4410" s="4">
        <f>IFERROR(__xludf.DUMMYFUNCTION("DATE(INDEX(SPLIT(G4410,""/""),,3),INDEX(SPLIT(G4410,""/""),,2),INDEX(SPLIT(G4410,""/""),,1))"),44279.0)</f>
        <v>44279</v>
      </c>
      <c r="I4410" s="1" t="s">
        <v>425</v>
      </c>
      <c r="J4410" s="4">
        <f>IFERROR(__xludf.DUMMYFUNCTION("DATE(INDEX(SPLIT(I4410,""/""),,3),INDEX(SPLIT(I4410,""/""),,2),INDEX(SPLIT(I4410,""/""),,1))"),44911.0)</f>
        <v>44911</v>
      </c>
      <c r="L4410" s="1">
        <v>0.0</v>
      </c>
      <c r="M4410" s="1" t="s">
        <v>1409</v>
      </c>
      <c r="N4410" s="1"/>
      <c r="O4410" s="1" t="s">
        <v>30</v>
      </c>
      <c r="P4410" s="1" t="s">
        <v>31</v>
      </c>
      <c r="Q4410" s="1" t="s">
        <v>71</v>
      </c>
      <c r="R4410" s="1" t="s">
        <v>71</v>
      </c>
      <c r="S4410" s="1" t="s">
        <v>72</v>
      </c>
      <c r="T4410" s="1" t="s">
        <v>73</v>
      </c>
      <c r="U4410" s="1">
        <v>1.00613761E8</v>
      </c>
      <c r="X4410" s="1" t="s">
        <v>74</v>
      </c>
      <c r="Y4410" s="1" t="s">
        <v>11286</v>
      </c>
      <c r="Z4410" s="1" t="s">
        <v>37</v>
      </c>
    </row>
    <row r="4411">
      <c r="A4411" s="1" t="s">
        <v>12494</v>
      </c>
      <c r="B4411" s="1" t="s">
        <v>3655</v>
      </c>
      <c r="C4411" s="1" t="s">
        <v>12495</v>
      </c>
      <c r="D4411" s="1" t="s">
        <v>27</v>
      </c>
      <c r="E4411" s="1" t="s">
        <v>28</v>
      </c>
      <c r="F4411" s="2">
        <v>150000.0</v>
      </c>
      <c r="G4411" s="1" t="s">
        <v>359</v>
      </c>
      <c r="H4411" s="4">
        <f>IFERROR(__xludf.DUMMYFUNCTION("DATE(INDEX(SPLIT(G4411,""/""),,3),INDEX(SPLIT(G4411,""/""),,2),INDEX(SPLIT(G4411,""/""),,1))"),44740.0)</f>
        <v>44740</v>
      </c>
      <c r="I4411" s="1" t="s">
        <v>226</v>
      </c>
      <c r="J4411" s="4">
        <f>IFERROR(__xludf.DUMMYFUNCTION("DATE(INDEX(SPLIT(I4411,""/""),,3),INDEX(SPLIT(I4411,""/""),,2),INDEX(SPLIT(I4411,""/""),,1))"),44771.0)</f>
        <v>44771</v>
      </c>
      <c r="L4411" s="1">
        <v>0.0</v>
      </c>
      <c r="M4411" s="1" t="s">
        <v>4574</v>
      </c>
      <c r="N4411" s="1"/>
      <c r="O4411" s="1" t="s">
        <v>30</v>
      </c>
      <c r="P4411" s="1" t="s">
        <v>31</v>
      </c>
      <c r="Q4411" s="1" t="s">
        <v>235</v>
      </c>
      <c r="R4411" s="1" t="s">
        <v>235</v>
      </c>
      <c r="S4411" s="1" t="s">
        <v>236</v>
      </c>
      <c r="T4411" s="1" t="s">
        <v>438</v>
      </c>
      <c r="U4411" s="1">
        <v>1.00625459E8</v>
      </c>
      <c r="X4411" s="1" t="s">
        <v>88</v>
      </c>
      <c r="Y4411" s="1" t="s">
        <v>10841</v>
      </c>
      <c r="Z4411" s="1" t="s">
        <v>37</v>
      </c>
    </row>
    <row r="4412" hidden="1">
      <c r="A4412" s="1" t="s">
        <v>12496</v>
      </c>
      <c r="B4412" s="1" t="s">
        <v>1144</v>
      </c>
      <c r="C4412" s="1" t="s">
        <v>12497</v>
      </c>
      <c r="D4412" s="1" t="s">
        <v>122</v>
      </c>
      <c r="E4412" s="1" t="s">
        <v>28</v>
      </c>
      <c r="F4412" s="2">
        <v>150000.0</v>
      </c>
      <c r="G4412" s="1" t="s">
        <v>359</v>
      </c>
      <c r="H4412" s="4">
        <f>IFERROR(__xludf.DUMMYFUNCTION("DATE(INDEX(SPLIT(G4412,""/""),,3),INDEX(SPLIT(G4412,""/""),,2),INDEX(SPLIT(G4412,""/""),,1))"),44740.0)</f>
        <v>44740</v>
      </c>
      <c r="I4412" s="4">
        <v>44604.0</v>
      </c>
      <c r="J4412" s="4">
        <f>IFERROR(__xludf.DUMMYFUNCTION("DATE(INDEX(SPLIT(I4412,""/""),,3),INDEX(SPLIT(I4412,""/""),,2),INDEX(SPLIT(I4412,""/""),,1))"),44897.0)</f>
        <v>44897</v>
      </c>
      <c r="L4412" s="1">
        <v>0.0</v>
      </c>
      <c r="M4412" s="1" t="s">
        <v>1146</v>
      </c>
      <c r="N4412" s="1"/>
      <c r="O4412" s="1" t="s">
        <v>30</v>
      </c>
      <c r="P4412" s="1" t="s">
        <v>31</v>
      </c>
      <c r="Q4412" s="1" t="s">
        <v>228</v>
      </c>
      <c r="R4412" s="1" t="s">
        <v>228</v>
      </c>
      <c r="S4412" s="1" t="s">
        <v>229</v>
      </c>
      <c r="U4412" s="1">
        <v>1.0061139E8</v>
      </c>
      <c r="X4412" s="1" t="s">
        <v>63</v>
      </c>
      <c r="Y4412" s="1" t="s">
        <v>6579</v>
      </c>
      <c r="Z4412" s="1" t="s">
        <v>37</v>
      </c>
    </row>
    <row r="4413">
      <c r="A4413" s="1" t="s">
        <v>12498</v>
      </c>
      <c r="B4413" s="1" t="s">
        <v>4546</v>
      </c>
      <c r="C4413" s="1" t="s">
        <v>12499</v>
      </c>
      <c r="D4413" s="1" t="s">
        <v>78</v>
      </c>
      <c r="E4413" s="1" t="s">
        <v>28</v>
      </c>
      <c r="F4413" s="2">
        <v>150000.0</v>
      </c>
      <c r="G4413" s="1" t="s">
        <v>551</v>
      </c>
      <c r="H4413" s="4">
        <f>IFERROR(__xludf.DUMMYFUNCTION("DATE(INDEX(SPLIT(G4413,""/""),,3),INDEX(SPLIT(G4413,""/""),,2),INDEX(SPLIT(G4413,""/""),,1))"),44701.0)</f>
        <v>44701</v>
      </c>
      <c r="I4413" s="1" t="s">
        <v>226</v>
      </c>
      <c r="J4413" s="4">
        <f>IFERROR(__xludf.DUMMYFUNCTION("DATE(INDEX(SPLIT(I4413,""/""),,3),INDEX(SPLIT(I4413,""/""),,2),INDEX(SPLIT(I4413,""/""),,1))"),44771.0)</f>
        <v>44771</v>
      </c>
      <c r="L4413" s="1">
        <v>0.0</v>
      </c>
      <c r="M4413" s="1" t="s">
        <v>3580</v>
      </c>
      <c r="N4413" s="1"/>
      <c r="O4413" s="1" t="s">
        <v>30</v>
      </c>
      <c r="P4413" s="1" t="s">
        <v>31</v>
      </c>
      <c r="Q4413" s="1" t="s">
        <v>157</v>
      </c>
      <c r="R4413" s="1" t="s">
        <v>157</v>
      </c>
      <c r="S4413" s="1" t="s">
        <v>158</v>
      </c>
      <c r="U4413" s="1">
        <v>1.00956516E8</v>
      </c>
      <c r="Y4413" s="1" t="s">
        <v>11505</v>
      </c>
      <c r="Z4413" s="1" t="s">
        <v>37</v>
      </c>
    </row>
    <row r="4414" hidden="1">
      <c r="A4414" s="1" t="s">
        <v>12500</v>
      </c>
      <c r="B4414" s="1" t="s">
        <v>6087</v>
      </c>
      <c r="C4414" s="1" t="s">
        <v>12501</v>
      </c>
      <c r="D4414" s="1" t="s">
        <v>27</v>
      </c>
      <c r="E4414" s="1" t="s">
        <v>28</v>
      </c>
      <c r="F4414" s="2">
        <v>150000.0</v>
      </c>
      <c r="G4414" s="4">
        <v>44567.0</v>
      </c>
      <c r="H4414" s="4">
        <f>IFERROR(__xludf.DUMMYFUNCTION("DATE(INDEX(SPLIT(G4414,""/""),,3),INDEX(SPLIT(G4414,""/""),,2),INDEX(SPLIT(G4414,""/""),,1))"),44713.0)</f>
        <v>44713</v>
      </c>
      <c r="I4414" s="1" t="s">
        <v>130</v>
      </c>
      <c r="J4414" s="4">
        <f>IFERROR(__xludf.DUMMYFUNCTION("DATE(INDEX(SPLIT(I4414,""/""),,3),INDEX(SPLIT(I4414,""/""),,2),INDEX(SPLIT(I4414,""/""),,1))"),44804.0)</f>
        <v>44804</v>
      </c>
      <c r="L4414" s="1">
        <v>0.0</v>
      </c>
      <c r="M4414" s="1" t="s">
        <v>4282</v>
      </c>
      <c r="N4414" s="1"/>
      <c r="O4414" s="1" t="s">
        <v>30</v>
      </c>
      <c r="P4414" s="1" t="s">
        <v>31</v>
      </c>
      <c r="Q4414" s="1" t="s">
        <v>53</v>
      </c>
      <c r="R4414" s="1" t="s">
        <v>53</v>
      </c>
      <c r="S4414" s="1" t="s">
        <v>54</v>
      </c>
      <c r="T4414" s="1" t="s">
        <v>55</v>
      </c>
      <c r="U4414" s="1">
        <v>1.01238292E8</v>
      </c>
      <c r="X4414" s="1" t="s">
        <v>305</v>
      </c>
      <c r="Y4414" s="1" t="s">
        <v>4282</v>
      </c>
      <c r="Z4414" s="1" t="s">
        <v>37</v>
      </c>
    </row>
    <row r="4415" hidden="1">
      <c r="A4415" s="1" t="s">
        <v>12502</v>
      </c>
      <c r="B4415" s="1" t="s">
        <v>2009</v>
      </c>
      <c r="C4415" s="1" t="s">
        <v>12503</v>
      </c>
      <c r="D4415" s="1" t="s">
        <v>27</v>
      </c>
      <c r="E4415" s="1" t="s">
        <v>28</v>
      </c>
      <c r="F4415" s="2">
        <v>150000.0</v>
      </c>
      <c r="G4415" s="4">
        <v>44743.0</v>
      </c>
      <c r="H4415" s="4">
        <f>IFERROR(__xludf.DUMMYFUNCTION("DATE(INDEX(SPLIT(G4415,""/""),,3),INDEX(SPLIT(G4415,""/""),,2),INDEX(SPLIT(G4415,""/""),,1))"),44568.0)</f>
        <v>44568</v>
      </c>
      <c r="I4415" s="1" t="s">
        <v>109</v>
      </c>
      <c r="J4415" s="4">
        <f>IFERROR(__xludf.DUMMYFUNCTION("DATE(INDEX(SPLIT(I4415,""/""),,3),INDEX(SPLIT(I4415,""/""),,2),INDEX(SPLIT(I4415,""/""),,1))"),44834.0)</f>
        <v>44834</v>
      </c>
      <c r="L4415" s="1">
        <v>0.0</v>
      </c>
      <c r="M4415" s="1" t="s">
        <v>2472</v>
      </c>
      <c r="N4415" s="1"/>
      <c r="O4415" s="1" t="s">
        <v>30</v>
      </c>
      <c r="P4415" s="1" t="s">
        <v>31</v>
      </c>
      <c r="Q4415" s="1" t="s">
        <v>228</v>
      </c>
      <c r="R4415" s="1" t="s">
        <v>228</v>
      </c>
      <c r="S4415" s="1" t="s">
        <v>229</v>
      </c>
      <c r="T4415" s="1" t="s">
        <v>640</v>
      </c>
      <c r="U4415" s="1">
        <v>1.00645232E8</v>
      </c>
      <c r="X4415" s="1" t="s">
        <v>239</v>
      </c>
      <c r="Y4415" s="1" t="s">
        <v>2977</v>
      </c>
      <c r="Z4415" s="1" t="s">
        <v>37</v>
      </c>
    </row>
    <row r="4416" hidden="1">
      <c r="A4416" s="1" t="s">
        <v>12504</v>
      </c>
      <c r="B4416" s="1" t="s">
        <v>3591</v>
      </c>
      <c r="C4416" s="1" t="s">
        <v>12505</v>
      </c>
      <c r="D4416" s="1" t="s">
        <v>78</v>
      </c>
      <c r="E4416" s="1" t="s">
        <v>28</v>
      </c>
      <c r="F4416" s="2">
        <v>150000.0</v>
      </c>
      <c r="G4416" s="1" t="s">
        <v>233</v>
      </c>
      <c r="H4416" s="4">
        <f>IFERROR(__xludf.DUMMYFUNCTION("DATE(INDEX(SPLIT(G4416,""/""),,3),INDEX(SPLIT(G4416,""/""),,2),INDEX(SPLIT(G4416,""/""),,1))"),44729.0)</f>
        <v>44729</v>
      </c>
      <c r="I4416" s="1" t="s">
        <v>130</v>
      </c>
      <c r="J4416" s="4">
        <f>IFERROR(__xludf.DUMMYFUNCTION("DATE(INDEX(SPLIT(I4416,""/""),,3),INDEX(SPLIT(I4416,""/""),,2),INDEX(SPLIT(I4416,""/""),,1))"),44804.0)</f>
        <v>44804</v>
      </c>
      <c r="L4416" s="1">
        <v>0.0</v>
      </c>
      <c r="M4416" s="1" t="s">
        <v>1027</v>
      </c>
      <c r="N4416" s="1"/>
      <c r="O4416" s="1" t="s">
        <v>30</v>
      </c>
      <c r="P4416" s="1" t="s">
        <v>31</v>
      </c>
      <c r="Q4416" s="1" t="s">
        <v>53</v>
      </c>
      <c r="R4416" s="1" t="s">
        <v>53</v>
      </c>
      <c r="S4416" s="1" t="s">
        <v>54</v>
      </c>
      <c r="U4416" s="1">
        <v>1.00879751E8</v>
      </c>
      <c r="X4416" s="1" t="s">
        <v>74</v>
      </c>
      <c r="Y4416" s="1" t="s">
        <v>5435</v>
      </c>
      <c r="Z4416" s="1" t="s">
        <v>37</v>
      </c>
    </row>
    <row r="4417" hidden="1">
      <c r="A4417" s="1" t="s">
        <v>12506</v>
      </c>
      <c r="B4417" s="1" t="s">
        <v>12507</v>
      </c>
      <c r="C4417" s="1" t="s">
        <v>12508</v>
      </c>
      <c r="D4417" s="1" t="s">
        <v>78</v>
      </c>
      <c r="E4417" s="1" t="s">
        <v>28</v>
      </c>
      <c r="F4417" s="2">
        <v>150000.0</v>
      </c>
      <c r="G4417" s="4">
        <v>44718.0</v>
      </c>
      <c r="H4417" s="4">
        <f>IFERROR(__xludf.DUMMYFUNCTION("DATE(INDEX(SPLIT(G4417,""/""),,3),INDEX(SPLIT(G4417,""/""),,2),INDEX(SPLIT(G4417,""/""),,1))"),44718.0)</f>
        <v>44718</v>
      </c>
      <c r="I4417" s="1" t="s">
        <v>293</v>
      </c>
      <c r="J4417" s="4">
        <f>IFERROR(__xludf.DUMMYFUNCTION("DATE(INDEX(SPLIT(I4417,""/""),,3),INDEX(SPLIT(I4417,""/""),,2),INDEX(SPLIT(I4417,""/""),,1))"),44918.0)</f>
        <v>44918</v>
      </c>
      <c r="L4417" s="1">
        <v>0.0</v>
      </c>
      <c r="M4417" s="1" t="s">
        <v>3538</v>
      </c>
      <c r="N4417" s="1"/>
      <c r="O4417" s="1" t="s">
        <v>30</v>
      </c>
      <c r="P4417" s="1" t="s">
        <v>31</v>
      </c>
      <c r="Q4417" s="1" t="s">
        <v>32</v>
      </c>
      <c r="R4417" s="1" t="s">
        <v>32</v>
      </c>
      <c r="S4417" s="1" t="s">
        <v>33</v>
      </c>
      <c r="U4417" s="1">
        <v>1.00589892E8</v>
      </c>
      <c r="X4417" s="1" t="s">
        <v>289</v>
      </c>
      <c r="Y4417" s="1" t="s">
        <v>3538</v>
      </c>
      <c r="Z4417" s="1" t="s">
        <v>527</v>
      </c>
    </row>
    <row r="4418" hidden="1">
      <c r="A4418" s="1" t="s">
        <v>12509</v>
      </c>
      <c r="B4418" s="1" t="s">
        <v>12510</v>
      </c>
      <c r="C4418" s="1" t="s">
        <v>12511</v>
      </c>
      <c r="D4418" s="1" t="s">
        <v>27</v>
      </c>
      <c r="E4418" s="1" t="s">
        <v>28</v>
      </c>
      <c r="F4418" s="2">
        <v>150000.0</v>
      </c>
      <c r="G4418" s="4">
        <v>44624.0</v>
      </c>
      <c r="H4418" s="4">
        <f>IFERROR(__xludf.DUMMYFUNCTION("DATE(INDEX(SPLIT(G4418,""/""),,3),INDEX(SPLIT(G4418,""/""),,2),INDEX(SPLIT(G4418,""/""),,1))"),44654.0)</f>
        <v>44654</v>
      </c>
      <c r="I4418" s="1" t="s">
        <v>3202</v>
      </c>
      <c r="J4418" s="4">
        <f>IFERROR(__xludf.DUMMYFUNCTION("DATE(INDEX(SPLIT(I4418,""/""),,3),INDEX(SPLIT(I4418,""/""),,2),INDEX(SPLIT(I4418,""/""),,1))"),44830.0)</f>
        <v>44830</v>
      </c>
      <c r="L4418" s="1">
        <v>0.0</v>
      </c>
      <c r="M4418" s="1" t="s">
        <v>2724</v>
      </c>
      <c r="N4418" s="1"/>
      <c r="O4418" s="1" t="s">
        <v>30</v>
      </c>
      <c r="P4418" s="1" t="s">
        <v>31</v>
      </c>
      <c r="Q4418" s="1" t="s">
        <v>32</v>
      </c>
      <c r="R4418" s="1" t="s">
        <v>32</v>
      </c>
      <c r="S4418" s="1" t="s">
        <v>33</v>
      </c>
      <c r="U4418" s="1">
        <v>1.00606975E8</v>
      </c>
      <c r="X4418" s="1" t="s">
        <v>74</v>
      </c>
      <c r="Y4418" s="1" t="s">
        <v>2724</v>
      </c>
      <c r="Z4418" s="1" t="s">
        <v>37</v>
      </c>
    </row>
    <row r="4419" hidden="1">
      <c r="A4419" s="1" t="s">
        <v>12512</v>
      </c>
      <c r="B4419" s="1" t="s">
        <v>12513</v>
      </c>
      <c r="C4419" s="1" t="s">
        <v>12514</v>
      </c>
      <c r="D4419" s="1" t="s">
        <v>78</v>
      </c>
      <c r="E4419" s="1" t="s">
        <v>28</v>
      </c>
      <c r="F4419" s="2">
        <v>150000.0</v>
      </c>
      <c r="G4419" s="1" t="s">
        <v>518</v>
      </c>
      <c r="H4419" s="4">
        <f>IFERROR(__xludf.DUMMYFUNCTION("DATE(INDEX(SPLIT(G4419,""/""),,3),INDEX(SPLIT(G4419,""/""),,2),INDEX(SPLIT(G4419,""/""),,1))"),44757.0)</f>
        <v>44757</v>
      </c>
      <c r="I4419" s="1" t="s">
        <v>109</v>
      </c>
      <c r="J4419" s="4">
        <f>IFERROR(__xludf.DUMMYFUNCTION("DATE(INDEX(SPLIT(I4419,""/""),,3),INDEX(SPLIT(I4419,""/""),,2),INDEX(SPLIT(I4419,""/""),,1))"),44834.0)</f>
        <v>44834</v>
      </c>
      <c r="L4419" s="1">
        <v>0.0</v>
      </c>
      <c r="M4419" s="1" t="s">
        <v>8053</v>
      </c>
      <c r="N4419" s="1"/>
      <c r="O4419" s="1" t="s">
        <v>30</v>
      </c>
      <c r="P4419" s="1" t="s">
        <v>31</v>
      </c>
      <c r="Q4419" s="1" t="s">
        <v>1320</v>
      </c>
      <c r="R4419" s="1" t="s">
        <v>1320</v>
      </c>
      <c r="S4419" s="1" t="s">
        <v>33</v>
      </c>
      <c r="U4419" s="1">
        <v>1.00613849E8</v>
      </c>
      <c r="Y4419" s="1" t="s">
        <v>1321</v>
      </c>
      <c r="Z4419" s="1" t="s">
        <v>37</v>
      </c>
    </row>
    <row r="4420">
      <c r="A4420" s="1" t="s">
        <v>12515</v>
      </c>
      <c r="B4420" s="1" t="s">
        <v>12516</v>
      </c>
      <c r="C4420" s="1" t="s">
        <v>12517</v>
      </c>
      <c r="D4420" s="1" t="s">
        <v>27</v>
      </c>
      <c r="E4420" s="1" t="s">
        <v>28</v>
      </c>
      <c r="F4420" s="2">
        <v>150000.0</v>
      </c>
      <c r="G4420" s="4">
        <v>44448.0</v>
      </c>
      <c r="H4420" s="4">
        <f>IFERROR(__xludf.DUMMYFUNCTION("DATE(INDEX(SPLIT(G4420,""/""),,3),INDEX(SPLIT(G4420,""/""),,2),INDEX(SPLIT(G4420,""/""),,1))"),44448.0)</f>
        <v>44448</v>
      </c>
      <c r="I4420" s="1" t="s">
        <v>1438</v>
      </c>
      <c r="J4420" s="4">
        <f>IFERROR(__xludf.DUMMYFUNCTION("DATE(INDEX(SPLIT(I4420,""/""),,3),INDEX(SPLIT(I4420,""/""),,2),INDEX(SPLIT(I4420,""/""),,1))"),44708.0)</f>
        <v>44708</v>
      </c>
      <c r="L4420" s="1">
        <v>0.0</v>
      </c>
      <c r="M4420" s="1" t="s">
        <v>5588</v>
      </c>
      <c r="N4420" s="1"/>
      <c r="O4420" s="1" t="s">
        <v>30</v>
      </c>
      <c r="P4420" s="1" t="s">
        <v>31</v>
      </c>
      <c r="Q4420" s="1" t="s">
        <v>1320</v>
      </c>
      <c r="R4420" s="1" t="s">
        <v>1320</v>
      </c>
      <c r="S4420" s="1" t="s">
        <v>54</v>
      </c>
      <c r="U4420" s="1">
        <v>1.00625588E8</v>
      </c>
      <c r="X4420" s="1" t="s">
        <v>125</v>
      </c>
      <c r="Y4420" s="1" t="s">
        <v>1321</v>
      </c>
      <c r="Z4420" s="1" t="s">
        <v>37</v>
      </c>
    </row>
    <row r="4421" hidden="1">
      <c r="A4421" s="1" t="s">
        <v>12518</v>
      </c>
      <c r="B4421" s="1" t="s">
        <v>12519</v>
      </c>
      <c r="C4421" s="1" t="s">
        <v>12520</v>
      </c>
      <c r="D4421" s="1" t="s">
        <v>78</v>
      </c>
      <c r="E4421" s="1" t="s">
        <v>28</v>
      </c>
      <c r="F4421" s="2">
        <v>150000.0</v>
      </c>
      <c r="G4421" s="4">
        <v>44713.0</v>
      </c>
      <c r="H4421" s="4">
        <f>IFERROR(__xludf.DUMMYFUNCTION("DATE(INDEX(SPLIT(G4421,""/""),,3),INDEX(SPLIT(G4421,""/""),,2),INDEX(SPLIT(G4421,""/""),,1))"),44567.0)</f>
        <v>44567</v>
      </c>
      <c r="I4421" s="4">
        <v>44873.0</v>
      </c>
      <c r="J4421" s="4">
        <f>IFERROR(__xludf.DUMMYFUNCTION("DATE(INDEX(SPLIT(I4421,""/""),,3),INDEX(SPLIT(I4421,""/""),,2),INDEX(SPLIT(I4421,""/""),,1))"),44784.0)</f>
        <v>44784</v>
      </c>
      <c r="L4421" s="1">
        <v>0.0</v>
      </c>
      <c r="M4421" s="1" t="s">
        <v>303</v>
      </c>
      <c r="N4421" s="1"/>
      <c r="O4421" s="1" t="s">
        <v>30</v>
      </c>
      <c r="P4421" s="1" t="s">
        <v>31</v>
      </c>
      <c r="Q4421" s="1" t="s">
        <v>95</v>
      </c>
      <c r="R4421" s="1" t="s">
        <v>95</v>
      </c>
      <c r="S4421" s="1" t="s">
        <v>96</v>
      </c>
      <c r="T4421" s="1" t="s">
        <v>97</v>
      </c>
      <c r="U4421" s="1">
        <v>1.00623914E8</v>
      </c>
      <c r="Y4421" s="1" t="s">
        <v>12521</v>
      </c>
      <c r="Z4421" s="1" t="s">
        <v>37</v>
      </c>
    </row>
    <row r="4422" hidden="1">
      <c r="A4422" s="1" t="s">
        <v>12522</v>
      </c>
      <c r="B4422" s="1" t="s">
        <v>3044</v>
      </c>
      <c r="C4422" s="1" t="s">
        <v>12523</v>
      </c>
      <c r="D4422" s="1" t="s">
        <v>78</v>
      </c>
      <c r="E4422" s="1" t="s">
        <v>28</v>
      </c>
      <c r="F4422" s="2">
        <v>150000.0</v>
      </c>
      <c r="G4422" s="1" t="s">
        <v>1851</v>
      </c>
      <c r="H4422" s="4">
        <f>IFERROR(__xludf.DUMMYFUNCTION("DATE(INDEX(SPLIT(G4422,""/""),,3),INDEX(SPLIT(G4422,""/""),,2),INDEX(SPLIT(G4422,""/""),,1))"),44646.0)</f>
        <v>44646</v>
      </c>
      <c r="I4422" s="4">
        <v>44630.0</v>
      </c>
      <c r="J4422" s="4">
        <f>IFERROR(__xludf.DUMMYFUNCTION("DATE(INDEX(SPLIT(I4422,""/""),,3),INDEX(SPLIT(I4422,""/""),,2),INDEX(SPLIT(I4422,""/""),,1))"),44837.0)</f>
        <v>44837</v>
      </c>
      <c r="L4422" s="1">
        <v>0.0</v>
      </c>
      <c r="M4422" s="1" t="s">
        <v>2171</v>
      </c>
      <c r="N4422" s="1"/>
      <c r="O4422" s="1" t="s">
        <v>30</v>
      </c>
      <c r="P4422" s="1" t="s">
        <v>31</v>
      </c>
      <c r="Q4422" s="1" t="s">
        <v>53</v>
      </c>
      <c r="R4422" s="1" t="s">
        <v>53</v>
      </c>
      <c r="S4422" s="1" t="s">
        <v>54</v>
      </c>
      <c r="T4422" s="1" t="s">
        <v>1386</v>
      </c>
      <c r="U4422" s="1">
        <v>1.00638494E8</v>
      </c>
      <c r="X4422" s="1" t="s">
        <v>63</v>
      </c>
      <c r="Y4422" s="1" t="s">
        <v>2172</v>
      </c>
      <c r="Z4422" s="1" t="s">
        <v>527</v>
      </c>
    </row>
    <row r="4423">
      <c r="A4423" s="1" t="s">
        <v>12524</v>
      </c>
      <c r="B4423" s="1" t="s">
        <v>12525</v>
      </c>
      <c r="C4423" s="1" t="s">
        <v>12526</v>
      </c>
      <c r="D4423" s="1" t="s">
        <v>78</v>
      </c>
      <c r="E4423" s="1" t="s">
        <v>28</v>
      </c>
      <c r="F4423" s="2">
        <v>150000.0</v>
      </c>
      <c r="G4423" s="4">
        <v>44748.0</v>
      </c>
      <c r="H4423" s="4">
        <f>IFERROR(__xludf.DUMMYFUNCTION("DATE(INDEX(SPLIT(G4423,""/""),,3),INDEX(SPLIT(G4423,""/""),,2),INDEX(SPLIT(G4423,""/""),,1))"),44719.0)</f>
        <v>44719</v>
      </c>
      <c r="I4423" s="1" t="s">
        <v>226</v>
      </c>
      <c r="J4423" s="4">
        <f>IFERROR(__xludf.DUMMYFUNCTION("DATE(INDEX(SPLIT(I4423,""/""),,3),INDEX(SPLIT(I4423,""/""),,2),INDEX(SPLIT(I4423,""/""),,1))"),44771.0)</f>
        <v>44771</v>
      </c>
      <c r="L4423" s="1">
        <v>0.0</v>
      </c>
      <c r="M4423" s="1" t="s">
        <v>187</v>
      </c>
      <c r="N4423" s="1"/>
      <c r="O4423" s="1" t="s">
        <v>30</v>
      </c>
      <c r="P4423" s="1" t="s">
        <v>31</v>
      </c>
      <c r="Q4423" s="1" t="s">
        <v>188</v>
      </c>
      <c r="R4423" s="1" t="s">
        <v>188</v>
      </c>
      <c r="S4423" s="1" t="s">
        <v>189</v>
      </c>
      <c r="U4423" s="1">
        <v>1.00613095E8</v>
      </c>
      <c r="X4423" s="1" t="s">
        <v>98</v>
      </c>
      <c r="Y4423" s="1" t="s">
        <v>12527</v>
      </c>
      <c r="Z4423" s="1" t="s">
        <v>37</v>
      </c>
    </row>
    <row r="4424">
      <c r="A4424" s="1" t="s">
        <v>12528</v>
      </c>
      <c r="B4424" s="1" t="s">
        <v>39</v>
      </c>
      <c r="C4424" s="1" t="s">
        <v>12529</v>
      </c>
      <c r="D4424" s="1" t="s">
        <v>122</v>
      </c>
      <c r="E4424" s="1" t="s">
        <v>28</v>
      </c>
      <c r="F4424" s="2">
        <v>150000.0</v>
      </c>
      <c r="G4424" s="1" t="s">
        <v>779</v>
      </c>
      <c r="H4424" s="4">
        <f>IFERROR(__xludf.DUMMYFUNCTION("DATE(INDEX(SPLIT(G4424,""/""),,3),INDEX(SPLIT(G4424,""/""),,2),INDEX(SPLIT(G4424,""/""),,1))"),44734.0)</f>
        <v>44734</v>
      </c>
      <c r="I4424" s="1" t="s">
        <v>226</v>
      </c>
      <c r="J4424" s="4">
        <f>IFERROR(__xludf.DUMMYFUNCTION("DATE(INDEX(SPLIT(I4424,""/""),,3),INDEX(SPLIT(I4424,""/""),,2),INDEX(SPLIT(I4424,""/""),,1))"),44771.0)</f>
        <v>44771</v>
      </c>
      <c r="L4424" s="1">
        <v>0.0</v>
      </c>
      <c r="M4424" s="1" t="s">
        <v>3376</v>
      </c>
      <c r="N4424" s="1"/>
      <c r="O4424" s="1" t="s">
        <v>30</v>
      </c>
      <c r="P4424" s="1" t="s">
        <v>31</v>
      </c>
      <c r="Q4424" s="1" t="s">
        <v>32</v>
      </c>
      <c r="R4424" s="1" t="s">
        <v>32</v>
      </c>
      <c r="S4424" s="1" t="s">
        <v>33</v>
      </c>
      <c r="T4424" s="1" t="s">
        <v>103</v>
      </c>
      <c r="U4424" s="1">
        <v>1.00597272E8</v>
      </c>
      <c r="X4424" s="1" t="s">
        <v>46</v>
      </c>
      <c r="Y4424" s="1" t="s">
        <v>12530</v>
      </c>
      <c r="Z4424" s="1" t="s">
        <v>206</v>
      </c>
    </row>
    <row r="4425" hidden="1">
      <c r="A4425" s="1" t="s">
        <v>12531</v>
      </c>
      <c r="B4425" s="1" t="s">
        <v>12532</v>
      </c>
      <c r="C4425" s="1" t="s">
        <v>12533</v>
      </c>
      <c r="D4425" s="1" t="s">
        <v>78</v>
      </c>
      <c r="E4425" s="1" t="s">
        <v>28</v>
      </c>
      <c r="F4425" s="2">
        <v>150000.0</v>
      </c>
      <c r="G4425" s="1" t="s">
        <v>298</v>
      </c>
      <c r="H4425" s="4">
        <f>IFERROR(__xludf.DUMMYFUNCTION("DATE(INDEX(SPLIT(G4425,""/""),,3),INDEX(SPLIT(G4425,""/""),,2),INDEX(SPLIT(G4425,""/""),,1))"),44762.0)</f>
        <v>44762</v>
      </c>
      <c r="I4425" s="1" t="s">
        <v>109</v>
      </c>
      <c r="J4425" s="4">
        <f>IFERROR(__xludf.DUMMYFUNCTION("DATE(INDEX(SPLIT(I4425,""/""),,3),INDEX(SPLIT(I4425,""/""),,2),INDEX(SPLIT(I4425,""/""),,1))"),44834.0)</f>
        <v>44834</v>
      </c>
      <c r="L4425" s="1">
        <v>0.0</v>
      </c>
      <c r="M4425" s="1" t="s">
        <v>1532</v>
      </c>
      <c r="N4425" s="1"/>
      <c r="O4425" s="1" t="s">
        <v>30</v>
      </c>
      <c r="P4425" s="1" t="s">
        <v>31</v>
      </c>
      <c r="Q4425" s="1" t="s">
        <v>228</v>
      </c>
      <c r="R4425" s="1" t="s">
        <v>228</v>
      </c>
      <c r="S4425" s="1" t="s">
        <v>229</v>
      </c>
      <c r="U4425" s="1">
        <v>1.00711752E8</v>
      </c>
      <c r="X4425" s="1" t="s">
        <v>361</v>
      </c>
      <c r="Y4425" s="1" t="s">
        <v>1533</v>
      </c>
      <c r="Z4425" s="1" t="s">
        <v>37</v>
      </c>
    </row>
    <row r="4426">
      <c r="A4426" s="1" t="s">
        <v>12534</v>
      </c>
      <c r="B4426" s="1" t="s">
        <v>12535</v>
      </c>
      <c r="C4426" s="1" t="s">
        <v>12536</v>
      </c>
      <c r="D4426" s="1" t="s">
        <v>78</v>
      </c>
      <c r="E4426" s="1" t="s">
        <v>28</v>
      </c>
      <c r="F4426" s="2">
        <v>150000.0</v>
      </c>
      <c r="G4426" s="4">
        <v>44625.0</v>
      </c>
      <c r="H4426" s="4">
        <f>IFERROR(__xludf.DUMMYFUNCTION("DATE(INDEX(SPLIT(G4426,""/""),,3),INDEX(SPLIT(G4426,""/""),,2),INDEX(SPLIT(G4426,""/""),,1))"),44684.0)</f>
        <v>44684</v>
      </c>
      <c r="I4426" s="1" t="s">
        <v>226</v>
      </c>
      <c r="J4426" s="4">
        <f>IFERROR(__xludf.DUMMYFUNCTION("DATE(INDEX(SPLIT(I4426,""/""),,3),INDEX(SPLIT(I4426,""/""),,2),INDEX(SPLIT(I4426,""/""),,1))"),44771.0)</f>
        <v>44771</v>
      </c>
      <c r="L4426" s="1">
        <v>0.0</v>
      </c>
      <c r="M4426" s="1" t="s">
        <v>7830</v>
      </c>
      <c r="N4426" s="1"/>
      <c r="O4426" s="1" t="s">
        <v>30</v>
      </c>
      <c r="P4426" s="1" t="s">
        <v>31</v>
      </c>
      <c r="Q4426" s="1" t="s">
        <v>235</v>
      </c>
      <c r="R4426" s="1" t="s">
        <v>235</v>
      </c>
      <c r="S4426" s="1" t="s">
        <v>236</v>
      </c>
      <c r="T4426" s="1" t="s">
        <v>438</v>
      </c>
      <c r="U4426" s="1">
        <v>1.00658814E8</v>
      </c>
      <c r="X4426" s="1" t="s">
        <v>375</v>
      </c>
      <c r="Y4426" s="1" t="s">
        <v>7830</v>
      </c>
      <c r="Z4426" s="1" t="s">
        <v>37</v>
      </c>
    </row>
    <row r="4427" hidden="1">
      <c r="A4427" s="1" t="s">
        <v>12537</v>
      </c>
      <c r="B4427" s="1" t="s">
        <v>784</v>
      </c>
      <c r="C4427" s="1" t="s">
        <v>12538</v>
      </c>
      <c r="D4427" s="1" t="s">
        <v>78</v>
      </c>
      <c r="E4427" s="1" t="s">
        <v>28</v>
      </c>
      <c r="F4427" s="2">
        <v>150000.0</v>
      </c>
      <c r="G4427" s="4">
        <v>44357.0</v>
      </c>
      <c r="H4427" s="4">
        <f>IFERROR(__xludf.DUMMYFUNCTION("DATE(INDEX(SPLIT(G4427,""/""),,3),INDEX(SPLIT(G4427,""/""),,2),INDEX(SPLIT(G4427,""/""),,1))"),44475.0)</f>
        <v>44475</v>
      </c>
      <c r="I4427" s="1" t="s">
        <v>317</v>
      </c>
      <c r="J4427" s="4">
        <f>IFERROR(__xludf.DUMMYFUNCTION("DATE(INDEX(SPLIT(I4427,""/""),,3),INDEX(SPLIT(I4427,""/""),,2),INDEX(SPLIT(I4427,""/""),,1))"),44862.0)</f>
        <v>44862</v>
      </c>
      <c r="L4427" s="1">
        <v>0.0</v>
      </c>
      <c r="M4427" s="1" t="s">
        <v>1856</v>
      </c>
      <c r="N4427" s="1"/>
      <c r="O4427" s="1" t="s">
        <v>30</v>
      </c>
      <c r="P4427" s="1" t="s">
        <v>31</v>
      </c>
      <c r="Q4427" s="1" t="s">
        <v>32</v>
      </c>
      <c r="R4427" s="1" t="s">
        <v>32</v>
      </c>
      <c r="S4427" s="1" t="s">
        <v>33</v>
      </c>
      <c r="T4427" s="1" t="s">
        <v>103</v>
      </c>
      <c r="U4427" s="1">
        <v>1.00587434E8</v>
      </c>
      <c r="X4427" s="1" t="s">
        <v>63</v>
      </c>
      <c r="Y4427" s="1" t="s">
        <v>4130</v>
      </c>
      <c r="Z4427" s="1" t="s">
        <v>37</v>
      </c>
    </row>
    <row r="4428" hidden="1">
      <c r="A4428" s="1" t="s">
        <v>12539</v>
      </c>
      <c r="B4428" s="1" t="s">
        <v>756</v>
      </c>
      <c r="C4428" s="1" t="s">
        <v>12540</v>
      </c>
      <c r="D4428" s="1" t="s">
        <v>27</v>
      </c>
      <c r="E4428" s="1" t="s">
        <v>28</v>
      </c>
      <c r="F4428" s="2">
        <v>150000.0</v>
      </c>
      <c r="G4428" s="4">
        <v>44564.0</v>
      </c>
      <c r="H4428" s="4">
        <f>IFERROR(__xludf.DUMMYFUNCTION("DATE(INDEX(SPLIT(G4428,""/""),,3),INDEX(SPLIT(G4428,""/""),,2),INDEX(SPLIT(G4428,""/""),,1))"),44621.0)</f>
        <v>44621</v>
      </c>
      <c r="I4428" s="1" t="s">
        <v>109</v>
      </c>
      <c r="J4428" s="4">
        <f>IFERROR(__xludf.DUMMYFUNCTION("DATE(INDEX(SPLIT(I4428,""/""),,3),INDEX(SPLIT(I4428,""/""),,2),INDEX(SPLIT(I4428,""/""),,1))"),44834.0)</f>
        <v>44834</v>
      </c>
      <c r="L4428" s="1">
        <v>0.0</v>
      </c>
      <c r="M4428" s="1" t="s">
        <v>1737</v>
      </c>
      <c r="N4428" s="1"/>
      <c r="O4428" s="1" t="s">
        <v>30</v>
      </c>
      <c r="P4428" s="1" t="s">
        <v>31</v>
      </c>
      <c r="Q4428" s="1" t="s">
        <v>53</v>
      </c>
      <c r="R4428" s="1" t="s">
        <v>53</v>
      </c>
      <c r="S4428" s="1" t="s">
        <v>54</v>
      </c>
      <c r="T4428" s="1" t="s">
        <v>1386</v>
      </c>
      <c r="U4428" s="1">
        <v>1.00642067E8</v>
      </c>
      <c r="X4428" s="1" t="s">
        <v>88</v>
      </c>
      <c r="Y4428" s="1" t="s">
        <v>9571</v>
      </c>
      <c r="Z4428" s="1" t="s">
        <v>37</v>
      </c>
    </row>
    <row r="4429">
      <c r="A4429" s="1" t="s">
        <v>12541</v>
      </c>
      <c r="B4429" s="1" t="s">
        <v>4383</v>
      </c>
      <c r="C4429" s="1" t="s">
        <v>12542</v>
      </c>
      <c r="D4429" s="1" t="s">
        <v>78</v>
      </c>
      <c r="E4429" s="1" t="s">
        <v>28</v>
      </c>
      <c r="F4429" s="2">
        <v>150000.0</v>
      </c>
      <c r="G4429" s="1" t="s">
        <v>568</v>
      </c>
      <c r="H4429" s="4">
        <f>IFERROR(__xludf.DUMMYFUNCTION("DATE(INDEX(SPLIT(G4429,""/""),,3),INDEX(SPLIT(G4429,""/""),,2),INDEX(SPLIT(G4429,""/""),,1))"),44587.0)</f>
        <v>44587</v>
      </c>
      <c r="I4429" s="1" t="s">
        <v>226</v>
      </c>
      <c r="J4429" s="4">
        <f>IFERROR(__xludf.DUMMYFUNCTION("DATE(INDEX(SPLIT(I4429,""/""),,3),INDEX(SPLIT(I4429,""/""),,2),INDEX(SPLIT(I4429,""/""),,1))"),44771.0)</f>
        <v>44771</v>
      </c>
      <c r="L4429" s="1">
        <v>0.0</v>
      </c>
      <c r="M4429" s="1" t="s">
        <v>5321</v>
      </c>
      <c r="N4429" s="1"/>
      <c r="O4429" s="1" t="s">
        <v>30</v>
      </c>
      <c r="P4429" s="1" t="s">
        <v>31</v>
      </c>
      <c r="Q4429" s="1" t="s">
        <v>53</v>
      </c>
      <c r="R4429" s="1" t="s">
        <v>53</v>
      </c>
      <c r="S4429" s="1" t="s">
        <v>54</v>
      </c>
      <c r="U4429" s="1">
        <v>1.00463736E8</v>
      </c>
      <c r="X4429" s="1" t="s">
        <v>46</v>
      </c>
      <c r="Y4429" s="1" t="s">
        <v>1422</v>
      </c>
      <c r="Z4429" s="1" t="s">
        <v>37</v>
      </c>
    </row>
    <row r="4430">
      <c r="A4430" s="1" t="s">
        <v>12543</v>
      </c>
      <c r="B4430" s="1" t="s">
        <v>12544</v>
      </c>
      <c r="C4430" s="1" t="s">
        <v>12545</v>
      </c>
      <c r="D4430" s="1" t="s">
        <v>78</v>
      </c>
      <c r="E4430" s="1" t="s">
        <v>28</v>
      </c>
      <c r="F4430" s="2">
        <v>150000.0</v>
      </c>
      <c r="G4430" s="1" t="s">
        <v>6444</v>
      </c>
      <c r="H4430" s="4">
        <f>IFERROR(__xludf.DUMMYFUNCTION("DATE(INDEX(SPLIT(G4430,""/""),,3),INDEX(SPLIT(G4430,""/""),,2),INDEX(SPLIT(G4430,""/""),,1))"),43854.0)</f>
        <v>43854</v>
      </c>
      <c r="I4430" s="1" t="s">
        <v>226</v>
      </c>
      <c r="J4430" s="4">
        <f>IFERROR(__xludf.DUMMYFUNCTION("DATE(INDEX(SPLIT(I4430,""/""),,3),INDEX(SPLIT(I4430,""/""),,2),INDEX(SPLIT(I4430,""/""),,1))"),44771.0)</f>
        <v>44771</v>
      </c>
      <c r="L4430" s="1">
        <v>0.0</v>
      </c>
      <c r="M4430" s="1" t="s">
        <v>2696</v>
      </c>
      <c r="N4430" s="1"/>
      <c r="O4430" s="1" t="s">
        <v>30</v>
      </c>
      <c r="P4430" s="1" t="s">
        <v>31</v>
      </c>
      <c r="Q4430" s="1" t="s">
        <v>157</v>
      </c>
      <c r="R4430" s="1" t="s">
        <v>157</v>
      </c>
      <c r="S4430" s="1" t="s">
        <v>158</v>
      </c>
      <c r="T4430" s="1" t="s">
        <v>8712</v>
      </c>
      <c r="U4430" s="1">
        <v>1.00611351E8</v>
      </c>
      <c r="X4430" s="1" t="s">
        <v>375</v>
      </c>
      <c r="Y4430" s="1" t="s">
        <v>3016</v>
      </c>
      <c r="Z4430" s="1" t="s">
        <v>37</v>
      </c>
    </row>
    <row r="4431" hidden="1">
      <c r="A4431" s="1" t="s">
        <v>12546</v>
      </c>
      <c r="B4431" s="1" t="s">
        <v>12547</v>
      </c>
      <c r="C4431" s="1" t="s">
        <v>12548</v>
      </c>
      <c r="D4431" s="1" t="s">
        <v>27</v>
      </c>
      <c r="E4431" s="1" t="s">
        <v>28</v>
      </c>
      <c r="F4431" s="2">
        <v>150000.0</v>
      </c>
      <c r="G4431" s="4">
        <v>44682.0</v>
      </c>
      <c r="H4431" s="4">
        <f>IFERROR(__xludf.DUMMYFUNCTION("DATE(INDEX(SPLIT(G4431,""/""),,3),INDEX(SPLIT(G4431,""/""),,2),INDEX(SPLIT(G4431,""/""),,1))"),44566.0)</f>
        <v>44566</v>
      </c>
      <c r="I4431" s="1" t="s">
        <v>42</v>
      </c>
      <c r="J4431" s="4">
        <f>IFERROR(__xludf.DUMMYFUNCTION("DATE(INDEX(SPLIT(I4431,""/""),,3),INDEX(SPLIT(I4431,""/""),,2),INDEX(SPLIT(I4431,""/""),,1))"),44926.0)</f>
        <v>44926</v>
      </c>
      <c r="L4431" s="1">
        <v>0.0</v>
      </c>
      <c r="M4431" s="1" t="s">
        <v>11638</v>
      </c>
      <c r="N4431" s="1"/>
      <c r="O4431" s="1" t="s">
        <v>30</v>
      </c>
      <c r="P4431" s="1" t="s">
        <v>31</v>
      </c>
      <c r="Q4431" s="1" t="s">
        <v>228</v>
      </c>
      <c r="R4431" s="1" t="s">
        <v>228</v>
      </c>
      <c r="S4431" s="1" t="s">
        <v>229</v>
      </c>
      <c r="T4431" s="1" t="s">
        <v>513</v>
      </c>
      <c r="U4431" s="1">
        <v>1.00592873E8</v>
      </c>
      <c r="X4431" s="1" t="s">
        <v>190</v>
      </c>
      <c r="Y4431" s="1" t="s">
        <v>11638</v>
      </c>
      <c r="Z4431" s="1" t="s">
        <v>206</v>
      </c>
    </row>
    <row r="4432" hidden="1">
      <c r="A4432" s="1" t="s">
        <v>12549</v>
      </c>
      <c r="B4432" s="1" t="s">
        <v>392</v>
      </c>
      <c r="C4432" s="1" t="s">
        <v>12550</v>
      </c>
      <c r="D4432" s="1" t="s">
        <v>27</v>
      </c>
      <c r="E4432" s="1" t="s">
        <v>28</v>
      </c>
      <c r="F4432" s="2">
        <v>150000.0</v>
      </c>
      <c r="G4432" s="1" t="s">
        <v>41</v>
      </c>
      <c r="H4432" s="4">
        <f>IFERROR(__xludf.DUMMYFUNCTION("DATE(INDEX(SPLIT(G4432,""/""),,3),INDEX(SPLIT(G4432,""/""),,2),INDEX(SPLIT(G4432,""/""),,1))"),44607.0)</f>
        <v>44607</v>
      </c>
      <c r="I4432" s="4">
        <v>44573.0</v>
      </c>
      <c r="J4432" s="4">
        <f>IFERROR(__xludf.DUMMYFUNCTION("DATE(INDEX(SPLIT(I4432,""/""),,3),INDEX(SPLIT(I4432,""/""),,2),INDEX(SPLIT(I4432,""/""),,1))"),44896.0)</f>
        <v>44896</v>
      </c>
      <c r="L4432" s="1">
        <v>0.0</v>
      </c>
      <c r="M4432" s="1" t="s">
        <v>1385</v>
      </c>
      <c r="N4432" s="1"/>
      <c r="O4432" s="1" t="s">
        <v>30</v>
      </c>
      <c r="P4432" s="1" t="s">
        <v>31</v>
      </c>
      <c r="Q4432" s="1" t="s">
        <v>235</v>
      </c>
      <c r="R4432" s="1" t="s">
        <v>235</v>
      </c>
      <c r="S4432" s="1" t="s">
        <v>236</v>
      </c>
      <c r="T4432" s="1" t="s">
        <v>1386</v>
      </c>
      <c r="U4432" s="1">
        <v>1.00594397E8</v>
      </c>
      <c r="X4432" s="1" t="s">
        <v>239</v>
      </c>
      <c r="Y4432" s="1" t="s">
        <v>1387</v>
      </c>
      <c r="Z4432" s="1" t="s">
        <v>37</v>
      </c>
    </row>
    <row r="4433">
      <c r="A4433" s="1" t="s">
        <v>12551</v>
      </c>
      <c r="B4433" s="1" t="s">
        <v>12552</v>
      </c>
      <c r="C4433" s="1" t="s">
        <v>12553</v>
      </c>
      <c r="D4433" s="1" t="s">
        <v>78</v>
      </c>
      <c r="E4433" s="1" t="s">
        <v>28</v>
      </c>
      <c r="F4433" s="2">
        <v>150000.0</v>
      </c>
      <c r="G4433" s="1" t="s">
        <v>1136</v>
      </c>
      <c r="H4433" s="4">
        <f>IFERROR(__xludf.DUMMYFUNCTION("DATE(INDEX(SPLIT(G4433,""/""),,3),INDEX(SPLIT(G4433,""/""),,2),INDEX(SPLIT(G4433,""/""),,1))"),44608.0)</f>
        <v>44608</v>
      </c>
      <c r="I4433" s="1" t="s">
        <v>226</v>
      </c>
      <c r="J4433" s="4">
        <f>IFERROR(__xludf.DUMMYFUNCTION("DATE(INDEX(SPLIT(I4433,""/""),,3),INDEX(SPLIT(I4433,""/""),,2),INDEX(SPLIT(I4433,""/""),,1))"),44771.0)</f>
        <v>44771</v>
      </c>
      <c r="L4433" s="1">
        <v>0.0</v>
      </c>
      <c r="M4433" s="1" t="s">
        <v>2752</v>
      </c>
      <c r="N4433" s="1"/>
      <c r="O4433" s="1" t="s">
        <v>30</v>
      </c>
      <c r="P4433" s="1" t="s">
        <v>31</v>
      </c>
      <c r="Q4433" s="1" t="s">
        <v>235</v>
      </c>
      <c r="R4433" s="1" t="s">
        <v>235</v>
      </c>
      <c r="S4433" s="1" t="s">
        <v>236</v>
      </c>
      <c r="T4433" s="1" t="s">
        <v>1349</v>
      </c>
      <c r="U4433" s="1">
        <v>1.0062606E8</v>
      </c>
      <c r="X4433" s="1" t="s">
        <v>375</v>
      </c>
      <c r="Y4433" s="1" t="s">
        <v>3508</v>
      </c>
      <c r="Z4433" s="1" t="s">
        <v>37</v>
      </c>
    </row>
    <row r="4434">
      <c r="A4434" s="1" t="s">
        <v>12554</v>
      </c>
      <c r="B4434" s="1" t="s">
        <v>12555</v>
      </c>
      <c r="C4434" s="1" t="s">
        <v>12556</v>
      </c>
      <c r="D4434" s="1" t="s">
        <v>122</v>
      </c>
      <c r="E4434" s="1" t="s">
        <v>28</v>
      </c>
      <c r="F4434" s="2">
        <v>150000.0</v>
      </c>
      <c r="G4434" s="4">
        <v>44840.0</v>
      </c>
      <c r="H4434" s="4">
        <f>IFERROR(__xludf.DUMMYFUNCTION("DATE(INDEX(SPLIT(G4434,""/""),,3),INDEX(SPLIT(G4434,""/""),,2),INDEX(SPLIT(G4434,""/""),,1))"),44722.0)</f>
        <v>44722</v>
      </c>
      <c r="I4434" s="1" t="s">
        <v>1244</v>
      </c>
      <c r="J4434" s="4">
        <f>IFERROR(__xludf.DUMMYFUNCTION("DATE(INDEX(SPLIT(I4434,""/""),,3),INDEX(SPLIT(I4434,""/""),,2),INDEX(SPLIT(I4434,""/""),,1))"),44742.0)</f>
        <v>44742</v>
      </c>
      <c r="L4434" s="1">
        <v>0.0</v>
      </c>
      <c r="M4434" s="1" t="s">
        <v>2546</v>
      </c>
      <c r="N4434" s="1"/>
      <c r="O4434" s="1" t="s">
        <v>30</v>
      </c>
      <c r="P4434" s="1" t="s">
        <v>31</v>
      </c>
      <c r="Q4434" s="1" t="s">
        <v>228</v>
      </c>
      <c r="R4434" s="1" t="s">
        <v>228</v>
      </c>
      <c r="S4434" s="1" t="s">
        <v>229</v>
      </c>
      <c r="T4434" s="1" t="s">
        <v>505</v>
      </c>
      <c r="U4434" s="1">
        <v>1.00892076E8</v>
      </c>
      <c r="X4434" s="1" t="s">
        <v>74</v>
      </c>
      <c r="Y4434" s="1" t="s">
        <v>12557</v>
      </c>
      <c r="Z4434" s="1" t="s">
        <v>37</v>
      </c>
    </row>
    <row r="4435">
      <c r="A4435" s="1" t="s">
        <v>12558</v>
      </c>
      <c r="B4435" s="1" t="s">
        <v>1371</v>
      </c>
      <c r="C4435" s="1" t="s">
        <v>12559</v>
      </c>
      <c r="D4435" s="1" t="s">
        <v>27</v>
      </c>
      <c r="E4435" s="1" t="s">
        <v>28</v>
      </c>
      <c r="F4435" s="2">
        <v>150000.0</v>
      </c>
      <c r="G4435" s="4">
        <v>44625.0</v>
      </c>
      <c r="H4435" s="4">
        <f>IFERROR(__xludf.DUMMYFUNCTION("DATE(INDEX(SPLIT(G4435,""/""),,3),INDEX(SPLIT(G4435,""/""),,2),INDEX(SPLIT(G4435,""/""),,1))"),44684.0)</f>
        <v>44684</v>
      </c>
      <c r="I4435" s="1" t="s">
        <v>1244</v>
      </c>
      <c r="J4435" s="4">
        <f>IFERROR(__xludf.DUMMYFUNCTION("DATE(INDEX(SPLIT(I4435,""/""),,3),INDEX(SPLIT(I4435,""/""),,2),INDEX(SPLIT(I4435,""/""),,1))"),44742.0)</f>
        <v>44742</v>
      </c>
      <c r="L4435" s="1">
        <v>0.0</v>
      </c>
      <c r="M4435" s="1" t="s">
        <v>1484</v>
      </c>
      <c r="N4435" s="1"/>
      <c r="O4435" s="1" t="s">
        <v>30</v>
      </c>
      <c r="P4435" s="1" t="s">
        <v>31</v>
      </c>
      <c r="Q4435" s="1" t="s">
        <v>95</v>
      </c>
      <c r="R4435" s="1" t="s">
        <v>95</v>
      </c>
      <c r="S4435" s="1" t="s">
        <v>96</v>
      </c>
      <c r="T4435" s="1" t="s">
        <v>111</v>
      </c>
      <c r="U4435" s="1">
        <v>1.00585718E8</v>
      </c>
      <c r="X4435" s="1" t="s">
        <v>63</v>
      </c>
      <c r="Y4435" s="1" t="s">
        <v>3541</v>
      </c>
      <c r="Z4435" s="1" t="s">
        <v>37</v>
      </c>
    </row>
    <row r="4436">
      <c r="A4436" s="1" t="s">
        <v>12560</v>
      </c>
      <c r="B4436" s="1" t="s">
        <v>12561</v>
      </c>
      <c r="C4436" s="1" t="s">
        <v>12562</v>
      </c>
      <c r="D4436" s="1" t="s">
        <v>78</v>
      </c>
      <c r="E4436" s="1" t="s">
        <v>28</v>
      </c>
      <c r="F4436" s="2">
        <v>150000.0</v>
      </c>
      <c r="G4436" s="1" t="s">
        <v>12563</v>
      </c>
      <c r="H4436" s="4">
        <f>IFERROR(__xludf.DUMMYFUNCTION("DATE(INDEX(SPLIT(G4436,""/""),,3),INDEX(SPLIT(G4436,""/""),,2),INDEX(SPLIT(G4436,""/""),,1))"),44157.0)</f>
        <v>44157</v>
      </c>
      <c r="I4436" s="1" t="s">
        <v>1244</v>
      </c>
      <c r="J4436" s="4">
        <f>IFERROR(__xludf.DUMMYFUNCTION("DATE(INDEX(SPLIT(I4436,""/""),,3),INDEX(SPLIT(I4436,""/""),,2),INDEX(SPLIT(I4436,""/""),,1))"),44742.0)</f>
        <v>44742</v>
      </c>
      <c r="L4436" s="1">
        <v>0.0</v>
      </c>
      <c r="M4436" s="1" t="s">
        <v>4477</v>
      </c>
      <c r="N4436" s="1"/>
      <c r="O4436" s="1" t="s">
        <v>30</v>
      </c>
      <c r="P4436" s="1" t="s">
        <v>31</v>
      </c>
      <c r="Q4436" s="1" t="s">
        <v>228</v>
      </c>
      <c r="R4436" s="1" t="s">
        <v>228</v>
      </c>
      <c r="S4436" s="1" t="s">
        <v>229</v>
      </c>
      <c r="T4436" s="1" t="s">
        <v>513</v>
      </c>
      <c r="U4436" s="1">
        <v>1.00592715E8</v>
      </c>
      <c r="X4436" s="1" t="s">
        <v>98</v>
      </c>
      <c r="Y4436" s="1" t="s">
        <v>4477</v>
      </c>
      <c r="Z4436" s="1" t="s">
        <v>37</v>
      </c>
    </row>
    <row r="4437">
      <c r="A4437" s="1" t="s">
        <v>12564</v>
      </c>
      <c r="B4437" s="1" t="s">
        <v>4511</v>
      </c>
      <c r="C4437" s="1" t="s">
        <v>12565</v>
      </c>
      <c r="D4437" s="1" t="s">
        <v>122</v>
      </c>
      <c r="E4437" s="1" t="s">
        <v>28</v>
      </c>
      <c r="F4437" s="2">
        <v>150000.0</v>
      </c>
      <c r="G4437" s="4">
        <v>44840.0</v>
      </c>
      <c r="H4437" s="4">
        <f>IFERROR(__xludf.DUMMYFUNCTION("DATE(INDEX(SPLIT(G4437,""/""),,3),INDEX(SPLIT(G4437,""/""),,2),INDEX(SPLIT(G4437,""/""),,1))"),44722.0)</f>
        <v>44722</v>
      </c>
      <c r="I4437" s="1" t="s">
        <v>226</v>
      </c>
      <c r="J4437" s="4">
        <f>IFERROR(__xludf.DUMMYFUNCTION("DATE(INDEX(SPLIT(I4437,""/""),,3),INDEX(SPLIT(I4437,""/""),,2),INDEX(SPLIT(I4437,""/""),,1))"),44771.0)</f>
        <v>44771</v>
      </c>
      <c r="L4437" s="1">
        <v>0.0</v>
      </c>
      <c r="M4437" s="1" t="s">
        <v>2724</v>
      </c>
      <c r="N4437" s="1"/>
      <c r="O4437" s="1" t="s">
        <v>30</v>
      </c>
      <c r="P4437" s="1" t="s">
        <v>31</v>
      </c>
      <c r="Q4437" s="1" t="s">
        <v>32</v>
      </c>
      <c r="R4437" s="1" t="s">
        <v>32</v>
      </c>
      <c r="S4437" s="1" t="s">
        <v>33</v>
      </c>
      <c r="T4437" s="1" t="s">
        <v>1195</v>
      </c>
      <c r="U4437" s="1">
        <v>1.00606975E8</v>
      </c>
      <c r="X4437" s="1" t="s">
        <v>490</v>
      </c>
      <c r="Y4437" s="1" t="s">
        <v>7101</v>
      </c>
      <c r="Z4437" s="1" t="s">
        <v>37</v>
      </c>
    </row>
    <row r="4438" hidden="1">
      <c r="A4438" s="1" t="s">
        <v>12566</v>
      </c>
      <c r="B4438" s="1" t="s">
        <v>12567</v>
      </c>
      <c r="C4438" s="1" t="s">
        <v>12568</v>
      </c>
      <c r="D4438" s="1" t="s">
        <v>122</v>
      </c>
      <c r="E4438" s="1" t="s">
        <v>28</v>
      </c>
      <c r="F4438" s="2">
        <v>150000.0</v>
      </c>
      <c r="G4438" s="4">
        <v>44902.0</v>
      </c>
      <c r="H4438" s="4">
        <f>IFERROR(__xludf.DUMMYFUNCTION("DATE(INDEX(SPLIT(G4438,""/""),,3),INDEX(SPLIT(G4438,""/""),,2),INDEX(SPLIT(G4438,""/""),,1))"),44754.0)</f>
        <v>44754</v>
      </c>
      <c r="I4438" s="4">
        <v>44573.0</v>
      </c>
      <c r="J4438" s="4">
        <f>IFERROR(__xludf.DUMMYFUNCTION("DATE(INDEX(SPLIT(I4438,""/""),,3),INDEX(SPLIT(I4438,""/""),,2),INDEX(SPLIT(I4438,""/""),,1))"),44896.0)</f>
        <v>44896</v>
      </c>
      <c r="L4438" s="1">
        <v>0.0</v>
      </c>
      <c r="M4438" s="1" t="s">
        <v>4735</v>
      </c>
      <c r="N4438" s="1"/>
      <c r="O4438" s="1" t="s">
        <v>30</v>
      </c>
      <c r="P4438" s="1" t="s">
        <v>31</v>
      </c>
      <c r="Q4438" s="1" t="s">
        <v>71</v>
      </c>
      <c r="R4438" s="1" t="s">
        <v>71</v>
      </c>
      <c r="S4438" s="1" t="s">
        <v>72</v>
      </c>
      <c r="T4438" s="1" t="s">
        <v>136</v>
      </c>
      <c r="U4438" s="1">
        <v>1.00609615E8</v>
      </c>
      <c r="X4438" s="1" t="s">
        <v>63</v>
      </c>
      <c r="Y4438" s="1" t="s">
        <v>12569</v>
      </c>
      <c r="Z4438" s="1" t="s">
        <v>206</v>
      </c>
    </row>
    <row r="4439" hidden="1">
      <c r="A4439" s="1" t="s">
        <v>12570</v>
      </c>
      <c r="B4439" s="1" t="s">
        <v>7802</v>
      </c>
      <c r="C4439" s="1" t="s">
        <v>12571</v>
      </c>
      <c r="D4439" s="1" t="s">
        <v>122</v>
      </c>
      <c r="E4439" s="1" t="s">
        <v>28</v>
      </c>
      <c r="F4439" s="2">
        <v>150000.0</v>
      </c>
      <c r="G4439" s="1" t="s">
        <v>5115</v>
      </c>
      <c r="H4439" s="4">
        <f>IFERROR(__xludf.DUMMYFUNCTION("DATE(INDEX(SPLIT(G4439,""/""),,3),INDEX(SPLIT(G4439,""/""),,2),INDEX(SPLIT(G4439,""/""),,1))"),44530.0)</f>
        <v>44530</v>
      </c>
      <c r="I4439" s="1" t="s">
        <v>130</v>
      </c>
      <c r="J4439" s="4">
        <f>IFERROR(__xludf.DUMMYFUNCTION("DATE(INDEX(SPLIT(I4439,""/""),,3),INDEX(SPLIT(I4439,""/""),,2),INDEX(SPLIT(I4439,""/""),,1))"),44804.0)</f>
        <v>44804</v>
      </c>
      <c r="L4439" s="1">
        <v>0.0</v>
      </c>
      <c r="M4439" s="1" t="s">
        <v>2945</v>
      </c>
      <c r="N4439" s="1"/>
      <c r="O4439" s="1" t="s">
        <v>30</v>
      </c>
      <c r="P4439" s="1" t="s">
        <v>31</v>
      </c>
      <c r="Q4439" s="1" t="s">
        <v>157</v>
      </c>
      <c r="R4439" s="1" t="s">
        <v>157</v>
      </c>
      <c r="S4439" s="1" t="s">
        <v>158</v>
      </c>
      <c r="T4439" s="1" t="s">
        <v>442</v>
      </c>
      <c r="U4439" s="1">
        <v>1.01138319E8</v>
      </c>
      <c r="X4439" s="1" t="s">
        <v>490</v>
      </c>
      <c r="Y4439" s="1" t="s">
        <v>8632</v>
      </c>
      <c r="Z4439" s="1" t="s">
        <v>206</v>
      </c>
    </row>
    <row r="4440" hidden="1">
      <c r="A4440" s="1" t="s">
        <v>12572</v>
      </c>
      <c r="B4440" s="1" t="s">
        <v>6036</v>
      </c>
      <c r="C4440" s="1" t="s">
        <v>12573</v>
      </c>
      <c r="D4440" s="1" t="s">
        <v>78</v>
      </c>
      <c r="E4440" s="1" t="s">
        <v>28</v>
      </c>
      <c r="F4440" s="2">
        <v>150000.0</v>
      </c>
      <c r="G4440" s="1" t="s">
        <v>12574</v>
      </c>
      <c r="H4440" s="4">
        <f>IFERROR(__xludf.DUMMYFUNCTION("DATE(INDEX(SPLIT(G4440,""/""),,3),INDEX(SPLIT(G4440,""/""),,2),INDEX(SPLIT(G4440,""/""),,1))"),43700.0)</f>
        <v>43700</v>
      </c>
      <c r="I4440" s="1" t="s">
        <v>42</v>
      </c>
      <c r="J4440" s="4">
        <f>IFERROR(__xludf.DUMMYFUNCTION("DATE(INDEX(SPLIT(I4440,""/""),,3),INDEX(SPLIT(I4440,""/""),,2),INDEX(SPLIT(I4440,""/""),,1))"),44926.0)</f>
        <v>44926</v>
      </c>
      <c r="L4440" s="1">
        <v>0.0</v>
      </c>
      <c r="M4440" s="1" t="s">
        <v>4477</v>
      </c>
      <c r="N4440" s="1"/>
      <c r="O4440" s="1" t="s">
        <v>30</v>
      </c>
      <c r="P4440" s="1" t="s">
        <v>31</v>
      </c>
      <c r="Q4440" s="1" t="s">
        <v>228</v>
      </c>
      <c r="R4440" s="1" t="s">
        <v>228</v>
      </c>
      <c r="S4440" s="1" t="s">
        <v>229</v>
      </c>
      <c r="T4440" s="1" t="s">
        <v>513</v>
      </c>
      <c r="U4440" s="1">
        <v>1.00592715E8</v>
      </c>
      <c r="X4440" s="1" t="s">
        <v>98</v>
      </c>
      <c r="Y4440" s="1" t="s">
        <v>6250</v>
      </c>
      <c r="Z4440" s="1" t="s">
        <v>37</v>
      </c>
    </row>
    <row r="4441" hidden="1">
      <c r="A4441" s="1" t="s">
        <v>12575</v>
      </c>
      <c r="B4441" s="1" t="s">
        <v>12576</v>
      </c>
      <c r="C4441" s="1" t="s">
        <v>12573</v>
      </c>
      <c r="D4441" s="1" t="s">
        <v>78</v>
      </c>
      <c r="E4441" s="1" t="s">
        <v>28</v>
      </c>
      <c r="F4441" s="2">
        <v>150000.0</v>
      </c>
      <c r="G4441" s="1" t="s">
        <v>12574</v>
      </c>
      <c r="H4441" s="4">
        <f>IFERROR(__xludf.DUMMYFUNCTION("DATE(INDEX(SPLIT(G4441,""/""),,3),INDEX(SPLIT(G4441,""/""),,2),INDEX(SPLIT(G4441,""/""),,1))"),43700.0)</f>
        <v>43700</v>
      </c>
      <c r="I4441" s="1" t="s">
        <v>42</v>
      </c>
      <c r="J4441" s="4">
        <f>IFERROR(__xludf.DUMMYFUNCTION("DATE(INDEX(SPLIT(I4441,""/""),,3),INDEX(SPLIT(I4441,""/""),,2),INDEX(SPLIT(I4441,""/""),,1))"),44926.0)</f>
        <v>44926</v>
      </c>
      <c r="L4441" s="1">
        <v>0.0</v>
      </c>
      <c r="M4441" s="1" t="s">
        <v>4477</v>
      </c>
      <c r="N4441" s="1"/>
      <c r="O4441" s="1" t="s">
        <v>30</v>
      </c>
      <c r="P4441" s="1" t="s">
        <v>31</v>
      </c>
      <c r="Q4441" s="1" t="s">
        <v>228</v>
      </c>
      <c r="R4441" s="1" t="s">
        <v>228</v>
      </c>
      <c r="S4441" s="1" t="s">
        <v>229</v>
      </c>
      <c r="T4441" s="1" t="s">
        <v>513</v>
      </c>
      <c r="U4441" s="1">
        <v>1.00592715E8</v>
      </c>
      <c r="X4441" s="1" t="s">
        <v>98</v>
      </c>
      <c r="Y4441" s="1" t="s">
        <v>6250</v>
      </c>
      <c r="Z4441" s="1" t="s">
        <v>37</v>
      </c>
    </row>
    <row r="4442" hidden="1">
      <c r="A4442" s="1" t="s">
        <v>12577</v>
      </c>
      <c r="B4442" s="1" t="s">
        <v>645</v>
      </c>
      <c r="C4442" s="1" t="s">
        <v>12578</v>
      </c>
      <c r="D4442" s="1" t="s">
        <v>27</v>
      </c>
      <c r="E4442" s="1" t="s">
        <v>28</v>
      </c>
      <c r="F4442" s="2">
        <v>150000.0</v>
      </c>
      <c r="G4442" s="1" t="s">
        <v>2077</v>
      </c>
      <c r="H4442" s="4">
        <f>IFERROR(__xludf.DUMMYFUNCTION("DATE(INDEX(SPLIT(G4442,""/""),,3),INDEX(SPLIT(G4442,""/""),,2),INDEX(SPLIT(G4442,""/""),,1))"),44700.0)</f>
        <v>44700</v>
      </c>
      <c r="I4442" s="1" t="s">
        <v>281</v>
      </c>
      <c r="J4442" s="4">
        <f>IFERROR(__xludf.DUMMYFUNCTION("DATE(INDEX(SPLIT(I4442,""/""),,3),INDEX(SPLIT(I4442,""/""),,2),INDEX(SPLIT(I4442,""/""),,1))"),44865.0)</f>
        <v>44865</v>
      </c>
      <c r="L4442" s="1">
        <v>0.0</v>
      </c>
      <c r="M4442" s="1" t="s">
        <v>1532</v>
      </c>
      <c r="N4442" s="1"/>
      <c r="O4442" s="1" t="s">
        <v>30</v>
      </c>
      <c r="P4442" s="1" t="s">
        <v>31</v>
      </c>
      <c r="Q4442" s="1" t="s">
        <v>228</v>
      </c>
      <c r="R4442" s="1" t="s">
        <v>228</v>
      </c>
      <c r="S4442" s="1" t="s">
        <v>229</v>
      </c>
      <c r="T4442" s="1" t="s">
        <v>640</v>
      </c>
      <c r="U4442" s="1">
        <v>1.00711752E8</v>
      </c>
      <c r="X4442" s="1" t="s">
        <v>289</v>
      </c>
      <c r="Y4442" s="1" t="s">
        <v>6371</v>
      </c>
      <c r="Z4442" s="1" t="s">
        <v>37</v>
      </c>
    </row>
    <row r="4443">
      <c r="A4443" s="1" t="s">
        <v>12579</v>
      </c>
      <c r="B4443" s="1" t="s">
        <v>923</v>
      </c>
      <c r="C4443" s="1" t="s">
        <v>12580</v>
      </c>
      <c r="D4443" s="1" t="s">
        <v>27</v>
      </c>
      <c r="E4443" s="1" t="s">
        <v>28</v>
      </c>
      <c r="F4443" s="2">
        <v>150000.0</v>
      </c>
      <c r="G4443" s="1" t="s">
        <v>3595</v>
      </c>
      <c r="H4443" s="4">
        <f>IFERROR(__xludf.DUMMYFUNCTION("DATE(INDEX(SPLIT(G4443,""/""),,3),INDEX(SPLIT(G4443,""/""),,2),INDEX(SPLIT(G4443,""/""),,1))"),44460.0)</f>
        <v>44460</v>
      </c>
      <c r="I4443" s="1" t="s">
        <v>1244</v>
      </c>
      <c r="J4443" s="4">
        <f>IFERROR(__xludf.DUMMYFUNCTION("DATE(INDEX(SPLIT(I4443,""/""),,3),INDEX(SPLIT(I4443,""/""),,2),INDEX(SPLIT(I4443,""/""),,1))"),44742.0)</f>
        <v>44742</v>
      </c>
      <c r="L4443" s="1">
        <v>0.0</v>
      </c>
      <c r="M4443" s="1" t="s">
        <v>1723</v>
      </c>
      <c r="N4443" s="1"/>
      <c r="O4443" s="1" t="s">
        <v>30</v>
      </c>
      <c r="P4443" s="1" t="s">
        <v>31</v>
      </c>
      <c r="Q4443" s="1" t="s">
        <v>157</v>
      </c>
      <c r="R4443" s="1" t="s">
        <v>157</v>
      </c>
      <c r="S4443" s="1" t="s">
        <v>158</v>
      </c>
      <c r="T4443" s="1" t="s">
        <v>7178</v>
      </c>
      <c r="U4443" s="1">
        <v>1.00654085E8</v>
      </c>
      <c r="X4443" s="1" t="s">
        <v>74</v>
      </c>
      <c r="Y4443" s="1" t="s">
        <v>1622</v>
      </c>
      <c r="Z4443" s="1" t="s">
        <v>37</v>
      </c>
    </row>
    <row r="4444">
      <c r="A4444" s="1" t="s">
        <v>12581</v>
      </c>
      <c r="B4444" s="1" t="s">
        <v>12582</v>
      </c>
      <c r="C4444" s="1" t="s">
        <v>12583</v>
      </c>
      <c r="D4444" s="1" t="s">
        <v>78</v>
      </c>
      <c r="E4444" s="1" t="s">
        <v>28</v>
      </c>
      <c r="F4444" s="2">
        <v>150000.0</v>
      </c>
      <c r="G4444" s="1" t="s">
        <v>2077</v>
      </c>
      <c r="H4444" s="4">
        <f>IFERROR(__xludf.DUMMYFUNCTION("DATE(INDEX(SPLIT(G4444,""/""),,3),INDEX(SPLIT(G4444,""/""),,2),INDEX(SPLIT(G4444,""/""),,1))"),44700.0)</f>
        <v>44700</v>
      </c>
      <c r="I4444" s="1" t="s">
        <v>226</v>
      </c>
      <c r="J4444" s="4">
        <f>IFERROR(__xludf.DUMMYFUNCTION("DATE(INDEX(SPLIT(I4444,""/""),,3),INDEX(SPLIT(I4444,""/""),,2),INDEX(SPLIT(I4444,""/""),,1))"),44771.0)</f>
        <v>44771</v>
      </c>
      <c r="L4444" s="1">
        <v>0.0</v>
      </c>
      <c r="M4444" s="1" t="s">
        <v>2546</v>
      </c>
      <c r="N4444" s="1"/>
      <c r="O4444" s="1" t="s">
        <v>30</v>
      </c>
      <c r="P4444" s="1" t="s">
        <v>31</v>
      </c>
      <c r="Q4444" s="1" t="s">
        <v>228</v>
      </c>
      <c r="R4444" s="1" t="s">
        <v>228</v>
      </c>
      <c r="S4444" s="1" t="s">
        <v>229</v>
      </c>
      <c r="T4444" s="1" t="s">
        <v>505</v>
      </c>
      <c r="U4444" s="1">
        <v>1.00892076E8</v>
      </c>
      <c r="Y4444" s="1" t="s">
        <v>7664</v>
      </c>
      <c r="Z4444" s="1" t="s">
        <v>37</v>
      </c>
    </row>
    <row r="4445">
      <c r="A4445" s="1" t="s">
        <v>12584</v>
      </c>
      <c r="B4445" s="1" t="s">
        <v>605</v>
      </c>
      <c r="C4445" s="1" t="s">
        <v>12585</v>
      </c>
      <c r="D4445" s="1" t="s">
        <v>122</v>
      </c>
      <c r="E4445" s="1" t="s">
        <v>28</v>
      </c>
      <c r="F4445" s="2">
        <v>150000.0</v>
      </c>
      <c r="G4445" s="1" t="s">
        <v>1767</v>
      </c>
      <c r="H4445" s="4">
        <f>IFERROR(__xludf.DUMMYFUNCTION("DATE(INDEX(SPLIT(G4445,""/""),,3),INDEX(SPLIT(G4445,""/""),,2),INDEX(SPLIT(G4445,""/""),,1))"),44698.0)</f>
        <v>44698</v>
      </c>
      <c r="I4445" s="4">
        <v>44567.0</v>
      </c>
      <c r="J4445" s="4">
        <f>IFERROR(__xludf.DUMMYFUNCTION("DATE(INDEX(SPLIT(I4445,""/""),,3),INDEX(SPLIT(I4445,""/""),,2),INDEX(SPLIT(I4445,""/""),,1))"),44713.0)</f>
        <v>44713</v>
      </c>
      <c r="L4445" s="1">
        <v>0.0</v>
      </c>
      <c r="M4445" s="1" t="s">
        <v>6795</v>
      </c>
      <c r="N4445" s="1"/>
      <c r="O4445" s="1" t="s">
        <v>30</v>
      </c>
      <c r="P4445" s="1" t="s">
        <v>31</v>
      </c>
      <c r="Q4445" s="1" t="s">
        <v>228</v>
      </c>
      <c r="R4445" s="1" t="s">
        <v>228</v>
      </c>
      <c r="S4445" s="1" t="s">
        <v>229</v>
      </c>
      <c r="U4445" s="1">
        <v>1.00630003E8</v>
      </c>
      <c r="X4445" s="1" t="s">
        <v>63</v>
      </c>
      <c r="Y4445" s="1" t="s">
        <v>12586</v>
      </c>
      <c r="Z4445" s="1" t="s">
        <v>37</v>
      </c>
    </row>
    <row r="4446" hidden="1">
      <c r="A4446" s="1" t="s">
        <v>12587</v>
      </c>
      <c r="B4446" s="1" t="s">
        <v>6402</v>
      </c>
      <c r="C4446" s="1" t="s">
        <v>12588</v>
      </c>
      <c r="D4446" s="1" t="s">
        <v>78</v>
      </c>
      <c r="E4446" s="1" t="s">
        <v>28</v>
      </c>
      <c r="F4446" s="2">
        <v>150000.0</v>
      </c>
      <c r="G4446" s="1" t="s">
        <v>551</v>
      </c>
      <c r="H4446" s="4">
        <f>IFERROR(__xludf.DUMMYFUNCTION("DATE(INDEX(SPLIT(G4446,""/""),,3),INDEX(SPLIT(G4446,""/""),,2),INDEX(SPLIT(G4446,""/""),,1))"),44701.0)</f>
        <v>44701</v>
      </c>
      <c r="I4446" s="1" t="s">
        <v>281</v>
      </c>
      <c r="J4446" s="4">
        <f>IFERROR(__xludf.DUMMYFUNCTION("DATE(INDEX(SPLIT(I4446,""/""),,3),INDEX(SPLIT(I4446,""/""),,2),INDEX(SPLIT(I4446,""/""),,1))"),44865.0)</f>
        <v>44865</v>
      </c>
      <c r="L4446" s="1">
        <v>0.0</v>
      </c>
      <c r="M4446" s="1" t="s">
        <v>1814</v>
      </c>
      <c r="N4446" s="1"/>
      <c r="O4446" s="1" t="s">
        <v>30</v>
      </c>
      <c r="P4446" s="1" t="s">
        <v>31</v>
      </c>
      <c r="Q4446" s="1" t="s">
        <v>95</v>
      </c>
      <c r="R4446" s="1" t="s">
        <v>95</v>
      </c>
      <c r="S4446" s="1" t="s">
        <v>96</v>
      </c>
      <c r="T4446" s="1" t="s">
        <v>260</v>
      </c>
      <c r="U4446" s="1">
        <v>1.00597983E8</v>
      </c>
      <c r="X4446" s="1" t="s">
        <v>239</v>
      </c>
      <c r="Y4446" s="1" t="s">
        <v>1814</v>
      </c>
      <c r="Z4446" s="1" t="s">
        <v>206</v>
      </c>
    </row>
    <row r="4447" hidden="1">
      <c r="A4447" s="1" t="s">
        <v>12589</v>
      </c>
      <c r="B4447" s="1" t="s">
        <v>12590</v>
      </c>
      <c r="C4447" s="1" t="s">
        <v>12591</v>
      </c>
      <c r="D4447" s="1" t="s">
        <v>27</v>
      </c>
      <c r="E4447" s="1" t="s">
        <v>28</v>
      </c>
      <c r="F4447" s="2">
        <v>150000.0</v>
      </c>
      <c r="G4447" s="1" t="s">
        <v>359</v>
      </c>
      <c r="H4447" s="4">
        <f>IFERROR(__xludf.DUMMYFUNCTION("DATE(INDEX(SPLIT(G4447,""/""),,3),INDEX(SPLIT(G4447,""/""),,2),INDEX(SPLIT(G4447,""/""),,1))"),44740.0)</f>
        <v>44740</v>
      </c>
      <c r="I4447" s="4">
        <v>44601.0</v>
      </c>
      <c r="J4447" s="4">
        <f>IFERROR(__xludf.DUMMYFUNCTION("DATE(INDEX(SPLIT(I4447,""/""),,3),INDEX(SPLIT(I4447,""/""),,2),INDEX(SPLIT(I4447,""/""),,1))"),44806.0)</f>
        <v>44806</v>
      </c>
      <c r="L4447" s="1">
        <v>0.0</v>
      </c>
      <c r="M4447" s="1" t="s">
        <v>4960</v>
      </c>
      <c r="N4447" s="1"/>
      <c r="O4447" s="1" t="s">
        <v>30</v>
      </c>
      <c r="P4447" s="1" t="s">
        <v>31</v>
      </c>
      <c r="Q4447" s="1" t="s">
        <v>157</v>
      </c>
      <c r="R4447" s="1" t="s">
        <v>157</v>
      </c>
      <c r="S4447" s="1" t="s">
        <v>158</v>
      </c>
      <c r="U4447" s="1">
        <v>1.00617864E8</v>
      </c>
      <c r="X4447" s="1" t="s">
        <v>98</v>
      </c>
      <c r="Y4447" s="1" t="s">
        <v>4960</v>
      </c>
      <c r="Z4447" s="1" t="s">
        <v>527</v>
      </c>
    </row>
    <row r="4448" hidden="1">
      <c r="A4448" s="1" t="s">
        <v>12592</v>
      </c>
      <c r="B4448" s="1" t="s">
        <v>1371</v>
      </c>
      <c r="C4448" s="1" t="s">
        <v>12593</v>
      </c>
      <c r="D4448" s="1" t="s">
        <v>78</v>
      </c>
      <c r="E4448" s="1" t="s">
        <v>28</v>
      </c>
      <c r="F4448" s="2">
        <v>150000.0</v>
      </c>
      <c r="G4448" s="1" t="s">
        <v>359</v>
      </c>
      <c r="H4448" s="4">
        <f>IFERROR(__xludf.DUMMYFUNCTION("DATE(INDEX(SPLIT(G4448,""/""),,3),INDEX(SPLIT(G4448,""/""),,2),INDEX(SPLIT(G4448,""/""),,1))"),44740.0)</f>
        <v>44740</v>
      </c>
      <c r="I4448" s="1" t="s">
        <v>109</v>
      </c>
      <c r="J4448" s="4">
        <f>IFERROR(__xludf.DUMMYFUNCTION("DATE(INDEX(SPLIT(I4448,""/""),,3),INDEX(SPLIT(I4448,""/""),,2),INDEX(SPLIT(I4448,""/""),,1))"),44834.0)</f>
        <v>44834</v>
      </c>
      <c r="L4448" s="1">
        <v>0.0</v>
      </c>
      <c r="M4448" s="1" t="s">
        <v>1484</v>
      </c>
      <c r="N4448" s="1"/>
      <c r="O4448" s="1" t="s">
        <v>30</v>
      </c>
      <c r="P4448" s="1" t="s">
        <v>31</v>
      </c>
      <c r="Q4448" s="1" t="s">
        <v>95</v>
      </c>
      <c r="R4448" s="1" t="s">
        <v>95</v>
      </c>
      <c r="S4448" s="1" t="s">
        <v>96</v>
      </c>
      <c r="T4448" s="1" t="s">
        <v>111</v>
      </c>
      <c r="U4448" s="1">
        <v>1.00585718E8</v>
      </c>
      <c r="X4448" s="1" t="s">
        <v>63</v>
      </c>
      <c r="Y4448" s="1" t="s">
        <v>3541</v>
      </c>
      <c r="Z4448" s="1" t="s">
        <v>37</v>
      </c>
    </row>
    <row r="4449" hidden="1">
      <c r="A4449" s="1" t="s">
        <v>12594</v>
      </c>
      <c r="B4449" s="1" t="s">
        <v>927</v>
      </c>
      <c r="C4449" s="1" t="s">
        <v>12595</v>
      </c>
      <c r="D4449" s="1" t="s">
        <v>27</v>
      </c>
      <c r="E4449" s="1" t="s">
        <v>28</v>
      </c>
      <c r="F4449" s="2">
        <v>150000.0</v>
      </c>
      <c r="G4449" s="1" t="s">
        <v>4047</v>
      </c>
      <c r="H4449" s="4">
        <f>IFERROR(__xludf.DUMMYFUNCTION("DATE(INDEX(SPLIT(G4449,""/""),,3),INDEX(SPLIT(G4449,""/""),,2),INDEX(SPLIT(G4449,""/""),,1))"),44580.0)</f>
        <v>44580</v>
      </c>
      <c r="I4449" s="1" t="s">
        <v>109</v>
      </c>
      <c r="J4449" s="4">
        <f>IFERROR(__xludf.DUMMYFUNCTION("DATE(INDEX(SPLIT(I4449,""/""),,3),INDEX(SPLIT(I4449,""/""),,2),INDEX(SPLIT(I4449,""/""),,1))"),44834.0)</f>
        <v>44834</v>
      </c>
      <c r="L4449" s="1">
        <v>0.0</v>
      </c>
      <c r="M4449" s="1" t="s">
        <v>863</v>
      </c>
      <c r="N4449" s="1"/>
      <c r="O4449" s="1" t="s">
        <v>30</v>
      </c>
      <c r="P4449" s="1" t="s">
        <v>31</v>
      </c>
      <c r="Q4449" s="1" t="s">
        <v>32</v>
      </c>
      <c r="R4449" s="1" t="s">
        <v>32</v>
      </c>
      <c r="S4449" s="1" t="s">
        <v>33</v>
      </c>
      <c r="U4449" s="1">
        <v>1.00650568E8</v>
      </c>
      <c r="X4449" s="1" t="s">
        <v>117</v>
      </c>
      <c r="Y4449" s="1" t="s">
        <v>11291</v>
      </c>
      <c r="Z4449" s="1" t="s">
        <v>37</v>
      </c>
    </row>
    <row r="4450">
      <c r="A4450" s="1" t="s">
        <v>12596</v>
      </c>
      <c r="B4450" s="1" t="s">
        <v>12597</v>
      </c>
      <c r="C4450" s="1" t="s">
        <v>12598</v>
      </c>
      <c r="D4450" s="1" t="s">
        <v>122</v>
      </c>
      <c r="E4450" s="1" t="s">
        <v>28</v>
      </c>
      <c r="F4450" s="2">
        <v>150000.0</v>
      </c>
      <c r="G4450" s="4">
        <v>43873.0</v>
      </c>
      <c r="H4450" s="4">
        <f>IFERROR(__xludf.DUMMYFUNCTION("DATE(INDEX(SPLIT(G4450,""/""),,3),INDEX(SPLIT(G4450,""/""),,2),INDEX(SPLIT(G4450,""/""),,1))"),44167.0)</f>
        <v>44167</v>
      </c>
      <c r="I4450" s="1" t="s">
        <v>414</v>
      </c>
      <c r="J4450" s="4">
        <f>IFERROR(__xludf.DUMMYFUNCTION("DATE(INDEX(SPLIT(I4450,""/""),,3),INDEX(SPLIT(I4450,""/""),,2),INDEX(SPLIT(I4450,""/""),,1))"),44772.0)</f>
        <v>44772</v>
      </c>
      <c r="L4450" s="1">
        <v>0.0</v>
      </c>
      <c r="M4450" s="1" t="s">
        <v>6045</v>
      </c>
      <c r="N4450" s="1"/>
      <c r="O4450" s="1" t="s">
        <v>30</v>
      </c>
      <c r="P4450" s="1" t="s">
        <v>31</v>
      </c>
      <c r="Q4450" s="1" t="s">
        <v>228</v>
      </c>
      <c r="R4450" s="1" t="s">
        <v>228</v>
      </c>
      <c r="S4450" s="1" t="s">
        <v>229</v>
      </c>
      <c r="T4450" s="1" t="s">
        <v>513</v>
      </c>
      <c r="U4450" s="1">
        <v>1.00652479E8</v>
      </c>
      <c r="X4450" s="1" t="s">
        <v>81</v>
      </c>
      <c r="Y4450" s="1" t="s">
        <v>11934</v>
      </c>
      <c r="Z4450" s="1" t="s">
        <v>37</v>
      </c>
    </row>
    <row r="4451" hidden="1">
      <c r="A4451" s="1" t="s">
        <v>12599</v>
      </c>
      <c r="B4451" s="1" t="s">
        <v>12600</v>
      </c>
      <c r="C4451" s="1" t="s">
        <v>12601</v>
      </c>
      <c r="D4451" s="1" t="s">
        <v>27</v>
      </c>
      <c r="E4451" s="1" t="s">
        <v>28</v>
      </c>
      <c r="F4451" s="2">
        <v>147300.0</v>
      </c>
      <c r="G4451" s="1" t="s">
        <v>4346</v>
      </c>
      <c r="H4451" s="4">
        <f>IFERROR(__xludf.DUMMYFUNCTION("DATE(INDEX(SPLIT(G4451,""/""),,3),INDEX(SPLIT(G4451,""/""),,2),INDEX(SPLIT(G4451,""/""),,1))"),44765.0)</f>
        <v>44765</v>
      </c>
      <c r="I4451" s="4">
        <v>44689.0</v>
      </c>
      <c r="J4451" s="4">
        <f>IFERROR(__xludf.DUMMYFUNCTION("DATE(INDEX(SPLIT(I4451,""/""),,3),INDEX(SPLIT(I4451,""/""),,2),INDEX(SPLIT(I4451,""/""),,1))"),44778.0)</f>
        <v>44778</v>
      </c>
      <c r="L4451" s="1">
        <v>0.0</v>
      </c>
      <c r="M4451" s="1" t="s">
        <v>9439</v>
      </c>
      <c r="N4451" s="1"/>
      <c r="O4451" s="1" t="s">
        <v>30</v>
      </c>
      <c r="P4451" s="1" t="s">
        <v>31</v>
      </c>
      <c r="Q4451" s="1" t="s">
        <v>1320</v>
      </c>
      <c r="R4451" s="1" t="s">
        <v>1320</v>
      </c>
      <c r="S4451" s="1" t="s">
        <v>229</v>
      </c>
      <c r="U4451" s="1">
        <v>1.01216124E8</v>
      </c>
      <c r="X4451" s="1" t="s">
        <v>312</v>
      </c>
      <c r="Y4451" s="1" t="s">
        <v>9440</v>
      </c>
      <c r="Z4451" s="1" t="s">
        <v>37</v>
      </c>
    </row>
    <row r="4452" hidden="1">
      <c r="A4452" s="1" t="s">
        <v>12602</v>
      </c>
      <c r="B4452" s="1" t="s">
        <v>2000</v>
      </c>
      <c r="C4452" s="1" t="s">
        <v>12603</v>
      </c>
      <c r="D4452" s="1" t="s">
        <v>78</v>
      </c>
      <c r="E4452" s="1" t="s">
        <v>28</v>
      </c>
      <c r="F4452" s="2">
        <v>145488.0</v>
      </c>
      <c r="G4452" s="1" t="s">
        <v>2540</v>
      </c>
      <c r="H4452" s="4">
        <f>IFERROR(__xludf.DUMMYFUNCTION("DATE(INDEX(SPLIT(G4452,""/""),,3),INDEX(SPLIT(G4452,""/""),,2),INDEX(SPLIT(G4452,""/""),,1))"),44491.0)</f>
        <v>44491</v>
      </c>
      <c r="I4452" s="4">
        <v>44571.0</v>
      </c>
      <c r="J4452" s="4">
        <f>IFERROR(__xludf.DUMMYFUNCTION("DATE(INDEX(SPLIT(I4452,""/""),,3),INDEX(SPLIT(I4452,""/""),,2),INDEX(SPLIT(I4452,""/""),,1))"),44835.0)</f>
        <v>44835</v>
      </c>
      <c r="L4452" s="1">
        <v>0.0</v>
      </c>
      <c r="M4452" s="1" t="s">
        <v>4274</v>
      </c>
      <c r="N4452" s="1"/>
      <c r="O4452" s="1" t="s">
        <v>30</v>
      </c>
      <c r="P4452" s="1" t="s">
        <v>31</v>
      </c>
      <c r="Q4452" s="1" t="s">
        <v>235</v>
      </c>
      <c r="R4452" s="1" t="s">
        <v>235</v>
      </c>
      <c r="S4452" s="1" t="s">
        <v>236</v>
      </c>
      <c r="T4452" s="1" t="s">
        <v>1349</v>
      </c>
      <c r="U4452" s="1">
        <v>1.00628891E8</v>
      </c>
      <c r="X4452" s="1" t="s">
        <v>609</v>
      </c>
      <c r="Y4452" s="1" t="s">
        <v>7529</v>
      </c>
      <c r="Z4452" s="1" t="s">
        <v>37</v>
      </c>
    </row>
    <row r="4453">
      <c r="A4453" s="1" t="s">
        <v>12604</v>
      </c>
      <c r="B4453" s="1" t="s">
        <v>2000</v>
      </c>
      <c r="C4453" s="1" t="s">
        <v>12605</v>
      </c>
      <c r="D4453" s="1" t="s">
        <v>78</v>
      </c>
      <c r="E4453" s="1" t="s">
        <v>28</v>
      </c>
      <c r="F4453" s="2">
        <v>145488.0</v>
      </c>
      <c r="G4453" s="1" t="s">
        <v>2540</v>
      </c>
      <c r="H4453" s="4">
        <f>IFERROR(__xludf.DUMMYFUNCTION("DATE(INDEX(SPLIT(G4453,""/""),,3),INDEX(SPLIT(G4453,""/""),,2),INDEX(SPLIT(G4453,""/""),,1))"),44491.0)</f>
        <v>44491</v>
      </c>
      <c r="I4453" s="4">
        <v>44568.0</v>
      </c>
      <c r="J4453" s="4">
        <f>IFERROR(__xludf.DUMMYFUNCTION("DATE(INDEX(SPLIT(I4453,""/""),,3),INDEX(SPLIT(I4453,""/""),,2),INDEX(SPLIT(I4453,""/""),,1))"),44743.0)</f>
        <v>44743</v>
      </c>
      <c r="L4453" s="1">
        <v>0.0</v>
      </c>
      <c r="M4453" s="1" t="s">
        <v>4274</v>
      </c>
      <c r="N4453" s="1"/>
      <c r="O4453" s="1" t="s">
        <v>30</v>
      </c>
      <c r="P4453" s="1" t="s">
        <v>31</v>
      </c>
      <c r="Q4453" s="1" t="s">
        <v>235</v>
      </c>
      <c r="R4453" s="1" t="s">
        <v>235</v>
      </c>
      <c r="S4453" s="1" t="s">
        <v>236</v>
      </c>
      <c r="T4453" s="1" t="s">
        <v>1349</v>
      </c>
      <c r="U4453" s="1">
        <v>1.00628891E8</v>
      </c>
      <c r="X4453" s="1" t="s">
        <v>609</v>
      </c>
      <c r="Y4453" s="1" t="s">
        <v>7529</v>
      </c>
      <c r="Z4453" s="1" t="s">
        <v>37</v>
      </c>
    </row>
    <row r="4454">
      <c r="A4454" s="1" t="s">
        <v>12606</v>
      </c>
      <c r="B4454" s="1" t="s">
        <v>12607</v>
      </c>
      <c r="C4454" s="1" t="s">
        <v>12608</v>
      </c>
      <c r="D4454" s="1" t="s">
        <v>78</v>
      </c>
      <c r="E4454" s="1" t="s">
        <v>28</v>
      </c>
      <c r="F4454" s="2">
        <v>145465.49</v>
      </c>
      <c r="G4454" s="1" t="s">
        <v>164</v>
      </c>
      <c r="H4454" s="4">
        <f>IFERROR(__xludf.DUMMYFUNCTION("DATE(INDEX(SPLIT(G4454,""/""),,3),INDEX(SPLIT(G4454,""/""),,2),INDEX(SPLIT(G4454,""/""),,1))"),44706.0)</f>
        <v>44706</v>
      </c>
      <c r="I4454" s="1" t="s">
        <v>503</v>
      </c>
      <c r="J4454" s="4">
        <f>IFERROR(__xludf.DUMMYFUNCTION("DATE(INDEX(SPLIT(I4454,""/""),,3),INDEX(SPLIT(I4454,""/""),,2),INDEX(SPLIT(I4454,""/""),,1))"),44736.0)</f>
        <v>44736</v>
      </c>
      <c r="L4454" s="1">
        <v>0.0</v>
      </c>
      <c r="M4454" s="1" t="s">
        <v>8755</v>
      </c>
      <c r="N4454" s="1"/>
      <c r="O4454" s="1" t="s">
        <v>30</v>
      </c>
      <c r="P4454" s="1" t="s">
        <v>31</v>
      </c>
      <c r="Q4454" s="1" t="s">
        <v>1320</v>
      </c>
      <c r="R4454" s="1" t="s">
        <v>1320</v>
      </c>
      <c r="S4454" s="1" t="s">
        <v>54</v>
      </c>
      <c r="U4454" s="1">
        <v>1.00591676E8</v>
      </c>
      <c r="X4454" s="1" t="s">
        <v>88</v>
      </c>
      <c r="Y4454" s="1" t="s">
        <v>12609</v>
      </c>
      <c r="Z4454" s="1" t="s">
        <v>37</v>
      </c>
    </row>
    <row r="4455" hidden="1">
      <c r="A4455" s="1" t="s">
        <v>12610</v>
      </c>
      <c r="B4455" s="1" t="s">
        <v>2884</v>
      </c>
      <c r="C4455" s="1" t="s">
        <v>12611</v>
      </c>
      <c r="D4455" s="1" t="s">
        <v>122</v>
      </c>
      <c r="E4455" s="1" t="s">
        <v>28</v>
      </c>
      <c r="F4455" s="2">
        <v>145000.0</v>
      </c>
      <c r="G4455" s="1" t="s">
        <v>3896</v>
      </c>
      <c r="H4455" s="4">
        <f>IFERROR(__xludf.DUMMYFUNCTION("DATE(INDEX(SPLIT(G4455,""/""),,3),INDEX(SPLIT(G4455,""/""),,2),INDEX(SPLIT(G4455,""/""),,1))"),44697.0)</f>
        <v>44697</v>
      </c>
      <c r="I4455" s="1" t="s">
        <v>85</v>
      </c>
      <c r="J4455" s="4">
        <f>IFERROR(__xludf.DUMMYFUNCTION("DATE(INDEX(SPLIT(I4455,""/""),,3),INDEX(SPLIT(I4455,""/""),,2),INDEX(SPLIT(I4455,""/""),,1))"),44799.0)</f>
        <v>44799</v>
      </c>
      <c r="L4455" s="1">
        <v>0.0</v>
      </c>
      <c r="M4455" s="1" t="s">
        <v>10627</v>
      </c>
      <c r="N4455" s="1"/>
      <c r="O4455" s="1" t="s">
        <v>30</v>
      </c>
      <c r="P4455" s="1" t="s">
        <v>31</v>
      </c>
      <c r="Q4455" s="1" t="s">
        <v>228</v>
      </c>
      <c r="R4455" s="1" t="s">
        <v>228</v>
      </c>
      <c r="S4455" s="1" t="s">
        <v>229</v>
      </c>
      <c r="T4455" s="1" t="s">
        <v>513</v>
      </c>
      <c r="U4455" s="1">
        <v>1.00614969E8</v>
      </c>
      <c r="X4455" s="1" t="s">
        <v>74</v>
      </c>
      <c r="Y4455" s="1" t="s">
        <v>12612</v>
      </c>
      <c r="Z4455" s="1" t="s">
        <v>37</v>
      </c>
    </row>
    <row r="4456" hidden="1">
      <c r="A4456" s="1" t="s">
        <v>12613</v>
      </c>
      <c r="B4456" s="1" t="s">
        <v>12614</v>
      </c>
      <c r="C4456" s="1" t="s">
        <v>12615</v>
      </c>
      <c r="D4456" s="1" t="s">
        <v>27</v>
      </c>
      <c r="E4456" s="1" t="s">
        <v>28</v>
      </c>
      <c r="F4456" s="2">
        <v>145000.0</v>
      </c>
      <c r="G4456" s="1" t="s">
        <v>343</v>
      </c>
      <c r="H4456" s="4">
        <f>IFERROR(__xludf.DUMMYFUNCTION("DATE(INDEX(SPLIT(G4456,""/""),,3),INDEX(SPLIT(G4456,""/""),,2),INDEX(SPLIT(G4456,""/""),,1))"),44761.0)</f>
        <v>44761</v>
      </c>
      <c r="I4456" s="1" t="s">
        <v>6544</v>
      </c>
      <c r="J4456" s="4">
        <f>IFERROR(__xludf.DUMMYFUNCTION("DATE(INDEX(SPLIT(I4456,""/""),,3),INDEX(SPLIT(I4456,""/""),,2),INDEX(SPLIT(I4456,""/""),,1))"),44939.0)</f>
        <v>44939</v>
      </c>
      <c r="L4456" s="1">
        <v>0.0</v>
      </c>
      <c r="M4456" s="1" t="s">
        <v>7780</v>
      </c>
      <c r="N4456" s="1"/>
      <c r="O4456" s="1" t="s">
        <v>30</v>
      </c>
      <c r="P4456" s="1" t="s">
        <v>31</v>
      </c>
      <c r="Q4456" s="1" t="s">
        <v>157</v>
      </c>
      <c r="R4456" s="1" t="s">
        <v>157</v>
      </c>
      <c r="S4456" s="1" t="s">
        <v>158</v>
      </c>
      <c r="U4456" s="1">
        <v>1.00644077E8</v>
      </c>
      <c r="X4456" s="1" t="s">
        <v>2769</v>
      </c>
      <c r="Y4456" s="1" t="s">
        <v>7780</v>
      </c>
      <c r="Z4456" s="1" t="s">
        <v>37</v>
      </c>
    </row>
    <row r="4457">
      <c r="A4457" s="1" t="s">
        <v>12616</v>
      </c>
      <c r="B4457" s="1" t="s">
        <v>4321</v>
      </c>
      <c r="C4457" s="1" t="s">
        <v>12617</v>
      </c>
      <c r="D4457" s="1" t="s">
        <v>68</v>
      </c>
      <c r="E4457" s="1" t="s">
        <v>28</v>
      </c>
      <c r="F4457" s="2">
        <v>145000.0</v>
      </c>
      <c r="G4457" s="1" t="s">
        <v>2324</v>
      </c>
      <c r="H4457" s="4">
        <f>IFERROR(__xludf.DUMMYFUNCTION("DATE(INDEX(SPLIT(G4457,""/""),,3),INDEX(SPLIT(G4457,""/""),,2),INDEX(SPLIT(G4457,""/""),,1))"),44705.0)</f>
        <v>44705</v>
      </c>
      <c r="I4457" s="1" t="s">
        <v>1244</v>
      </c>
      <c r="J4457" s="4">
        <f>IFERROR(__xludf.DUMMYFUNCTION("DATE(INDEX(SPLIT(I4457,""/""),,3),INDEX(SPLIT(I4457,""/""),,2),INDEX(SPLIT(I4457,""/""),,1))"),44742.0)</f>
        <v>44742</v>
      </c>
      <c r="L4457" s="1">
        <v>0.0</v>
      </c>
      <c r="M4457" s="1" t="s">
        <v>9706</v>
      </c>
      <c r="N4457" s="1"/>
      <c r="O4457" s="1" t="s">
        <v>30</v>
      </c>
      <c r="P4457" s="1" t="s">
        <v>31</v>
      </c>
      <c r="Q4457" s="1" t="s">
        <v>157</v>
      </c>
      <c r="R4457" s="1" t="s">
        <v>157</v>
      </c>
      <c r="S4457" s="1" t="s">
        <v>158</v>
      </c>
      <c r="U4457" s="1">
        <v>1.00611781E8</v>
      </c>
      <c r="X4457" s="1" t="s">
        <v>305</v>
      </c>
      <c r="Y4457" s="1" t="s">
        <v>9706</v>
      </c>
      <c r="Z4457" s="1" t="s">
        <v>527</v>
      </c>
    </row>
    <row r="4458">
      <c r="A4458" s="1" t="s">
        <v>12618</v>
      </c>
      <c r="B4458" s="1" t="s">
        <v>12619</v>
      </c>
      <c r="C4458" s="1" t="s">
        <v>12620</v>
      </c>
      <c r="D4458" s="1" t="s">
        <v>78</v>
      </c>
      <c r="E4458" s="1" t="s">
        <v>28</v>
      </c>
      <c r="F4458" s="2">
        <v>145000.0</v>
      </c>
      <c r="G4458" s="4">
        <v>44327.0</v>
      </c>
      <c r="H4458" s="4">
        <f>IFERROR(__xludf.DUMMYFUNCTION("DATE(INDEX(SPLIT(G4458,""/""),,3),INDEX(SPLIT(G4458,""/""),,2),INDEX(SPLIT(G4458,""/""),,1))"),44505.0)</f>
        <v>44505</v>
      </c>
      <c r="I4458" s="4">
        <v>44568.0</v>
      </c>
      <c r="J4458" s="4">
        <f>IFERROR(__xludf.DUMMYFUNCTION("DATE(INDEX(SPLIT(I4458,""/""),,3),INDEX(SPLIT(I4458,""/""),,2),INDEX(SPLIT(I4458,""/""),,1))"),44743.0)</f>
        <v>44743</v>
      </c>
      <c r="L4458" s="1">
        <v>0.0</v>
      </c>
      <c r="M4458" s="1" t="s">
        <v>1098</v>
      </c>
      <c r="N4458" s="1"/>
      <c r="O4458" s="1" t="s">
        <v>30</v>
      </c>
      <c r="P4458" s="1" t="s">
        <v>31</v>
      </c>
      <c r="Q4458" s="1" t="s">
        <v>95</v>
      </c>
      <c r="R4458" s="1" t="s">
        <v>95</v>
      </c>
      <c r="S4458" s="1" t="s">
        <v>96</v>
      </c>
      <c r="T4458" s="1" t="s">
        <v>311</v>
      </c>
      <c r="U4458" s="1">
        <v>1.00634994E8</v>
      </c>
      <c r="X4458" s="1" t="s">
        <v>375</v>
      </c>
      <c r="Y4458" s="1" t="s">
        <v>12621</v>
      </c>
      <c r="Z4458" s="1" t="s">
        <v>37</v>
      </c>
    </row>
    <row r="4459" hidden="1">
      <c r="A4459" s="1" t="s">
        <v>12622</v>
      </c>
      <c r="B4459" s="1" t="s">
        <v>12623</v>
      </c>
      <c r="C4459" s="1" t="s">
        <v>12624</v>
      </c>
      <c r="D4459" s="1" t="s">
        <v>27</v>
      </c>
      <c r="E4459" s="1" t="s">
        <v>28</v>
      </c>
      <c r="F4459" s="2">
        <v>144300.0</v>
      </c>
      <c r="G4459" s="1" t="s">
        <v>418</v>
      </c>
      <c r="H4459" s="4">
        <f>IFERROR(__xludf.DUMMYFUNCTION("DATE(INDEX(SPLIT(G4459,""/""),,3),INDEX(SPLIT(G4459,""/""),,2),INDEX(SPLIT(G4459,""/""),,1))"),44755.0)</f>
        <v>44755</v>
      </c>
      <c r="I4459" s="1" t="s">
        <v>109</v>
      </c>
      <c r="J4459" s="4">
        <f>IFERROR(__xludf.DUMMYFUNCTION("DATE(INDEX(SPLIT(I4459,""/""),,3),INDEX(SPLIT(I4459,""/""),,2),INDEX(SPLIT(I4459,""/""),,1))"),44834.0)</f>
        <v>44834</v>
      </c>
      <c r="L4459" s="1">
        <v>0.0</v>
      </c>
      <c r="M4459" s="1" t="s">
        <v>4735</v>
      </c>
      <c r="N4459" s="1"/>
      <c r="O4459" s="1" t="s">
        <v>30</v>
      </c>
      <c r="P4459" s="1" t="s">
        <v>31</v>
      </c>
      <c r="Q4459" s="1" t="s">
        <v>71</v>
      </c>
      <c r="R4459" s="1" t="s">
        <v>71</v>
      </c>
      <c r="S4459" s="1" t="s">
        <v>72</v>
      </c>
      <c r="T4459" s="1" t="s">
        <v>136</v>
      </c>
      <c r="U4459" s="1">
        <v>1.00609615E8</v>
      </c>
      <c r="X4459" s="1" t="s">
        <v>74</v>
      </c>
      <c r="Y4459" s="1" t="s">
        <v>2593</v>
      </c>
      <c r="Z4459" s="1" t="s">
        <v>206</v>
      </c>
    </row>
    <row r="4460">
      <c r="A4460" s="1" t="s">
        <v>12625</v>
      </c>
      <c r="B4460" s="1" t="s">
        <v>12626</v>
      </c>
      <c r="C4460" s="1" t="s">
        <v>12627</v>
      </c>
      <c r="D4460" s="1" t="s">
        <v>78</v>
      </c>
      <c r="E4460" s="1" t="s">
        <v>28</v>
      </c>
      <c r="F4460" s="2">
        <v>144000.0</v>
      </c>
      <c r="G4460" s="1" t="s">
        <v>2324</v>
      </c>
      <c r="H4460" s="4">
        <f>IFERROR(__xludf.DUMMYFUNCTION("DATE(INDEX(SPLIT(G4460,""/""),,3),INDEX(SPLIT(G4460,""/""),,2),INDEX(SPLIT(G4460,""/""),,1))"),44705.0)</f>
        <v>44705</v>
      </c>
      <c r="I4460" s="1" t="s">
        <v>1244</v>
      </c>
      <c r="J4460" s="4">
        <f>IFERROR(__xludf.DUMMYFUNCTION("DATE(INDEX(SPLIT(I4460,""/""),,3),INDEX(SPLIT(I4460,""/""),,2),INDEX(SPLIT(I4460,""/""),,1))"),44742.0)</f>
        <v>44742</v>
      </c>
      <c r="L4460" s="1">
        <v>0.0</v>
      </c>
      <c r="M4460" s="1" t="s">
        <v>6045</v>
      </c>
      <c r="N4460" s="1"/>
      <c r="O4460" s="1" t="s">
        <v>30</v>
      </c>
      <c r="P4460" s="1" t="s">
        <v>31</v>
      </c>
      <c r="Q4460" s="1" t="s">
        <v>228</v>
      </c>
      <c r="R4460" s="1" t="s">
        <v>228</v>
      </c>
      <c r="S4460" s="1" t="s">
        <v>229</v>
      </c>
      <c r="T4460" s="1" t="s">
        <v>513</v>
      </c>
      <c r="U4460" s="1">
        <v>1.00652479E8</v>
      </c>
      <c r="X4460" s="1" t="s">
        <v>5049</v>
      </c>
      <c r="Y4460" s="1" t="s">
        <v>5688</v>
      </c>
      <c r="Z4460" s="1" t="s">
        <v>37</v>
      </c>
    </row>
    <row r="4461" hidden="1">
      <c r="A4461" s="1" t="s">
        <v>12628</v>
      </c>
      <c r="B4461" s="1" t="s">
        <v>690</v>
      </c>
      <c r="C4461" s="1" t="s">
        <v>12629</v>
      </c>
      <c r="D4461" s="1" t="s">
        <v>78</v>
      </c>
      <c r="E4461" s="1" t="s">
        <v>28</v>
      </c>
      <c r="F4461" s="2">
        <v>141184.0</v>
      </c>
      <c r="G4461" s="1" t="s">
        <v>185</v>
      </c>
      <c r="H4461" s="4">
        <f>IFERROR(__xludf.DUMMYFUNCTION("DATE(INDEX(SPLIT(G4461,""/""),,3),INDEX(SPLIT(G4461,""/""),,2),INDEX(SPLIT(G4461,""/""),,1))"),44741.0)</f>
        <v>44741</v>
      </c>
      <c r="I4461" s="1" t="s">
        <v>130</v>
      </c>
      <c r="J4461" s="4">
        <f>IFERROR(__xludf.DUMMYFUNCTION("DATE(INDEX(SPLIT(I4461,""/""),,3),INDEX(SPLIT(I4461,""/""),,2),INDEX(SPLIT(I4461,""/""),,1))"),44804.0)</f>
        <v>44804</v>
      </c>
      <c r="L4461" s="1">
        <v>0.0</v>
      </c>
      <c r="M4461" s="1" t="s">
        <v>12630</v>
      </c>
      <c r="N4461" s="1"/>
      <c r="O4461" s="1" t="s">
        <v>30</v>
      </c>
      <c r="P4461" s="1" t="s">
        <v>31</v>
      </c>
      <c r="Q4461" s="1" t="s">
        <v>235</v>
      </c>
      <c r="R4461" s="1" t="s">
        <v>235</v>
      </c>
      <c r="S4461" s="1" t="s">
        <v>236</v>
      </c>
      <c r="U4461" s="1">
        <v>1.00657101E8</v>
      </c>
      <c r="X4461" s="1" t="s">
        <v>88</v>
      </c>
      <c r="Y4461" s="1" t="s">
        <v>12631</v>
      </c>
      <c r="Z4461" s="1" t="s">
        <v>37</v>
      </c>
    </row>
    <row r="4462" hidden="1">
      <c r="A4462" s="1" t="s">
        <v>12632</v>
      </c>
      <c r="B4462" s="1" t="s">
        <v>106</v>
      </c>
      <c r="C4462" s="1" t="s">
        <v>12633</v>
      </c>
      <c r="D4462" s="1" t="s">
        <v>78</v>
      </c>
      <c r="E4462" s="1" t="s">
        <v>28</v>
      </c>
      <c r="F4462" s="2">
        <v>140000.0</v>
      </c>
      <c r="G4462" s="4">
        <v>44563.0</v>
      </c>
      <c r="H4462" s="4">
        <f>IFERROR(__xludf.DUMMYFUNCTION("DATE(INDEX(SPLIT(G4462,""/""),,3),INDEX(SPLIT(G4462,""/""),,2),INDEX(SPLIT(G4462,""/""),,1))"),44593.0)</f>
        <v>44593</v>
      </c>
      <c r="I4462" s="4">
        <v>44813.0</v>
      </c>
      <c r="J4462" s="4">
        <f>IFERROR(__xludf.DUMMYFUNCTION("DATE(INDEX(SPLIT(I4462,""/""),,3),INDEX(SPLIT(I4462,""/""),,2),INDEX(SPLIT(I4462,""/""),,1))"),44813.0)</f>
        <v>44813</v>
      </c>
      <c r="L4462" s="1">
        <v>0.0</v>
      </c>
      <c r="M4462" s="1" t="s">
        <v>7598</v>
      </c>
      <c r="N4462" s="1"/>
      <c r="O4462" s="1" t="s">
        <v>30</v>
      </c>
      <c r="P4462" s="1" t="s">
        <v>31</v>
      </c>
      <c r="Q4462" s="1" t="s">
        <v>32</v>
      </c>
      <c r="R4462" s="1" t="s">
        <v>32</v>
      </c>
      <c r="S4462" s="1" t="s">
        <v>33</v>
      </c>
      <c r="T4462" s="1" t="s">
        <v>1386</v>
      </c>
      <c r="U4462" s="1">
        <v>1.00644939E8</v>
      </c>
      <c r="V4462" s="1" t="s">
        <v>12634</v>
      </c>
      <c r="W4462" s="1" t="s">
        <v>199</v>
      </c>
      <c r="X4462" s="1" t="s">
        <v>312</v>
      </c>
      <c r="Y4462" s="1" t="s">
        <v>4699</v>
      </c>
      <c r="Z4462" s="1" t="s">
        <v>37</v>
      </c>
    </row>
    <row r="4463" hidden="1">
      <c r="A4463" s="1" t="s">
        <v>12635</v>
      </c>
      <c r="B4463" s="1" t="s">
        <v>2415</v>
      </c>
      <c r="C4463" s="1" t="s">
        <v>12636</v>
      </c>
      <c r="D4463" s="1" t="s">
        <v>27</v>
      </c>
      <c r="E4463" s="1" t="s">
        <v>28</v>
      </c>
      <c r="F4463" s="2">
        <v>140000.0</v>
      </c>
      <c r="G4463" s="4">
        <v>44839.0</v>
      </c>
      <c r="H4463" s="4">
        <f>IFERROR(__xludf.DUMMYFUNCTION("DATE(INDEX(SPLIT(G4463,""/""),,3),INDEX(SPLIT(G4463,""/""),,2),INDEX(SPLIT(G4463,""/""),,1))"),44691.0)</f>
        <v>44691</v>
      </c>
      <c r="I4463" s="1" t="s">
        <v>203</v>
      </c>
      <c r="J4463" s="4">
        <f>IFERROR(__xludf.DUMMYFUNCTION("DATE(INDEX(SPLIT(I4463,""/""),,3),INDEX(SPLIT(I4463,""/""),,2),INDEX(SPLIT(I4463,""/""),,1))"),44925.0)</f>
        <v>44925</v>
      </c>
      <c r="L4463" s="1">
        <v>0.0</v>
      </c>
      <c r="M4463" s="1" t="s">
        <v>11254</v>
      </c>
      <c r="N4463" s="1"/>
      <c r="O4463" s="1" t="s">
        <v>30</v>
      </c>
      <c r="P4463" s="1" t="s">
        <v>31</v>
      </c>
      <c r="Q4463" s="1" t="s">
        <v>228</v>
      </c>
      <c r="R4463" s="1" t="s">
        <v>228</v>
      </c>
      <c r="S4463" s="1" t="s">
        <v>229</v>
      </c>
      <c r="T4463" s="1" t="s">
        <v>513</v>
      </c>
      <c r="U4463" s="1">
        <v>1.00602248E8</v>
      </c>
      <c r="X4463" s="1" t="s">
        <v>239</v>
      </c>
      <c r="Y4463" s="1" t="s">
        <v>12637</v>
      </c>
      <c r="Z4463" s="1" t="s">
        <v>37</v>
      </c>
    </row>
    <row r="4464" hidden="1">
      <c r="A4464" s="1" t="s">
        <v>12638</v>
      </c>
      <c r="B4464" s="1" t="s">
        <v>8795</v>
      </c>
      <c r="C4464" s="1" t="s">
        <v>12639</v>
      </c>
      <c r="D4464" s="1" t="s">
        <v>27</v>
      </c>
      <c r="E4464" s="1" t="s">
        <v>28</v>
      </c>
      <c r="F4464" s="2">
        <v>140000.0</v>
      </c>
      <c r="G4464" s="4">
        <v>44599.0</v>
      </c>
      <c r="H4464" s="4">
        <f>IFERROR(__xludf.DUMMYFUNCTION("DATE(INDEX(SPLIT(G4464,""/""),,3),INDEX(SPLIT(G4464,""/""),,2),INDEX(SPLIT(G4464,""/""),,1))"),44744.0)</f>
        <v>44744</v>
      </c>
      <c r="I4464" s="1" t="s">
        <v>1097</v>
      </c>
      <c r="J4464" s="4">
        <f>IFERROR(__xludf.DUMMYFUNCTION("DATE(INDEX(SPLIT(I4464,""/""),,3),INDEX(SPLIT(I4464,""/""),,2),INDEX(SPLIT(I4464,""/""),,1))"),45107.0)</f>
        <v>45107</v>
      </c>
      <c r="L4464" s="1">
        <v>0.0</v>
      </c>
      <c r="M4464" s="1" t="s">
        <v>11254</v>
      </c>
      <c r="N4464" s="1"/>
      <c r="O4464" s="1" t="s">
        <v>30</v>
      </c>
      <c r="P4464" s="1" t="s">
        <v>31</v>
      </c>
      <c r="Q4464" s="1" t="s">
        <v>228</v>
      </c>
      <c r="R4464" s="1" t="s">
        <v>228</v>
      </c>
      <c r="S4464" s="1" t="s">
        <v>229</v>
      </c>
      <c r="T4464" s="1" t="s">
        <v>513</v>
      </c>
      <c r="U4464" s="1">
        <v>1.00602248E8</v>
      </c>
      <c r="X4464" s="1" t="s">
        <v>239</v>
      </c>
      <c r="Y4464" s="1" t="s">
        <v>12640</v>
      </c>
      <c r="Z4464" s="1" t="s">
        <v>37</v>
      </c>
    </row>
    <row r="4465" hidden="1">
      <c r="A4465" s="1" t="s">
        <v>12641</v>
      </c>
      <c r="B4465" s="1" t="s">
        <v>12642</v>
      </c>
      <c r="C4465" s="1" t="s">
        <v>12643</v>
      </c>
      <c r="D4465" s="1" t="s">
        <v>122</v>
      </c>
      <c r="E4465" s="1" t="s">
        <v>28</v>
      </c>
      <c r="F4465" s="2">
        <v>138000.0</v>
      </c>
      <c r="G4465" s="4">
        <v>44777.0</v>
      </c>
      <c r="H4465" s="4">
        <f>IFERROR(__xludf.DUMMYFUNCTION("DATE(INDEX(SPLIT(G4465,""/""),,3),INDEX(SPLIT(G4465,""/""),,2),INDEX(SPLIT(G4465,""/""),,1))"),44659.0)</f>
        <v>44659</v>
      </c>
      <c r="I4465" s="1" t="s">
        <v>109</v>
      </c>
      <c r="J4465" s="4">
        <f>IFERROR(__xludf.DUMMYFUNCTION("DATE(INDEX(SPLIT(I4465,""/""),,3),INDEX(SPLIT(I4465,""/""),,2),INDEX(SPLIT(I4465,""/""),,1))"),44834.0)</f>
        <v>44834</v>
      </c>
      <c r="L4465" s="1">
        <v>0.0</v>
      </c>
      <c r="M4465" s="1" t="s">
        <v>787</v>
      </c>
      <c r="N4465" s="1"/>
      <c r="O4465" s="1" t="s">
        <v>30</v>
      </c>
      <c r="P4465" s="1" t="s">
        <v>31</v>
      </c>
      <c r="Q4465" s="1" t="s">
        <v>53</v>
      </c>
      <c r="R4465" s="1" t="s">
        <v>53</v>
      </c>
      <c r="S4465" s="1" t="s">
        <v>54</v>
      </c>
      <c r="U4465" s="1">
        <v>1.00610205E8</v>
      </c>
      <c r="X4465" s="1" t="s">
        <v>410</v>
      </c>
      <c r="Y4465" s="1" t="s">
        <v>787</v>
      </c>
      <c r="Z4465" s="1" t="s">
        <v>37</v>
      </c>
    </row>
    <row r="4466" hidden="1">
      <c r="A4466" s="1" t="s">
        <v>12644</v>
      </c>
      <c r="B4466" s="1" t="s">
        <v>12642</v>
      </c>
      <c r="C4466" s="1" t="s">
        <v>12645</v>
      </c>
      <c r="D4466" s="1" t="s">
        <v>27</v>
      </c>
      <c r="E4466" s="1" t="s">
        <v>28</v>
      </c>
      <c r="F4466" s="2">
        <v>138000.0</v>
      </c>
      <c r="G4466" s="1" t="s">
        <v>1259</v>
      </c>
      <c r="H4466" s="4">
        <f>IFERROR(__xludf.DUMMYFUNCTION("DATE(INDEX(SPLIT(G4466,""/""),,3),INDEX(SPLIT(G4466,""/""),,2),INDEX(SPLIT(G4466,""/""),,1))"),44763.0)</f>
        <v>44763</v>
      </c>
      <c r="I4466" s="1" t="s">
        <v>109</v>
      </c>
      <c r="J4466" s="4">
        <f>IFERROR(__xludf.DUMMYFUNCTION("DATE(INDEX(SPLIT(I4466,""/""),,3),INDEX(SPLIT(I4466,""/""),,2),INDEX(SPLIT(I4466,""/""),,1))"),44834.0)</f>
        <v>44834</v>
      </c>
      <c r="L4466" s="1">
        <v>0.0</v>
      </c>
      <c r="M4466" s="1" t="s">
        <v>787</v>
      </c>
      <c r="N4466" s="1"/>
      <c r="O4466" s="1" t="s">
        <v>30</v>
      </c>
      <c r="P4466" s="1" t="s">
        <v>31</v>
      </c>
      <c r="Q4466" s="1" t="s">
        <v>53</v>
      </c>
      <c r="R4466" s="1" t="s">
        <v>53</v>
      </c>
      <c r="S4466" s="1" t="s">
        <v>54</v>
      </c>
      <c r="U4466" s="1">
        <v>1.00610205E8</v>
      </c>
      <c r="X4466" s="1" t="s">
        <v>410</v>
      </c>
      <c r="Y4466" s="1" t="s">
        <v>787</v>
      </c>
      <c r="Z4466" s="1" t="s">
        <v>37</v>
      </c>
    </row>
    <row r="4467" hidden="1">
      <c r="A4467" s="1" t="s">
        <v>12646</v>
      </c>
      <c r="B4467" s="1" t="s">
        <v>12642</v>
      </c>
      <c r="C4467" s="1" t="s">
        <v>12647</v>
      </c>
      <c r="D4467" s="1" t="s">
        <v>27</v>
      </c>
      <c r="E4467" s="1" t="s">
        <v>28</v>
      </c>
      <c r="F4467" s="2">
        <v>138000.0</v>
      </c>
      <c r="G4467" s="1" t="s">
        <v>1259</v>
      </c>
      <c r="H4467" s="4">
        <f>IFERROR(__xludf.DUMMYFUNCTION("DATE(INDEX(SPLIT(G4467,""/""),,3),INDEX(SPLIT(G4467,""/""),,2),INDEX(SPLIT(G4467,""/""),,1))"),44763.0)</f>
        <v>44763</v>
      </c>
      <c r="I4467" s="1" t="s">
        <v>109</v>
      </c>
      <c r="J4467" s="4">
        <f>IFERROR(__xludf.DUMMYFUNCTION("DATE(INDEX(SPLIT(I4467,""/""),,3),INDEX(SPLIT(I4467,""/""),,2),INDEX(SPLIT(I4467,""/""),,1))"),44834.0)</f>
        <v>44834</v>
      </c>
      <c r="L4467" s="1">
        <v>0.0</v>
      </c>
      <c r="M4467" s="1" t="s">
        <v>787</v>
      </c>
      <c r="N4467" s="1"/>
      <c r="O4467" s="1" t="s">
        <v>30</v>
      </c>
      <c r="P4467" s="1" t="s">
        <v>31</v>
      </c>
      <c r="Q4467" s="1" t="s">
        <v>53</v>
      </c>
      <c r="R4467" s="1" t="s">
        <v>53</v>
      </c>
      <c r="S4467" s="1" t="s">
        <v>54</v>
      </c>
      <c r="U4467" s="1">
        <v>1.00610205E8</v>
      </c>
      <c r="X4467" s="1" t="s">
        <v>410</v>
      </c>
      <c r="Y4467" s="1" t="s">
        <v>787</v>
      </c>
      <c r="Z4467" s="1" t="s">
        <v>37</v>
      </c>
    </row>
    <row r="4468">
      <c r="A4468" s="1" t="s">
        <v>12648</v>
      </c>
      <c r="B4468" s="1" t="s">
        <v>12649</v>
      </c>
      <c r="C4468" s="1" t="s">
        <v>10990</v>
      </c>
      <c r="D4468" s="1" t="s">
        <v>78</v>
      </c>
      <c r="E4468" s="1" t="s">
        <v>28</v>
      </c>
      <c r="F4468" s="2">
        <v>136430.97</v>
      </c>
      <c r="G4468" s="1" t="s">
        <v>600</v>
      </c>
      <c r="H4468" s="4">
        <f>IFERROR(__xludf.DUMMYFUNCTION("DATE(INDEX(SPLIT(G4468,""/""),,3),INDEX(SPLIT(G4468,""/""),,2),INDEX(SPLIT(G4468,""/""),,1))"),44665.0)</f>
        <v>44665</v>
      </c>
      <c r="I4468" s="1" t="s">
        <v>1244</v>
      </c>
      <c r="J4468" s="4">
        <f>IFERROR(__xludf.DUMMYFUNCTION("DATE(INDEX(SPLIT(I4468,""/""),,3),INDEX(SPLIT(I4468,""/""),,2),INDEX(SPLIT(I4468,""/""),,1))"),44742.0)</f>
        <v>44742</v>
      </c>
      <c r="L4468" s="1">
        <v>0.0</v>
      </c>
      <c r="M4468" s="1" t="s">
        <v>5116</v>
      </c>
      <c r="N4468" s="1"/>
      <c r="O4468" s="1" t="s">
        <v>30</v>
      </c>
      <c r="P4468" s="1" t="s">
        <v>31</v>
      </c>
      <c r="Q4468" s="1" t="s">
        <v>157</v>
      </c>
      <c r="R4468" s="1" t="s">
        <v>157</v>
      </c>
      <c r="S4468" s="1" t="s">
        <v>158</v>
      </c>
      <c r="U4468" s="1">
        <v>1.00609226E8</v>
      </c>
      <c r="X4468" s="1" t="s">
        <v>609</v>
      </c>
      <c r="Y4468" s="1" t="s">
        <v>12650</v>
      </c>
      <c r="Z4468" s="1" t="s">
        <v>37</v>
      </c>
    </row>
    <row r="4469" hidden="1">
      <c r="A4469" s="1" t="s">
        <v>12651</v>
      </c>
      <c r="B4469" s="1" t="s">
        <v>12652</v>
      </c>
      <c r="C4469" s="1" t="s">
        <v>12653</v>
      </c>
      <c r="D4469" s="1" t="s">
        <v>78</v>
      </c>
      <c r="E4469" s="1" t="s">
        <v>28</v>
      </c>
      <c r="F4469" s="2">
        <v>135000.0</v>
      </c>
      <c r="G4469" s="4">
        <v>44654.0</v>
      </c>
      <c r="H4469" s="4">
        <f>IFERROR(__xludf.DUMMYFUNCTION("DATE(INDEX(SPLIT(G4469,""/""),,3),INDEX(SPLIT(G4469,""/""),,2),INDEX(SPLIT(G4469,""/""),,1))"),44624.0)</f>
        <v>44624</v>
      </c>
      <c r="I4469" s="1" t="s">
        <v>221</v>
      </c>
      <c r="J4469" s="4">
        <f>IFERROR(__xludf.DUMMYFUNCTION("DATE(INDEX(SPLIT(I4469,""/""),,3),INDEX(SPLIT(I4469,""/""),,2),INDEX(SPLIT(I4469,""/""),,1))"),45230.0)</f>
        <v>45230</v>
      </c>
      <c r="L4469" s="1">
        <v>0.0</v>
      </c>
      <c r="M4469" s="1" t="s">
        <v>6045</v>
      </c>
      <c r="N4469" s="1"/>
      <c r="O4469" s="1" t="s">
        <v>30</v>
      </c>
      <c r="P4469" s="1" t="s">
        <v>31</v>
      </c>
      <c r="Q4469" s="1" t="s">
        <v>228</v>
      </c>
      <c r="R4469" s="1" t="s">
        <v>228</v>
      </c>
      <c r="S4469" s="1" t="s">
        <v>229</v>
      </c>
      <c r="T4469" s="1" t="s">
        <v>513</v>
      </c>
      <c r="U4469" s="1">
        <v>1.00652479E8</v>
      </c>
      <c r="X4469" s="1" t="s">
        <v>254</v>
      </c>
      <c r="Y4469" s="1" t="s">
        <v>12654</v>
      </c>
      <c r="Z4469" s="1" t="s">
        <v>37</v>
      </c>
    </row>
    <row r="4470" hidden="1">
      <c r="A4470" s="1" t="s">
        <v>12655</v>
      </c>
      <c r="B4470" s="1" t="s">
        <v>12656</v>
      </c>
      <c r="C4470" s="1" t="s">
        <v>12657</v>
      </c>
      <c r="D4470" s="1" t="s">
        <v>122</v>
      </c>
      <c r="E4470" s="1" t="s">
        <v>28</v>
      </c>
      <c r="F4470" s="2">
        <v>135000.0</v>
      </c>
      <c r="G4470" s="1" t="s">
        <v>1598</v>
      </c>
      <c r="H4470" s="4">
        <f>IFERROR(__xludf.DUMMYFUNCTION("DATE(INDEX(SPLIT(G4470,""/""),,3),INDEX(SPLIT(G4470,""/""),,2),INDEX(SPLIT(G4470,""/""),,1))"),44461.0)</f>
        <v>44461</v>
      </c>
      <c r="I4470" s="1" t="s">
        <v>109</v>
      </c>
      <c r="J4470" s="4">
        <f>IFERROR(__xludf.DUMMYFUNCTION("DATE(INDEX(SPLIT(I4470,""/""),,3),INDEX(SPLIT(I4470,""/""),,2),INDEX(SPLIT(I4470,""/""),,1))"),44834.0)</f>
        <v>44834</v>
      </c>
      <c r="L4470" s="1">
        <v>0.0</v>
      </c>
      <c r="M4470" s="1" t="s">
        <v>11254</v>
      </c>
      <c r="N4470" s="1"/>
      <c r="O4470" s="1" t="s">
        <v>30</v>
      </c>
      <c r="P4470" s="1" t="s">
        <v>31</v>
      </c>
      <c r="Q4470" s="1" t="s">
        <v>228</v>
      </c>
      <c r="R4470" s="1" t="s">
        <v>228</v>
      </c>
      <c r="S4470" s="1" t="s">
        <v>229</v>
      </c>
      <c r="T4470" s="1" t="s">
        <v>513</v>
      </c>
      <c r="U4470" s="1">
        <v>1.00602248E8</v>
      </c>
      <c r="X4470" s="1" t="s">
        <v>63</v>
      </c>
      <c r="Y4470" s="1" t="s">
        <v>12637</v>
      </c>
      <c r="Z4470" s="1" t="s">
        <v>37</v>
      </c>
    </row>
    <row r="4471" hidden="1">
      <c r="A4471" s="1" t="s">
        <v>12658</v>
      </c>
      <c r="B4471" s="1" t="s">
        <v>12659</v>
      </c>
      <c r="C4471" s="1" t="s">
        <v>12660</v>
      </c>
      <c r="D4471" s="1" t="s">
        <v>27</v>
      </c>
      <c r="E4471" s="1" t="s">
        <v>28</v>
      </c>
      <c r="F4471" s="2">
        <v>135000.0</v>
      </c>
      <c r="G4471" s="1" t="s">
        <v>418</v>
      </c>
      <c r="H4471" s="4">
        <f>IFERROR(__xludf.DUMMYFUNCTION("DATE(INDEX(SPLIT(G4471,""/""),,3),INDEX(SPLIT(G4471,""/""),,2),INDEX(SPLIT(G4471,""/""),,1))"),44755.0)</f>
        <v>44755</v>
      </c>
      <c r="I4471" s="1" t="s">
        <v>430</v>
      </c>
      <c r="J4471" s="4">
        <f>IFERROR(__xludf.DUMMYFUNCTION("DATE(INDEX(SPLIT(I4471,""/""),,3),INDEX(SPLIT(I4471,""/""),,2),INDEX(SPLIT(I4471,""/""),,1))"),44985.0)</f>
        <v>44985</v>
      </c>
      <c r="L4471" s="1">
        <v>0.0</v>
      </c>
      <c r="M4471" s="1" t="s">
        <v>5336</v>
      </c>
      <c r="N4471" s="1"/>
      <c r="O4471" s="1" t="s">
        <v>30</v>
      </c>
      <c r="P4471" s="1" t="s">
        <v>31</v>
      </c>
      <c r="Q4471" s="1" t="s">
        <v>71</v>
      </c>
      <c r="R4471" s="1" t="s">
        <v>71</v>
      </c>
      <c r="S4471" s="1" t="s">
        <v>72</v>
      </c>
      <c r="T4471" s="1" t="s">
        <v>136</v>
      </c>
      <c r="U4471" s="1">
        <v>1.00615814E8</v>
      </c>
      <c r="X4471" s="1" t="s">
        <v>74</v>
      </c>
      <c r="Y4471" s="1" t="s">
        <v>2593</v>
      </c>
      <c r="Z4471" s="1" t="s">
        <v>206</v>
      </c>
    </row>
    <row r="4472" hidden="1">
      <c r="A4472" s="1" t="s">
        <v>12661</v>
      </c>
      <c r="B4472" s="1" t="s">
        <v>12662</v>
      </c>
      <c r="C4472" s="1" t="s">
        <v>12663</v>
      </c>
      <c r="D4472" s="1" t="s">
        <v>78</v>
      </c>
      <c r="E4472" s="1" t="s">
        <v>28</v>
      </c>
      <c r="F4472" s="2">
        <v>134700.0</v>
      </c>
      <c r="G4472" s="1" t="s">
        <v>418</v>
      </c>
      <c r="H4472" s="4">
        <f>IFERROR(__xludf.DUMMYFUNCTION("DATE(INDEX(SPLIT(G4472,""/""),,3),INDEX(SPLIT(G4472,""/""),,2),INDEX(SPLIT(G4472,""/""),,1))"),44755.0)</f>
        <v>44755</v>
      </c>
      <c r="I4472" s="1" t="s">
        <v>317</v>
      </c>
      <c r="J4472" s="4">
        <f>IFERROR(__xludf.DUMMYFUNCTION("DATE(INDEX(SPLIT(I4472,""/""),,3),INDEX(SPLIT(I4472,""/""),,2),INDEX(SPLIT(I4472,""/""),,1))"),44862.0)</f>
        <v>44862</v>
      </c>
      <c r="L4472" s="1">
        <v>0.0</v>
      </c>
      <c r="M4472" s="1" t="s">
        <v>4735</v>
      </c>
      <c r="N4472" s="1"/>
      <c r="O4472" s="1" t="s">
        <v>30</v>
      </c>
      <c r="P4472" s="1" t="s">
        <v>31</v>
      </c>
      <c r="Q4472" s="1" t="s">
        <v>71</v>
      </c>
      <c r="R4472" s="1" t="s">
        <v>71</v>
      </c>
      <c r="S4472" s="1" t="s">
        <v>72</v>
      </c>
      <c r="T4472" s="1" t="s">
        <v>136</v>
      </c>
      <c r="U4472" s="1">
        <v>1.00609615E8</v>
      </c>
      <c r="X4472" s="1" t="s">
        <v>74</v>
      </c>
      <c r="Y4472" s="1" t="s">
        <v>2593</v>
      </c>
      <c r="Z4472" s="1" t="s">
        <v>206</v>
      </c>
    </row>
    <row r="4473">
      <c r="A4473" s="1" t="s">
        <v>12664</v>
      </c>
      <c r="B4473" s="1" t="s">
        <v>12665</v>
      </c>
      <c r="C4473" s="1" t="s">
        <v>12666</v>
      </c>
      <c r="D4473" s="1" t="s">
        <v>78</v>
      </c>
      <c r="E4473" s="1" t="s">
        <v>28</v>
      </c>
      <c r="F4473" s="2">
        <v>132000.0</v>
      </c>
      <c r="G4473" s="1" t="s">
        <v>7386</v>
      </c>
      <c r="H4473" s="4">
        <f>IFERROR(__xludf.DUMMYFUNCTION("DATE(INDEX(SPLIT(G4473,""/""),,3),INDEX(SPLIT(G4473,""/""),,2),INDEX(SPLIT(G4473,""/""),,1))"),43875.0)</f>
        <v>43875</v>
      </c>
      <c r="I4473" s="1" t="s">
        <v>226</v>
      </c>
      <c r="J4473" s="4">
        <f>IFERROR(__xludf.DUMMYFUNCTION("DATE(INDEX(SPLIT(I4473,""/""),,3),INDEX(SPLIT(I4473,""/""),,2),INDEX(SPLIT(I4473,""/""),,1))"),44771.0)</f>
        <v>44771</v>
      </c>
      <c r="L4473" s="1">
        <v>0.0</v>
      </c>
      <c r="M4473" s="1" t="s">
        <v>2696</v>
      </c>
      <c r="N4473" s="1"/>
      <c r="O4473" s="1" t="s">
        <v>30</v>
      </c>
      <c r="P4473" s="1" t="s">
        <v>31</v>
      </c>
      <c r="Q4473" s="1" t="s">
        <v>157</v>
      </c>
      <c r="R4473" s="1" t="s">
        <v>157</v>
      </c>
      <c r="S4473" s="1" t="s">
        <v>158</v>
      </c>
      <c r="T4473" s="1" t="s">
        <v>402</v>
      </c>
      <c r="U4473" s="1">
        <v>1.00611351E8</v>
      </c>
      <c r="X4473" s="1" t="s">
        <v>781</v>
      </c>
      <c r="Y4473" s="1" t="s">
        <v>3016</v>
      </c>
      <c r="Z4473" s="1" t="s">
        <v>37</v>
      </c>
    </row>
    <row r="4474">
      <c r="A4474" s="1" t="s">
        <v>12667</v>
      </c>
      <c r="B4474" s="1" t="s">
        <v>1748</v>
      </c>
      <c r="C4474" s="1" t="s">
        <v>12668</v>
      </c>
      <c r="D4474" s="1" t="s">
        <v>78</v>
      </c>
      <c r="E4474" s="1" t="s">
        <v>28</v>
      </c>
      <c r="F4474" s="2">
        <v>130000.0</v>
      </c>
      <c r="G4474" s="4">
        <v>44807.0</v>
      </c>
      <c r="H4474" s="4">
        <f>IFERROR(__xludf.DUMMYFUNCTION("DATE(INDEX(SPLIT(G4474,""/""),,3),INDEX(SPLIT(G4474,""/""),,2),INDEX(SPLIT(G4474,""/""),,1))"),44629.0)</f>
        <v>44629</v>
      </c>
      <c r="I4474" s="4">
        <v>44872.0</v>
      </c>
      <c r="J4474" s="4">
        <f>IFERROR(__xludf.DUMMYFUNCTION("DATE(INDEX(SPLIT(I4474,""/""),,3),INDEX(SPLIT(I4474,""/""),,2),INDEX(SPLIT(I4474,""/""),,1))"),44753.0)</f>
        <v>44753</v>
      </c>
      <c r="L4474" s="1">
        <v>0.0</v>
      </c>
      <c r="M4474" s="1" t="s">
        <v>12669</v>
      </c>
      <c r="N4474" s="1"/>
      <c r="O4474" s="1" t="s">
        <v>30</v>
      </c>
      <c r="P4474" s="1" t="s">
        <v>31</v>
      </c>
      <c r="Q4474" s="1" t="s">
        <v>228</v>
      </c>
      <c r="R4474" s="1" t="s">
        <v>228</v>
      </c>
      <c r="S4474" s="1" t="s">
        <v>229</v>
      </c>
      <c r="T4474" s="1" t="s">
        <v>640</v>
      </c>
      <c r="U4474" s="1">
        <v>1.00605616E8</v>
      </c>
      <c r="X4474" s="1" t="s">
        <v>88</v>
      </c>
      <c r="Y4474" s="1" t="s">
        <v>12670</v>
      </c>
      <c r="Z4474" s="1" t="s">
        <v>37</v>
      </c>
    </row>
    <row r="4475">
      <c r="A4475" s="1" t="s">
        <v>12671</v>
      </c>
      <c r="B4475" s="1" t="s">
        <v>12672</v>
      </c>
      <c r="C4475" s="1" t="s">
        <v>12673</v>
      </c>
      <c r="D4475" s="1" t="s">
        <v>122</v>
      </c>
      <c r="E4475" s="1" t="s">
        <v>28</v>
      </c>
      <c r="F4475" s="2">
        <v>130000.0</v>
      </c>
      <c r="G4475" s="1" t="s">
        <v>1364</v>
      </c>
      <c r="H4475" s="4">
        <f>IFERROR(__xludf.DUMMYFUNCTION("DATE(INDEX(SPLIT(G4475,""/""),,3),INDEX(SPLIT(G4475,""/""),,2),INDEX(SPLIT(G4475,""/""),,1))"),44676.0)</f>
        <v>44676</v>
      </c>
      <c r="I4475" s="1" t="s">
        <v>503</v>
      </c>
      <c r="J4475" s="4">
        <f>IFERROR(__xludf.DUMMYFUNCTION("DATE(INDEX(SPLIT(I4475,""/""),,3),INDEX(SPLIT(I4475,""/""),,2),INDEX(SPLIT(I4475,""/""),,1))"),44736.0)</f>
        <v>44736</v>
      </c>
      <c r="L4475" s="1">
        <v>0.0</v>
      </c>
      <c r="M4475" s="1" t="s">
        <v>3663</v>
      </c>
      <c r="N4475" s="1"/>
      <c r="O4475" s="1" t="s">
        <v>30</v>
      </c>
      <c r="P4475" s="1" t="s">
        <v>31</v>
      </c>
      <c r="Q4475" s="1" t="s">
        <v>95</v>
      </c>
      <c r="R4475" s="1" t="s">
        <v>95</v>
      </c>
      <c r="S4475" s="1" t="s">
        <v>96</v>
      </c>
      <c r="T4475" s="1" t="s">
        <v>304</v>
      </c>
      <c r="U4475" s="1">
        <v>1.00620159E8</v>
      </c>
      <c r="Y4475" s="1" t="s">
        <v>7857</v>
      </c>
      <c r="Z4475" s="1" t="s">
        <v>37</v>
      </c>
    </row>
    <row r="4476" hidden="1">
      <c r="A4476" s="1" t="s">
        <v>12674</v>
      </c>
      <c r="B4476" s="1" t="s">
        <v>12675</v>
      </c>
      <c r="C4476" s="1" t="s">
        <v>12676</v>
      </c>
      <c r="D4476" s="1" t="s">
        <v>27</v>
      </c>
      <c r="E4476" s="1" t="s">
        <v>28</v>
      </c>
      <c r="F4476" s="2">
        <v>126000.0</v>
      </c>
      <c r="G4476" s="1" t="s">
        <v>418</v>
      </c>
      <c r="H4476" s="4">
        <f>IFERROR(__xludf.DUMMYFUNCTION("DATE(INDEX(SPLIT(G4476,""/""),,3),INDEX(SPLIT(G4476,""/""),,2),INDEX(SPLIT(G4476,""/""),,1))"),44755.0)</f>
        <v>44755</v>
      </c>
      <c r="I4476" s="1" t="s">
        <v>360</v>
      </c>
      <c r="J4476" s="4">
        <f>IFERROR(__xludf.DUMMYFUNCTION("DATE(INDEX(SPLIT(I4476,""/""),,3),INDEX(SPLIT(I4476,""/""),,2),INDEX(SPLIT(I4476,""/""),,1))"),44895.0)</f>
        <v>44895</v>
      </c>
      <c r="L4476" s="1">
        <v>0.0</v>
      </c>
      <c r="M4476" s="1" t="s">
        <v>4735</v>
      </c>
      <c r="N4476" s="1"/>
      <c r="O4476" s="1" t="s">
        <v>30</v>
      </c>
      <c r="P4476" s="1" t="s">
        <v>31</v>
      </c>
      <c r="Q4476" s="1" t="s">
        <v>71</v>
      </c>
      <c r="R4476" s="1" t="s">
        <v>71</v>
      </c>
      <c r="S4476" s="1" t="s">
        <v>72</v>
      </c>
      <c r="T4476" s="1" t="s">
        <v>136</v>
      </c>
      <c r="U4476" s="1">
        <v>1.00609615E8</v>
      </c>
      <c r="X4476" s="1" t="s">
        <v>74</v>
      </c>
      <c r="Y4476" s="1" t="s">
        <v>2593</v>
      </c>
      <c r="Z4476" s="1" t="s">
        <v>206</v>
      </c>
    </row>
    <row r="4477">
      <c r="A4477" s="1" t="s">
        <v>12677</v>
      </c>
      <c r="B4477" s="1" t="s">
        <v>3144</v>
      </c>
      <c r="C4477" s="1" t="s">
        <v>12678</v>
      </c>
      <c r="D4477" s="1" t="s">
        <v>122</v>
      </c>
      <c r="E4477" s="1" t="s">
        <v>28</v>
      </c>
      <c r="F4477" s="2">
        <v>125401.28</v>
      </c>
      <c r="G4477" s="1" t="s">
        <v>2101</v>
      </c>
      <c r="H4477" s="4">
        <f>IFERROR(__xludf.DUMMYFUNCTION("DATE(INDEX(SPLIT(G4477,""/""),,3),INDEX(SPLIT(G4477,""/""),,2),INDEX(SPLIT(G4477,""/""),,1))"),44579.0)</f>
        <v>44579</v>
      </c>
      <c r="I4477" s="1" t="s">
        <v>1244</v>
      </c>
      <c r="J4477" s="4">
        <f>IFERROR(__xludf.DUMMYFUNCTION("DATE(INDEX(SPLIT(I4477,""/""),,3),INDEX(SPLIT(I4477,""/""),,2),INDEX(SPLIT(I4477,""/""),,1))"),44742.0)</f>
        <v>44742</v>
      </c>
      <c r="K4477" s="1" t="s">
        <v>12679</v>
      </c>
      <c r="L4477" s="1">
        <v>0.0</v>
      </c>
      <c r="M4477" s="1" t="s">
        <v>3146</v>
      </c>
      <c r="N4477" s="1"/>
      <c r="O4477" s="1" t="s">
        <v>30</v>
      </c>
      <c r="P4477" s="1" t="s">
        <v>31</v>
      </c>
      <c r="Q4477" s="1" t="s">
        <v>1320</v>
      </c>
      <c r="R4477" s="1" t="s">
        <v>1320</v>
      </c>
      <c r="S4477" s="1" t="s">
        <v>236</v>
      </c>
      <c r="U4477" s="1">
        <v>1.00614269E8</v>
      </c>
      <c r="X4477" s="1" t="s">
        <v>98</v>
      </c>
      <c r="Y4477" s="1" t="s">
        <v>11175</v>
      </c>
      <c r="Z4477" s="1" t="s">
        <v>37</v>
      </c>
    </row>
    <row r="4478" hidden="1">
      <c r="A4478" s="1" t="s">
        <v>12680</v>
      </c>
      <c r="B4478" s="1" t="s">
        <v>7157</v>
      </c>
      <c r="C4478" s="1" t="s">
        <v>12681</v>
      </c>
      <c r="D4478" s="1" t="s">
        <v>122</v>
      </c>
      <c r="E4478" s="1" t="s">
        <v>28</v>
      </c>
      <c r="F4478" s="2">
        <v>125000.0</v>
      </c>
      <c r="G4478" s="1" t="s">
        <v>1058</v>
      </c>
      <c r="H4478" s="4">
        <f>IFERROR(__xludf.DUMMYFUNCTION("DATE(INDEX(SPLIT(G4478,""/""),,3),INDEX(SPLIT(G4478,""/""),,2),INDEX(SPLIT(G4478,""/""),,1))"),44733.0)</f>
        <v>44733</v>
      </c>
      <c r="I4478" s="4">
        <v>44569.0</v>
      </c>
      <c r="J4478" s="4">
        <f>IFERROR(__xludf.DUMMYFUNCTION("DATE(INDEX(SPLIT(I4478,""/""),,3),INDEX(SPLIT(I4478,""/""),,2),INDEX(SPLIT(I4478,""/""),,1))"),44774.0)</f>
        <v>44774</v>
      </c>
      <c r="L4478" s="1">
        <v>0.0</v>
      </c>
      <c r="M4478" s="1" t="s">
        <v>5120</v>
      </c>
      <c r="N4478" s="1"/>
      <c r="O4478" s="1" t="s">
        <v>30</v>
      </c>
      <c r="P4478" s="1" t="s">
        <v>31</v>
      </c>
      <c r="Q4478" s="1" t="s">
        <v>71</v>
      </c>
      <c r="R4478" s="1" t="s">
        <v>71</v>
      </c>
      <c r="S4478" s="1" t="s">
        <v>72</v>
      </c>
      <c r="T4478" s="1" t="s">
        <v>136</v>
      </c>
      <c r="U4478" s="1">
        <v>1.0059101E8</v>
      </c>
      <c r="Y4478" s="1" t="s">
        <v>12682</v>
      </c>
      <c r="Z4478" s="1" t="s">
        <v>37</v>
      </c>
    </row>
    <row r="4479" hidden="1">
      <c r="A4479" s="1" t="s">
        <v>12683</v>
      </c>
      <c r="B4479" s="1" t="s">
        <v>12684</v>
      </c>
      <c r="C4479" s="1" t="s">
        <v>12685</v>
      </c>
      <c r="D4479" s="1" t="s">
        <v>27</v>
      </c>
      <c r="E4479" s="1" t="s">
        <v>28</v>
      </c>
      <c r="F4479" s="2">
        <v>125000.0</v>
      </c>
      <c r="G4479" s="1" t="s">
        <v>1259</v>
      </c>
      <c r="H4479" s="4">
        <f>IFERROR(__xludf.DUMMYFUNCTION("DATE(INDEX(SPLIT(G4479,""/""),,3),INDEX(SPLIT(G4479,""/""),,2),INDEX(SPLIT(G4479,""/""),,1))"),44763.0)</f>
        <v>44763</v>
      </c>
      <c r="I4479" s="1" t="s">
        <v>134</v>
      </c>
      <c r="J4479" s="4">
        <f>IFERROR(__xludf.DUMMYFUNCTION("DATE(INDEX(SPLIT(I4479,""/""),,3),INDEX(SPLIT(I4479,""/""),,2),INDEX(SPLIT(I4479,""/""),,1))"),44792.0)</f>
        <v>44792</v>
      </c>
      <c r="L4479" s="1">
        <v>0.0</v>
      </c>
      <c r="M4479" s="1" t="s">
        <v>1840</v>
      </c>
      <c r="N4479" s="1"/>
      <c r="O4479" s="1" t="s">
        <v>30</v>
      </c>
      <c r="P4479" s="1" t="s">
        <v>31</v>
      </c>
      <c r="Q4479" s="1" t="s">
        <v>71</v>
      </c>
      <c r="R4479" s="1" t="s">
        <v>71</v>
      </c>
      <c r="S4479" s="1" t="s">
        <v>72</v>
      </c>
      <c r="U4479" s="1">
        <v>1.00617113E8</v>
      </c>
      <c r="X4479" s="1" t="s">
        <v>490</v>
      </c>
      <c r="Y4479" s="1" t="s">
        <v>1840</v>
      </c>
      <c r="Z4479" s="1" t="s">
        <v>37</v>
      </c>
    </row>
    <row r="4480">
      <c r="A4480" s="1" t="s">
        <v>12686</v>
      </c>
      <c r="B4480" s="1" t="s">
        <v>12687</v>
      </c>
      <c r="C4480" s="1" t="s">
        <v>12688</v>
      </c>
      <c r="D4480" s="1" t="s">
        <v>27</v>
      </c>
      <c r="E4480" s="1" t="s">
        <v>28</v>
      </c>
      <c r="F4480" s="2">
        <v>125000.0</v>
      </c>
      <c r="G4480" s="4">
        <v>44625.0</v>
      </c>
      <c r="H4480" s="4">
        <f>IFERROR(__xludf.DUMMYFUNCTION("DATE(INDEX(SPLIT(G4480,""/""),,3),INDEX(SPLIT(G4480,""/""),,2),INDEX(SPLIT(G4480,""/""),,1))"),44684.0)</f>
        <v>44684</v>
      </c>
      <c r="I4480" s="1" t="s">
        <v>226</v>
      </c>
      <c r="J4480" s="4">
        <f>IFERROR(__xludf.DUMMYFUNCTION("DATE(INDEX(SPLIT(I4480,""/""),,3),INDEX(SPLIT(I4480,""/""),,2),INDEX(SPLIT(I4480,""/""),,1))"),44771.0)</f>
        <v>44771</v>
      </c>
      <c r="L4480" s="1">
        <v>0.0</v>
      </c>
      <c r="M4480" s="1" t="s">
        <v>1088</v>
      </c>
      <c r="N4480" s="1"/>
      <c r="O4480" s="1" t="s">
        <v>30</v>
      </c>
      <c r="P4480" s="1" t="s">
        <v>31</v>
      </c>
      <c r="Q4480" s="1" t="s">
        <v>71</v>
      </c>
      <c r="R4480" s="1" t="s">
        <v>71</v>
      </c>
      <c r="S4480" s="1" t="s">
        <v>72</v>
      </c>
      <c r="T4480" s="1" t="s">
        <v>442</v>
      </c>
      <c r="U4480" s="1">
        <v>1.0090037E8</v>
      </c>
      <c r="X4480" s="1" t="s">
        <v>74</v>
      </c>
      <c r="Y4480" s="1" t="s">
        <v>1088</v>
      </c>
      <c r="Z4480" s="1" t="s">
        <v>37</v>
      </c>
    </row>
    <row r="4481">
      <c r="A4481" s="1" t="s">
        <v>12689</v>
      </c>
      <c r="B4481" s="1" t="s">
        <v>12690</v>
      </c>
      <c r="C4481" s="1" t="s">
        <v>12691</v>
      </c>
      <c r="D4481" s="1" t="s">
        <v>78</v>
      </c>
      <c r="E4481" s="1" t="s">
        <v>28</v>
      </c>
      <c r="F4481" s="2">
        <v>125000.0</v>
      </c>
      <c r="G4481" s="1" t="s">
        <v>3178</v>
      </c>
      <c r="H4481" s="4">
        <f>IFERROR(__xludf.DUMMYFUNCTION("DATE(INDEX(SPLIT(G4481,""/""),,3),INDEX(SPLIT(G4481,""/""),,2),INDEX(SPLIT(G4481,""/""),,1))"),44644.0)</f>
        <v>44644</v>
      </c>
      <c r="I4481" s="1" t="s">
        <v>2300</v>
      </c>
      <c r="J4481" s="4">
        <f>IFERROR(__xludf.DUMMYFUNCTION("DATE(INDEX(SPLIT(I4481,""/""),,3),INDEX(SPLIT(I4481,""/""),,2),INDEX(SPLIT(I4481,""/""),,1))"),44712.0)</f>
        <v>44712</v>
      </c>
      <c r="L4481" s="1">
        <v>0.0</v>
      </c>
      <c r="M4481" s="1" t="s">
        <v>6045</v>
      </c>
      <c r="N4481" s="1"/>
      <c r="O4481" s="1" t="s">
        <v>30</v>
      </c>
      <c r="P4481" s="1" t="s">
        <v>31</v>
      </c>
      <c r="Q4481" s="1" t="s">
        <v>228</v>
      </c>
      <c r="R4481" s="1" t="s">
        <v>228</v>
      </c>
      <c r="S4481" s="1" t="s">
        <v>229</v>
      </c>
      <c r="T4481" s="1" t="s">
        <v>513</v>
      </c>
      <c r="U4481" s="1">
        <v>1.00652479E8</v>
      </c>
      <c r="X4481" s="1" t="s">
        <v>2769</v>
      </c>
      <c r="Y4481" s="1" t="s">
        <v>12692</v>
      </c>
      <c r="Z4481" s="1" t="s">
        <v>37</v>
      </c>
    </row>
    <row r="4482">
      <c r="A4482" s="1" t="s">
        <v>12693</v>
      </c>
      <c r="B4482" s="1" t="s">
        <v>650</v>
      </c>
      <c r="C4482" s="1" t="s">
        <v>12694</v>
      </c>
      <c r="D4482" s="1" t="s">
        <v>27</v>
      </c>
      <c r="E4482" s="1" t="s">
        <v>28</v>
      </c>
      <c r="F4482" s="2">
        <v>125000.0</v>
      </c>
      <c r="G4482" s="1" t="s">
        <v>6301</v>
      </c>
      <c r="H4482" s="4">
        <f>IFERROR(__xludf.DUMMYFUNCTION("DATE(INDEX(SPLIT(G4482,""/""),,3),INDEX(SPLIT(G4482,""/""),,2),INDEX(SPLIT(G4482,""/""),,1))"),44635.0)</f>
        <v>44635</v>
      </c>
      <c r="I4482" s="1" t="s">
        <v>1501</v>
      </c>
      <c r="J4482" s="4">
        <f>IFERROR(__xludf.DUMMYFUNCTION("DATE(INDEX(SPLIT(I4482,""/""),,3),INDEX(SPLIT(I4482,""/""),,2),INDEX(SPLIT(I4482,""/""),,1))"),44711.0)</f>
        <v>44711</v>
      </c>
      <c r="L4482" s="1">
        <v>0.0</v>
      </c>
      <c r="M4482" s="1" t="s">
        <v>1573</v>
      </c>
      <c r="N4482" s="1"/>
      <c r="O4482" s="1" t="s">
        <v>30</v>
      </c>
      <c r="P4482" s="1" t="s">
        <v>31</v>
      </c>
      <c r="Q4482" s="1" t="s">
        <v>95</v>
      </c>
      <c r="R4482" s="1" t="s">
        <v>95</v>
      </c>
      <c r="S4482" s="1" t="s">
        <v>96</v>
      </c>
      <c r="T4482" s="1" t="s">
        <v>1386</v>
      </c>
      <c r="U4482" s="1">
        <v>1.00595231E8</v>
      </c>
      <c r="X4482" s="1" t="s">
        <v>63</v>
      </c>
      <c r="Y4482" s="1" t="s">
        <v>3689</v>
      </c>
      <c r="Z4482" s="1" t="s">
        <v>37</v>
      </c>
    </row>
    <row r="4483">
      <c r="A4483" s="1" t="s">
        <v>12695</v>
      </c>
      <c r="B4483" s="1" t="s">
        <v>5851</v>
      </c>
      <c r="C4483" s="1" t="s">
        <v>12696</v>
      </c>
      <c r="D4483" s="1" t="s">
        <v>78</v>
      </c>
      <c r="E4483" s="1" t="s">
        <v>28</v>
      </c>
      <c r="F4483" s="2">
        <v>125000.0</v>
      </c>
      <c r="G4483" s="4">
        <v>44713.0</v>
      </c>
      <c r="H4483" s="4">
        <f>IFERROR(__xludf.DUMMYFUNCTION("DATE(INDEX(SPLIT(G4483,""/""),,3),INDEX(SPLIT(G4483,""/""),,2),INDEX(SPLIT(G4483,""/""),,1))"),44567.0)</f>
        <v>44567</v>
      </c>
      <c r="I4483" s="1" t="s">
        <v>226</v>
      </c>
      <c r="J4483" s="4">
        <f>IFERROR(__xludf.DUMMYFUNCTION("DATE(INDEX(SPLIT(I4483,""/""),,3),INDEX(SPLIT(I4483,""/""),,2),INDEX(SPLIT(I4483,""/""),,1))"),44771.0)</f>
        <v>44771</v>
      </c>
      <c r="L4483" s="1">
        <v>0.0</v>
      </c>
      <c r="M4483" s="1" t="s">
        <v>1723</v>
      </c>
      <c r="N4483" s="1"/>
      <c r="O4483" s="1" t="s">
        <v>30</v>
      </c>
      <c r="P4483" s="1" t="s">
        <v>31</v>
      </c>
      <c r="Q4483" s="1" t="s">
        <v>157</v>
      </c>
      <c r="R4483" s="1" t="s">
        <v>157</v>
      </c>
      <c r="S4483" s="1" t="s">
        <v>158</v>
      </c>
      <c r="T4483" s="1" t="s">
        <v>159</v>
      </c>
      <c r="U4483" s="1">
        <v>1.00654085E8</v>
      </c>
      <c r="X4483" s="1" t="s">
        <v>74</v>
      </c>
      <c r="Y4483" s="1" t="s">
        <v>4761</v>
      </c>
      <c r="Z4483" s="1" t="s">
        <v>37</v>
      </c>
    </row>
    <row r="4484">
      <c r="A4484" s="1" t="s">
        <v>12697</v>
      </c>
      <c r="B4484" s="1" t="s">
        <v>12698</v>
      </c>
      <c r="C4484" s="1" t="s">
        <v>12699</v>
      </c>
      <c r="D4484" s="1" t="s">
        <v>122</v>
      </c>
      <c r="E4484" s="1" t="s">
        <v>28</v>
      </c>
      <c r="F4484" s="2">
        <v>125000.0</v>
      </c>
      <c r="G4484" s="1" t="s">
        <v>3142</v>
      </c>
      <c r="H4484" s="4">
        <f>IFERROR(__xludf.DUMMYFUNCTION("DATE(INDEX(SPLIT(G4484,""/""),,3),INDEX(SPLIT(G4484,""/""),,2),INDEX(SPLIT(G4484,""/""),,1))"),44611.0)</f>
        <v>44611</v>
      </c>
      <c r="I4484" s="1" t="s">
        <v>1244</v>
      </c>
      <c r="J4484" s="4">
        <f>IFERROR(__xludf.DUMMYFUNCTION("DATE(INDEX(SPLIT(I4484,""/""),,3),INDEX(SPLIT(I4484,""/""),,2),INDEX(SPLIT(I4484,""/""),,1))"),44742.0)</f>
        <v>44742</v>
      </c>
      <c r="L4484" s="1">
        <v>0.0</v>
      </c>
      <c r="M4484" s="1" t="s">
        <v>10627</v>
      </c>
      <c r="N4484" s="1"/>
      <c r="O4484" s="1" t="s">
        <v>30</v>
      </c>
      <c r="P4484" s="1" t="s">
        <v>31</v>
      </c>
      <c r="Q4484" s="1" t="s">
        <v>228</v>
      </c>
      <c r="R4484" s="1" t="s">
        <v>228</v>
      </c>
      <c r="S4484" s="1" t="s">
        <v>229</v>
      </c>
      <c r="T4484" s="1" t="s">
        <v>513</v>
      </c>
      <c r="U4484" s="1">
        <v>1.00614969E8</v>
      </c>
      <c r="X4484" s="1" t="s">
        <v>63</v>
      </c>
      <c r="Y4484" s="1" t="s">
        <v>12700</v>
      </c>
      <c r="Z4484" s="1" t="s">
        <v>37</v>
      </c>
    </row>
    <row r="4485" hidden="1">
      <c r="A4485" s="1" t="s">
        <v>12701</v>
      </c>
      <c r="B4485" s="1" t="s">
        <v>4361</v>
      </c>
      <c r="C4485" s="1" t="s">
        <v>12702</v>
      </c>
      <c r="D4485" s="1" t="s">
        <v>27</v>
      </c>
      <c r="E4485" s="1" t="s">
        <v>28</v>
      </c>
      <c r="F4485" s="2">
        <v>125000.0</v>
      </c>
      <c r="G4485" s="1" t="s">
        <v>1467</v>
      </c>
      <c r="H4485" s="4">
        <f>IFERROR(__xludf.DUMMYFUNCTION("DATE(INDEX(SPLIT(G4485,""/""),,3),INDEX(SPLIT(G4485,""/""),,2),INDEX(SPLIT(G4485,""/""),,1))"),44396.0)</f>
        <v>44396</v>
      </c>
      <c r="I4485" s="1" t="s">
        <v>2380</v>
      </c>
      <c r="J4485" s="4">
        <f>IFERROR(__xludf.DUMMYFUNCTION("DATE(INDEX(SPLIT(I4485,""/""),,3),INDEX(SPLIT(I4485,""/""),,2),INDEX(SPLIT(I4485,""/""),,1))"),45291.0)</f>
        <v>45291</v>
      </c>
      <c r="L4485" s="1">
        <v>0.0</v>
      </c>
      <c r="M4485" s="1" t="s">
        <v>9922</v>
      </c>
      <c r="N4485" s="1"/>
      <c r="O4485" s="1" t="s">
        <v>30</v>
      </c>
      <c r="P4485" s="1" t="s">
        <v>31</v>
      </c>
      <c r="Q4485" s="1" t="s">
        <v>228</v>
      </c>
      <c r="R4485" s="1" t="s">
        <v>228</v>
      </c>
      <c r="S4485" s="1" t="s">
        <v>229</v>
      </c>
      <c r="T4485" s="1" t="s">
        <v>513</v>
      </c>
      <c r="U4485" s="1">
        <v>1.00609628E8</v>
      </c>
      <c r="X4485" s="1" t="s">
        <v>63</v>
      </c>
      <c r="Y4485" s="1" t="s">
        <v>12703</v>
      </c>
      <c r="Z4485" s="1" t="s">
        <v>37</v>
      </c>
    </row>
    <row r="4486">
      <c r="A4486" s="1" t="s">
        <v>12704</v>
      </c>
      <c r="B4486" s="1" t="s">
        <v>3489</v>
      </c>
      <c r="C4486" s="1" t="s">
        <v>12705</v>
      </c>
      <c r="D4486" s="1" t="s">
        <v>122</v>
      </c>
      <c r="E4486" s="1" t="s">
        <v>28</v>
      </c>
      <c r="F4486" s="2">
        <v>125000.0</v>
      </c>
      <c r="G4486" s="1" t="s">
        <v>2455</v>
      </c>
      <c r="H4486" s="4">
        <f>IFERROR(__xludf.DUMMYFUNCTION("DATE(INDEX(SPLIT(G4486,""/""),,3),INDEX(SPLIT(G4486,""/""),,2),INDEX(SPLIT(G4486,""/""),,1))"),44606.0)</f>
        <v>44606</v>
      </c>
      <c r="I4486" s="1" t="s">
        <v>518</v>
      </c>
      <c r="J4486" s="4">
        <f>IFERROR(__xludf.DUMMYFUNCTION("DATE(INDEX(SPLIT(I4486,""/""),,3),INDEX(SPLIT(I4486,""/""),,2),INDEX(SPLIT(I4486,""/""),,1))"),44757.0)</f>
        <v>44757</v>
      </c>
      <c r="L4486" s="1">
        <v>0.0</v>
      </c>
      <c r="M4486" s="1" t="s">
        <v>1200</v>
      </c>
      <c r="N4486" s="1"/>
      <c r="O4486" s="1" t="s">
        <v>30</v>
      </c>
      <c r="P4486" s="1" t="s">
        <v>31</v>
      </c>
      <c r="Q4486" s="1" t="s">
        <v>235</v>
      </c>
      <c r="R4486" s="1" t="s">
        <v>235</v>
      </c>
      <c r="S4486" s="1" t="s">
        <v>236</v>
      </c>
      <c r="T4486" s="1" t="s">
        <v>438</v>
      </c>
      <c r="U4486" s="1">
        <v>1.00586959E8</v>
      </c>
      <c r="X4486" s="1" t="s">
        <v>88</v>
      </c>
      <c r="Y4486" s="1" t="s">
        <v>979</v>
      </c>
      <c r="Z4486" s="1" t="s">
        <v>37</v>
      </c>
    </row>
    <row r="4487" hidden="1">
      <c r="A4487" s="1" t="s">
        <v>12706</v>
      </c>
      <c r="B4487" s="1" t="s">
        <v>10055</v>
      </c>
      <c r="C4487" s="1" t="s">
        <v>12707</v>
      </c>
      <c r="D4487" s="1" t="s">
        <v>122</v>
      </c>
      <c r="E4487" s="1" t="s">
        <v>28</v>
      </c>
      <c r="F4487" s="2">
        <v>125000.0</v>
      </c>
      <c r="G4487" s="1" t="s">
        <v>418</v>
      </c>
      <c r="H4487" s="4">
        <f>IFERROR(__xludf.DUMMYFUNCTION("DATE(INDEX(SPLIT(G4487,""/""),,3),INDEX(SPLIT(G4487,""/""),,2),INDEX(SPLIT(G4487,""/""),,1))"),44755.0)</f>
        <v>44755</v>
      </c>
      <c r="I4487" s="1" t="s">
        <v>42</v>
      </c>
      <c r="J4487" s="4">
        <f>IFERROR(__xludf.DUMMYFUNCTION("DATE(INDEX(SPLIT(I4487,""/""),,3),INDEX(SPLIT(I4487,""/""),,2),INDEX(SPLIT(I4487,""/""),,1))"),44926.0)</f>
        <v>44926</v>
      </c>
      <c r="L4487" s="1">
        <v>0.0</v>
      </c>
      <c r="M4487" s="1" t="s">
        <v>7088</v>
      </c>
      <c r="N4487" s="1"/>
      <c r="O4487" s="1" t="s">
        <v>30</v>
      </c>
      <c r="P4487" s="1" t="s">
        <v>31</v>
      </c>
      <c r="Q4487" s="1" t="s">
        <v>228</v>
      </c>
      <c r="R4487" s="1" t="s">
        <v>228</v>
      </c>
      <c r="S4487" s="1" t="s">
        <v>229</v>
      </c>
      <c r="T4487" s="1" t="s">
        <v>513</v>
      </c>
      <c r="U4487" s="1">
        <v>1.00597339E8</v>
      </c>
      <c r="X4487" s="1" t="s">
        <v>117</v>
      </c>
      <c r="Y4487" s="1" t="s">
        <v>12708</v>
      </c>
      <c r="Z4487" s="1" t="s">
        <v>37</v>
      </c>
    </row>
    <row r="4488">
      <c r="A4488" s="1" t="s">
        <v>12709</v>
      </c>
      <c r="B4488" s="1" t="s">
        <v>2261</v>
      </c>
      <c r="C4488" s="1" t="s">
        <v>12710</v>
      </c>
      <c r="D4488" s="1" t="s">
        <v>122</v>
      </c>
      <c r="E4488" s="1" t="s">
        <v>28</v>
      </c>
      <c r="F4488" s="2">
        <v>125000.0</v>
      </c>
      <c r="G4488" s="1" t="s">
        <v>1058</v>
      </c>
      <c r="H4488" s="4">
        <f>IFERROR(__xludf.DUMMYFUNCTION("DATE(INDEX(SPLIT(G4488,""/""),,3),INDEX(SPLIT(G4488,""/""),,2),INDEX(SPLIT(G4488,""/""),,1))"),44733.0)</f>
        <v>44733</v>
      </c>
      <c r="I4488" s="1" t="s">
        <v>226</v>
      </c>
      <c r="J4488" s="4">
        <f>IFERROR(__xludf.DUMMYFUNCTION("DATE(INDEX(SPLIT(I4488,""/""),,3),INDEX(SPLIT(I4488,""/""),,2),INDEX(SPLIT(I4488,""/""),,1))"),44771.0)</f>
        <v>44771</v>
      </c>
      <c r="L4488" s="1">
        <v>0.0</v>
      </c>
      <c r="M4488" s="1" t="s">
        <v>1239</v>
      </c>
      <c r="N4488" s="1"/>
      <c r="O4488" s="1" t="s">
        <v>30</v>
      </c>
      <c r="P4488" s="1" t="s">
        <v>31</v>
      </c>
      <c r="Q4488" s="1" t="s">
        <v>71</v>
      </c>
      <c r="R4488" s="1" t="s">
        <v>71</v>
      </c>
      <c r="S4488" s="1" t="s">
        <v>72</v>
      </c>
      <c r="T4488" s="1" t="s">
        <v>136</v>
      </c>
      <c r="U4488" s="1">
        <v>1.00943277E8</v>
      </c>
      <c r="X4488" s="1" t="s">
        <v>74</v>
      </c>
      <c r="Y4488" s="1" t="s">
        <v>1239</v>
      </c>
      <c r="Z4488" s="1" t="s">
        <v>37</v>
      </c>
    </row>
    <row r="4489">
      <c r="A4489" s="1" t="s">
        <v>12711</v>
      </c>
      <c r="B4489" s="1" t="s">
        <v>76</v>
      </c>
      <c r="C4489" s="1" t="s">
        <v>12712</v>
      </c>
      <c r="D4489" s="1" t="s">
        <v>27</v>
      </c>
      <c r="E4489" s="1" t="s">
        <v>28</v>
      </c>
      <c r="F4489" s="2">
        <v>125000.0</v>
      </c>
      <c r="G4489" s="4">
        <v>44654.0</v>
      </c>
      <c r="H4489" s="4">
        <f>IFERROR(__xludf.DUMMYFUNCTION("DATE(INDEX(SPLIT(G4489,""/""),,3),INDEX(SPLIT(G4489,""/""),,2),INDEX(SPLIT(G4489,""/""),,1))"),44624.0)</f>
        <v>44624</v>
      </c>
      <c r="I4489" s="1" t="s">
        <v>2300</v>
      </c>
      <c r="J4489" s="4">
        <f>IFERROR(__xludf.DUMMYFUNCTION("DATE(INDEX(SPLIT(I4489,""/""),,3),INDEX(SPLIT(I4489,""/""),,2),INDEX(SPLIT(I4489,""/""),,1))"),44712.0)</f>
        <v>44712</v>
      </c>
      <c r="L4489" s="1">
        <v>0.0</v>
      </c>
      <c r="M4489" s="1" t="s">
        <v>1422</v>
      </c>
      <c r="N4489" s="1"/>
      <c r="O4489" s="1" t="s">
        <v>30</v>
      </c>
      <c r="P4489" s="1" t="s">
        <v>31</v>
      </c>
      <c r="Q4489" s="1" t="s">
        <v>157</v>
      </c>
      <c r="R4489" s="1" t="s">
        <v>157</v>
      </c>
      <c r="S4489" s="1" t="s">
        <v>158</v>
      </c>
      <c r="U4489" s="1">
        <v>1.00869794E8</v>
      </c>
      <c r="X4489" s="1" t="s">
        <v>81</v>
      </c>
      <c r="Y4489" s="1" t="s">
        <v>142</v>
      </c>
      <c r="Z4489" s="1" t="s">
        <v>37</v>
      </c>
    </row>
    <row r="4490" hidden="1">
      <c r="A4490" s="1" t="s">
        <v>12713</v>
      </c>
      <c r="B4490" s="1" t="s">
        <v>12714</v>
      </c>
      <c r="C4490" s="1" t="s">
        <v>12715</v>
      </c>
      <c r="D4490" s="1" t="s">
        <v>78</v>
      </c>
      <c r="E4490" s="1" t="s">
        <v>28</v>
      </c>
      <c r="F4490" s="2">
        <v>125000.0</v>
      </c>
      <c r="G4490" s="1" t="s">
        <v>12716</v>
      </c>
      <c r="H4490" s="4">
        <f>IFERROR(__xludf.DUMMYFUNCTION("DATE(INDEX(SPLIT(G4490,""/""),,3),INDEX(SPLIT(G4490,""/""),,2),INDEX(SPLIT(G4490,""/""),,1))"),44342.0)</f>
        <v>44342</v>
      </c>
      <c r="I4490" s="4">
        <v>44569.0</v>
      </c>
      <c r="J4490" s="4">
        <f>IFERROR(__xludf.DUMMYFUNCTION("DATE(INDEX(SPLIT(I4490,""/""),,3),INDEX(SPLIT(I4490,""/""),,2),INDEX(SPLIT(I4490,""/""),,1))"),44774.0)</f>
        <v>44774</v>
      </c>
      <c r="L4490" s="1">
        <v>0.0</v>
      </c>
      <c r="M4490" s="1" t="s">
        <v>3133</v>
      </c>
      <c r="N4490" s="1"/>
      <c r="O4490" s="1" t="s">
        <v>30</v>
      </c>
      <c r="P4490" s="1" t="s">
        <v>31</v>
      </c>
      <c r="Q4490" s="1" t="s">
        <v>228</v>
      </c>
      <c r="R4490" s="1" t="s">
        <v>228</v>
      </c>
      <c r="S4490" s="1" t="s">
        <v>229</v>
      </c>
      <c r="T4490" s="1" t="s">
        <v>513</v>
      </c>
      <c r="U4490" s="1">
        <v>1.00611158E8</v>
      </c>
      <c r="X4490" s="1" t="s">
        <v>2028</v>
      </c>
      <c r="Y4490" s="1" t="s">
        <v>11181</v>
      </c>
      <c r="Z4490" s="1" t="s">
        <v>37</v>
      </c>
    </row>
    <row r="4491" hidden="1">
      <c r="A4491" s="1" t="s">
        <v>12717</v>
      </c>
      <c r="B4491" s="1" t="s">
        <v>12718</v>
      </c>
      <c r="C4491" s="1" t="s">
        <v>12719</v>
      </c>
      <c r="D4491" s="1" t="s">
        <v>27</v>
      </c>
      <c r="E4491" s="1" t="s">
        <v>28</v>
      </c>
      <c r="F4491" s="2">
        <v>125000.0</v>
      </c>
      <c r="G4491" s="4">
        <v>44714.0</v>
      </c>
      <c r="H4491" s="4">
        <f>IFERROR(__xludf.DUMMYFUNCTION("DATE(INDEX(SPLIT(G4491,""/""),,3),INDEX(SPLIT(G4491,""/""),,2),INDEX(SPLIT(G4491,""/""),,1))"),44598.0)</f>
        <v>44598</v>
      </c>
      <c r="I4491" s="1" t="s">
        <v>42</v>
      </c>
      <c r="J4491" s="4">
        <f>IFERROR(__xludf.DUMMYFUNCTION("DATE(INDEX(SPLIT(I4491,""/""),,3),INDEX(SPLIT(I4491,""/""),,2),INDEX(SPLIT(I4491,""/""),,1))"),44926.0)</f>
        <v>44926</v>
      </c>
      <c r="L4491" s="1">
        <v>0.0</v>
      </c>
      <c r="M4491" s="1" t="s">
        <v>2614</v>
      </c>
      <c r="N4491" s="1"/>
      <c r="O4491" s="1" t="s">
        <v>30</v>
      </c>
      <c r="P4491" s="1" t="s">
        <v>31</v>
      </c>
      <c r="Q4491" s="1" t="s">
        <v>53</v>
      </c>
      <c r="R4491" s="1" t="s">
        <v>53</v>
      </c>
      <c r="S4491" s="1" t="s">
        <v>54</v>
      </c>
      <c r="T4491" s="1" t="s">
        <v>197</v>
      </c>
      <c r="U4491" s="1">
        <v>1.00592932E8</v>
      </c>
      <c r="X4491" s="1" t="s">
        <v>254</v>
      </c>
      <c r="Y4491" s="1" t="s">
        <v>12720</v>
      </c>
      <c r="Z4491" s="1" t="s">
        <v>37</v>
      </c>
    </row>
    <row r="4492" hidden="1">
      <c r="A4492" s="1" t="s">
        <v>12721</v>
      </c>
      <c r="B4492" s="1" t="s">
        <v>12722</v>
      </c>
      <c r="C4492" s="1" t="s">
        <v>12723</v>
      </c>
      <c r="D4492" s="1" t="s">
        <v>27</v>
      </c>
      <c r="E4492" s="1" t="s">
        <v>28</v>
      </c>
      <c r="F4492" s="2">
        <v>125000.0</v>
      </c>
      <c r="G4492" s="4">
        <v>44902.0</v>
      </c>
      <c r="H4492" s="4">
        <f>IFERROR(__xludf.DUMMYFUNCTION("DATE(INDEX(SPLIT(G4492,""/""),,3),INDEX(SPLIT(G4492,""/""),,2),INDEX(SPLIT(G4492,""/""),,1))"),44754.0)</f>
        <v>44754</v>
      </c>
      <c r="I4492" s="4">
        <v>44903.0</v>
      </c>
      <c r="J4492" s="4">
        <f>IFERROR(__xludf.DUMMYFUNCTION("DATE(INDEX(SPLIT(I4492,""/""),,3),INDEX(SPLIT(I4492,""/""),,2),INDEX(SPLIT(I4492,""/""),,1))"),44785.0)</f>
        <v>44785</v>
      </c>
      <c r="L4492" s="1">
        <v>0.0</v>
      </c>
      <c r="M4492" s="1" t="s">
        <v>3985</v>
      </c>
      <c r="N4492" s="1"/>
      <c r="O4492" s="1" t="s">
        <v>30</v>
      </c>
      <c r="P4492" s="1" t="s">
        <v>31</v>
      </c>
      <c r="Q4492" s="1" t="s">
        <v>157</v>
      </c>
      <c r="R4492" s="1" t="s">
        <v>157</v>
      </c>
      <c r="S4492" s="1" t="s">
        <v>158</v>
      </c>
      <c r="U4492" s="1">
        <v>1.00616269E8</v>
      </c>
      <c r="X4492" s="1" t="s">
        <v>254</v>
      </c>
      <c r="Y4492" s="1" t="s">
        <v>7279</v>
      </c>
      <c r="Z4492" s="1" t="s">
        <v>37</v>
      </c>
    </row>
    <row r="4493" hidden="1">
      <c r="A4493" s="1" t="s">
        <v>12724</v>
      </c>
      <c r="B4493" s="1" t="s">
        <v>12725</v>
      </c>
      <c r="C4493" s="1" t="s">
        <v>12726</v>
      </c>
      <c r="D4493" s="1" t="s">
        <v>68</v>
      </c>
      <c r="E4493" s="1" t="s">
        <v>28</v>
      </c>
      <c r="F4493" s="2">
        <v>125000.0</v>
      </c>
      <c r="G4493" s="4">
        <v>44872.0</v>
      </c>
      <c r="H4493" s="4">
        <f>IFERROR(__xludf.DUMMYFUNCTION("DATE(INDEX(SPLIT(G4493,""/""),,3),INDEX(SPLIT(G4493,""/""),,2),INDEX(SPLIT(G4493,""/""),,1))"),44753.0)</f>
        <v>44753</v>
      </c>
      <c r="I4493" s="1" t="s">
        <v>130</v>
      </c>
      <c r="J4493" s="4">
        <f>IFERROR(__xludf.DUMMYFUNCTION("DATE(INDEX(SPLIT(I4493,""/""),,3),INDEX(SPLIT(I4493,""/""),,2),INDEX(SPLIT(I4493,""/""),,1))"),44804.0)</f>
        <v>44804</v>
      </c>
      <c r="L4493" s="1">
        <v>0.0</v>
      </c>
      <c r="M4493" s="1" t="s">
        <v>7088</v>
      </c>
      <c r="N4493" s="1"/>
      <c r="O4493" s="1" t="s">
        <v>30</v>
      </c>
      <c r="P4493" s="1" t="s">
        <v>31</v>
      </c>
      <c r="Q4493" s="1" t="s">
        <v>228</v>
      </c>
      <c r="R4493" s="1" t="s">
        <v>228</v>
      </c>
      <c r="S4493" s="1" t="s">
        <v>229</v>
      </c>
      <c r="T4493" s="1" t="s">
        <v>513</v>
      </c>
      <c r="U4493" s="1">
        <v>1.00597339E8</v>
      </c>
      <c r="X4493" s="1" t="s">
        <v>254</v>
      </c>
      <c r="Y4493" s="1" t="s">
        <v>12727</v>
      </c>
      <c r="Z4493" s="1" t="s">
        <v>37</v>
      </c>
    </row>
    <row r="4494" hidden="1">
      <c r="A4494" s="1" t="s">
        <v>12728</v>
      </c>
      <c r="B4494" s="1" t="s">
        <v>12729</v>
      </c>
      <c r="C4494" s="1" t="s">
        <v>12730</v>
      </c>
      <c r="D4494" s="1" t="s">
        <v>122</v>
      </c>
      <c r="E4494" s="1" t="s">
        <v>28</v>
      </c>
      <c r="F4494" s="2">
        <v>125000.0</v>
      </c>
      <c r="G4494" s="1" t="s">
        <v>2251</v>
      </c>
      <c r="H4494" s="4">
        <f>IFERROR(__xludf.DUMMYFUNCTION("DATE(INDEX(SPLIT(G4494,""/""),,3),INDEX(SPLIT(G4494,""/""),,2),INDEX(SPLIT(G4494,""/""),,1))"),44498.0)</f>
        <v>44498</v>
      </c>
      <c r="I4494" s="4">
        <v>44569.0</v>
      </c>
      <c r="J4494" s="4">
        <f>IFERROR(__xludf.DUMMYFUNCTION("DATE(INDEX(SPLIT(I4494,""/""),,3),INDEX(SPLIT(I4494,""/""),,2),INDEX(SPLIT(I4494,""/""),,1))"),44774.0)</f>
        <v>44774</v>
      </c>
      <c r="L4494" s="1">
        <v>0.0</v>
      </c>
      <c r="M4494" s="1" t="s">
        <v>7088</v>
      </c>
      <c r="N4494" s="1"/>
      <c r="O4494" s="1" t="s">
        <v>30</v>
      </c>
      <c r="P4494" s="1" t="s">
        <v>31</v>
      </c>
      <c r="Q4494" s="1" t="s">
        <v>228</v>
      </c>
      <c r="R4494" s="1" t="s">
        <v>228</v>
      </c>
      <c r="S4494" s="1" t="s">
        <v>229</v>
      </c>
      <c r="T4494" s="1" t="s">
        <v>513</v>
      </c>
      <c r="U4494" s="1">
        <v>1.00597339E8</v>
      </c>
      <c r="X4494" s="1" t="s">
        <v>74</v>
      </c>
      <c r="Y4494" s="1" t="s">
        <v>7088</v>
      </c>
      <c r="Z4494" s="1" t="s">
        <v>37</v>
      </c>
    </row>
    <row r="4495" hidden="1">
      <c r="A4495" s="1" t="s">
        <v>12731</v>
      </c>
      <c r="B4495" s="1" t="s">
        <v>4546</v>
      </c>
      <c r="C4495" s="1" t="s">
        <v>12732</v>
      </c>
      <c r="D4495" s="1" t="s">
        <v>78</v>
      </c>
      <c r="E4495" s="1" t="s">
        <v>28</v>
      </c>
      <c r="F4495" s="2">
        <v>125000.0</v>
      </c>
      <c r="G4495" s="1" t="s">
        <v>4423</v>
      </c>
      <c r="H4495" s="4">
        <f>IFERROR(__xludf.DUMMYFUNCTION("DATE(INDEX(SPLIT(G4495,""/""),,3),INDEX(SPLIT(G4495,""/""),,2),INDEX(SPLIT(G4495,""/""),,1))"),44337.0)</f>
        <v>44337</v>
      </c>
      <c r="I4495" s="1" t="s">
        <v>109</v>
      </c>
      <c r="J4495" s="4">
        <f>IFERROR(__xludf.DUMMYFUNCTION("DATE(INDEX(SPLIT(I4495,""/""),,3),INDEX(SPLIT(I4495,""/""),,2),INDEX(SPLIT(I4495,""/""),,1))"),44834.0)</f>
        <v>44834</v>
      </c>
      <c r="L4495" s="1">
        <v>0.0</v>
      </c>
      <c r="M4495" s="1" t="s">
        <v>11254</v>
      </c>
      <c r="N4495" s="1"/>
      <c r="O4495" s="1" t="s">
        <v>30</v>
      </c>
      <c r="P4495" s="1" t="s">
        <v>31</v>
      </c>
      <c r="Q4495" s="1" t="s">
        <v>228</v>
      </c>
      <c r="R4495" s="1" t="s">
        <v>228</v>
      </c>
      <c r="S4495" s="1" t="s">
        <v>229</v>
      </c>
      <c r="T4495" s="1" t="s">
        <v>513</v>
      </c>
      <c r="U4495" s="1">
        <v>1.00602248E8</v>
      </c>
      <c r="X4495" s="1" t="s">
        <v>98</v>
      </c>
      <c r="Y4495" s="1" t="s">
        <v>12637</v>
      </c>
      <c r="Z4495" s="1" t="s">
        <v>37</v>
      </c>
    </row>
    <row r="4496">
      <c r="A4496" s="1" t="s">
        <v>12733</v>
      </c>
      <c r="B4496" s="1" t="s">
        <v>566</v>
      </c>
      <c r="C4496" s="1" t="s">
        <v>12734</v>
      </c>
      <c r="D4496" s="1" t="s">
        <v>27</v>
      </c>
      <c r="E4496" s="1" t="s">
        <v>28</v>
      </c>
      <c r="F4496" s="2">
        <v>125000.0</v>
      </c>
      <c r="G4496" s="1" t="s">
        <v>3853</v>
      </c>
      <c r="H4496" s="4">
        <f>IFERROR(__xludf.DUMMYFUNCTION("DATE(INDEX(SPLIT(G4496,""/""),,3),INDEX(SPLIT(G4496,""/""),,2),INDEX(SPLIT(G4496,""/""),,1))"),44679.0)</f>
        <v>44679</v>
      </c>
      <c r="I4496" s="4">
        <v>44568.0</v>
      </c>
      <c r="J4496" s="4">
        <f>IFERROR(__xludf.DUMMYFUNCTION("DATE(INDEX(SPLIT(I4496,""/""),,3),INDEX(SPLIT(I4496,""/""),,2),INDEX(SPLIT(I4496,""/""),,1))"),44743.0)</f>
        <v>44743</v>
      </c>
      <c r="L4496" s="1">
        <v>0.0</v>
      </c>
      <c r="M4496" s="1" t="s">
        <v>5974</v>
      </c>
      <c r="N4496" s="1"/>
      <c r="O4496" s="1" t="s">
        <v>30</v>
      </c>
      <c r="P4496" s="1" t="s">
        <v>31</v>
      </c>
      <c r="Q4496" s="1" t="s">
        <v>235</v>
      </c>
      <c r="R4496" s="1" t="s">
        <v>235</v>
      </c>
      <c r="S4496" s="1" t="s">
        <v>236</v>
      </c>
      <c r="U4496" s="1">
        <v>1.00637651E8</v>
      </c>
      <c r="X4496" s="1" t="s">
        <v>63</v>
      </c>
      <c r="Y4496" s="1" t="s">
        <v>767</v>
      </c>
      <c r="Z4496" s="1" t="s">
        <v>206</v>
      </c>
    </row>
    <row r="4497" hidden="1">
      <c r="A4497" s="1" t="s">
        <v>12735</v>
      </c>
      <c r="B4497" s="1" t="s">
        <v>12725</v>
      </c>
      <c r="C4497" s="1" t="s">
        <v>12726</v>
      </c>
      <c r="D4497" s="1" t="s">
        <v>122</v>
      </c>
      <c r="E4497" s="1" t="s">
        <v>28</v>
      </c>
      <c r="F4497" s="2">
        <v>125000.0</v>
      </c>
      <c r="G4497" s="1" t="s">
        <v>343</v>
      </c>
      <c r="H4497" s="4">
        <f>IFERROR(__xludf.DUMMYFUNCTION("DATE(INDEX(SPLIT(G4497,""/""),,3),INDEX(SPLIT(G4497,""/""),,2),INDEX(SPLIT(G4497,""/""),,1))"),44761.0)</f>
        <v>44761</v>
      </c>
      <c r="I4497" s="1" t="s">
        <v>130</v>
      </c>
      <c r="J4497" s="4">
        <f>IFERROR(__xludf.DUMMYFUNCTION("DATE(INDEX(SPLIT(I4497,""/""),,3),INDEX(SPLIT(I4497,""/""),,2),INDEX(SPLIT(I4497,""/""),,1))"),44804.0)</f>
        <v>44804</v>
      </c>
      <c r="L4497" s="1">
        <v>0.0</v>
      </c>
      <c r="M4497" s="1" t="s">
        <v>7088</v>
      </c>
      <c r="N4497" s="1"/>
      <c r="O4497" s="1" t="s">
        <v>30</v>
      </c>
      <c r="P4497" s="1" t="s">
        <v>31</v>
      </c>
      <c r="Q4497" s="1" t="s">
        <v>228</v>
      </c>
      <c r="R4497" s="1" t="s">
        <v>228</v>
      </c>
      <c r="S4497" s="1" t="s">
        <v>229</v>
      </c>
      <c r="T4497" s="1" t="s">
        <v>513</v>
      </c>
      <c r="U4497" s="1">
        <v>1.00597339E8</v>
      </c>
      <c r="X4497" s="1" t="s">
        <v>254</v>
      </c>
      <c r="Y4497" s="1" t="s">
        <v>12727</v>
      </c>
      <c r="Z4497" s="1" t="s">
        <v>37</v>
      </c>
    </row>
    <row r="4498">
      <c r="A4498" s="1" t="s">
        <v>12736</v>
      </c>
      <c r="B4498" s="1" t="s">
        <v>6955</v>
      </c>
      <c r="C4498" s="1" t="s">
        <v>12737</v>
      </c>
      <c r="D4498" s="1" t="s">
        <v>68</v>
      </c>
      <c r="E4498" s="1" t="s">
        <v>28</v>
      </c>
      <c r="F4498" s="2">
        <v>125000.0</v>
      </c>
      <c r="G4498" s="4">
        <v>44869.0</v>
      </c>
      <c r="H4498" s="4">
        <f>IFERROR(__xludf.DUMMYFUNCTION("DATE(INDEX(SPLIT(G4498,""/""),,3),INDEX(SPLIT(G4498,""/""),,2),INDEX(SPLIT(G4498,""/""),,1))"),44662.0)</f>
        <v>44662</v>
      </c>
      <c r="I4498" s="1" t="s">
        <v>226</v>
      </c>
      <c r="J4498" s="4">
        <f>IFERROR(__xludf.DUMMYFUNCTION("DATE(INDEX(SPLIT(I4498,""/""),,3),INDEX(SPLIT(I4498,""/""),,2),INDEX(SPLIT(I4498,""/""),,1))"),44771.0)</f>
        <v>44771</v>
      </c>
      <c r="L4498" s="1">
        <v>0.0</v>
      </c>
      <c r="M4498" s="1" t="s">
        <v>2472</v>
      </c>
      <c r="N4498" s="1"/>
      <c r="O4498" s="1" t="s">
        <v>30</v>
      </c>
      <c r="P4498" s="1" t="s">
        <v>31</v>
      </c>
      <c r="Q4498" s="1" t="s">
        <v>228</v>
      </c>
      <c r="R4498" s="1" t="s">
        <v>228</v>
      </c>
      <c r="S4498" s="1" t="s">
        <v>229</v>
      </c>
      <c r="T4498" s="1" t="s">
        <v>640</v>
      </c>
      <c r="U4498" s="1">
        <v>1.00645232E8</v>
      </c>
      <c r="X4498" s="1" t="s">
        <v>375</v>
      </c>
      <c r="Y4498" s="1" t="s">
        <v>12738</v>
      </c>
      <c r="Z4498" s="1" t="s">
        <v>37</v>
      </c>
    </row>
    <row r="4499" hidden="1">
      <c r="A4499" s="1" t="s">
        <v>12739</v>
      </c>
      <c r="B4499" s="1" t="s">
        <v>4188</v>
      </c>
      <c r="C4499" s="1" t="s">
        <v>12740</v>
      </c>
      <c r="D4499" s="1" t="s">
        <v>122</v>
      </c>
      <c r="E4499" s="1" t="s">
        <v>28</v>
      </c>
      <c r="F4499" s="2">
        <v>125000.0</v>
      </c>
      <c r="G4499" s="1" t="s">
        <v>12741</v>
      </c>
      <c r="H4499" s="4">
        <f>IFERROR(__xludf.DUMMYFUNCTION("DATE(INDEX(SPLIT(G4499,""/""),,3),INDEX(SPLIT(G4499,""/""),,2),INDEX(SPLIT(G4499,""/""),,1))"),43966.0)</f>
        <v>43966</v>
      </c>
      <c r="I4499" s="1" t="s">
        <v>130</v>
      </c>
      <c r="J4499" s="4">
        <f>IFERROR(__xludf.DUMMYFUNCTION("DATE(INDEX(SPLIT(I4499,""/""),,3),INDEX(SPLIT(I4499,""/""),,2),INDEX(SPLIT(I4499,""/""),,1))"),44804.0)</f>
        <v>44804</v>
      </c>
      <c r="L4499" s="1">
        <v>0.0</v>
      </c>
      <c r="M4499" s="1" t="s">
        <v>211</v>
      </c>
      <c r="N4499" s="1"/>
      <c r="O4499" s="1" t="s">
        <v>30</v>
      </c>
      <c r="P4499" s="1" t="s">
        <v>31</v>
      </c>
      <c r="Q4499" s="1" t="s">
        <v>71</v>
      </c>
      <c r="R4499" s="1" t="s">
        <v>71</v>
      </c>
      <c r="S4499" s="1" t="s">
        <v>72</v>
      </c>
      <c r="T4499" s="1" t="s">
        <v>136</v>
      </c>
      <c r="U4499" s="1">
        <v>1.00590896E8</v>
      </c>
      <c r="X4499" s="1" t="s">
        <v>74</v>
      </c>
      <c r="Y4499" s="1" t="s">
        <v>3280</v>
      </c>
      <c r="Z4499" s="1" t="s">
        <v>37</v>
      </c>
    </row>
    <row r="4500" hidden="1">
      <c r="A4500" s="1" t="s">
        <v>12742</v>
      </c>
      <c r="B4500" s="1" t="s">
        <v>12743</v>
      </c>
      <c r="C4500" s="1" t="s">
        <v>12744</v>
      </c>
      <c r="D4500" s="1" t="s">
        <v>27</v>
      </c>
      <c r="E4500" s="1" t="s">
        <v>28</v>
      </c>
      <c r="F4500" s="2">
        <v>125000.0</v>
      </c>
      <c r="G4500" s="4">
        <v>44870.0</v>
      </c>
      <c r="H4500" s="4">
        <f>IFERROR(__xludf.DUMMYFUNCTION("DATE(INDEX(SPLIT(G4500,""/""),,3),INDEX(SPLIT(G4500,""/""),,2),INDEX(SPLIT(G4500,""/""),,1))"),44692.0)</f>
        <v>44692</v>
      </c>
      <c r="I4500" s="4">
        <v>44927.0</v>
      </c>
      <c r="J4500" s="4">
        <f>IFERROR(__xludf.DUMMYFUNCTION("DATE(INDEX(SPLIT(I4500,""/""),,3),INDEX(SPLIT(I4500,""/""),,2),INDEX(SPLIT(I4500,""/""),,1))"),44927.0)</f>
        <v>44927</v>
      </c>
      <c r="L4500" s="1">
        <v>0.0</v>
      </c>
      <c r="M4500" s="1" t="s">
        <v>10469</v>
      </c>
      <c r="N4500" s="1"/>
      <c r="O4500" s="1" t="s">
        <v>30</v>
      </c>
      <c r="P4500" s="1" t="s">
        <v>31</v>
      </c>
      <c r="Q4500" s="1" t="s">
        <v>53</v>
      </c>
      <c r="R4500" s="1" t="s">
        <v>53</v>
      </c>
      <c r="S4500" s="1" t="s">
        <v>54</v>
      </c>
      <c r="T4500" s="1" t="s">
        <v>1386</v>
      </c>
      <c r="U4500" s="1">
        <v>1.01211126E8</v>
      </c>
      <c r="X4500" s="1" t="s">
        <v>361</v>
      </c>
      <c r="Y4500" s="1" t="s">
        <v>10469</v>
      </c>
      <c r="Z4500" s="1" t="s">
        <v>206</v>
      </c>
    </row>
    <row r="4501" hidden="1">
      <c r="A4501" s="1" t="s">
        <v>12745</v>
      </c>
      <c r="B4501" s="1" t="s">
        <v>12746</v>
      </c>
      <c r="C4501" s="1" t="s">
        <v>12747</v>
      </c>
      <c r="D4501" s="1" t="s">
        <v>27</v>
      </c>
      <c r="E4501" s="1" t="s">
        <v>28</v>
      </c>
      <c r="F4501" s="2">
        <v>125000.0</v>
      </c>
      <c r="G4501" s="4">
        <v>44870.0</v>
      </c>
      <c r="H4501" s="4">
        <f>IFERROR(__xludf.DUMMYFUNCTION("DATE(INDEX(SPLIT(G4501,""/""),,3),INDEX(SPLIT(G4501,""/""),,2),INDEX(SPLIT(G4501,""/""),,1))"),44692.0)</f>
        <v>44692</v>
      </c>
      <c r="I4501" s="4">
        <v>44927.0</v>
      </c>
      <c r="J4501" s="4">
        <f>IFERROR(__xludf.DUMMYFUNCTION("DATE(INDEX(SPLIT(I4501,""/""),,3),INDEX(SPLIT(I4501,""/""),,2),INDEX(SPLIT(I4501,""/""),,1))"),44927.0)</f>
        <v>44927</v>
      </c>
      <c r="L4501" s="1">
        <v>0.0</v>
      </c>
      <c r="M4501" s="1" t="s">
        <v>10469</v>
      </c>
      <c r="N4501" s="1"/>
      <c r="O4501" s="1" t="s">
        <v>30</v>
      </c>
      <c r="P4501" s="1" t="s">
        <v>31</v>
      </c>
      <c r="Q4501" s="1" t="s">
        <v>53</v>
      </c>
      <c r="R4501" s="1" t="s">
        <v>53</v>
      </c>
      <c r="S4501" s="1" t="s">
        <v>54</v>
      </c>
      <c r="T4501" s="1" t="s">
        <v>1386</v>
      </c>
      <c r="U4501" s="1">
        <v>1.01211126E8</v>
      </c>
      <c r="X4501" s="1" t="s">
        <v>361</v>
      </c>
      <c r="Y4501" s="1" t="s">
        <v>10469</v>
      </c>
      <c r="Z4501" s="1" t="s">
        <v>206</v>
      </c>
    </row>
    <row r="4502" hidden="1">
      <c r="A4502" s="1" t="s">
        <v>12748</v>
      </c>
      <c r="B4502" s="1" t="s">
        <v>12749</v>
      </c>
      <c r="C4502" s="1" t="s">
        <v>12750</v>
      </c>
      <c r="D4502" s="1" t="s">
        <v>27</v>
      </c>
      <c r="E4502" s="1" t="s">
        <v>28</v>
      </c>
      <c r="F4502" s="2">
        <v>125000.0</v>
      </c>
      <c r="G4502" s="4">
        <v>44870.0</v>
      </c>
      <c r="H4502" s="4">
        <f>IFERROR(__xludf.DUMMYFUNCTION("DATE(INDEX(SPLIT(G4502,""/""),,3),INDEX(SPLIT(G4502,""/""),,2),INDEX(SPLIT(G4502,""/""),,1))"),44692.0)</f>
        <v>44692</v>
      </c>
      <c r="I4502" s="4">
        <v>44927.0</v>
      </c>
      <c r="J4502" s="4">
        <f>IFERROR(__xludf.DUMMYFUNCTION("DATE(INDEX(SPLIT(I4502,""/""),,3),INDEX(SPLIT(I4502,""/""),,2),INDEX(SPLIT(I4502,""/""),,1))"),44927.0)</f>
        <v>44927</v>
      </c>
      <c r="L4502" s="1">
        <v>0.0</v>
      </c>
      <c r="M4502" s="1" t="s">
        <v>10469</v>
      </c>
      <c r="N4502" s="1"/>
      <c r="O4502" s="1" t="s">
        <v>30</v>
      </c>
      <c r="P4502" s="1" t="s">
        <v>31</v>
      </c>
      <c r="Q4502" s="1" t="s">
        <v>53</v>
      </c>
      <c r="R4502" s="1" t="s">
        <v>53</v>
      </c>
      <c r="S4502" s="1" t="s">
        <v>54</v>
      </c>
      <c r="T4502" s="1" t="s">
        <v>1386</v>
      </c>
      <c r="U4502" s="1">
        <v>1.01211126E8</v>
      </c>
      <c r="X4502" s="1" t="s">
        <v>361</v>
      </c>
      <c r="Y4502" s="1" t="s">
        <v>10469</v>
      </c>
      <c r="Z4502" s="1" t="s">
        <v>206</v>
      </c>
    </row>
    <row r="4503">
      <c r="A4503" s="1" t="s">
        <v>12751</v>
      </c>
      <c r="B4503" s="1" t="s">
        <v>5890</v>
      </c>
      <c r="C4503" s="1" t="s">
        <v>12752</v>
      </c>
      <c r="D4503" s="1" t="s">
        <v>78</v>
      </c>
      <c r="E4503" s="1" t="s">
        <v>28</v>
      </c>
      <c r="F4503" s="2">
        <v>124000.0</v>
      </c>
      <c r="G4503" s="4">
        <v>44900.0</v>
      </c>
      <c r="H4503" s="4">
        <f>IFERROR(__xludf.DUMMYFUNCTION("DATE(INDEX(SPLIT(G4503,""/""),,3),INDEX(SPLIT(G4503,""/""),,2),INDEX(SPLIT(G4503,""/""),,1))"),44693.0)</f>
        <v>44693</v>
      </c>
      <c r="I4503" s="1" t="s">
        <v>69</v>
      </c>
      <c r="J4503" s="4">
        <f>IFERROR(__xludf.DUMMYFUNCTION("DATE(INDEX(SPLIT(I4503,""/""),,3),INDEX(SPLIT(I4503,""/""),,2),INDEX(SPLIT(I4503,""/""),,1))"),44773.0)</f>
        <v>44773</v>
      </c>
      <c r="L4503" s="1">
        <v>0.0</v>
      </c>
      <c r="M4503" s="1" t="s">
        <v>9942</v>
      </c>
      <c r="N4503" s="1"/>
      <c r="O4503" s="1" t="s">
        <v>30</v>
      </c>
      <c r="P4503" s="1" t="s">
        <v>31</v>
      </c>
      <c r="Q4503" s="1" t="s">
        <v>228</v>
      </c>
      <c r="R4503" s="1" t="s">
        <v>228</v>
      </c>
      <c r="S4503" s="1" t="s">
        <v>229</v>
      </c>
      <c r="U4503" s="1">
        <v>1.00611212E8</v>
      </c>
      <c r="X4503" s="1" t="s">
        <v>46</v>
      </c>
      <c r="Y4503" s="1" t="s">
        <v>12753</v>
      </c>
      <c r="Z4503" s="1" t="s">
        <v>37</v>
      </c>
    </row>
    <row r="4504" hidden="1">
      <c r="A4504" s="1" t="s">
        <v>12754</v>
      </c>
      <c r="B4504" s="1" t="s">
        <v>12755</v>
      </c>
      <c r="C4504" s="1" t="s">
        <v>12756</v>
      </c>
      <c r="D4504" s="1" t="s">
        <v>68</v>
      </c>
      <c r="E4504" s="1" t="s">
        <v>28</v>
      </c>
      <c r="F4504" s="2">
        <v>123180.0</v>
      </c>
      <c r="G4504" s="1" t="s">
        <v>5510</v>
      </c>
      <c r="H4504" s="4">
        <f>IFERROR(__xludf.DUMMYFUNCTION("DATE(INDEX(SPLIT(G4504,""/""),,3),INDEX(SPLIT(G4504,""/""),,2),INDEX(SPLIT(G4504,""/""),,1))"),44364.0)</f>
        <v>44364</v>
      </c>
      <c r="I4504" s="1" t="s">
        <v>1097</v>
      </c>
      <c r="J4504" s="4">
        <f>IFERROR(__xludf.DUMMYFUNCTION("DATE(INDEX(SPLIT(I4504,""/""),,3),INDEX(SPLIT(I4504,""/""),,2),INDEX(SPLIT(I4504,""/""),,1))"),45107.0)</f>
        <v>45107</v>
      </c>
      <c r="L4504" s="1">
        <v>0.0</v>
      </c>
      <c r="M4504" s="1" t="s">
        <v>4735</v>
      </c>
      <c r="N4504" s="1"/>
      <c r="O4504" s="1" t="s">
        <v>30</v>
      </c>
      <c r="P4504" s="1" t="s">
        <v>31</v>
      </c>
      <c r="Q4504" s="1" t="s">
        <v>71</v>
      </c>
      <c r="R4504" s="1" t="s">
        <v>71</v>
      </c>
      <c r="S4504" s="1" t="s">
        <v>72</v>
      </c>
      <c r="T4504" s="1" t="s">
        <v>136</v>
      </c>
      <c r="U4504" s="1">
        <v>1.00609615E8</v>
      </c>
      <c r="X4504" s="1" t="s">
        <v>375</v>
      </c>
      <c r="Y4504" s="1" t="s">
        <v>2593</v>
      </c>
      <c r="Z4504" s="1" t="s">
        <v>206</v>
      </c>
    </row>
    <row r="4505" hidden="1">
      <c r="A4505" s="1" t="s">
        <v>12757</v>
      </c>
      <c r="B4505" s="1" t="s">
        <v>12758</v>
      </c>
      <c r="C4505" s="1" t="s">
        <v>12759</v>
      </c>
      <c r="D4505" s="1" t="s">
        <v>78</v>
      </c>
      <c r="E4505" s="1" t="s">
        <v>28</v>
      </c>
      <c r="F4505" s="2">
        <v>120000.0</v>
      </c>
      <c r="G4505" s="1" t="s">
        <v>935</v>
      </c>
      <c r="H4505" s="4">
        <f>IFERROR(__xludf.DUMMYFUNCTION("DATE(INDEX(SPLIT(G4505,""/""),,3),INDEX(SPLIT(G4505,""/""),,2),INDEX(SPLIT(G4505,""/""),,1))"),44764.0)</f>
        <v>44764</v>
      </c>
      <c r="I4505" s="4">
        <v>44689.0</v>
      </c>
      <c r="J4505" s="4">
        <f>IFERROR(__xludf.DUMMYFUNCTION("DATE(INDEX(SPLIT(I4505,""/""),,3),INDEX(SPLIT(I4505,""/""),,2),INDEX(SPLIT(I4505,""/""),,1))"),44778.0)</f>
        <v>44778</v>
      </c>
      <c r="L4505" s="1">
        <v>0.0</v>
      </c>
      <c r="M4505" s="1" t="s">
        <v>4860</v>
      </c>
      <c r="N4505" s="1"/>
      <c r="O4505" s="1" t="s">
        <v>30</v>
      </c>
      <c r="P4505" s="1" t="s">
        <v>31</v>
      </c>
      <c r="Q4505" s="1" t="s">
        <v>157</v>
      </c>
      <c r="R4505" s="1" t="s">
        <v>157</v>
      </c>
      <c r="S4505" s="1" t="s">
        <v>158</v>
      </c>
      <c r="U4505" s="1">
        <v>1.00621287E8</v>
      </c>
      <c r="X4505" s="1" t="s">
        <v>63</v>
      </c>
      <c r="Y4505" s="1" t="s">
        <v>12760</v>
      </c>
      <c r="Z4505" s="1" t="s">
        <v>37</v>
      </c>
    </row>
    <row r="4506">
      <c r="A4506" s="1" t="s">
        <v>12761</v>
      </c>
      <c r="B4506" s="1" t="s">
        <v>516</v>
      </c>
      <c r="C4506" s="1" t="s">
        <v>12762</v>
      </c>
      <c r="D4506" s="1" t="s">
        <v>122</v>
      </c>
      <c r="E4506" s="1" t="s">
        <v>28</v>
      </c>
      <c r="F4506" s="2">
        <v>120000.0</v>
      </c>
      <c r="G4506" s="1" t="s">
        <v>586</v>
      </c>
      <c r="H4506" s="4">
        <f>IFERROR(__xludf.DUMMYFUNCTION("DATE(INDEX(SPLIT(G4506,""/""),,3),INDEX(SPLIT(G4506,""/""),,2),INDEX(SPLIT(G4506,""/""),,1))"),44726.0)</f>
        <v>44726</v>
      </c>
      <c r="I4506" s="1" t="s">
        <v>1141</v>
      </c>
      <c r="J4506" s="4">
        <f>IFERROR(__xludf.DUMMYFUNCTION("DATE(INDEX(SPLIT(I4506,""/""),,3),INDEX(SPLIT(I4506,""/""),,2),INDEX(SPLIT(I4506,""/""),,1))"),44767.0)</f>
        <v>44767</v>
      </c>
      <c r="L4506" s="1">
        <v>0.0</v>
      </c>
      <c r="M4506" s="1" t="s">
        <v>2663</v>
      </c>
      <c r="N4506" s="1"/>
      <c r="O4506" s="1" t="s">
        <v>30</v>
      </c>
      <c r="P4506" s="1" t="s">
        <v>31</v>
      </c>
      <c r="Q4506" s="1" t="s">
        <v>188</v>
      </c>
      <c r="R4506" s="1" t="s">
        <v>188</v>
      </c>
      <c r="S4506" s="1" t="s">
        <v>189</v>
      </c>
      <c r="T4506" s="1" t="s">
        <v>2536</v>
      </c>
      <c r="U4506" s="1">
        <v>1.00623735E8</v>
      </c>
      <c r="X4506" s="1" t="s">
        <v>190</v>
      </c>
      <c r="Y4506" s="1" t="s">
        <v>11387</v>
      </c>
      <c r="Z4506" s="1" t="s">
        <v>37</v>
      </c>
    </row>
    <row r="4507">
      <c r="A4507" s="1" t="s">
        <v>12763</v>
      </c>
      <c r="B4507" s="1" t="s">
        <v>12764</v>
      </c>
      <c r="C4507" s="1" t="s">
        <v>12765</v>
      </c>
      <c r="D4507" s="1" t="s">
        <v>78</v>
      </c>
      <c r="E4507" s="1" t="s">
        <v>28</v>
      </c>
      <c r="F4507" s="2">
        <v>120000.0</v>
      </c>
      <c r="G4507" s="1" t="s">
        <v>836</v>
      </c>
      <c r="H4507" s="4">
        <f>IFERROR(__xludf.DUMMYFUNCTION("DATE(INDEX(SPLIT(G4507,""/""),,3),INDEX(SPLIT(G4507,""/""),,2),INDEX(SPLIT(G4507,""/""),,1))"),44610.0)</f>
        <v>44610</v>
      </c>
      <c r="I4507" s="1" t="s">
        <v>69</v>
      </c>
      <c r="J4507" s="4">
        <f>IFERROR(__xludf.DUMMYFUNCTION("DATE(INDEX(SPLIT(I4507,""/""),,3),INDEX(SPLIT(I4507,""/""),,2),INDEX(SPLIT(I4507,""/""),,1))"),44773.0)</f>
        <v>44773</v>
      </c>
      <c r="L4507" s="1">
        <v>0.0</v>
      </c>
      <c r="M4507" s="1" t="s">
        <v>2057</v>
      </c>
      <c r="N4507" s="1"/>
      <c r="O4507" s="1" t="s">
        <v>30</v>
      </c>
      <c r="P4507" s="1" t="s">
        <v>31</v>
      </c>
      <c r="Q4507" s="1" t="s">
        <v>71</v>
      </c>
      <c r="R4507" s="1" t="s">
        <v>71</v>
      </c>
      <c r="S4507" s="1" t="s">
        <v>72</v>
      </c>
      <c r="T4507" s="1" t="s">
        <v>136</v>
      </c>
      <c r="U4507" s="1">
        <v>1.01078216E8</v>
      </c>
      <c r="X4507" s="1" t="s">
        <v>74</v>
      </c>
      <c r="Y4507" s="1" t="s">
        <v>2057</v>
      </c>
      <c r="Z4507" s="1" t="s">
        <v>206</v>
      </c>
    </row>
    <row r="4508" hidden="1">
      <c r="A4508" s="1" t="s">
        <v>12766</v>
      </c>
      <c r="B4508" s="1" t="s">
        <v>12767</v>
      </c>
      <c r="C4508" s="1" t="s">
        <v>12768</v>
      </c>
      <c r="D4508" s="1" t="s">
        <v>78</v>
      </c>
      <c r="E4508" s="1" t="s">
        <v>28</v>
      </c>
      <c r="F4508" s="2">
        <v>120000.0</v>
      </c>
      <c r="G4508" s="4">
        <v>44531.0</v>
      </c>
      <c r="H4508" s="4">
        <f>IFERROR(__xludf.DUMMYFUNCTION("DATE(INDEX(SPLIT(G4508,""/""),,3),INDEX(SPLIT(G4508,""/""),,2),INDEX(SPLIT(G4508,""/""),,1))"),44208.0)</f>
        <v>44208</v>
      </c>
      <c r="I4508" s="1" t="s">
        <v>42</v>
      </c>
      <c r="J4508" s="4">
        <f>IFERROR(__xludf.DUMMYFUNCTION("DATE(INDEX(SPLIT(I4508,""/""),,3),INDEX(SPLIT(I4508,""/""),,2),INDEX(SPLIT(I4508,""/""),,1))"),44926.0)</f>
        <v>44926</v>
      </c>
      <c r="L4508" s="1">
        <v>0.0</v>
      </c>
      <c r="M4508" s="1" t="s">
        <v>2568</v>
      </c>
      <c r="N4508" s="1"/>
      <c r="O4508" s="1" t="s">
        <v>30</v>
      </c>
      <c r="P4508" s="1" t="s">
        <v>31</v>
      </c>
      <c r="Q4508" s="1" t="s">
        <v>228</v>
      </c>
      <c r="R4508" s="1" t="s">
        <v>228</v>
      </c>
      <c r="S4508" s="1" t="s">
        <v>229</v>
      </c>
      <c r="T4508" s="1" t="s">
        <v>513</v>
      </c>
      <c r="U4508" s="1">
        <v>1.00659458E8</v>
      </c>
      <c r="X4508" s="1" t="s">
        <v>410</v>
      </c>
      <c r="Y4508" s="1" t="s">
        <v>11668</v>
      </c>
      <c r="Z4508" s="1" t="s">
        <v>37</v>
      </c>
    </row>
    <row r="4509" hidden="1">
      <c r="A4509" s="1" t="s">
        <v>12769</v>
      </c>
      <c r="B4509" s="1" t="s">
        <v>1748</v>
      </c>
      <c r="C4509" s="1" t="s">
        <v>12770</v>
      </c>
      <c r="D4509" s="1" t="s">
        <v>27</v>
      </c>
      <c r="E4509" s="1" t="s">
        <v>28</v>
      </c>
      <c r="F4509" s="2">
        <v>120000.0</v>
      </c>
      <c r="G4509" s="1" t="s">
        <v>518</v>
      </c>
      <c r="H4509" s="4">
        <f>IFERROR(__xludf.DUMMYFUNCTION("DATE(INDEX(SPLIT(G4509,""/""),,3),INDEX(SPLIT(G4509,""/""),,2),INDEX(SPLIT(G4509,""/""),,1))"),44757.0)</f>
        <v>44757</v>
      </c>
      <c r="I4509" s="1" t="s">
        <v>4177</v>
      </c>
      <c r="J4509" s="4">
        <f>IFERROR(__xludf.DUMMYFUNCTION("DATE(INDEX(SPLIT(I4509,""/""),,3),INDEX(SPLIT(I4509,""/""),,2),INDEX(SPLIT(I4509,""/""),,1))"),44880.0)</f>
        <v>44880</v>
      </c>
      <c r="L4509" s="1">
        <v>0.0</v>
      </c>
      <c r="M4509" s="1" t="s">
        <v>3860</v>
      </c>
      <c r="N4509" s="1"/>
      <c r="O4509" s="1" t="s">
        <v>30</v>
      </c>
      <c r="P4509" s="1" t="s">
        <v>31</v>
      </c>
      <c r="Q4509" s="1" t="s">
        <v>235</v>
      </c>
      <c r="R4509" s="1" t="s">
        <v>235</v>
      </c>
      <c r="S4509" s="1" t="s">
        <v>236</v>
      </c>
      <c r="T4509" s="1" t="s">
        <v>753</v>
      </c>
      <c r="U4509" s="1">
        <v>1.00636461E8</v>
      </c>
      <c r="X4509" s="1" t="s">
        <v>88</v>
      </c>
      <c r="Y4509" s="1" t="s">
        <v>3860</v>
      </c>
      <c r="Z4509" s="1" t="s">
        <v>37</v>
      </c>
    </row>
    <row r="4510">
      <c r="A4510" s="1" t="s">
        <v>12771</v>
      </c>
      <c r="B4510" s="1" t="s">
        <v>12772</v>
      </c>
      <c r="C4510" s="1" t="s">
        <v>12773</v>
      </c>
      <c r="D4510" s="1" t="s">
        <v>78</v>
      </c>
      <c r="E4510" s="1" t="s">
        <v>28</v>
      </c>
      <c r="F4510" s="2">
        <v>120000.0</v>
      </c>
      <c r="G4510" s="1" t="s">
        <v>5115</v>
      </c>
      <c r="H4510" s="4">
        <f>IFERROR(__xludf.DUMMYFUNCTION("DATE(INDEX(SPLIT(G4510,""/""),,3),INDEX(SPLIT(G4510,""/""),,2),INDEX(SPLIT(G4510,""/""),,1))"),44530.0)</f>
        <v>44530</v>
      </c>
      <c r="I4510" s="1" t="s">
        <v>1244</v>
      </c>
      <c r="J4510" s="4">
        <f>IFERROR(__xludf.DUMMYFUNCTION("DATE(INDEX(SPLIT(I4510,""/""),,3),INDEX(SPLIT(I4510,""/""),,2),INDEX(SPLIT(I4510,""/""),,1))"),44742.0)</f>
        <v>44742</v>
      </c>
      <c r="L4510" s="1">
        <v>0.0</v>
      </c>
      <c r="M4510" s="1" t="s">
        <v>2371</v>
      </c>
      <c r="N4510" s="1"/>
      <c r="O4510" s="1" t="s">
        <v>30</v>
      </c>
      <c r="P4510" s="1" t="s">
        <v>31</v>
      </c>
      <c r="Q4510" s="1" t="s">
        <v>53</v>
      </c>
      <c r="R4510" s="1" t="s">
        <v>53</v>
      </c>
      <c r="S4510" s="1" t="s">
        <v>54</v>
      </c>
      <c r="T4510" s="1" t="s">
        <v>2372</v>
      </c>
      <c r="U4510" s="1">
        <v>1.00649936E8</v>
      </c>
      <c r="X4510" s="1" t="s">
        <v>239</v>
      </c>
      <c r="Y4510" s="1" t="s">
        <v>8243</v>
      </c>
      <c r="Z4510" s="1" t="s">
        <v>37</v>
      </c>
    </row>
    <row r="4511" hidden="1">
      <c r="A4511" s="1" t="s">
        <v>12774</v>
      </c>
      <c r="B4511" s="1" t="s">
        <v>8729</v>
      </c>
      <c r="C4511" s="1" t="s">
        <v>12775</v>
      </c>
      <c r="D4511" s="1" t="s">
        <v>122</v>
      </c>
      <c r="E4511" s="1" t="s">
        <v>28</v>
      </c>
      <c r="F4511" s="2">
        <v>120000.0</v>
      </c>
      <c r="G4511" s="1" t="s">
        <v>935</v>
      </c>
      <c r="H4511" s="4">
        <f>IFERROR(__xludf.DUMMYFUNCTION("DATE(INDEX(SPLIT(G4511,""/""),,3),INDEX(SPLIT(G4511,""/""),,2),INDEX(SPLIT(G4511,""/""),,1))"),44764.0)</f>
        <v>44764</v>
      </c>
      <c r="I4511" s="4">
        <v>44689.0</v>
      </c>
      <c r="J4511" s="4">
        <f>IFERROR(__xludf.DUMMYFUNCTION("DATE(INDEX(SPLIT(I4511,""/""),,3),INDEX(SPLIT(I4511,""/""),,2),INDEX(SPLIT(I4511,""/""),,1))"),44778.0)</f>
        <v>44778</v>
      </c>
      <c r="L4511" s="1">
        <v>0.0</v>
      </c>
      <c r="M4511" s="1" t="s">
        <v>2817</v>
      </c>
      <c r="N4511" s="1"/>
      <c r="O4511" s="1" t="s">
        <v>30</v>
      </c>
      <c r="P4511" s="1" t="s">
        <v>31</v>
      </c>
      <c r="Q4511" s="1" t="s">
        <v>188</v>
      </c>
      <c r="R4511" s="1" t="s">
        <v>188</v>
      </c>
      <c r="S4511" s="1" t="s">
        <v>189</v>
      </c>
      <c r="U4511" s="1">
        <v>1.00655465E8</v>
      </c>
      <c r="X4511" s="1" t="s">
        <v>98</v>
      </c>
      <c r="Y4511" s="1" t="s">
        <v>12521</v>
      </c>
      <c r="Z4511" s="1" t="s">
        <v>37</v>
      </c>
    </row>
    <row r="4512">
      <c r="A4512" s="1" t="s">
        <v>12776</v>
      </c>
      <c r="B4512" s="1" t="s">
        <v>516</v>
      </c>
      <c r="C4512" s="1" t="s">
        <v>12777</v>
      </c>
      <c r="D4512" s="1" t="s">
        <v>78</v>
      </c>
      <c r="E4512" s="1" t="s">
        <v>28</v>
      </c>
      <c r="F4512" s="2">
        <v>120000.0</v>
      </c>
      <c r="G4512" s="1" t="s">
        <v>518</v>
      </c>
      <c r="H4512" s="4">
        <f>IFERROR(__xludf.DUMMYFUNCTION("DATE(INDEX(SPLIT(G4512,""/""),,3),INDEX(SPLIT(G4512,""/""),,2),INDEX(SPLIT(G4512,""/""),,1))"),44757.0)</f>
        <v>44757</v>
      </c>
      <c r="I4512" s="1" t="s">
        <v>1141</v>
      </c>
      <c r="J4512" s="4">
        <f>IFERROR(__xludf.DUMMYFUNCTION("DATE(INDEX(SPLIT(I4512,""/""),,3),INDEX(SPLIT(I4512,""/""),,2),INDEX(SPLIT(I4512,""/""),,1))"),44767.0)</f>
        <v>44767</v>
      </c>
      <c r="L4512" s="1">
        <v>0.0</v>
      </c>
      <c r="M4512" s="1" t="s">
        <v>2663</v>
      </c>
      <c r="N4512" s="1"/>
      <c r="O4512" s="1" t="s">
        <v>30</v>
      </c>
      <c r="P4512" s="1" t="s">
        <v>31</v>
      </c>
      <c r="Q4512" s="1" t="s">
        <v>188</v>
      </c>
      <c r="R4512" s="1" t="s">
        <v>188</v>
      </c>
      <c r="S4512" s="1" t="s">
        <v>189</v>
      </c>
      <c r="T4512" s="1" t="s">
        <v>2536</v>
      </c>
      <c r="U4512" s="1">
        <v>1.00623735E8</v>
      </c>
      <c r="X4512" s="1" t="s">
        <v>190</v>
      </c>
      <c r="Y4512" s="1" t="s">
        <v>12778</v>
      </c>
      <c r="Z4512" s="1" t="s">
        <v>37</v>
      </c>
    </row>
    <row r="4513">
      <c r="A4513" s="1" t="s">
        <v>12779</v>
      </c>
      <c r="B4513" s="1" t="s">
        <v>1748</v>
      </c>
      <c r="C4513" s="1" t="s">
        <v>12780</v>
      </c>
      <c r="D4513" s="1" t="s">
        <v>68</v>
      </c>
      <c r="E4513" s="1" t="s">
        <v>28</v>
      </c>
      <c r="F4513" s="2">
        <v>120000.0</v>
      </c>
      <c r="G4513" s="1" t="s">
        <v>1136</v>
      </c>
      <c r="H4513" s="4">
        <f>IFERROR(__xludf.DUMMYFUNCTION("DATE(INDEX(SPLIT(G4513,""/""),,3),INDEX(SPLIT(G4513,""/""),,2),INDEX(SPLIT(G4513,""/""),,1))"),44608.0)</f>
        <v>44608</v>
      </c>
      <c r="I4513" s="4">
        <v>44718.0</v>
      </c>
      <c r="J4513" s="4">
        <f>IFERROR(__xludf.DUMMYFUNCTION("DATE(INDEX(SPLIT(I4513,""/""),,3),INDEX(SPLIT(I4513,""/""),,2),INDEX(SPLIT(I4513,""/""),,1))"),44718.0)</f>
        <v>44718</v>
      </c>
      <c r="L4513" s="1">
        <v>0.0</v>
      </c>
      <c r="M4513" s="1" t="s">
        <v>4919</v>
      </c>
      <c r="N4513" s="1"/>
      <c r="O4513" s="1" t="s">
        <v>30</v>
      </c>
      <c r="P4513" s="1" t="s">
        <v>31</v>
      </c>
      <c r="Q4513" s="1" t="s">
        <v>235</v>
      </c>
      <c r="R4513" s="1" t="s">
        <v>235</v>
      </c>
      <c r="S4513" s="1" t="s">
        <v>236</v>
      </c>
      <c r="T4513" s="1" t="s">
        <v>1349</v>
      </c>
      <c r="U4513" s="1">
        <v>1.00646809E8</v>
      </c>
      <c r="X4513" s="1" t="s">
        <v>88</v>
      </c>
      <c r="Y4513" s="1" t="s">
        <v>5106</v>
      </c>
      <c r="Z4513" s="1" t="s">
        <v>37</v>
      </c>
    </row>
    <row r="4514">
      <c r="A4514" s="1" t="s">
        <v>12781</v>
      </c>
      <c r="B4514" s="1" t="s">
        <v>301</v>
      </c>
      <c r="C4514" s="1" t="s">
        <v>12782</v>
      </c>
      <c r="D4514" s="1" t="s">
        <v>78</v>
      </c>
      <c r="E4514" s="1" t="s">
        <v>28</v>
      </c>
      <c r="F4514" s="2">
        <v>120000.0</v>
      </c>
      <c r="G4514" s="1" t="s">
        <v>1442</v>
      </c>
      <c r="H4514" s="4">
        <f>IFERROR(__xludf.DUMMYFUNCTION("DATE(INDEX(SPLIT(G4514,""/""),,3),INDEX(SPLIT(G4514,""/""),,2),INDEX(SPLIT(G4514,""/""),,1))"),44727.0)</f>
        <v>44727</v>
      </c>
      <c r="I4514" s="1" t="s">
        <v>935</v>
      </c>
      <c r="J4514" s="4">
        <f>IFERROR(__xludf.DUMMYFUNCTION("DATE(INDEX(SPLIT(I4514,""/""),,3),INDEX(SPLIT(I4514,""/""),,2),INDEX(SPLIT(I4514,""/""),,1))"),44764.0)</f>
        <v>44764</v>
      </c>
      <c r="L4514" s="1">
        <v>0.0</v>
      </c>
      <c r="M4514" s="1" t="s">
        <v>5205</v>
      </c>
      <c r="N4514" s="1"/>
      <c r="O4514" s="1" t="s">
        <v>30</v>
      </c>
      <c r="P4514" s="1" t="s">
        <v>31</v>
      </c>
      <c r="Q4514" s="1" t="s">
        <v>32</v>
      </c>
      <c r="R4514" s="1" t="s">
        <v>32</v>
      </c>
      <c r="S4514" s="1" t="s">
        <v>33</v>
      </c>
      <c r="U4514" s="1">
        <v>1.00587881E8</v>
      </c>
      <c r="X4514" s="1" t="s">
        <v>305</v>
      </c>
      <c r="Y4514" s="1" t="s">
        <v>5205</v>
      </c>
      <c r="Z4514" s="1" t="s">
        <v>37</v>
      </c>
    </row>
    <row r="4515">
      <c r="A4515" s="1" t="s">
        <v>12783</v>
      </c>
      <c r="B4515" s="1" t="s">
        <v>1192</v>
      </c>
      <c r="C4515" s="1" t="s">
        <v>12784</v>
      </c>
      <c r="D4515" s="1" t="s">
        <v>27</v>
      </c>
      <c r="E4515" s="1" t="s">
        <v>28</v>
      </c>
      <c r="F4515" s="2">
        <v>120000.0</v>
      </c>
      <c r="G4515" s="4">
        <v>44656.0</v>
      </c>
      <c r="H4515" s="4">
        <f>IFERROR(__xludf.DUMMYFUNCTION("DATE(INDEX(SPLIT(G4515,""/""),,3),INDEX(SPLIT(G4515,""/""),,2),INDEX(SPLIT(G4515,""/""),,1))"),44685.0)</f>
        <v>44685</v>
      </c>
      <c r="I4515" s="1" t="s">
        <v>226</v>
      </c>
      <c r="J4515" s="4">
        <f>IFERROR(__xludf.DUMMYFUNCTION("DATE(INDEX(SPLIT(I4515,""/""),,3),INDEX(SPLIT(I4515,""/""),,2),INDEX(SPLIT(I4515,""/""),,1))"),44771.0)</f>
        <v>44771</v>
      </c>
      <c r="L4515" s="1">
        <v>0.0</v>
      </c>
      <c r="M4515" s="1" t="s">
        <v>406</v>
      </c>
      <c r="N4515" s="1"/>
      <c r="O4515" s="1" t="s">
        <v>30</v>
      </c>
      <c r="P4515" s="1" t="s">
        <v>31</v>
      </c>
      <c r="Q4515" s="1" t="s">
        <v>32</v>
      </c>
      <c r="R4515" s="1" t="s">
        <v>32</v>
      </c>
      <c r="S4515" s="1" t="s">
        <v>33</v>
      </c>
      <c r="U4515" s="1">
        <v>1.00642129E8</v>
      </c>
      <c r="X4515" s="1" t="s">
        <v>125</v>
      </c>
      <c r="Y4515" s="1" t="s">
        <v>406</v>
      </c>
      <c r="Z4515" s="1" t="s">
        <v>37</v>
      </c>
    </row>
    <row r="4516" hidden="1">
      <c r="A4516" s="1" t="s">
        <v>12785</v>
      </c>
      <c r="B4516" s="1" t="s">
        <v>612</v>
      </c>
      <c r="C4516" s="1" t="s">
        <v>12786</v>
      </c>
      <c r="D4516" s="1" t="s">
        <v>122</v>
      </c>
      <c r="E4516" s="1" t="s">
        <v>28</v>
      </c>
      <c r="F4516" s="2">
        <v>120000.0</v>
      </c>
      <c r="G4516" s="4">
        <v>44598.0</v>
      </c>
      <c r="H4516" s="4">
        <f>IFERROR(__xludf.DUMMYFUNCTION("DATE(INDEX(SPLIT(G4516,""/""),,3),INDEX(SPLIT(G4516,""/""),,2),INDEX(SPLIT(G4516,""/""),,1))"),44714.0)</f>
        <v>44714</v>
      </c>
      <c r="I4516" s="1" t="s">
        <v>109</v>
      </c>
      <c r="J4516" s="4">
        <f>IFERROR(__xludf.DUMMYFUNCTION("DATE(INDEX(SPLIT(I4516,""/""),,3),INDEX(SPLIT(I4516,""/""),,2),INDEX(SPLIT(I4516,""/""),,1))"),44834.0)</f>
        <v>44834</v>
      </c>
      <c r="L4516" s="1">
        <v>0.0</v>
      </c>
      <c r="M4516" s="1" t="s">
        <v>1115</v>
      </c>
      <c r="N4516" s="1"/>
      <c r="O4516" s="1" t="s">
        <v>30</v>
      </c>
      <c r="P4516" s="1" t="s">
        <v>31</v>
      </c>
      <c r="Q4516" s="1" t="s">
        <v>157</v>
      </c>
      <c r="R4516" s="1" t="s">
        <v>157</v>
      </c>
      <c r="S4516" s="1" t="s">
        <v>158</v>
      </c>
      <c r="U4516" s="1">
        <v>1.00609827E8</v>
      </c>
      <c r="X4516" s="1" t="s">
        <v>490</v>
      </c>
      <c r="Y4516" s="1" t="s">
        <v>11169</v>
      </c>
      <c r="Z4516" s="1" t="s">
        <v>37</v>
      </c>
    </row>
    <row r="4517">
      <c r="A4517" s="1" t="s">
        <v>12787</v>
      </c>
      <c r="B4517" s="1" t="s">
        <v>516</v>
      </c>
      <c r="C4517" s="1" t="s">
        <v>12788</v>
      </c>
      <c r="D4517" s="1" t="s">
        <v>78</v>
      </c>
      <c r="E4517" s="1" t="s">
        <v>28</v>
      </c>
      <c r="F4517" s="2">
        <v>120000.0</v>
      </c>
      <c r="G4517" s="4">
        <v>44564.0</v>
      </c>
      <c r="H4517" s="4">
        <f>IFERROR(__xludf.DUMMYFUNCTION("DATE(INDEX(SPLIT(G4517,""/""),,3),INDEX(SPLIT(G4517,""/""),,2),INDEX(SPLIT(G4517,""/""),,1))"),44621.0)</f>
        <v>44621</v>
      </c>
      <c r="I4517" s="4">
        <v>44626.0</v>
      </c>
      <c r="J4517" s="4">
        <f>IFERROR(__xludf.DUMMYFUNCTION("DATE(INDEX(SPLIT(I4517,""/""),,3),INDEX(SPLIT(I4517,""/""),,2),INDEX(SPLIT(I4517,""/""),,1))"),44715.0)</f>
        <v>44715</v>
      </c>
      <c r="L4517" s="1">
        <v>0.0</v>
      </c>
      <c r="M4517" s="1" t="s">
        <v>9673</v>
      </c>
      <c r="N4517" s="1"/>
      <c r="O4517" s="1" t="s">
        <v>30</v>
      </c>
      <c r="P4517" s="1" t="s">
        <v>31</v>
      </c>
      <c r="Q4517" s="1" t="s">
        <v>95</v>
      </c>
      <c r="R4517" s="1" t="s">
        <v>95</v>
      </c>
      <c r="S4517" s="1" t="s">
        <v>96</v>
      </c>
      <c r="U4517" s="1">
        <v>1.00637451E8</v>
      </c>
      <c r="Y4517" s="1" t="s">
        <v>9673</v>
      </c>
      <c r="Z4517" s="1" t="s">
        <v>527</v>
      </c>
    </row>
    <row r="4518">
      <c r="A4518" s="1" t="s">
        <v>12789</v>
      </c>
      <c r="B4518" s="1" t="s">
        <v>12790</v>
      </c>
      <c r="C4518" s="1" t="s">
        <v>12791</v>
      </c>
      <c r="D4518" s="1" t="s">
        <v>68</v>
      </c>
      <c r="E4518" s="1" t="s">
        <v>28</v>
      </c>
      <c r="F4518" s="2">
        <v>120000.0</v>
      </c>
      <c r="G4518" s="1" t="s">
        <v>1381</v>
      </c>
      <c r="H4518" s="4">
        <f>IFERROR(__xludf.DUMMYFUNCTION("DATE(INDEX(SPLIT(G4518,""/""),,3),INDEX(SPLIT(G4518,""/""),,2),INDEX(SPLIT(G4518,""/""),,1))"),44643.0)</f>
        <v>44643</v>
      </c>
      <c r="I4518" s="1" t="s">
        <v>69</v>
      </c>
      <c r="J4518" s="4">
        <f>IFERROR(__xludf.DUMMYFUNCTION("DATE(INDEX(SPLIT(I4518,""/""),,3),INDEX(SPLIT(I4518,""/""),,2),INDEX(SPLIT(I4518,""/""),,1))"),44773.0)</f>
        <v>44773</v>
      </c>
      <c r="L4518" s="1">
        <v>0.0</v>
      </c>
      <c r="M4518" s="1" t="s">
        <v>2207</v>
      </c>
      <c r="N4518" s="1"/>
      <c r="O4518" s="1" t="s">
        <v>30</v>
      </c>
      <c r="P4518" s="1" t="s">
        <v>31</v>
      </c>
      <c r="Q4518" s="1" t="s">
        <v>228</v>
      </c>
      <c r="R4518" s="1" t="s">
        <v>228</v>
      </c>
      <c r="S4518" s="1" t="s">
        <v>229</v>
      </c>
      <c r="T4518" s="1" t="s">
        <v>513</v>
      </c>
      <c r="U4518" s="1">
        <v>1.00596618E8</v>
      </c>
      <c r="X4518" s="1" t="s">
        <v>125</v>
      </c>
      <c r="Y4518" s="1" t="s">
        <v>12792</v>
      </c>
      <c r="Z4518" s="1" t="s">
        <v>37</v>
      </c>
    </row>
    <row r="4519">
      <c r="A4519" s="1" t="s">
        <v>12793</v>
      </c>
      <c r="B4519" s="1" t="s">
        <v>12794</v>
      </c>
      <c r="C4519" s="1" t="s">
        <v>12795</v>
      </c>
      <c r="D4519" s="1" t="s">
        <v>122</v>
      </c>
      <c r="E4519" s="1" t="s">
        <v>28</v>
      </c>
      <c r="F4519" s="2">
        <v>120000.0</v>
      </c>
      <c r="G4519" s="1" t="s">
        <v>1767</v>
      </c>
      <c r="H4519" s="4">
        <f>IFERROR(__xludf.DUMMYFUNCTION("DATE(INDEX(SPLIT(G4519,""/""),,3),INDEX(SPLIT(G4519,""/""),,2),INDEX(SPLIT(G4519,""/""),,1))"),44698.0)</f>
        <v>44698</v>
      </c>
      <c r="I4519" s="1" t="s">
        <v>69</v>
      </c>
      <c r="J4519" s="4">
        <f>IFERROR(__xludf.DUMMYFUNCTION("DATE(INDEX(SPLIT(I4519,""/""),,3),INDEX(SPLIT(I4519,""/""),,2),INDEX(SPLIT(I4519,""/""),,1))"),44773.0)</f>
        <v>44773</v>
      </c>
      <c r="L4519" s="1">
        <v>0.0</v>
      </c>
      <c r="M4519" s="1" t="s">
        <v>4534</v>
      </c>
      <c r="N4519" s="1"/>
      <c r="O4519" s="1" t="s">
        <v>30</v>
      </c>
      <c r="P4519" s="1" t="s">
        <v>31</v>
      </c>
      <c r="Q4519" s="1" t="s">
        <v>228</v>
      </c>
      <c r="R4519" s="1" t="s">
        <v>228</v>
      </c>
      <c r="S4519" s="1" t="s">
        <v>229</v>
      </c>
      <c r="T4519" s="1" t="s">
        <v>513</v>
      </c>
      <c r="U4519" s="1">
        <v>1.0065605E8</v>
      </c>
      <c r="X4519" s="1" t="s">
        <v>98</v>
      </c>
      <c r="Y4519" s="1" t="s">
        <v>4534</v>
      </c>
      <c r="Z4519" s="1" t="s">
        <v>37</v>
      </c>
    </row>
    <row r="4520">
      <c r="A4520" s="1" t="s">
        <v>12796</v>
      </c>
      <c r="B4520" s="1" t="s">
        <v>11621</v>
      </c>
      <c r="C4520" s="1" t="s">
        <v>12797</v>
      </c>
      <c r="D4520" s="1" t="s">
        <v>27</v>
      </c>
      <c r="E4520" s="1" t="s">
        <v>28</v>
      </c>
      <c r="F4520" s="2">
        <v>120000.0</v>
      </c>
      <c r="G4520" s="4">
        <v>44872.0</v>
      </c>
      <c r="H4520" s="4">
        <f>IFERROR(__xludf.DUMMYFUNCTION("DATE(INDEX(SPLIT(G4520,""/""),,3),INDEX(SPLIT(G4520,""/""),,2),INDEX(SPLIT(G4520,""/""),,1))"),44753.0)</f>
        <v>44753</v>
      </c>
      <c r="I4520" s="1" t="s">
        <v>518</v>
      </c>
      <c r="J4520" s="4">
        <f>IFERROR(__xludf.DUMMYFUNCTION("DATE(INDEX(SPLIT(I4520,""/""),,3),INDEX(SPLIT(I4520,""/""),,2),INDEX(SPLIT(I4520,""/""),,1))"),44757.0)</f>
        <v>44757</v>
      </c>
      <c r="L4520" s="1">
        <v>0.0</v>
      </c>
      <c r="M4520" s="1" t="s">
        <v>11623</v>
      </c>
      <c r="N4520" s="1"/>
      <c r="O4520" s="1" t="s">
        <v>30</v>
      </c>
      <c r="P4520" s="1" t="s">
        <v>31</v>
      </c>
      <c r="Q4520" s="1" t="s">
        <v>228</v>
      </c>
      <c r="R4520" s="1" t="s">
        <v>228</v>
      </c>
      <c r="S4520" s="1" t="s">
        <v>229</v>
      </c>
      <c r="T4520" s="1" t="s">
        <v>513</v>
      </c>
      <c r="U4520" s="1">
        <v>1.01154609E8</v>
      </c>
      <c r="X4520" s="1" t="s">
        <v>98</v>
      </c>
      <c r="Y4520" s="1" t="s">
        <v>11623</v>
      </c>
      <c r="Z4520" s="1" t="s">
        <v>37</v>
      </c>
    </row>
    <row r="4521">
      <c r="A4521" s="1" t="s">
        <v>12798</v>
      </c>
      <c r="B4521" s="1" t="s">
        <v>12516</v>
      </c>
      <c r="C4521" s="1" t="s">
        <v>12799</v>
      </c>
      <c r="D4521" s="1" t="s">
        <v>122</v>
      </c>
      <c r="E4521" s="1" t="s">
        <v>28</v>
      </c>
      <c r="F4521" s="2">
        <v>120000.0</v>
      </c>
      <c r="G4521" s="1" t="s">
        <v>12800</v>
      </c>
      <c r="H4521" s="4">
        <f>IFERROR(__xludf.DUMMYFUNCTION("DATE(INDEX(SPLIT(G4521,""/""),,3),INDEX(SPLIT(G4521,""/""),,2),INDEX(SPLIT(G4521,""/""),,1))"),44527.0)</f>
        <v>44527</v>
      </c>
      <c r="I4521" s="1" t="s">
        <v>1438</v>
      </c>
      <c r="J4521" s="4">
        <f>IFERROR(__xludf.DUMMYFUNCTION("DATE(INDEX(SPLIT(I4521,""/""),,3),INDEX(SPLIT(I4521,""/""),,2),INDEX(SPLIT(I4521,""/""),,1))"),44708.0)</f>
        <v>44708</v>
      </c>
      <c r="L4521" s="1">
        <v>0.0</v>
      </c>
      <c r="M4521" s="1" t="s">
        <v>5588</v>
      </c>
      <c r="N4521" s="1"/>
      <c r="O4521" s="1" t="s">
        <v>30</v>
      </c>
      <c r="P4521" s="1" t="s">
        <v>31</v>
      </c>
      <c r="Q4521" s="1" t="s">
        <v>1320</v>
      </c>
      <c r="R4521" s="1" t="s">
        <v>1320</v>
      </c>
      <c r="S4521" s="1" t="s">
        <v>54</v>
      </c>
      <c r="T4521" s="1" t="s">
        <v>55</v>
      </c>
      <c r="U4521" s="1">
        <v>1.00625588E8</v>
      </c>
      <c r="X4521" s="1" t="s">
        <v>125</v>
      </c>
      <c r="Y4521" s="1" t="s">
        <v>1321</v>
      </c>
      <c r="Z4521" s="1" t="s">
        <v>37</v>
      </c>
    </row>
    <row r="4522">
      <c r="A4522" s="1" t="s">
        <v>12801</v>
      </c>
      <c r="B4522" s="1" t="s">
        <v>2345</v>
      </c>
      <c r="C4522" s="1" t="s">
        <v>12802</v>
      </c>
      <c r="D4522" s="1" t="s">
        <v>122</v>
      </c>
      <c r="E4522" s="1" t="s">
        <v>28</v>
      </c>
      <c r="F4522" s="2">
        <v>120000.0</v>
      </c>
      <c r="G4522" s="1" t="s">
        <v>164</v>
      </c>
      <c r="H4522" s="4">
        <f>IFERROR(__xludf.DUMMYFUNCTION("DATE(INDEX(SPLIT(G4522,""/""),,3),INDEX(SPLIT(G4522,""/""),,2),INDEX(SPLIT(G4522,""/""),,1))"),44706.0)</f>
        <v>44706</v>
      </c>
      <c r="I4522" s="1" t="s">
        <v>69</v>
      </c>
      <c r="J4522" s="4">
        <f>IFERROR(__xludf.DUMMYFUNCTION("DATE(INDEX(SPLIT(I4522,""/""),,3),INDEX(SPLIT(I4522,""/""),,2),INDEX(SPLIT(I4522,""/""),,1))"),44773.0)</f>
        <v>44773</v>
      </c>
      <c r="L4522" s="1">
        <v>0.0</v>
      </c>
      <c r="M4522" s="1" t="s">
        <v>2067</v>
      </c>
      <c r="N4522" s="1"/>
      <c r="O4522" s="1" t="s">
        <v>30</v>
      </c>
      <c r="P4522" s="1" t="s">
        <v>31</v>
      </c>
      <c r="Q4522" s="1" t="s">
        <v>95</v>
      </c>
      <c r="R4522" s="1" t="s">
        <v>95</v>
      </c>
      <c r="S4522" s="1" t="s">
        <v>96</v>
      </c>
      <c r="U4522" s="1">
        <v>1.00631322E8</v>
      </c>
      <c r="X4522" s="1" t="s">
        <v>63</v>
      </c>
      <c r="Y4522" s="1" t="s">
        <v>12803</v>
      </c>
      <c r="Z4522" s="1" t="s">
        <v>37</v>
      </c>
    </row>
    <row r="4523" hidden="1">
      <c r="A4523" s="1" t="s">
        <v>12804</v>
      </c>
      <c r="B4523" s="1" t="s">
        <v>12805</v>
      </c>
      <c r="C4523" s="1" t="s">
        <v>12806</v>
      </c>
      <c r="D4523" s="1" t="s">
        <v>78</v>
      </c>
      <c r="E4523" s="1" t="s">
        <v>28</v>
      </c>
      <c r="F4523" s="2">
        <v>120000.0</v>
      </c>
      <c r="G4523" s="1" t="s">
        <v>1694</v>
      </c>
      <c r="H4523" s="4">
        <f>IFERROR(__xludf.DUMMYFUNCTION("DATE(INDEX(SPLIT(G4523,""/""),,3),INDEX(SPLIT(G4523,""/""),,2),INDEX(SPLIT(G4523,""/""),,1))"),44516.0)</f>
        <v>44516</v>
      </c>
      <c r="I4523" s="1" t="s">
        <v>203</v>
      </c>
      <c r="J4523" s="4">
        <f>IFERROR(__xludf.DUMMYFUNCTION("DATE(INDEX(SPLIT(I4523,""/""),,3),INDEX(SPLIT(I4523,""/""),,2),INDEX(SPLIT(I4523,""/""),,1))"),44925.0)</f>
        <v>44925</v>
      </c>
      <c r="L4523" s="1">
        <v>0.0</v>
      </c>
      <c r="M4523" s="1" t="s">
        <v>12807</v>
      </c>
      <c r="N4523" s="1"/>
      <c r="O4523" s="1" t="s">
        <v>30</v>
      </c>
      <c r="P4523" s="1" t="s">
        <v>31</v>
      </c>
      <c r="Q4523" s="1" t="s">
        <v>157</v>
      </c>
      <c r="R4523" s="1" t="s">
        <v>157</v>
      </c>
      <c r="S4523" s="1" t="s">
        <v>158</v>
      </c>
      <c r="T4523" s="1" t="s">
        <v>12808</v>
      </c>
      <c r="U4523" s="1">
        <v>1.00904278E8</v>
      </c>
      <c r="X4523" s="1" t="s">
        <v>254</v>
      </c>
      <c r="Y4523" s="1" t="s">
        <v>12809</v>
      </c>
      <c r="Z4523" s="1" t="s">
        <v>1783</v>
      </c>
    </row>
    <row r="4524">
      <c r="A4524" s="1" t="s">
        <v>12810</v>
      </c>
      <c r="B4524" s="1" t="s">
        <v>1748</v>
      </c>
      <c r="C4524" s="1" t="s">
        <v>12811</v>
      </c>
      <c r="D4524" s="1" t="s">
        <v>78</v>
      </c>
      <c r="E4524" s="1" t="s">
        <v>28</v>
      </c>
      <c r="F4524" s="2">
        <v>120000.0</v>
      </c>
      <c r="G4524" s="1" t="s">
        <v>624</v>
      </c>
      <c r="H4524" s="4">
        <f>IFERROR(__xludf.DUMMYFUNCTION("DATE(INDEX(SPLIT(G4524,""/""),,3),INDEX(SPLIT(G4524,""/""),,2),INDEX(SPLIT(G4524,""/""),,1))"),44642.0)</f>
        <v>44642</v>
      </c>
      <c r="I4524" s="1" t="s">
        <v>108</v>
      </c>
      <c r="J4524" s="4">
        <f>IFERROR(__xludf.DUMMYFUNCTION("DATE(INDEX(SPLIT(I4524,""/""),,3),INDEX(SPLIT(I4524,""/""),,2),INDEX(SPLIT(I4524,""/""),,1))"),44725.0)</f>
        <v>44725</v>
      </c>
      <c r="L4524" s="1">
        <v>0.0</v>
      </c>
      <c r="M4524" s="1" t="s">
        <v>4919</v>
      </c>
      <c r="N4524" s="1"/>
      <c r="O4524" s="1" t="s">
        <v>30</v>
      </c>
      <c r="P4524" s="1" t="s">
        <v>31</v>
      </c>
      <c r="Q4524" s="1" t="s">
        <v>235</v>
      </c>
      <c r="R4524" s="1" t="s">
        <v>235</v>
      </c>
      <c r="S4524" s="1" t="s">
        <v>236</v>
      </c>
      <c r="T4524" s="1" t="s">
        <v>1349</v>
      </c>
      <c r="U4524" s="1">
        <v>1.00646809E8</v>
      </c>
      <c r="X4524" s="1" t="s">
        <v>88</v>
      </c>
      <c r="Y4524" s="1" t="s">
        <v>5075</v>
      </c>
      <c r="Z4524" s="1" t="s">
        <v>37</v>
      </c>
    </row>
    <row r="4525">
      <c r="A4525" s="1" t="s">
        <v>12812</v>
      </c>
      <c r="B4525" s="1" t="s">
        <v>1845</v>
      </c>
      <c r="C4525" s="1" t="s">
        <v>12813</v>
      </c>
      <c r="D4525" s="1" t="s">
        <v>27</v>
      </c>
      <c r="E4525" s="1" t="s">
        <v>28</v>
      </c>
      <c r="F4525" s="2">
        <v>116250.0</v>
      </c>
      <c r="G4525" s="4">
        <v>44779.0</v>
      </c>
      <c r="H4525" s="4">
        <f>IFERROR(__xludf.DUMMYFUNCTION("DATE(INDEX(SPLIT(G4525,""/""),,3),INDEX(SPLIT(G4525,""/""),,2),INDEX(SPLIT(G4525,""/""),,1))"),44720.0)</f>
        <v>44720</v>
      </c>
      <c r="I4525" s="1" t="s">
        <v>69</v>
      </c>
      <c r="J4525" s="4">
        <f>IFERROR(__xludf.DUMMYFUNCTION("DATE(INDEX(SPLIT(I4525,""/""),,3),INDEX(SPLIT(I4525,""/""),,2),INDEX(SPLIT(I4525,""/""),,1))"),44773.0)</f>
        <v>44773</v>
      </c>
      <c r="L4525" s="1">
        <v>0.0</v>
      </c>
      <c r="M4525" s="1" t="s">
        <v>9444</v>
      </c>
      <c r="N4525" s="1"/>
      <c r="O4525" s="1" t="s">
        <v>30</v>
      </c>
      <c r="P4525" s="1" t="s">
        <v>31</v>
      </c>
      <c r="Q4525" s="1" t="s">
        <v>157</v>
      </c>
      <c r="R4525" s="1" t="s">
        <v>157</v>
      </c>
      <c r="S4525" s="1" t="s">
        <v>158</v>
      </c>
      <c r="T4525" s="1" t="s">
        <v>159</v>
      </c>
      <c r="U4525" s="1">
        <v>1.00614201E8</v>
      </c>
      <c r="X4525" s="1" t="s">
        <v>490</v>
      </c>
      <c r="Y4525" s="1" t="s">
        <v>9445</v>
      </c>
      <c r="Z4525" s="1" t="s">
        <v>37</v>
      </c>
    </row>
    <row r="4526" hidden="1">
      <c r="A4526" s="1" t="s">
        <v>12814</v>
      </c>
      <c r="B4526" s="1" t="s">
        <v>4546</v>
      </c>
      <c r="C4526" s="1" t="s">
        <v>12815</v>
      </c>
      <c r="D4526" s="1" t="s">
        <v>27</v>
      </c>
      <c r="E4526" s="1" t="s">
        <v>28</v>
      </c>
      <c r="F4526" s="2">
        <v>115000.0</v>
      </c>
      <c r="G4526" s="1" t="s">
        <v>940</v>
      </c>
      <c r="H4526" s="4">
        <f>IFERROR(__xludf.DUMMYFUNCTION("DATE(INDEX(SPLIT(G4526,""/""),,3),INDEX(SPLIT(G4526,""/""),,2),INDEX(SPLIT(G4526,""/""),,1))"),44574.0)</f>
        <v>44574</v>
      </c>
      <c r="I4526" s="1" t="s">
        <v>360</v>
      </c>
      <c r="J4526" s="4">
        <f>IFERROR(__xludf.DUMMYFUNCTION("DATE(INDEX(SPLIT(I4526,""/""),,3),INDEX(SPLIT(I4526,""/""),,2),INDEX(SPLIT(I4526,""/""),,1))"),44895.0)</f>
        <v>44895</v>
      </c>
      <c r="L4526" s="1">
        <v>0.0</v>
      </c>
      <c r="M4526" s="1" t="s">
        <v>11254</v>
      </c>
      <c r="N4526" s="1"/>
      <c r="O4526" s="1" t="s">
        <v>30</v>
      </c>
      <c r="P4526" s="1" t="s">
        <v>31</v>
      </c>
      <c r="Q4526" s="1" t="s">
        <v>228</v>
      </c>
      <c r="R4526" s="1" t="s">
        <v>228</v>
      </c>
      <c r="S4526" s="1" t="s">
        <v>229</v>
      </c>
      <c r="T4526" s="1" t="s">
        <v>640</v>
      </c>
      <c r="U4526" s="1">
        <v>1.00602248E8</v>
      </c>
      <c r="X4526" s="1" t="s">
        <v>98</v>
      </c>
      <c r="Y4526" s="1" t="s">
        <v>12816</v>
      </c>
      <c r="Z4526" s="1" t="s">
        <v>37</v>
      </c>
    </row>
    <row r="4527" hidden="1">
      <c r="A4527" s="1" t="s">
        <v>12817</v>
      </c>
      <c r="B4527" s="1" t="s">
        <v>12818</v>
      </c>
      <c r="C4527" s="1" t="s">
        <v>12819</v>
      </c>
      <c r="D4527" s="1" t="s">
        <v>78</v>
      </c>
      <c r="E4527" s="1" t="s">
        <v>28</v>
      </c>
      <c r="F4527" s="2">
        <v>114300.0</v>
      </c>
      <c r="G4527" s="1" t="s">
        <v>935</v>
      </c>
      <c r="H4527" s="4">
        <f>IFERROR(__xludf.DUMMYFUNCTION("DATE(INDEX(SPLIT(G4527,""/""),,3),INDEX(SPLIT(G4527,""/""),,2),INDEX(SPLIT(G4527,""/""),,1))"),44764.0)</f>
        <v>44764</v>
      </c>
      <c r="I4527" s="1" t="s">
        <v>203</v>
      </c>
      <c r="J4527" s="4">
        <f>IFERROR(__xludf.DUMMYFUNCTION("DATE(INDEX(SPLIT(I4527,""/""),,3),INDEX(SPLIT(I4527,""/""),,2),INDEX(SPLIT(I4527,""/""),,1))"),44925.0)</f>
        <v>44925</v>
      </c>
      <c r="L4527" s="1">
        <v>0.0</v>
      </c>
      <c r="M4527" s="1" t="s">
        <v>4735</v>
      </c>
      <c r="N4527" s="1"/>
      <c r="O4527" s="1" t="s">
        <v>30</v>
      </c>
      <c r="P4527" s="1" t="s">
        <v>31</v>
      </c>
      <c r="Q4527" s="1" t="s">
        <v>71</v>
      </c>
      <c r="R4527" s="1" t="s">
        <v>71</v>
      </c>
      <c r="S4527" s="1" t="s">
        <v>72</v>
      </c>
      <c r="T4527" s="1" t="s">
        <v>136</v>
      </c>
      <c r="U4527" s="1">
        <v>1.00609615E8</v>
      </c>
      <c r="X4527" s="1" t="s">
        <v>74</v>
      </c>
      <c r="Y4527" s="1" t="s">
        <v>2593</v>
      </c>
      <c r="Z4527" s="1" t="s">
        <v>206</v>
      </c>
    </row>
    <row r="4528" hidden="1">
      <c r="A4528" s="1" t="s">
        <v>12820</v>
      </c>
      <c r="B4528" s="1" t="s">
        <v>2000</v>
      </c>
      <c r="C4528" s="1" t="s">
        <v>12821</v>
      </c>
      <c r="D4528" s="1" t="s">
        <v>78</v>
      </c>
      <c r="E4528" s="1" t="s">
        <v>28</v>
      </c>
      <c r="F4528" s="2">
        <v>114095.0</v>
      </c>
      <c r="G4528" s="1" t="s">
        <v>619</v>
      </c>
      <c r="H4528" s="4">
        <f>IFERROR(__xludf.DUMMYFUNCTION("DATE(INDEX(SPLIT(G4528,""/""),,3),INDEX(SPLIT(G4528,""/""),,2),INDEX(SPLIT(G4528,""/""),,1))"),44490.0)</f>
        <v>44490</v>
      </c>
      <c r="I4528" s="4">
        <v>44571.0</v>
      </c>
      <c r="J4528" s="4">
        <f>IFERROR(__xludf.DUMMYFUNCTION("DATE(INDEX(SPLIT(I4528,""/""),,3),INDEX(SPLIT(I4528,""/""),,2),INDEX(SPLIT(I4528,""/""),,1))"),44835.0)</f>
        <v>44835</v>
      </c>
      <c r="L4528" s="1">
        <v>0.0</v>
      </c>
      <c r="M4528" s="1" t="s">
        <v>5592</v>
      </c>
      <c r="N4528" s="1"/>
      <c r="O4528" s="1" t="s">
        <v>30</v>
      </c>
      <c r="P4528" s="1" t="s">
        <v>31</v>
      </c>
      <c r="Q4528" s="1" t="s">
        <v>235</v>
      </c>
      <c r="R4528" s="1" t="s">
        <v>235</v>
      </c>
      <c r="S4528" s="1" t="s">
        <v>236</v>
      </c>
      <c r="T4528" s="1" t="s">
        <v>1349</v>
      </c>
      <c r="U4528" s="1">
        <v>1.00657831E8</v>
      </c>
      <c r="X4528" s="1" t="s">
        <v>609</v>
      </c>
      <c r="Y4528" s="1" t="s">
        <v>7529</v>
      </c>
      <c r="Z4528" s="1" t="s">
        <v>37</v>
      </c>
    </row>
    <row r="4529">
      <c r="A4529" s="1" t="s">
        <v>12822</v>
      </c>
      <c r="B4529" s="1" t="s">
        <v>2000</v>
      </c>
      <c r="C4529" s="1" t="s">
        <v>12823</v>
      </c>
      <c r="D4529" s="1" t="s">
        <v>78</v>
      </c>
      <c r="E4529" s="1" t="s">
        <v>28</v>
      </c>
      <c r="F4529" s="2">
        <v>114095.0</v>
      </c>
      <c r="G4529" s="1" t="s">
        <v>619</v>
      </c>
      <c r="H4529" s="4">
        <f>IFERROR(__xludf.DUMMYFUNCTION("DATE(INDEX(SPLIT(G4529,""/""),,3),INDEX(SPLIT(G4529,""/""),,2),INDEX(SPLIT(G4529,""/""),,1))"),44490.0)</f>
        <v>44490</v>
      </c>
      <c r="I4529" s="4">
        <v>44568.0</v>
      </c>
      <c r="J4529" s="4">
        <f>IFERROR(__xludf.DUMMYFUNCTION("DATE(INDEX(SPLIT(I4529,""/""),,3),INDEX(SPLIT(I4529,""/""),,2),INDEX(SPLIT(I4529,""/""),,1))"),44743.0)</f>
        <v>44743</v>
      </c>
      <c r="L4529" s="1">
        <v>0.0</v>
      </c>
      <c r="M4529" s="1" t="s">
        <v>5592</v>
      </c>
      <c r="N4529" s="1"/>
      <c r="O4529" s="1" t="s">
        <v>30</v>
      </c>
      <c r="P4529" s="1" t="s">
        <v>31</v>
      </c>
      <c r="Q4529" s="1" t="s">
        <v>235</v>
      </c>
      <c r="R4529" s="1" t="s">
        <v>235</v>
      </c>
      <c r="S4529" s="1" t="s">
        <v>236</v>
      </c>
      <c r="T4529" s="1" t="s">
        <v>1349</v>
      </c>
      <c r="U4529" s="1">
        <v>1.00657831E8</v>
      </c>
      <c r="X4529" s="1" t="s">
        <v>609</v>
      </c>
      <c r="Y4529" s="1" t="s">
        <v>7529</v>
      </c>
      <c r="Z4529" s="1" t="s">
        <v>37</v>
      </c>
    </row>
    <row r="4530" hidden="1">
      <c r="A4530" s="1" t="s">
        <v>12824</v>
      </c>
      <c r="B4530" s="1" t="s">
        <v>1113</v>
      </c>
      <c r="C4530" s="1" t="s">
        <v>12825</v>
      </c>
      <c r="D4530" s="1" t="s">
        <v>122</v>
      </c>
      <c r="E4530" s="1" t="s">
        <v>28</v>
      </c>
      <c r="F4530" s="2">
        <v>110000.0</v>
      </c>
      <c r="G4530" s="1" t="s">
        <v>1521</v>
      </c>
      <c r="H4530" s="4">
        <f>IFERROR(__xludf.DUMMYFUNCTION("DATE(INDEX(SPLIT(G4530,""/""),,3),INDEX(SPLIT(G4530,""/""),,2),INDEX(SPLIT(G4530,""/""),,1))"),44756.0)</f>
        <v>44756</v>
      </c>
      <c r="I4530" s="1" t="s">
        <v>85</v>
      </c>
      <c r="J4530" s="4">
        <f>IFERROR(__xludf.DUMMYFUNCTION("DATE(INDEX(SPLIT(I4530,""/""),,3),INDEX(SPLIT(I4530,""/""),,2),INDEX(SPLIT(I4530,""/""),,1))"),44799.0)</f>
        <v>44799</v>
      </c>
      <c r="L4530" s="1">
        <v>0.0</v>
      </c>
      <c r="M4530" s="1" t="s">
        <v>633</v>
      </c>
      <c r="N4530" s="1"/>
      <c r="O4530" s="1" t="s">
        <v>30</v>
      </c>
      <c r="P4530" s="1" t="s">
        <v>31</v>
      </c>
      <c r="Q4530" s="1" t="s">
        <v>53</v>
      </c>
      <c r="R4530" s="1" t="s">
        <v>53</v>
      </c>
      <c r="S4530" s="1" t="s">
        <v>54</v>
      </c>
      <c r="T4530" s="1" t="s">
        <v>634</v>
      </c>
      <c r="U4530" s="1">
        <v>1.00997154E8</v>
      </c>
      <c r="X4530" s="1" t="s">
        <v>490</v>
      </c>
      <c r="Y4530" s="1" t="s">
        <v>3788</v>
      </c>
      <c r="Z4530" s="1" t="s">
        <v>37</v>
      </c>
    </row>
    <row r="4531" hidden="1">
      <c r="A4531" s="1" t="s">
        <v>12826</v>
      </c>
      <c r="B4531" s="1" t="s">
        <v>497</v>
      </c>
      <c r="C4531" s="1" t="s">
        <v>12827</v>
      </c>
      <c r="D4531" s="1" t="s">
        <v>122</v>
      </c>
      <c r="E4531" s="1" t="s">
        <v>28</v>
      </c>
      <c r="F4531" s="2">
        <v>110000.0</v>
      </c>
      <c r="G4531" s="4">
        <v>44716.0</v>
      </c>
      <c r="H4531" s="4">
        <f>IFERROR(__xludf.DUMMYFUNCTION("DATE(INDEX(SPLIT(G4531,""/""),,3),INDEX(SPLIT(G4531,""/""),,2),INDEX(SPLIT(G4531,""/""),,1))"),44657.0)</f>
        <v>44657</v>
      </c>
      <c r="I4531" s="1" t="s">
        <v>130</v>
      </c>
      <c r="J4531" s="4">
        <f>IFERROR(__xludf.DUMMYFUNCTION("DATE(INDEX(SPLIT(I4531,""/""),,3),INDEX(SPLIT(I4531,""/""),,2),INDEX(SPLIT(I4531,""/""),,1))"),44804.0)</f>
        <v>44804</v>
      </c>
      <c r="L4531" s="1">
        <v>0.0</v>
      </c>
      <c r="M4531" s="1" t="s">
        <v>597</v>
      </c>
      <c r="N4531" s="1"/>
      <c r="O4531" s="1" t="s">
        <v>30</v>
      </c>
      <c r="P4531" s="1" t="s">
        <v>31</v>
      </c>
      <c r="Q4531" s="1" t="s">
        <v>32</v>
      </c>
      <c r="R4531" s="1" t="s">
        <v>32</v>
      </c>
      <c r="S4531" s="1" t="s">
        <v>33</v>
      </c>
      <c r="T4531" s="1" t="s">
        <v>34</v>
      </c>
      <c r="U4531" s="1">
        <v>1.0064407E8</v>
      </c>
      <c r="X4531" s="1" t="s">
        <v>35</v>
      </c>
      <c r="Y4531" s="1" t="s">
        <v>4099</v>
      </c>
      <c r="Z4531" s="1" t="s">
        <v>37</v>
      </c>
    </row>
    <row r="4532">
      <c r="A4532" s="1" t="s">
        <v>12828</v>
      </c>
      <c r="B4532" s="1" t="s">
        <v>12829</v>
      </c>
      <c r="C4532" s="1" t="s">
        <v>12830</v>
      </c>
      <c r="D4532" s="1" t="s">
        <v>27</v>
      </c>
      <c r="E4532" s="1" t="s">
        <v>28</v>
      </c>
      <c r="F4532" s="2">
        <v>110000.0</v>
      </c>
      <c r="G4532" s="4">
        <v>44869.0</v>
      </c>
      <c r="H4532" s="4">
        <f>IFERROR(__xludf.DUMMYFUNCTION("DATE(INDEX(SPLIT(G4532,""/""),,3),INDEX(SPLIT(G4532,""/""),,2),INDEX(SPLIT(G4532,""/""),,1))"),44662.0)</f>
        <v>44662</v>
      </c>
      <c r="I4532" s="1" t="s">
        <v>2300</v>
      </c>
      <c r="J4532" s="4">
        <f>IFERROR(__xludf.DUMMYFUNCTION("DATE(INDEX(SPLIT(I4532,""/""),,3),INDEX(SPLIT(I4532,""/""),,2),INDEX(SPLIT(I4532,""/""),,1))"),44712.0)</f>
        <v>44712</v>
      </c>
      <c r="L4532" s="1">
        <v>0.0</v>
      </c>
      <c r="M4532" s="1" t="s">
        <v>9406</v>
      </c>
      <c r="N4532" s="1"/>
      <c r="O4532" s="1" t="s">
        <v>30</v>
      </c>
      <c r="P4532" s="1" t="s">
        <v>31</v>
      </c>
      <c r="Q4532" s="1" t="s">
        <v>228</v>
      </c>
      <c r="R4532" s="1" t="s">
        <v>228</v>
      </c>
      <c r="S4532" s="1" t="s">
        <v>229</v>
      </c>
      <c r="T4532" s="1" t="s">
        <v>513</v>
      </c>
      <c r="U4532" s="1">
        <v>1.01000708E8</v>
      </c>
      <c r="X4532" s="1" t="s">
        <v>2769</v>
      </c>
      <c r="Y4532" s="1" t="s">
        <v>12831</v>
      </c>
      <c r="Z4532" s="1" t="s">
        <v>37</v>
      </c>
    </row>
    <row r="4533" hidden="1">
      <c r="A4533" s="1" t="s">
        <v>12832</v>
      </c>
      <c r="B4533" s="1" t="s">
        <v>12833</v>
      </c>
      <c r="C4533" s="1" t="s">
        <v>12834</v>
      </c>
      <c r="D4533" s="1" t="s">
        <v>122</v>
      </c>
      <c r="E4533" s="1" t="s">
        <v>28</v>
      </c>
      <c r="F4533" s="2">
        <v>110000.0</v>
      </c>
      <c r="G4533" s="1" t="s">
        <v>1259</v>
      </c>
      <c r="H4533" s="4">
        <f>IFERROR(__xludf.DUMMYFUNCTION("DATE(INDEX(SPLIT(G4533,""/""),,3),INDEX(SPLIT(G4533,""/""),,2),INDEX(SPLIT(G4533,""/""),,1))"),44763.0)</f>
        <v>44763</v>
      </c>
      <c r="I4533" s="1" t="s">
        <v>130</v>
      </c>
      <c r="J4533" s="4">
        <f>IFERROR(__xludf.DUMMYFUNCTION("DATE(INDEX(SPLIT(I4533,""/""),,3),INDEX(SPLIT(I4533,""/""),,2),INDEX(SPLIT(I4533,""/""),,1))"),44804.0)</f>
        <v>44804</v>
      </c>
      <c r="L4533" s="1">
        <v>0.0</v>
      </c>
      <c r="M4533" s="1" t="s">
        <v>3099</v>
      </c>
      <c r="N4533" s="1"/>
      <c r="O4533" s="1" t="s">
        <v>30</v>
      </c>
      <c r="P4533" s="1" t="s">
        <v>31</v>
      </c>
      <c r="Q4533" s="1" t="s">
        <v>95</v>
      </c>
      <c r="R4533" s="1" t="s">
        <v>95</v>
      </c>
      <c r="S4533" s="1" t="s">
        <v>96</v>
      </c>
      <c r="T4533" s="1" t="s">
        <v>97</v>
      </c>
      <c r="U4533" s="1">
        <v>1.00589299E8</v>
      </c>
      <c r="X4533" s="1" t="s">
        <v>125</v>
      </c>
      <c r="Y4533" s="1" t="s">
        <v>9101</v>
      </c>
      <c r="Z4533" s="1" t="s">
        <v>37</v>
      </c>
    </row>
    <row r="4534">
      <c r="A4534" s="1" t="s">
        <v>12835</v>
      </c>
      <c r="B4534" s="1" t="s">
        <v>12836</v>
      </c>
      <c r="C4534" s="1" t="s">
        <v>12837</v>
      </c>
      <c r="D4534" s="1" t="s">
        <v>122</v>
      </c>
      <c r="E4534" s="1" t="s">
        <v>28</v>
      </c>
      <c r="F4534" s="2">
        <v>110000.0</v>
      </c>
      <c r="G4534" s="4">
        <v>44871.0</v>
      </c>
      <c r="H4534" s="4">
        <f>IFERROR(__xludf.DUMMYFUNCTION("DATE(INDEX(SPLIT(G4534,""/""),,3),INDEX(SPLIT(G4534,""/""),,2),INDEX(SPLIT(G4534,""/""),,1))"),44723.0)</f>
        <v>44723</v>
      </c>
      <c r="I4534" s="4">
        <v>44568.0</v>
      </c>
      <c r="J4534" s="4">
        <f>IFERROR(__xludf.DUMMYFUNCTION("DATE(INDEX(SPLIT(I4534,""/""),,3),INDEX(SPLIT(I4534,""/""),,2),INDEX(SPLIT(I4534,""/""),,1))"),44743.0)</f>
        <v>44743</v>
      </c>
      <c r="L4534" s="1">
        <v>0.0</v>
      </c>
      <c r="M4534" s="1" t="s">
        <v>1959</v>
      </c>
      <c r="N4534" s="1"/>
      <c r="O4534" s="1" t="s">
        <v>30</v>
      </c>
      <c r="P4534" s="1" t="s">
        <v>31</v>
      </c>
      <c r="Q4534" s="1" t="s">
        <v>228</v>
      </c>
      <c r="R4534" s="1" t="s">
        <v>228</v>
      </c>
      <c r="S4534" s="1" t="s">
        <v>229</v>
      </c>
      <c r="T4534" s="1" t="s">
        <v>640</v>
      </c>
      <c r="U4534" s="1">
        <v>1.00955805E8</v>
      </c>
      <c r="X4534" s="1" t="s">
        <v>375</v>
      </c>
      <c r="Y4534" s="1" t="s">
        <v>10219</v>
      </c>
      <c r="Z4534" s="1" t="s">
        <v>37</v>
      </c>
    </row>
    <row r="4535">
      <c r="A4535" s="1" t="s">
        <v>12838</v>
      </c>
      <c r="B4535" s="1" t="s">
        <v>1144</v>
      </c>
      <c r="C4535" s="1" t="s">
        <v>12839</v>
      </c>
      <c r="D4535" s="1" t="s">
        <v>78</v>
      </c>
      <c r="E4535" s="1" t="s">
        <v>28</v>
      </c>
      <c r="F4535" s="2">
        <v>108000.0</v>
      </c>
      <c r="G4535" s="1" t="s">
        <v>1569</v>
      </c>
      <c r="H4535" s="4">
        <f>IFERROR(__xludf.DUMMYFUNCTION("DATE(INDEX(SPLIT(G4535,""/""),,3),INDEX(SPLIT(G4535,""/""),,2),INDEX(SPLIT(G4535,""/""),,1))"),44645.0)</f>
        <v>44645</v>
      </c>
      <c r="I4535" s="1" t="s">
        <v>1244</v>
      </c>
      <c r="J4535" s="4">
        <f>IFERROR(__xludf.DUMMYFUNCTION("DATE(INDEX(SPLIT(I4535,""/""),,3),INDEX(SPLIT(I4535,""/""),,2),INDEX(SPLIT(I4535,""/""),,1))"),44742.0)</f>
        <v>44742</v>
      </c>
      <c r="L4535" s="1">
        <v>0.0</v>
      </c>
      <c r="M4535" s="1" t="s">
        <v>1146</v>
      </c>
      <c r="N4535" s="1"/>
      <c r="O4535" s="1" t="s">
        <v>30</v>
      </c>
      <c r="P4535" s="1" t="s">
        <v>31</v>
      </c>
      <c r="Q4535" s="1" t="s">
        <v>228</v>
      </c>
      <c r="R4535" s="1" t="s">
        <v>228</v>
      </c>
      <c r="S4535" s="1" t="s">
        <v>229</v>
      </c>
      <c r="T4535" s="1" t="s">
        <v>640</v>
      </c>
      <c r="U4535" s="1">
        <v>1.0061139E8</v>
      </c>
      <c r="X4535" s="1" t="s">
        <v>63</v>
      </c>
      <c r="Y4535" s="1" t="s">
        <v>1147</v>
      </c>
      <c r="Z4535" s="1" t="s">
        <v>37</v>
      </c>
    </row>
    <row r="4536" hidden="1">
      <c r="A4536" s="1" t="s">
        <v>12840</v>
      </c>
      <c r="B4536" s="1" t="s">
        <v>12841</v>
      </c>
      <c r="C4536" s="1" t="s">
        <v>12842</v>
      </c>
      <c r="D4536" s="1" t="s">
        <v>78</v>
      </c>
      <c r="E4536" s="1" t="s">
        <v>28</v>
      </c>
      <c r="F4536" s="2">
        <v>107000.0</v>
      </c>
      <c r="G4536" s="1" t="s">
        <v>11277</v>
      </c>
      <c r="H4536" s="4">
        <f>IFERROR(__xludf.DUMMYFUNCTION("DATE(INDEX(SPLIT(G4536,""/""),,3),INDEX(SPLIT(G4536,""/""),,2),INDEX(SPLIT(G4536,""/""),,1))"),43784.0)</f>
        <v>43784</v>
      </c>
      <c r="I4536" s="1" t="s">
        <v>42</v>
      </c>
      <c r="J4536" s="4">
        <f>IFERROR(__xludf.DUMMYFUNCTION("DATE(INDEX(SPLIT(I4536,""/""),,3),INDEX(SPLIT(I4536,""/""),,2),INDEX(SPLIT(I4536,""/""),,1))"),44926.0)</f>
        <v>44926</v>
      </c>
      <c r="L4536" s="1">
        <v>0.0</v>
      </c>
      <c r="M4536" s="1" t="s">
        <v>2696</v>
      </c>
      <c r="N4536" s="1"/>
      <c r="O4536" s="1" t="s">
        <v>30</v>
      </c>
      <c r="P4536" s="1" t="s">
        <v>31</v>
      </c>
      <c r="Q4536" s="1" t="s">
        <v>157</v>
      </c>
      <c r="R4536" s="1" t="s">
        <v>157</v>
      </c>
      <c r="S4536" s="1" t="s">
        <v>158</v>
      </c>
      <c r="T4536" s="1" t="s">
        <v>8712</v>
      </c>
      <c r="U4536" s="1">
        <v>1.00611351E8</v>
      </c>
      <c r="X4536" s="1" t="s">
        <v>2769</v>
      </c>
      <c r="Y4536" s="1" t="s">
        <v>3016</v>
      </c>
      <c r="Z4536" s="1" t="s">
        <v>37</v>
      </c>
    </row>
    <row r="4537">
      <c r="A4537" s="1" t="s">
        <v>12843</v>
      </c>
      <c r="B4537" s="1" t="s">
        <v>4265</v>
      </c>
      <c r="C4537" s="1" t="s">
        <v>12844</v>
      </c>
      <c r="D4537" s="1" t="s">
        <v>122</v>
      </c>
      <c r="E4537" s="1" t="s">
        <v>28</v>
      </c>
      <c r="F4537" s="2">
        <v>105500.0</v>
      </c>
      <c r="G4537" s="1" t="s">
        <v>2077</v>
      </c>
      <c r="H4537" s="4">
        <f>IFERROR(__xludf.DUMMYFUNCTION("DATE(INDEX(SPLIT(G4537,""/""),,3),INDEX(SPLIT(G4537,""/""),,2),INDEX(SPLIT(G4537,""/""),,1))"),44700.0)</f>
        <v>44700</v>
      </c>
      <c r="I4537" s="1" t="s">
        <v>518</v>
      </c>
      <c r="J4537" s="4">
        <f>IFERROR(__xludf.DUMMYFUNCTION("DATE(INDEX(SPLIT(I4537,""/""),,3),INDEX(SPLIT(I4537,""/""),,2),INDEX(SPLIT(I4537,""/""),,1))"),44757.0)</f>
        <v>44757</v>
      </c>
      <c r="K4537" s="9">
        <v>44719.96041666667</v>
      </c>
      <c r="L4537" s="1">
        <v>0.0</v>
      </c>
      <c r="M4537" s="1" t="s">
        <v>6045</v>
      </c>
      <c r="N4537" s="1"/>
      <c r="O4537" s="1" t="s">
        <v>30</v>
      </c>
      <c r="P4537" s="1" t="s">
        <v>31</v>
      </c>
      <c r="Q4537" s="1" t="s">
        <v>228</v>
      </c>
      <c r="R4537" s="1" t="s">
        <v>228</v>
      </c>
      <c r="S4537" s="1" t="s">
        <v>229</v>
      </c>
      <c r="T4537" s="1" t="s">
        <v>513</v>
      </c>
      <c r="U4537" s="1">
        <v>1.00652479E8</v>
      </c>
      <c r="X4537" s="1" t="s">
        <v>63</v>
      </c>
      <c r="Y4537" s="1" t="s">
        <v>12845</v>
      </c>
      <c r="Z4537" s="1" t="s">
        <v>37</v>
      </c>
    </row>
    <row r="4538" hidden="1">
      <c r="A4538" s="1" t="s">
        <v>12846</v>
      </c>
      <c r="B4538" s="1" t="s">
        <v>2970</v>
      </c>
      <c r="C4538" s="1" t="s">
        <v>12847</v>
      </c>
      <c r="D4538" s="1" t="s">
        <v>122</v>
      </c>
      <c r="E4538" s="1" t="s">
        <v>28</v>
      </c>
      <c r="F4538" s="2">
        <v>105000.0</v>
      </c>
      <c r="G4538" s="1" t="s">
        <v>12848</v>
      </c>
      <c r="H4538" s="4">
        <f>IFERROR(__xludf.DUMMYFUNCTION("DATE(INDEX(SPLIT(G4538,""/""),,3),INDEX(SPLIT(G4538,""/""),,2),INDEX(SPLIT(G4538,""/""),,1))"),43917.0)</f>
        <v>43917</v>
      </c>
      <c r="I4538" s="1" t="s">
        <v>109</v>
      </c>
      <c r="J4538" s="4">
        <f>IFERROR(__xludf.DUMMYFUNCTION("DATE(INDEX(SPLIT(I4538,""/""),,3),INDEX(SPLIT(I4538,""/""),,2),INDEX(SPLIT(I4538,""/""),,1))"),44834.0)</f>
        <v>44834</v>
      </c>
      <c r="L4538" s="1">
        <v>0.0</v>
      </c>
      <c r="M4538" s="1" t="s">
        <v>2592</v>
      </c>
      <c r="N4538" s="1"/>
      <c r="O4538" s="1" t="s">
        <v>30</v>
      </c>
      <c r="P4538" s="1" t="s">
        <v>31</v>
      </c>
      <c r="Q4538" s="1" t="s">
        <v>71</v>
      </c>
      <c r="R4538" s="1" t="s">
        <v>71</v>
      </c>
      <c r="S4538" s="1" t="s">
        <v>72</v>
      </c>
      <c r="T4538" s="1" t="s">
        <v>136</v>
      </c>
      <c r="U4538" s="1">
        <v>1.00586452E8</v>
      </c>
      <c r="X4538" s="1" t="s">
        <v>74</v>
      </c>
      <c r="Y4538" s="1" t="s">
        <v>12849</v>
      </c>
      <c r="Z4538" s="1" t="s">
        <v>37</v>
      </c>
    </row>
    <row r="4539" hidden="1">
      <c r="A4539" s="1" t="s">
        <v>12850</v>
      </c>
      <c r="B4539" s="1" t="s">
        <v>896</v>
      </c>
      <c r="C4539" s="1" t="s">
        <v>12851</v>
      </c>
      <c r="D4539" s="1" t="s">
        <v>122</v>
      </c>
      <c r="E4539" s="1" t="s">
        <v>28</v>
      </c>
      <c r="F4539" s="2">
        <v>105000.0</v>
      </c>
      <c r="G4539" s="1" t="s">
        <v>472</v>
      </c>
      <c r="H4539" s="4">
        <f>IFERROR(__xludf.DUMMYFUNCTION("DATE(INDEX(SPLIT(G4539,""/""),,3),INDEX(SPLIT(G4539,""/""),,2),INDEX(SPLIT(G4539,""/""),,1))"),44760.0)</f>
        <v>44760</v>
      </c>
      <c r="I4539" s="1" t="s">
        <v>85</v>
      </c>
      <c r="J4539" s="4">
        <f>IFERROR(__xludf.DUMMYFUNCTION("DATE(INDEX(SPLIT(I4539,""/""),,3),INDEX(SPLIT(I4539,""/""),,2),INDEX(SPLIT(I4539,""/""),,1))"),44799.0)</f>
        <v>44799</v>
      </c>
      <c r="L4539" s="1">
        <v>0.0</v>
      </c>
      <c r="M4539" s="1" t="s">
        <v>4243</v>
      </c>
      <c r="N4539" s="1"/>
      <c r="O4539" s="1" t="s">
        <v>30</v>
      </c>
      <c r="P4539" s="1" t="s">
        <v>31</v>
      </c>
      <c r="Q4539" s="1" t="s">
        <v>157</v>
      </c>
      <c r="R4539" s="1" t="s">
        <v>157</v>
      </c>
      <c r="S4539" s="1" t="s">
        <v>158</v>
      </c>
      <c r="U4539" s="1">
        <v>1.0058537E8</v>
      </c>
      <c r="X4539" s="1" t="s">
        <v>490</v>
      </c>
      <c r="Y4539" s="1" t="s">
        <v>9877</v>
      </c>
      <c r="Z4539" s="1" t="s">
        <v>37</v>
      </c>
    </row>
    <row r="4540">
      <c r="A4540" s="1" t="s">
        <v>12852</v>
      </c>
      <c r="B4540" s="1" t="s">
        <v>6188</v>
      </c>
      <c r="C4540" s="1" t="s">
        <v>12853</v>
      </c>
      <c r="D4540" s="1" t="s">
        <v>122</v>
      </c>
      <c r="E4540" s="1" t="s">
        <v>28</v>
      </c>
      <c r="F4540" s="2">
        <v>105000.0</v>
      </c>
      <c r="G4540" s="4">
        <v>44902.0</v>
      </c>
      <c r="H4540" s="4">
        <f>IFERROR(__xludf.DUMMYFUNCTION("DATE(INDEX(SPLIT(G4540,""/""),,3),INDEX(SPLIT(G4540,""/""),,2),INDEX(SPLIT(G4540,""/""),,1))"),44754.0)</f>
        <v>44754</v>
      </c>
      <c r="I4540" s="1" t="s">
        <v>226</v>
      </c>
      <c r="J4540" s="4">
        <f>IFERROR(__xludf.DUMMYFUNCTION("DATE(INDEX(SPLIT(I4540,""/""),,3),INDEX(SPLIT(I4540,""/""),,2),INDEX(SPLIT(I4540,""/""),,1))"),44771.0)</f>
        <v>44771</v>
      </c>
      <c r="L4540" s="1">
        <v>0.0</v>
      </c>
      <c r="M4540" s="1" t="s">
        <v>5120</v>
      </c>
      <c r="N4540" s="1"/>
      <c r="O4540" s="1" t="s">
        <v>30</v>
      </c>
      <c r="P4540" s="1" t="s">
        <v>31</v>
      </c>
      <c r="Q4540" s="1" t="s">
        <v>71</v>
      </c>
      <c r="R4540" s="1" t="s">
        <v>71</v>
      </c>
      <c r="S4540" s="1" t="s">
        <v>72</v>
      </c>
      <c r="T4540" s="1" t="s">
        <v>136</v>
      </c>
      <c r="U4540" s="1">
        <v>1.0059101E8</v>
      </c>
      <c r="X4540" s="1" t="s">
        <v>88</v>
      </c>
      <c r="Y4540" s="1" t="s">
        <v>12682</v>
      </c>
      <c r="Z4540" s="1" t="s">
        <v>37</v>
      </c>
    </row>
    <row r="4541">
      <c r="A4541" s="1" t="s">
        <v>12854</v>
      </c>
      <c r="B4541" s="1" t="s">
        <v>7034</v>
      </c>
      <c r="C4541" s="1" t="s">
        <v>12855</v>
      </c>
      <c r="D4541" s="1" t="s">
        <v>122</v>
      </c>
      <c r="E4541" s="1" t="s">
        <v>28</v>
      </c>
      <c r="F4541" s="2">
        <v>105000.0</v>
      </c>
      <c r="G4541" s="4">
        <v>44807.0</v>
      </c>
      <c r="H4541" s="4">
        <f>IFERROR(__xludf.DUMMYFUNCTION("DATE(INDEX(SPLIT(G4541,""/""),,3),INDEX(SPLIT(G4541,""/""),,2),INDEX(SPLIT(G4541,""/""),,1))"),44629.0)</f>
        <v>44629</v>
      </c>
      <c r="I4541" s="4">
        <v>44568.0</v>
      </c>
      <c r="J4541" s="4">
        <f>IFERROR(__xludf.DUMMYFUNCTION("DATE(INDEX(SPLIT(I4541,""/""),,3),INDEX(SPLIT(I4541,""/""),,2),INDEX(SPLIT(I4541,""/""),,1))"),44743.0)</f>
        <v>44743</v>
      </c>
      <c r="L4541" s="1">
        <v>0.0</v>
      </c>
      <c r="M4541" s="1" t="s">
        <v>1610</v>
      </c>
      <c r="N4541" s="1"/>
      <c r="O4541" s="1" t="s">
        <v>30</v>
      </c>
      <c r="P4541" s="1" t="s">
        <v>31</v>
      </c>
      <c r="Q4541" s="1" t="s">
        <v>53</v>
      </c>
      <c r="R4541" s="1" t="s">
        <v>53</v>
      </c>
      <c r="S4541" s="1" t="s">
        <v>54</v>
      </c>
      <c r="T4541" s="1" t="s">
        <v>1386</v>
      </c>
      <c r="U4541" s="1">
        <v>1.01141441E8</v>
      </c>
      <c r="X4541" s="1" t="s">
        <v>81</v>
      </c>
      <c r="Y4541" s="1" t="s">
        <v>1610</v>
      </c>
      <c r="Z4541" s="1" t="s">
        <v>37</v>
      </c>
    </row>
    <row r="4542">
      <c r="A4542" s="1" t="s">
        <v>12856</v>
      </c>
      <c r="B4542" s="1" t="s">
        <v>896</v>
      </c>
      <c r="C4542" s="1" t="s">
        <v>12857</v>
      </c>
      <c r="D4542" s="1" t="s">
        <v>122</v>
      </c>
      <c r="E4542" s="1" t="s">
        <v>28</v>
      </c>
      <c r="F4542" s="2">
        <v>105000.0</v>
      </c>
      <c r="G4542" s="1" t="s">
        <v>418</v>
      </c>
      <c r="H4542" s="4">
        <f>IFERROR(__xludf.DUMMYFUNCTION("DATE(INDEX(SPLIT(G4542,""/""),,3),INDEX(SPLIT(G4542,""/""),,2),INDEX(SPLIT(G4542,""/""),,1))"),44755.0)</f>
        <v>44755</v>
      </c>
      <c r="I4542" s="1" t="s">
        <v>1141</v>
      </c>
      <c r="J4542" s="4">
        <f>IFERROR(__xludf.DUMMYFUNCTION("DATE(INDEX(SPLIT(I4542,""/""),,3),INDEX(SPLIT(I4542,""/""),,2),INDEX(SPLIT(I4542,""/""),,1))"),44767.0)</f>
        <v>44767</v>
      </c>
      <c r="L4542" s="1">
        <v>0.0</v>
      </c>
      <c r="M4542" s="1" t="s">
        <v>4243</v>
      </c>
      <c r="N4542" s="1"/>
      <c r="O4542" s="1" t="s">
        <v>30</v>
      </c>
      <c r="P4542" s="1" t="s">
        <v>31</v>
      </c>
      <c r="Q4542" s="1" t="s">
        <v>157</v>
      </c>
      <c r="R4542" s="1" t="s">
        <v>157</v>
      </c>
      <c r="S4542" s="1" t="s">
        <v>158</v>
      </c>
      <c r="U4542" s="1">
        <v>1.0058537E8</v>
      </c>
      <c r="X4542" s="1" t="s">
        <v>490</v>
      </c>
      <c r="Y4542" s="1" t="s">
        <v>9877</v>
      </c>
      <c r="Z4542" s="1" t="s">
        <v>37</v>
      </c>
    </row>
    <row r="4543">
      <c r="A4543" s="1" t="s">
        <v>12858</v>
      </c>
      <c r="B4543" s="1" t="s">
        <v>120</v>
      </c>
      <c r="C4543" s="1" t="s">
        <v>12859</v>
      </c>
      <c r="D4543" s="1" t="s">
        <v>78</v>
      </c>
      <c r="E4543" s="1" t="s">
        <v>28</v>
      </c>
      <c r="F4543" s="2">
        <v>105000.0</v>
      </c>
      <c r="G4543" s="1" t="s">
        <v>2324</v>
      </c>
      <c r="H4543" s="4">
        <f>IFERROR(__xludf.DUMMYFUNCTION("DATE(INDEX(SPLIT(G4543,""/""),,3),INDEX(SPLIT(G4543,""/""),,2),INDEX(SPLIT(G4543,""/""),,1))"),44705.0)</f>
        <v>44705</v>
      </c>
      <c r="I4543" s="4">
        <v>44626.0</v>
      </c>
      <c r="J4543" s="4">
        <f>IFERROR(__xludf.DUMMYFUNCTION("DATE(INDEX(SPLIT(I4543,""/""),,3),INDEX(SPLIT(I4543,""/""),,2),INDEX(SPLIT(I4543,""/""),,1))"),44715.0)</f>
        <v>44715</v>
      </c>
      <c r="L4543" s="1">
        <v>0.0</v>
      </c>
      <c r="M4543" s="1" t="s">
        <v>124</v>
      </c>
      <c r="N4543" s="1"/>
      <c r="O4543" s="1" t="s">
        <v>30</v>
      </c>
      <c r="P4543" s="1" t="s">
        <v>31</v>
      </c>
      <c r="Q4543" s="1" t="s">
        <v>53</v>
      </c>
      <c r="R4543" s="1" t="s">
        <v>53</v>
      </c>
      <c r="S4543" s="1" t="s">
        <v>54</v>
      </c>
      <c r="U4543" s="1">
        <v>1.00651441E8</v>
      </c>
      <c r="X4543" s="1" t="s">
        <v>125</v>
      </c>
      <c r="Y4543" s="1" t="s">
        <v>12860</v>
      </c>
      <c r="Z4543" s="1" t="s">
        <v>37</v>
      </c>
    </row>
    <row r="4544">
      <c r="A4544" s="1" t="s">
        <v>12861</v>
      </c>
      <c r="B4544" s="1" t="s">
        <v>12862</v>
      </c>
      <c r="C4544" s="1" t="s">
        <v>12863</v>
      </c>
      <c r="D4544" s="1" t="s">
        <v>122</v>
      </c>
      <c r="E4544" s="1" t="s">
        <v>28</v>
      </c>
      <c r="F4544" s="2">
        <v>105000.0</v>
      </c>
      <c r="G4544" s="1" t="s">
        <v>3349</v>
      </c>
      <c r="H4544" s="4">
        <f>IFERROR(__xludf.DUMMYFUNCTION("DATE(INDEX(SPLIT(G4544,""/""),,3),INDEX(SPLIT(G4544,""/""),,2),INDEX(SPLIT(G4544,""/""),,1))"),44648.0)</f>
        <v>44648</v>
      </c>
      <c r="I4544" s="1" t="s">
        <v>518</v>
      </c>
      <c r="J4544" s="4">
        <f>IFERROR(__xludf.DUMMYFUNCTION("DATE(INDEX(SPLIT(I4544,""/""),,3),INDEX(SPLIT(I4544,""/""),,2),INDEX(SPLIT(I4544,""/""),,1))"),44757.0)</f>
        <v>44757</v>
      </c>
      <c r="L4544" s="1">
        <v>0.0</v>
      </c>
      <c r="M4544" s="1" t="s">
        <v>11623</v>
      </c>
      <c r="N4544" s="1"/>
      <c r="O4544" s="1" t="s">
        <v>30</v>
      </c>
      <c r="P4544" s="1" t="s">
        <v>31</v>
      </c>
      <c r="Q4544" s="1" t="s">
        <v>228</v>
      </c>
      <c r="R4544" s="1" t="s">
        <v>228</v>
      </c>
      <c r="S4544" s="1" t="s">
        <v>229</v>
      </c>
      <c r="T4544" s="1" t="s">
        <v>513</v>
      </c>
      <c r="U4544" s="1">
        <v>1.01154609E8</v>
      </c>
      <c r="X4544" s="1" t="s">
        <v>375</v>
      </c>
      <c r="Y4544" s="1" t="s">
        <v>11623</v>
      </c>
      <c r="Z4544" s="1" t="s">
        <v>37</v>
      </c>
    </row>
    <row r="4545" hidden="1">
      <c r="A4545" s="1" t="s">
        <v>12864</v>
      </c>
      <c r="B4545" s="1" t="s">
        <v>4192</v>
      </c>
      <c r="C4545" s="1" t="s">
        <v>12865</v>
      </c>
      <c r="D4545" s="1" t="s">
        <v>78</v>
      </c>
      <c r="E4545" s="1" t="s">
        <v>28</v>
      </c>
      <c r="F4545" s="2">
        <v>105000.0</v>
      </c>
      <c r="G4545" s="1" t="s">
        <v>935</v>
      </c>
      <c r="H4545" s="4">
        <f>IFERROR(__xludf.DUMMYFUNCTION("DATE(INDEX(SPLIT(G4545,""/""),,3),INDEX(SPLIT(G4545,""/""),,2),INDEX(SPLIT(G4545,""/""),,1))"),44764.0)</f>
        <v>44764</v>
      </c>
      <c r="I4545" s="1" t="s">
        <v>535</v>
      </c>
      <c r="J4545" s="4">
        <f>IFERROR(__xludf.DUMMYFUNCTION("DATE(INDEX(SPLIT(I4545,""/""),,3),INDEX(SPLIT(I4545,""/""),,2),INDEX(SPLIT(I4545,""/""),,1))"),44957.0)</f>
        <v>44957</v>
      </c>
      <c r="L4545" s="1">
        <v>0.0</v>
      </c>
      <c r="M4545" s="1" t="s">
        <v>2592</v>
      </c>
      <c r="N4545" s="1"/>
      <c r="O4545" s="1" t="s">
        <v>30</v>
      </c>
      <c r="P4545" s="1" t="s">
        <v>31</v>
      </c>
      <c r="Q4545" s="1" t="s">
        <v>71</v>
      </c>
      <c r="R4545" s="1" t="s">
        <v>71</v>
      </c>
      <c r="S4545" s="1" t="s">
        <v>72</v>
      </c>
      <c r="T4545" s="1" t="s">
        <v>136</v>
      </c>
      <c r="U4545" s="1">
        <v>1.00586452E8</v>
      </c>
      <c r="X4545" s="1" t="s">
        <v>74</v>
      </c>
      <c r="Y4545" s="1" t="s">
        <v>2593</v>
      </c>
      <c r="Z4545" s="1" t="s">
        <v>37</v>
      </c>
    </row>
    <row r="4546">
      <c r="A4546" s="1" t="s">
        <v>12866</v>
      </c>
      <c r="B4546" s="1" t="s">
        <v>12867</v>
      </c>
      <c r="C4546" s="1" t="s">
        <v>12868</v>
      </c>
      <c r="D4546" s="1" t="s">
        <v>27</v>
      </c>
      <c r="E4546" s="1" t="s">
        <v>28</v>
      </c>
      <c r="F4546" s="2">
        <v>103000.0</v>
      </c>
      <c r="G4546" s="1" t="s">
        <v>11277</v>
      </c>
      <c r="H4546" s="4">
        <f>IFERROR(__xludf.DUMMYFUNCTION("DATE(INDEX(SPLIT(G4546,""/""),,3),INDEX(SPLIT(G4546,""/""),,2),INDEX(SPLIT(G4546,""/""),,1))"),43784.0)</f>
        <v>43784</v>
      </c>
      <c r="I4546" s="1" t="s">
        <v>226</v>
      </c>
      <c r="J4546" s="4">
        <f>IFERROR(__xludf.DUMMYFUNCTION("DATE(INDEX(SPLIT(I4546,""/""),,3),INDEX(SPLIT(I4546,""/""),,2),INDEX(SPLIT(I4546,""/""),,1))"),44771.0)</f>
        <v>44771</v>
      </c>
      <c r="L4546" s="1">
        <v>0.0</v>
      </c>
      <c r="M4546" s="1" t="s">
        <v>2696</v>
      </c>
      <c r="N4546" s="1"/>
      <c r="O4546" s="1" t="s">
        <v>30</v>
      </c>
      <c r="P4546" s="1" t="s">
        <v>31</v>
      </c>
      <c r="Q4546" s="1" t="s">
        <v>157</v>
      </c>
      <c r="R4546" s="1" t="s">
        <v>157</v>
      </c>
      <c r="S4546" s="1" t="s">
        <v>158</v>
      </c>
      <c r="T4546" s="1" t="s">
        <v>5252</v>
      </c>
      <c r="U4546" s="1">
        <v>1.00611351E8</v>
      </c>
      <c r="X4546" s="1" t="s">
        <v>781</v>
      </c>
      <c r="Y4546" s="1" t="s">
        <v>3016</v>
      </c>
      <c r="Z4546" s="1" t="s">
        <v>37</v>
      </c>
    </row>
    <row r="4547" hidden="1">
      <c r="A4547" s="1" t="s">
        <v>12869</v>
      </c>
      <c r="B4547" s="1" t="s">
        <v>4192</v>
      </c>
      <c r="C4547" s="1" t="s">
        <v>12870</v>
      </c>
      <c r="D4547" s="1" t="s">
        <v>27</v>
      </c>
      <c r="E4547" s="1" t="s">
        <v>28</v>
      </c>
      <c r="F4547" s="2">
        <v>102300.0</v>
      </c>
      <c r="G4547" s="1" t="s">
        <v>418</v>
      </c>
      <c r="H4547" s="4">
        <f>IFERROR(__xludf.DUMMYFUNCTION("DATE(INDEX(SPLIT(G4547,""/""),,3),INDEX(SPLIT(G4547,""/""),,2),INDEX(SPLIT(G4547,""/""),,1))"),44755.0)</f>
        <v>44755</v>
      </c>
      <c r="I4547" s="1" t="s">
        <v>535</v>
      </c>
      <c r="J4547" s="4">
        <f>IFERROR(__xludf.DUMMYFUNCTION("DATE(INDEX(SPLIT(I4547,""/""),,3),INDEX(SPLIT(I4547,""/""),,2),INDEX(SPLIT(I4547,""/""),,1))"),44957.0)</f>
        <v>44957</v>
      </c>
      <c r="L4547" s="1">
        <v>0.0</v>
      </c>
      <c r="M4547" s="1" t="s">
        <v>2592</v>
      </c>
      <c r="N4547" s="1"/>
      <c r="O4547" s="1" t="s">
        <v>30</v>
      </c>
      <c r="P4547" s="1" t="s">
        <v>31</v>
      </c>
      <c r="Q4547" s="1" t="s">
        <v>71</v>
      </c>
      <c r="R4547" s="1" t="s">
        <v>71</v>
      </c>
      <c r="S4547" s="1" t="s">
        <v>72</v>
      </c>
      <c r="T4547" s="1" t="s">
        <v>136</v>
      </c>
      <c r="U4547" s="1">
        <v>1.00586452E8</v>
      </c>
      <c r="X4547" s="1" t="s">
        <v>74</v>
      </c>
      <c r="Y4547" s="1" t="s">
        <v>2593</v>
      </c>
      <c r="Z4547" s="1" t="s">
        <v>37</v>
      </c>
    </row>
    <row r="4548">
      <c r="A4548" s="1" t="s">
        <v>12871</v>
      </c>
      <c r="B4548" s="1" t="s">
        <v>12872</v>
      </c>
      <c r="C4548" s="1" t="s">
        <v>12873</v>
      </c>
      <c r="D4548" s="1" t="s">
        <v>78</v>
      </c>
      <c r="E4548" s="1" t="s">
        <v>28</v>
      </c>
      <c r="F4548" s="2">
        <v>102000.0</v>
      </c>
      <c r="G4548" s="1" t="s">
        <v>6444</v>
      </c>
      <c r="H4548" s="4">
        <f>IFERROR(__xludf.DUMMYFUNCTION("DATE(INDEX(SPLIT(G4548,""/""),,3),INDEX(SPLIT(G4548,""/""),,2),INDEX(SPLIT(G4548,""/""),,1))"),43854.0)</f>
        <v>43854</v>
      </c>
      <c r="I4548" s="1" t="s">
        <v>226</v>
      </c>
      <c r="J4548" s="4">
        <f>IFERROR(__xludf.DUMMYFUNCTION("DATE(INDEX(SPLIT(I4548,""/""),,3),INDEX(SPLIT(I4548,""/""),,2),INDEX(SPLIT(I4548,""/""),,1))"),44771.0)</f>
        <v>44771</v>
      </c>
      <c r="L4548" s="1">
        <v>0.0</v>
      </c>
      <c r="M4548" s="1" t="s">
        <v>2696</v>
      </c>
      <c r="N4548" s="1"/>
      <c r="O4548" s="1" t="s">
        <v>30</v>
      </c>
      <c r="P4548" s="1" t="s">
        <v>31</v>
      </c>
      <c r="Q4548" s="1" t="s">
        <v>157</v>
      </c>
      <c r="R4548" s="1" t="s">
        <v>157</v>
      </c>
      <c r="S4548" s="1" t="s">
        <v>158</v>
      </c>
      <c r="T4548" s="1" t="s">
        <v>8712</v>
      </c>
      <c r="U4548" s="1">
        <v>1.00611351E8</v>
      </c>
      <c r="X4548" s="1" t="s">
        <v>375</v>
      </c>
      <c r="Y4548" s="1" t="s">
        <v>3016</v>
      </c>
      <c r="Z4548" s="1" t="s">
        <v>37</v>
      </c>
    </row>
    <row r="4549" hidden="1">
      <c r="A4549" s="1" t="s">
        <v>12874</v>
      </c>
      <c r="B4549" s="1" t="s">
        <v>1820</v>
      </c>
      <c r="C4549" s="1" t="s">
        <v>12875</v>
      </c>
      <c r="D4549" s="1" t="s">
        <v>27</v>
      </c>
      <c r="E4549" s="1" t="s">
        <v>28</v>
      </c>
      <c r="F4549" s="2">
        <v>100000.0</v>
      </c>
      <c r="G4549" s="1" t="s">
        <v>1364</v>
      </c>
      <c r="H4549" s="4">
        <f>IFERROR(__xludf.DUMMYFUNCTION("DATE(INDEX(SPLIT(G4549,""/""),,3),INDEX(SPLIT(G4549,""/""),,2),INDEX(SPLIT(G4549,""/""),,1))"),44676.0)</f>
        <v>44676</v>
      </c>
      <c r="I4549" s="1" t="s">
        <v>203</v>
      </c>
      <c r="J4549" s="4">
        <f>IFERROR(__xludf.DUMMYFUNCTION("DATE(INDEX(SPLIT(I4549,""/""),,3),INDEX(SPLIT(I4549,""/""),,2),INDEX(SPLIT(I4549,""/""),,1))"),44925.0)</f>
        <v>44925</v>
      </c>
      <c r="L4549" s="1">
        <v>0.0</v>
      </c>
      <c r="M4549" s="1" t="s">
        <v>2072</v>
      </c>
      <c r="N4549" s="1"/>
      <c r="O4549" s="1" t="s">
        <v>30</v>
      </c>
      <c r="P4549" s="1" t="s">
        <v>31</v>
      </c>
      <c r="Q4549" s="1" t="s">
        <v>71</v>
      </c>
      <c r="R4549" s="1" t="s">
        <v>71</v>
      </c>
      <c r="S4549" s="1" t="s">
        <v>72</v>
      </c>
      <c r="T4549" s="1" t="s">
        <v>136</v>
      </c>
      <c r="U4549" s="1">
        <v>1.00628181E8</v>
      </c>
      <c r="X4549" s="1" t="s">
        <v>74</v>
      </c>
      <c r="Y4549" s="1" t="s">
        <v>2072</v>
      </c>
      <c r="Z4549" s="1" t="s">
        <v>37</v>
      </c>
    </row>
    <row r="4550">
      <c r="A4550" s="1" t="s">
        <v>12876</v>
      </c>
      <c r="B4550" s="1" t="s">
        <v>392</v>
      </c>
      <c r="C4550" s="1" t="s">
        <v>12877</v>
      </c>
      <c r="D4550" s="1" t="s">
        <v>78</v>
      </c>
      <c r="E4550" s="1" t="s">
        <v>28</v>
      </c>
      <c r="F4550" s="2">
        <v>100000.0</v>
      </c>
      <c r="G4550" s="4">
        <v>44900.0</v>
      </c>
      <c r="H4550" s="4">
        <f>IFERROR(__xludf.DUMMYFUNCTION("DATE(INDEX(SPLIT(G4550,""/""),,3),INDEX(SPLIT(G4550,""/""),,2),INDEX(SPLIT(G4550,""/""),,1))"),44693.0)</f>
        <v>44693</v>
      </c>
      <c r="I4550" s="1" t="s">
        <v>518</v>
      </c>
      <c r="J4550" s="4">
        <f>IFERROR(__xludf.DUMMYFUNCTION("DATE(INDEX(SPLIT(I4550,""/""),,3),INDEX(SPLIT(I4550,""/""),,2),INDEX(SPLIT(I4550,""/""),,1))"),44757.0)</f>
        <v>44757</v>
      </c>
      <c r="L4550" s="1">
        <v>0.0</v>
      </c>
      <c r="M4550" s="1" t="s">
        <v>4262</v>
      </c>
      <c r="N4550" s="1"/>
      <c r="O4550" s="1" t="s">
        <v>30</v>
      </c>
      <c r="P4550" s="1" t="s">
        <v>31</v>
      </c>
      <c r="Q4550" s="1" t="s">
        <v>228</v>
      </c>
      <c r="R4550" s="1" t="s">
        <v>228</v>
      </c>
      <c r="S4550" s="1" t="s">
        <v>229</v>
      </c>
      <c r="T4550" s="1" t="s">
        <v>513</v>
      </c>
      <c r="U4550" s="1">
        <v>1.00639544E8</v>
      </c>
      <c r="X4550" s="1" t="s">
        <v>239</v>
      </c>
      <c r="Y4550" s="1" t="s">
        <v>11118</v>
      </c>
      <c r="Z4550" s="1" t="s">
        <v>206</v>
      </c>
    </row>
    <row r="4551" hidden="1">
      <c r="A4551" s="1" t="s">
        <v>12878</v>
      </c>
      <c r="B4551" s="1" t="s">
        <v>1144</v>
      </c>
      <c r="C4551" s="1" t="s">
        <v>12879</v>
      </c>
      <c r="D4551" s="1" t="s">
        <v>27</v>
      </c>
      <c r="E4551" s="1" t="s">
        <v>28</v>
      </c>
      <c r="F4551" s="2">
        <v>100000.0</v>
      </c>
      <c r="G4551" s="1" t="s">
        <v>12880</v>
      </c>
      <c r="H4551" s="4">
        <f>IFERROR(__xludf.DUMMYFUNCTION("DATE(INDEX(SPLIT(G4551,""/""),,3),INDEX(SPLIT(G4551,""/""),,2),INDEX(SPLIT(G4551,""/""),,1))"),43370.0)</f>
        <v>43370</v>
      </c>
      <c r="I4551" s="1" t="s">
        <v>179</v>
      </c>
      <c r="J4551" s="4">
        <f>IFERROR(__xludf.DUMMYFUNCTION("DATE(INDEX(SPLIT(I4551,""/""),,3),INDEX(SPLIT(I4551,""/""),,2),INDEX(SPLIT(I4551,""/""),,1))"),44890.0)</f>
        <v>44890</v>
      </c>
      <c r="L4551" s="1">
        <v>0.0</v>
      </c>
      <c r="M4551" s="1" t="s">
        <v>2237</v>
      </c>
      <c r="N4551" s="1"/>
      <c r="O4551" s="1" t="s">
        <v>30</v>
      </c>
      <c r="P4551" s="1" t="s">
        <v>31</v>
      </c>
      <c r="Q4551" s="1" t="s">
        <v>32</v>
      </c>
      <c r="R4551" s="1" t="s">
        <v>32</v>
      </c>
      <c r="S4551" s="1" t="s">
        <v>33</v>
      </c>
      <c r="T4551" s="1" t="s">
        <v>103</v>
      </c>
      <c r="U4551" s="1">
        <v>1.00611284E8</v>
      </c>
      <c r="X4551" s="1" t="s">
        <v>63</v>
      </c>
      <c r="Y4551" s="1" t="s">
        <v>4163</v>
      </c>
      <c r="Z4551" s="1" t="s">
        <v>37</v>
      </c>
    </row>
    <row r="4552" hidden="1">
      <c r="A4552" s="1" t="s">
        <v>12881</v>
      </c>
      <c r="B4552" s="1" t="s">
        <v>11459</v>
      </c>
      <c r="C4552" s="1" t="s">
        <v>12882</v>
      </c>
      <c r="D4552" s="1" t="s">
        <v>27</v>
      </c>
      <c r="E4552" s="1" t="s">
        <v>28</v>
      </c>
      <c r="F4552" s="2">
        <v>100000.0</v>
      </c>
      <c r="G4552" s="4">
        <v>43842.0</v>
      </c>
      <c r="H4552" s="4">
        <f>IFERROR(__xludf.DUMMYFUNCTION("DATE(INDEX(SPLIT(G4552,""/""),,3),INDEX(SPLIT(G4552,""/""),,2),INDEX(SPLIT(G4552,""/""),,1))"),44166.0)</f>
        <v>44166</v>
      </c>
      <c r="I4552" s="4">
        <v>44572.0</v>
      </c>
      <c r="J4552" s="4">
        <f>IFERROR(__xludf.DUMMYFUNCTION("DATE(INDEX(SPLIT(I4552,""/""),,3),INDEX(SPLIT(I4552,""/""),,2),INDEX(SPLIT(I4552,""/""),,1))"),44866.0)</f>
        <v>44866</v>
      </c>
      <c r="L4552" s="1">
        <v>0.0</v>
      </c>
      <c r="M4552" s="1" t="s">
        <v>1745</v>
      </c>
      <c r="N4552" s="1"/>
      <c r="O4552" s="1" t="s">
        <v>30</v>
      </c>
      <c r="P4552" s="1" t="s">
        <v>31</v>
      </c>
      <c r="Q4552" s="1" t="s">
        <v>71</v>
      </c>
      <c r="R4552" s="1" t="s">
        <v>71</v>
      </c>
      <c r="S4552" s="1" t="s">
        <v>72</v>
      </c>
      <c r="T4552" s="1" t="s">
        <v>136</v>
      </c>
      <c r="U4552" s="1">
        <v>1.00582847E8</v>
      </c>
      <c r="X4552" s="1" t="s">
        <v>74</v>
      </c>
      <c r="Y4552" s="1" t="s">
        <v>1745</v>
      </c>
      <c r="Z4552" s="1" t="s">
        <v>37</v>
      </c>
    </row>
    <row r="4553" hidden="1">
      <c r="A4553" s="1" t="s">
        <v>12883</v>
      </c>
      <c r="B4553" s="1" t="s">
        <v>1780</v>
      </c>
      <c r="C4553" s="1" t="s">
        <v>12884</v>
      </c>
      <c r="D4553" s="1" t="s">
        <v>78</v>
      </c>
      <c r="E4553" s="1" t="s">
        <v>28</v>
      </c>
      <c r="F4553" s="2">
        <v>100000.0</v>
      </c>
      <c r="G4553" s="4">
        <v>44837.0</v>
      </c>
      <c r="H4553" s="4">
        <f>IFERROR(__xludf.DUMMYFUNCTION("DATE(INDEX(SPLIT(G4553,""/""),,3),INDEX(SPLIT(G4553,""/""),,2),INDEX(SPLIT(G4553,""/""),,1))"),44630.0)</f>
        <v>44630</v>
      </c>
      <c r="I4553" s="1" t="s">
        <v>1097</v>
      </c>
      <c r="J4553" s="4">
        <f>IFERROR(__xludf.DUMMYFUNCTION("DATE(INDEX(SPLIT(I4553,""/""),,3),INDEX(SPLIT(I4553,""/""),,2),INDEX(SPLIT(I4553,""/""),,1))"),45107.0)</f>
        <v>45107</v>
      </c>
      <c r="L4553" s="1">
        <v>0.0</v>
      </c>
      <c r="M4553" s="1" t="s">
        <v>2592</v>
      </c>
      <c r="N4553" s="1"/>
      <c r="O4553" s="1" t="s">
        <v>30</v>
      </c>
      <c r="P4553" s="1" t="s">
        <v>31</v>
      </c>
      <c r="Q4553" s="1" t="s">
        <v>71</v>
      </c>
      <c r="R4553" s="1" t="s">
        <v>71</v>
      </c>
      <c r="S4553" s="1" t="s">
        <v>72</v>
      </c>
      <c r="T4553" s="1" t="s">
        <v>136</v>
      </c>
      <c r="U4553" s="1">
        <v>1.00586452E8</v>
      </c>
      <c r="X4553" s="1" t="s">
        <v>74</v>
      </c>
      <c r="Y4553" s="1" t="s">
        <v>2593</v>
      </c>
      <c r="Z4553" s="1" t="s">
        <v>37</v>
      </c>
    </row>
    <row r="4554" hidden="1">
      <c r="A4554" s="1" t="s">
        <v>12885</v>
      </c>
      <c r="B4554" s="1" t="s">
        <v>492</v>
      </c>
      <c r="C4554" s="1" t="s">
        <v>12886</v>
      </c>
      <c r="D4554" s="1" t="s">
        <v>27</v>
      </c>
      <c r="E4554" s="1" t="s">
        <v>28</v>
      </c>
      <c r="F4554" s="2">
        <v>100000.0</v>
      </c>
      <c r="G4554" s="1" t="s">
        <v>5747</v>
      </c>
      <c r="H4554" s="4">
        <f>IFERROR(__xludf.DUMMYFUNCTION("DATE(INDEX(SPLIT(G4554,""/""),,3),INDEX(SPLIT(G4554,""/""),,2),INDEX(SPLIT(G4554,""/""),,1))"),43965.0)</f>
        <v>43965</v>
      </c>
      <c r="I4554" s="1" t="s">
        <v>109</v>
      </c>
      <c r="J4554" s="4">
        <f>IFERROR(__xludf.DUMMYFUNCTION("DATE(INDEX(SPLIT(I4554,""/""),,3),INDEX(SPLIT(I4554,""/""),,2),INDEX(SPLIT(I4554,""/""),,1))"),44834.0)</f>
        <v>44834</v>
      </c>
      <c r="L4554" s="1">
        <v>0.0</v>
      </c>
      <c r="M4554" s="1" t="s">
        <v>313</v>
      </c>
      <c r="N4554" s="1"/>
      <c r="O4554" s="1" t="s">
        <v>30</v>
      </c>
      <c r="P4554" s="1" t="s">
        <v>31</v>
      </c>
      <c r="Q4554" s="1" t="s">
        <v>32</v>
      </c>
      <c r="R4554" s="1" t="s">
        <v>32</v>
      </c>
      <c r="S4554" s="1" t="s">
        <v>33</v>
      </c>
      <c r="T4554" s="1" t="s">
        <v>197</v>
      </c>
      <c r="U4554" s="1">
        <v>1.00608155E8</v>
      </c>
      <c r="X4554" s="1" t="s">
        <v>46</v>
      </c>
      <c r="Y4554" s="1" t="s">
        <v>698</v>
      </c>
      <c r="Z4554" s="1" t="s">
        <v>37</v>
      </c>
    </row>
    <row r="4555">
      <c r="A4555" s="1" t="s">
        <v>12887</v>
      </c>
      <c r="B4555" s="1" t="s">
        <v>373</v>
      </c>
      <c r="C4555" s="1" t="s">
        <v>12888</v>
      </c>
      <c r="D4555" s="1" t="s">
        <v>27</v>
      </c>
      <c r="E4555" s="1" t="s">
        <v>28</v>
      </c>
      <c r="F4555" s="2">
        <v>100000.0</v>
      </c>
      <c r="G4555" s="1" t="s">
        <v>1044</v>
      </c>
      <c r="H4555" s="4">
        <f>IFERROR(__xludf.DUMMYFUNCTION("DATE(INDEX(SPLIT(G4555,""/""),,3),INDEX(SPLIT(G4555,""/""),,2),INDEX(SPLIT(G4555,""/""),,1))"),44588.0)</f>
        <v>44588</v>
      </c>
      <c r="I4555" s="4">
        <v>44780.0</v>
      </c>
      <c r="J4555" s="4">
        <f>IFERROR(__xludf.DUMMYFUNCTION("DATE(INDEX(SPLIT(I4555,""/""),,3),INDEX(SPLIT(I4555,""/""),,2),INDEX(SPLIT(I4555,""/""),,1))"),44750.0)</f>
        <v>44750</v>
      </c>
      <c r="L4555" s="1">
        <v>0.0</v>
      </c>
      <c r="M4555" s="1" t="s">
        <v>355</v>
      </c>
      <c r="N4555" s="1"/>
      <c r="O4555" s="1" t="s">
        <v>30</v>
      </c>
      <c r="P4555" s="1" t="s">
        <v>31</v>
      </c>
      <c r="Q4555" s="1" t="s">
        <v>53</v>
      </c>
      <c r="R4555" s="1" t="s">
        <v>53</v>
      </c>
      <c r="S4555" s="1" t="s">
        <v>54</v>
      </c>
      <c r="T4555" s="1" t="s">
        <v>12889</v>
      </c>
      <c r="U4555" s="1">
        <v>1.01170594E8</v>
      </c>
      <c r="X4555" s="1" t="s">
        <v>781</v>
      </c>
      <c r="Y4555" s="1" t="s">
        <v>589</v>
      </c>
      <c r="Z4555" s="1" t="s">
        <v>37</v>
      </c>
    </row>
    <row r="4556">
      <c r="A4556" s="1" t="s">
        <v>12890</v>
      </c>
      <c r="B4556" s="1" t="s">
        <v>3399</v>
      </c>
      <c r="C4556" s="1" t="s">
        <v>12891</v>
      </c>
      <c r="D4556" s="1" t="s">
        <v>27</v>
      </c>
      <c r="E4556" s="1" t="s">
        <v>28</v>
      </c>
      <c r="F4556" s="2">
        <v>100000.0</v>
      </c>
      <c r="G4556" s="4">
        <v>44412.0</v>
      </c>
      <c r="H4556" s="4">
        <f>IFERROR(__xludf.DUMMYFUNCTION("DATE(INDEX(SPLIT(G4556,""/""),,3),INDEX(SPLIT(G4556,""/""),,2),INDEX(SPLIT(G4556,""/""),,1))"),44294.0)</f>
        <v>44294</v>
      </c>
      <c r="I4556" s="1" t="s">
        <v>1244</v>
      </c>
      <c r="J4556" s="4">
        <f>IFERROR(__xludf.DUMMYFUNCTION("DATE(INDEX(SPLIT(I4556,""/""),,3),INDEX(SPLIT(I4556,""/""),,2),INDEX(SPLIT(I4556,""/""),,1))"),44742.0)</f>
        <v>44742</v>
      </c>
      <c r="L4556" s="1">
        <v>0.0</v>
      </c>
      <c r="M4556" s="1" t="s">
        <v>1412</v>
      </c>
      <c r="N4556" s="1"/>
      <c r="O4556" s="1" t="s">
        <v>30</v>
      </c>
      <c r="P4556" s="1" t="s">
        <v>31</v>
      </c>
      <c r="Q4556" s="1" t="s">
        <v>53</v>
      </c>
      <c r="R4556" s="1" t="s">
        <v>53</v>
      </c>
      <c r="S4556" s="1" t="s">
        <v>54</v>
      </c>
      <c r="T4556" s="1" t="s">
        <v>5252</v>
      </c>
      <c r="U4556" s="1">
        <v>1.00589587E8</v>
      </c>
      <c r="X4556" s="1" t="s">
        <v>63</v>
      </c>
      <c r="Y4556" s="1" t="s">
        <v>10337</v>
      </c>
      <c r="Z4556" s="1" t="s">
        <v>37</v>
      </c>
    </row>
    <row r="4557" hidden="1">
      <c r="A4557" s="1" t="s">
        <v>12892</v>
      </c>
      <c r="B4557" s="1" t="s">
        <v>612</v>
      </c>
      <c r="C4557" s="1" t="s">
        <v>12893</v>
      </c>
      <c r="D4557" s="1" t="s">
        <v>27</v>
      </c>
      <c r="E4557" s="1" t="s">
        <v>28</v>
      </c>
      <c r="F4557" s="2">
        <v>100000.0</v>
      </c>
      <c r="G4557" s="1" t="s">
        <v>2629</v>
      </c>
      <c r="H4557" s="4">
        <f>IFERROR(__xludf.DUMMYFUNCTION("DATE(INDEX(SPLIT(G4557,""/""),,3),INDEX(SPLIT(G4557,""/""),,2),INDEX(SPLIT(G4557,""/""),,1))"),44651.0)</f>
        <v>44651</v>
      </c>
      <c r="I4557" s="4">
        <v>44662.0</v>
      </c>
      <c r="J4557" s="4">
        <f>IFERROR(__xludf.DUMMYFUNCTION("DATE(INDEX(SPLIT(I4557,""/""),,3),INDEX(SPLIT(I4557,""/""),,2),INDEX(SPLIT(I4557,""/""),,1))"),44869.0)</f>
        <v>44869</v>
      </c>
      <c r="L4557" s="1">
        <v>0.0</v>
      </c>
      <c r="M4557" s="1" t="s">
        <v>1649</v>
      </c>
      <c r="N4557" s="1"/>
      <c r="O4557" s="1" t="s">
        <v>30</v>
      </c>
      <c r="P4557" s="1" t="s">
        <v>31</v>
      </c>
      <c r="Q4557" s="1" t="s">
        <v>157</v>
      </c>
      <c r="R4557" s="1" t="s">
        <v>157</v>
      </c>
      <c r="S4557" s="1" t="s">
        <v>158</v>
      </c>
      <c r="U4557" s="1">
        <v>1.00643454E8</v>
      </c>
      <c r="X4557" s="1" t="s">
        <v>490</v>
      </c>
      <c r="Y4557" s="1" t="s">
        <v>8632</v>
      </c>
      <c r="Z4557" s="1" t="s">
        <v>37</v>
      </c>
    </row>
    <row r="4558" hidden="1">
      <c r="A4558" s="1" t="s">
        <v>12894</v>
      </c>
      <c r="B4558" s="1" t="s">
        <v>12895</v>
      </c>
      <c r="C4558" s="1" t="s">
        <v>12896</v>
      </c>
      <c r="D4558" s="1" t="s">
        <v>122</v>
      </c>
      <c r="E4558" s="1" t="s">
        <v>28</v>
      </c>
      <c r="F4558" s="2">
        <v>100000.0</v>
      </c>
      <c r="G4558" s="1" t="s">
        <v>1023</v>
      </c>
      <c r="H4558" s="4">
        <f>IFERROR(__xludf.DUMMYFUNCTION("DATE(INDEX(SPLIT(G4558,""/""),,3),INDEX(SPLIT(G4558,""/""),,2),INDEX(SPLIT(G4558,""/""),,1))"),44090.0)</f>
        <v>44090</v>
      </c>
      <c r="I4558" s="1" t="s">
        <v>109</v>
      </c>
      <c r="J4558" s="4">
        <f>IFERROR(__xludf.DUMMYFUNCTION("DATE(INDEX(SPLIT(I4558,""/""),,3),INDEX(SPLIT(I4558,""/""),,2),INDEX(SPLIT(I4558,""/""),,1))"),44834.0)</f>
        <v>44834</v>
      </c>
      <c r="L4558" s="1">
        <v>0.0</v>
      </c>
      <c r="M4558" s="1" t="s">
        <v>2592</v>
      </c>
      <c r="N4558" s="1"/>
      <c r="O4558" s="1" t="s">
        <v>30</v>
      </c>
      <c r="P4558" s="1" t="s">
        <v>31</v>
      </c>
      <c r="Q4558" s="1" t="s">
        <v>71</v>
      </c>
      <c r="R4558" s="1" t="s">
        <v>71</v>
      </c>
      <c r="S4558" s="1" t="s">
        <v>72</v>
      </c>
      <c r="T4558" s="1" t="s">
        <v>136</v>
      </c>
      <c r="U4558" s="1">
        <v>1.00586452E8</v>
      </c>
      <c r="X4558" s="1" t="s">
        <v>74</v>
      </c>
      <c r="Y4558" s="1" t="s">
        <v>2593</v>
      </c>
      <c r="Z4558" s="1" t="s">
        <v>37</v>
      </c>
    </row>
    <row r="4559" hidden="1">
      <c r="A4559" s="1" t="s">
        <v>12897</v>
      </c>
      <c r="B4559" s="1" t="s">
        <v>12898</v>
      </c>
      <c r="C4559" s="1" t="s">
        <v>12899</v>
      </c>
      <c r="D4559" s="1" t="s">
        <v>27</v>
      </c>
      <c r="E4559" s="1" t="s">
        <v>28</v>
      </c>
      <c r="F4559" s="2">
        <v>100000.0</v>
      </c>
      <c r="G4559" s="1" t="s">
        <v>9130</v>
      </c>
      <c r="H4559" s="4">
        <f>IFERROR(__xludf.DUMMYFUNCTION("DATE(INDEX(SPLIT(G4559,""/""),,3),INDEX(SPLIT(G4559,""/""),,2),INDEX(SPLIT(G4559,""/""),,1))"),43882.0)</f>
        <v>43882</v>
      </c>
      <c r="I4559" s="1" t="s">
        <v>1097</v>
      </c>
      <c r="J4559" s="4">
        <f>IFERROR(__xludf.DUMMYFUNCTION("DATE(INDEX(SPLIT(I4559,""/""),,3),INDEX(SPLIT(I4559,""/""),,2),INDEX(SPLIT(I4559,""/""),,1))"),45107.0)</f>
        <v>45107</v>
      </c>
      <c r="L4559" s="1">
        <v>0.0</v>
      </c>
      <c r="M4559" s="1" t="s">
        <v>2592</v>
      </c>
      <c r="N4559" s="1"/>
      <c r="O4559" s="1" t="s">
        <v>30</v>
      </c>
      <c r="P4559" s="1" t="s">
        <v>31</v>
      </c>
      <c r="Q4559" s="1" t="s">
        <v>71</v>
      </c>
      <c r="R4559" s="1" t="s">
        <v>71</v>
      </c>
      <c r="S4559" s="1" t="s">
        <v>72</v>
      </c>
      <c r="T4559" s="1" t="s">
        <v>136</v>
      </c>
      <c r="U4559" s="1">
        <v>1.00586452E8</v>
      </c>
      <c r="X4559" s="1" t="s">
        <v>254</v>
      </c>
      <c r="Y4559" s="1" t="s">
        <v>2593</v>
      </c>
      <c r="Z4559" s="1" t="s">
        <v>37</v>
      </c>
    </row>
    <row r="4560">
      <c r="A4560" s="1" t="s">
        <v>12900</v>
      </c>
      <c r="B4560" s="1" t="s">
        <v>12901</v>
      </c>
      <c r="C4560" s="1" t="s">
        <v>12902</v>
      </c>
      <c r="D4560" s="1" t="s">
        <v>122</v>
      </c>
      <c r="E4560" s="1" t="s">
        <v>28</v>
      </c>
      <c r="F4560" s="2">
        <v>100000.0</v>
      </c>
      <c r="G4560" s="1" t="s">
        <v>185</v>
      </c>
      <c r="H4560" s="4">
        <f>IFERROR(__xludf.DUMMYFUNCTION("DATE(INDEX(SPLIT(G4560,""/""),,3),INDEX(SPLIT(G4560,""/""),,2),INDEX(SPLIT(G4560,""/""),,1))"),44741.0)</f>
        <v>44741</v>
      </c>
      <c r="I4560" s="1" t="s">
        <v>935</v>
      </c>
      <c r="J4560" s="4">
        <f>IFERROR(__xludf.DUMMYFUNCTION("DATE(INDEX(SPLIT(I4560,""/""),,3),INDEX(SPLIT(I4560,""/""),,2),INDEX(SPLIT(I4560,""/""),,1))"),44764.0)</f>
        <v>44764</v>
      </c>
      <c r="L4560" s="1">
        <v>0.0</v>
      </c>
      <c r="M4560" s="1" t="s">
        <v>1689</v>
      </c>
      <c r="N4560" s="1"/>
      <c r="O4560" s="1" t="s">
        <v>30</v>
      </c>
      <c r="P4560" s="1" t="s">
        <v>31</v>
      </c>
      <c r="Q4560" s="1" t="s">
        <v>53</v>
      </c>
      <c r="R4560" s="1" t="s">
        <v>53</v>
      </c>
      <c r="S4560" s="1" t="s">
        <v>54</v>
      </c>
      <c r="U4560" s="1">
        <v>1.00650657E8</v>
      </c>
      <c r="X4560" s="1" t="s">
        <v>117</v>
      </c>
      <c r="Y4560" s="1" t="s">
        <v>1689</v>
      </c>
      <c r="Z4560" s="1" t="s">
        <v>37</v>
      </c>
    </row>
    <row r="4561" hidden="1">
      <c r="A4561" s="1" t="s">
        <v>12903</v>
      </c>
      <c r="B4561" s="1" t="s">
        <v>3329</v>
      </c>
      <c r="C4561" s="1" t="s">
        <v>12904</v>
      </c>
      <c r="D4561" s="1" t="s">
        <v>27</v>
      </c>
      <c r="E4561" s="1" t="s">
        <v>28</v>
      </c>
      <c r="F4561" s="2">
        <v>100000.0</v>
      </c>
      <c r="G4561" s="1" t="s">
        <v>1281</v>
      </c>
      <c r="H4561" s="4">
        <f>IFERROR(__xludf.DUMMYFUNCTION("DATE(INDEX(SPLIT(G4561,""/""),,3),INDEX(SPLIT(G4561,""/""),,2),INDEX(SPLIT(G4561,""/""),,1))"),44469.0)</f>
        <v>44469</v>
      </c>
      <c r="I4561" s="1" t="s">
        <v>109</v>
      </c>
      <c r="J4561" s="4">
        <f>IFERROR(__xludf.DUMMYFUNCTION("DATE(INDEX(SPLIT(I4561,""/""),,3),INDEX(SPLIT(I4561,""/""),,2),INDEX(SPLIT(I4561,""/""),,1))"),44834.0)</f>
        <v>44834</v>
      </c>
      <c r="L4561" s="1">
        <v>0.0</v>
      </c>
      <c r="M4561" s="1" t="s">
        <v>1084</v>
      </c>
      <c r="N4561" s="1"/>
      <c r="O4561" s="1" t="s">
        <v>30</v>
      </c>
      <c r="P4561" s="1" t="s">
        <v>31</v>
      </c>
      <c r="Q4561" s="1" t="s">
        <v>32</v>
      </c>
      <c r="R4561" s="1" t="s">
        <v>32</v>
      </c>
      <c r="S4561" s="1" t="s">
        <v>33</v>
      </c>
      <c r="T4561" s="1" t="s">
        <v>1386</v>
      </c>
      <c r="U4561" s="1">
        <v>1.00601386E8</v>
      </c>
      <c r="X4561" s="1" t="s">
        <v>81</v>
      </c>
      <c r="Y4561" s="1" t="s">
        <v>641</v>
      </c>
      <c r="Z4561" s="1" t="s">
        <v>37</v>
      </c>
    </row>
    <row r="4562">
      <c r="A4562" s="1" t="s">
        <v>12905</v>
      </c>
      <c r="B4562" s="1" t="s">
        <v>4797</v>
      </c>
      <c r="C4562" s="1" t="s">
        <v>12906</v>
      </c>
      <c r="D4562" s="1" t="s">
        <v>78</v>
      </c>
      <c r="E4562" s="1" t="s">
        <v>28</v>
      </c>
      <c r="F4562" s="2">
        <v>100000.0</v>
      </c>
      <c r="G4562" s="1" t="s">
        <v>2387</v>
      </c>
      <c r="H4562" s="4">
        <f>IFERROR(__xludf.DUMMYFUNCTION("DATE(INDEX(SPLIT(G4562,""/""),,3),INDEX(SPLIT(G4562,""/""),,2),INDEX(SPLIT(G4562,""/""),,1))"),44274.0)</f>
        <v>44274</v>
      </c>
      <c r="I4562" s="1" t="s">
        <v>69</v>
      </c>
      <c r="J4562" s="4">
        <f>IFERROR(__xludf.DUMMYFUNCTION("DATE(INDEX(SPLIT(I4562,""/""),,3),INDEX(SPLIT(I4562,""/""),,2),INDEX(SPLIT(I4562,""/""),,1))"),44773.0)</f>
        <v>44773</v>
      </c>
      <c r="L4562" s="1">
        <v>0.0</v>
      </c>
      <c r="M4562" s="1" t="s">
        <v>277</v>
      </c>
      <c r="N4562" s="1"/>
      <c r="O4562" s="1" t="s">
        <v>30</v>
      </c>
      <c r="P4562" s="1" t="s">
        <v>31</v>
      </c>
      <c r="Q4562" s="1" t="s">
        <v>32</v>
      </c>
      <c r="R4562" s="1" t="s">
        <v>32</v>
      </c>
      <c r="S4562" s="1" t="s">
        <v>33</v>
      </c>
      <c r="T4562" s="1" t="s">
        <v>103</v>
      </c>
      <c r="U4562" s="1">
        <v>1.00608828E8</v>
      </c>
      <c r="X4562" s="1" t="s">
        <v>312</v>
      </c>
      <c r="Y4562" s="1" t="s">
        <v>1899</v>
      </c>
      <c r="Z4562" s="1" t="s">
        <v>37</v>
      </c>
    </row>
    <row r="4563" hidden="1">
      <c r="A4563" s="1" t="s">
        <v>12907</v>
      </c>
      <c r="B4563" s="1" t="s">
        <v>12908</v>
      </c>
      <c r="C4563" s="1" t="s">
        <v>12909</v>
      </c>
      <c r="D4563" s="1" t="s">
        <v>122</v>
      </c>
      <c r="E4563" s="1" t="s">
        <v>28</v>
      </c>
      <c r="F4563" s="2">
        <v>100000.0</v>
      </c>
      <c r="G4563" s="1" t="s">
        <v>1244</v>
      </c>
      <c r="H4563" s="4">
        <f>IFERROR(__xludf.DUMMYFUNCTION("DATE(INDEX(SPLIT(G4563,""/""),,3),INDEX(SPLIT(G4563,""/""),,2),INDEX(SPLIT(G4563,""/""),,1))"),44742.0)</f>
        <v>44742</v>
      </c>
      <c r="I4563" s="4">
        <v>44571.0</v>
      </c>
      <c r="J4563" s="4">
        <f>IFERROR(__xludf.DUMMYFUNCTION("DATE(INDEX(SPLIT(I4563,""/""),,3),INDEX(SPLIT(I4563,""/""),,2),INDEX(SPLIT(I4563,""/""),,1))"),44835.0)</f>
        <v>44835</v>
      </c>
      <c r="L4563" s="1">
        <v>0.0</v>
      </c>
      <c r="M4563" s="1" t="s">
        <v>4742</v>
      </c>
      <c r="N4563" s="1"/>
      <c r="O4563" s="1" t="s">
        <v>30</v>
      </c>
      <c r="P4563" s="1" t="s">
        <v>31</v>
      </c>
      <c r="Q4563" s="1" t="s">
        <v>228</v>
      </c>
      <c r="R4563" s="1" t="s">
        <v>228</v>
      </c>
      <c r="S4563" s="1" t="s">
        <v>229</v>
      </c>
      <c r="T4563" s="1" t="s">
        <v>513</v>
      </c>
      <c r="U4563" s="1">
        <v>1.01059844E8</v>
      </c>
      <c r="X4563" s="1" t="s">
        <v>74</v>
      </c>
      <c r="Y4563" s="1" t="s">
        <v>4742</v>
      </c>
      <c r="Z4563" s="1" t="s">
        <v>206</v>
      </c>
    </row>
    <row r="4564" hidden="1">
      <c r="A4564" s="1" t="s">
        <v>12910</v>
      </c>
      <c r="B4564" s="1" t="s">
        <v>4845</v>
      </c>
      <c r="C4564" s="1" t="s">
        <v>12911</v>
      </c>
      <c r="D4564" s="1" t="s">
        <v>27</v>
      </c>
      <c r="E4564" s="1" t="s">
        <v>28</v>
      </c>
      <c r="F4564" s="2">
        <v>100000.0</v>
      </c>
      <c r="G4564" s="4">
        <v>44808.0</v>
      </c>
      <c r="H4564" s="4">
        <f>IFERROR(__xludf.DUMMYFUNCTION("DATE(INDEX(SPLIT(G4564,""/""),,3),INDEX(SPLIT(G4564,""/""),,2),INDEX(SPLIT(G4564,""/""),,1))"),44660.0)</f>
        <v>44660</v>
      </c>
      <c r="I4564" s="1" t="s">
        <v>42</v>
      </c>
      <c r="J4564" s="4">
        <f>IFERROR(__xludf.DUMMYFUNCTION("DATE(INDEX(SPLIT(I4564,""/""),,3),INDEX(SPLIT(I4564,""/""),,2),INDEX(SPLIT(I4564,""/""),,1))"),44926.0)</f>
        <v>44926</v>
      </c>
      <c r="L4564" s="1">
        <v>0.0</v>
      </c>
      <c r="M4564" s="1" t="s">
        <v>5493</v>
      </c>
      <c r="N4564" s="1"/>
      <c r="O4564" s="1" t="s">
        <v>30</v>
      </c>
      <c r="P4564" s="1" t="s">
        <v>31</v>
      </c>
      <c r="Q4564" s="1" t="s">
        <v>95</v>
      </c>
      <c r="R4564" s="1" t="s">
        <v>95</v>
      </c>
      <c r="S4564" s="1" t="s">
        <v>96</v>
      </c>
      <c r="T4564" s="1" t="s">
        <v>311</v>
      </c>
      <c r="U4564" s="1">
        <v>1.00591654E8</v>
      </c>
      <c r="X4564" s="1" t="s">
        <v>289</v>
      </c>
      <c r="Y4564" s="1" t="s">
        <v>12912</v>
      </c>
      <c r="Z4564" s="1" t="s">
        <v>37</v>
      </c>
    </row>
    <row r="4565" hidden="1">
      <c r="A4565" s="1" t="s">
        <v>12913</v>
      </c>
      <c r="B4565" s="1" t="s">
        <v>12914</v>
      </c>
      <c r="C4565" s="1" t="s">
        <v>4443</v>
      </c>
      <c r="D4565" s="1" t="s">
        <v>27</v>
      </c>
      <c r="E4565" s="1" t="s">
        <v>28</v>
      </c>
      <c r="F4565" s="2">
        <v>100000.0</v>
      </c>
      <c r="G4565" s="4">
        <v>44655.0</v>
      </c>
      <c r="H4565" s="4">
        <f>IFERROR(__xludf.DUMMYFUNCTION("DATE(INDEX(SPLIT(G4565,""/""),,3),INDEX(SPLIT(G4565,""/""),,2),INDEX(SPLIT(G4565,""/""),,1))"),44655.0)</f>
        <v>44655</v>
      </c>
      <c r="I4565" s="1" t="s">
        <v>109</v>
      </c>
      <c r="J4565" s="4">
        <f>IFERROR(__xludf.DUMMYFUNCTION("DATE(INDEX(SPLIT(I4565,""/""),,3),INDEX(SPLIT(I4565,""/""),,2),INDEX(SPLIT(I4565,""/""),,1))"),44834.0)</f>
        <v>44834</v>
      </c>
      <c r="L4565" s="1">
        <v>0.0</v>
      </c>
      <c r="M4565" s="1" t="s">
        <v>7573</v>
      </c>
      <c r="N4565" s="1"/>
      <c r="O4565" s="1" t="s">
        <v>30</v>
      </c>
      <c r="P4565" s="1" t="s">
        <v>31</v>
      </c>
      <c r="Q4565" s="1" t="s">
        <v>71</v>
      </c>
      <c r="R4565" s="1" t="s">
        <v>71</v>
      </c>
      <c r="S4565" s="1" t="s">
        <v>72</v>
      </c>
      <c r="U4565" s="1">
        <v>1.01152213E8</v>
      </c>
      <c r="X4565" s="1" t="s">
        <v>2028</v>
      </c>
      <c r="Y4565" s="1" t="s">
        <v>12915</v>
      </c>
      <c r="Z4565" s="1" t="s">
        <v>206</v>
      </c>
    </row>
    <row r="4566" hidden="1">
      <c r="A4566" s="1" t="s">
        <v>12916</v>
      </c>
      <c r="B4566" s="1" t="s">
        <v>12917</v>
      </c>
      <c r="C4566" s="1" t="s">
        <v>12918</v>
      </c>
      <c r="D4566" s="1" t="s">
        <v>27</v>
      </c>
      <c r="E4566" s="1" t="s">
        <v>28</v>
      </c>
      <c r="F4566" s="2">
        <v>100000.0</v>
      </c>
      <c r="G4566" s="1" t="s">
        <v>359</v>
      </c>
      <c r="H4566" s="4">
        <f>IFERROR(__xludf.DUMMYFUNCTION("DATE(INDEX(SPLIT(G4566,""/""),,3),INDEX(SPLIT(G4566,""/""),,2),INDEX(SPLIT(G4566,""/""),,1))"),44740.0)</f>
        <v>44740</v>
      </c>
      <c r="I4566" s="1" t="s">
        <v>109</v>
      </c>
      <c r="J4566" s="4">
        <f>IFERROR(__xludf.DUMMYFUNCTION("DATE(INDEX(SPLIT(I4566,""/""),,3),INDEX(SPLIT(I4566,""/""),,2),INDEX(SPLIT(I4566,""/""),,1))"),44834.0)</f>
        <v>44834</v>
      </c>
      <c r="L4566" s="1">
        <v>0.0</v>
      </c>
      <c r="M4566" s="1" t="s">
        <v>6050</v>
      </c>
      <c r="N4566" s="1"/>
      <c r="O4566" s="1" t="s">
        <v>30</v>
      </c>
      <c r="P4566" s="1" t="s">
        <v>31</v>
      </c>
      <c r="Q4566" s="1" t="s">
        <v>228</v>
      </c>
      <c r="R4566" s="1" t="s">
        <v>228</v>
      </c>
      <c r="S4566" s="1" t="s">
        <v>229</v>
      </c>
      <c r="T4566" s="1" t="s">
        <v>513</v>
      </c>
      <c r="U4566" s="1">
        <v>1.0058798E8</v>
      </c>
      <c r="X4566" s="1" t="s">
        <v>254</v>
      </c>
      <c r="Y4566" s="1" t="s">
        <v>6050</v>
      </c>
      <c r="Z4566" s="1" t="s">
        <v>37</v>
      </c>
    </row>
    <row r="4567" hidden="1">
      <c r="A4567" s="1" t="s">
        <v>12919</v>
      </c>
      <c r="B4567" s="1" t="s">
        <v>1994</v>
      </c>
      <c r="C4567" s="1" t="s">
        <v>12920</v>
      </c>
      <c r="D4567" s="1" t="s">
        <v>78</v>
      </c>
      <c r="E4567" s="1" t="s">
        <v>28</v>
      </c>
      <c r="F4567" s="2">
        <v>100000.0</v>
      </c>
      <c r="G4567" s="1" t="s">
        <v>1281</v>
      </c>
      <c r="H4567" s="4">
        <f>IFERROR(__xludf.DUMMYFUNCTION("DATE(INDEX(SPLIT(G4567,""/""),,3),INDEX(SPLIT(G4567,""/""),,2),INDEX(SPLIT(G4567,""/""),,1))"),44469.0)</f>
        <v>44469</v>
      </c>
      <c r="I4567" s="1" t="s">
        <v>3941</v>
      </c>
      <c r="J4567" s="4">
        <f>IFERROR(__xludf.DUMMYFUNCTION("DATE(INDEX(SPLIT(I4567,""/""),,3),INDEX(SPLIT(I4567,""/""),,2),INDEX(SPLIT(I4567,""/""),,1))"),44823.0)</f>
        <v>44823</v>
      </c>
      <c r="L4567" s="1">
        <v>0.0</v>
      </c>
      <c r="M4567" s="1" t="s">
        <v>633</v>
      </c>
      <c r="N4567" s="1"/>
      <c r="O4567" s="1" t="s">
        <v>30</v>
      </c>
      <c r="P4567" s="1" t="s">
        <v>31</v>
      </c>
      <c r="Q4567" s="1" t="s">
        <v>53</v>
      </c>
      <c r="R4567" s="1" t="s">
        <v>53</v>
      </c>
      <c r="S4567" s="1" t="s">
        <v>54</v>
      </c>
      <c r="T4567" s="1" t="s">
        <v>634</v>
      </c>
      <c r="U4567" s="1">
        <v>1.00997154E8</v>
      </c>
      <c r="X4567" s="1" t="s">
        <v>490</v>
      </c>
      <c r="Y4567" s="1" t="s">
        <v>9841</v>
      </c>
      <c r="Z4567" s="1" t="s">
        <v>37</v>
      </c>
    </row>
    <row r="4568">
      <c r="A4568" s="1" t="s">
        <v>12921</v>
      </c>
      <c r="B4568" s="1" t="s">
        <v>12922</v>
      </c>
      <c r="C4568" s="1" t="s">
        <v>12923</v>
      </c>
      <c r="D4568" s="1" t="s">
        <v>78</v>
      </c>
      <c r="E4568" s="1" t="s">
        <v>28</v>
      </c>
      <c r="F4568" s="2">
        <v>100000.0</v>
      </c>
      <c r="G4568" s="1" t="s">
        <v>1442</v>
      </c>
      <c r="H4568" s="4">
        <f>IFERROR(__xludf.DUMMYFUNCTION("DATE(INDEX(SPLIT(G4568,""/""),,3),INDEX(SPLIT(G4568,""/""),,2),INDEX(SPLIT(G4568,""/""),,1))"),44727.0)</f>
        <v>44727</v>
      </c>
      <c r="I4568" s="1" t="s">
        <v>69</v>
      </c>
      <c r="J4568" s="4">
        <f>IFERROR(__xludf.DUMMYFUNCTION("DATE(INDEX(SPLIT(I4568,""/""),,3),INDEX(SPLIT(I4568,""/""),,2),INDEX(SPLIT(I4568,""/""),,1))"),44773.0)</f>
        <v>44773</v>
      </c>
      <c r="L4568" s="1">
        <v>0.0</v>
      </c>
      <c r="M4568" s="1" t="s">
        <v>5545</v>
      </c>
      <c r="N4568" s="1"/>
      <c r="O4568" s="1" t="s">
        <v>30</v>
      </c>
      <c r="P4568" s="1" t="s">
        <v>31</v>
      </c>
      <c r="Q4568" s="1" t="s">
        <v>71</v>
      </c>
      <c r="R4568" s="1" t="s">
        <v>71</v>
      </c>
      <c r="S4568" s="1" t="s">
        <v>72</v>
      </c>
      <c r="T4568" s="1" t="s">
        <v>136</v>
      </c>
      <c r="U4568" s="1">
        <v>1.01094571E8</v>
      </c>
      <c r="Y4568" s="1" t="s">
        <v>5545</v>
      </c>
      <c r="Z4568" s="1" t="s">
        <v>37</v>
      </c>
    </row>
    <row r="4569" hidden="1">
      <c r="A4569" s="1" t="s">
        <v>12924</v>
      </c>
      <c r="B4569" s="1" t="s">
        <v>954</v>
      </c>
      <c r="C4569" s="1" t="s">
        <v>12925</v>
      </c>
      <c r="D4569" s="1" t="s">
        <v>27</v>
      </c>
      <c r="E4569" s="1" t="s">
        <v>28</v>
      </c>
      <c r="F4569" s="2">
        <v>100000.0</v>
      </c>
      <c r="G4569" s="4">
        <v>44808.0</v>
      </c>
      <c r="H4569" s="4">
        <f>IFERROR(__xludf.DUMMYFUNCTION("DATE(INDEX(SPLIT(G4569,""/""),,3),INDEX(SPLIT(G4569,""/""),,2),INDEX(SPLIT(G4569,""/""),,1))"),44660.0)</f>
        <v>44660</v>
      </c>
      <c r="I4569" s="1" t="s">
        <v>130</v>
      </c>
      <c r="J4569" s="4">
        <f>IFERROR(__xludf.DUMMYFUNCTION("DATE(INDEX(SPLIT(I4569,""/""),,3),INDEX(SPLIT(I4569,""/""),,2),INDEX(SPLIT(I4569,""/""),,1))"),44804.0)</f>
        <v>44804</v>
      </c>
      <c r="L4569" s="1">
        <v>0.0</v>
      </c>
      <c r="M4569" s="1" t="s">
        <v>956</v>
      </c>
      <c r="N4569" s="1"/>
      <c r="O4569" s="1" t="s">
        <v>30</v>
      </c>
      <c r="P4569" s="1" t="s">
        <v>31</v>
      </c>
      <c r="Q4569" s="1" t="s">
        <v>71</v>
      </c>
      <c r="R4569" s="1" t="s">
        <v>71</v>
      </c>
      <c r="S4569" s="1" t="s">
        <v>72</v>
      </c>
      <c r="T4569" s="1" t="s">
        <v>12926</v>
      </c>
      <c r="U4569" s="1">
        <v>1.00653499E8</v>
      </c>
      <c r="X4569" s="1" t="s">
        <v>74</v>
      </c>
      <c r="Y4569" s="1" t="s">
        <v>957</v>
      </c>
      <c r="Z4569" s="1" t="s">
        <v>37</v>
      </c>
    </row>
    <row r="4570" hidden="1">
      <c r="A4570" s="1" t="s">
        <v>12927</v>
      </c>
      <c r="B4570" s="1" t="s">
        <v>1994</v>
      </c>
      <c r="C4570" s="1" t="s">
        <v>12928</v>
      </c>
      <c r="D4570" s="1" t="s">
        <v>78</v>
      </c>
      <c r="E4570" s="1" t="s">
        <v>28</v>
      </c>
      <c r="F4570" s="2">
        <v>100000.0</v>
      </c>
      <c r="G4570" s="1" t="s">
        <v>1281</v>
      </c>
      <c r="H4570" s="4">
        <f>IFERROR(__xludf.DUMMYFUNCTION("DATE(INDEX(SPLIT(G4570,""/""),,3),INDEX(SPLIT(G4570,""/""),,2),INDEX(SPLIT(G4570,""/""),,1))"),44469.0)</f>
        <v>44469</v>
      </c>
      <c r="I4570" s="1" t="s">
        <v>11528</v>
      </c>
      <c r="J4570" s="4">
        <f>IFERROR(__xludf.DUMMYFUNCTION("DATE(INDEX(SPLIT(I4570,""/""),,3),INDEX(SPLIT(I4570,""/""),,2),INDEX(SPLIT(I4570,""/""),,1))"),44795.0)</f>
        <v>44795</v>
      </c>
      <c r="L4570" s="1">
        <v>0.0</v>
      </c>
      <c r="M4570" s="1" t="s">
        <v>633</v>
      </c>
      <c r="N4570" s="1"/>
      <c r="O4570" s="1" t="s">
        <v>30</v>
      </c>
      <c r="P4570" s="1" t="s">
        <v>31</v>
      </c>
      <c r="Q4570" s="1" t="s">
        <v>53</v>
      </c>
      <c r="R4570" s="1" t="s">
        <v>53</v>
      </c>
      <c r="S4570" s="1" t="s">
        <v>54</v>
      </c>
      <c r="T4570" s="1" t="s">
        <v>634</v>
      </c>
      <c r="U4570" s="1">
        <v>1.00997154E8</v>
      </c>
      <c r="X4570" s="1" t="s">
        <v>490</v>
      </c>
      <c r="Y4570" s="1" t="s">
        <v>9841</v>
      </c>
      <c r="Z4570" s="1" t="s">
        <v>37</v>
      </c>
    </row>
    <row r="4571">
      <c r="A4571" s="1" t="s">
        <v>12929</v>
      </c>
      <c r="B4571" s="1" t="s">
        <v>12930</v>
      </c>
      <c r="C4571" s="1" t="s">
        <v>12931</v>
      </c>
      <c r="D4571" s="1" t="s">
        <v>122</v>
      </c>
      <c r="E4571" s="1" t="s">
        <v>28</v>
      </c>
      <c r="F4571" s="2">
        <v>100000.0</v>
      </c>
      <c r="G4571" s="4">
        <v>44748.0</v>
      </c>
      <c r="H4571" s="4">
        <f>IFERROR(__xludf.DUMMYFUNCTION("DATE(INDEX(SPLIT(G4571,""/""),,3),INDEX(SPLIT(G4571,""/""),,2),INDEX(SPLIT(G4571,""/""),,1))"),44719.0)</f>
        <v>44719</v>
      </c>
      <c r="I4571" s="4">
        <v>44568.0</v>
      </c>
      <c r="J4571" s="4">
        <f>IFERROR(__xludf.DUMMYFUNCTION("DATE(INDEX(SPLIT(I4571,""/""),,3),INDEX(SPLIT(I4571,""/""),,2),INDEX(SPLIT(I4571,""/""),,1))"),44743.0)</f>
        <v>44743</v>
      </c>
      <c r="L4571" s="1">
        <v>0.0</v>
      </c>
      <c r="M4571" s="1" t="s">
        <v>8130</v>
      </c>
      <c r="N4571" s="1"/>
      <c r="O4571" s="1" t="s">
        <v>30</v>
      </c>
      <c r="P4571" s="1" t="s">
        <v>31</v>
      </c>
      <c r="Q4571" s="1" t="s">
        <v>228</v>
      </c>
      <c r="R4571" s="1" t="s">
        <v>228</v>
      </c>
      <c r="S4571" s="1" t="s">
        <v>229</v>
      </c>
      <c r="T4571" s="1" t="s">
        <v>513</v>
      </c>
      <c r="U4571" s="1">
        <v>1.0060809E8</v>
      </c>
      <c r="X4571" s="1" t="s">
        <v>74</v>
      </c>
      <c r="Y4571" s="1" t="s">
        <v>11199</v>
      </c>
      <c r="Z4571" s="1" t="s">
        <v>206</v>
      </c>
    </row>
    <row r="4572" hidden="1">
      <c r="A4572" s="1" t="s">
        <v>12932</v>
      </c>
      <c r="B4572" s="1" t="s">
        <v>1994</v>
      </c>
      <c r="C4572" s="1" t="s">
        <v>12933</v>
      </c>
      <c r="D4572" s="1" t="s">
        <v>27</v>
      </c>
      <c r="E4572" s="1" t="s">
        <v>28</v>
      </c>
      <c r="F4572" s="2">
        <v>100000.0</v>
      </c>
      <c r="G4572" s="1" t="s">
        <v>1281</v>
      </c>
      <c r="H4572" s="4">
        <f>IFERROR(__xludf.DUMMYFUNCTION("DATE(INDEX(SPLIT(G4572,""/""),,3),INDEX(SPLIT(G4572,""/""),,2),INDEX(SPLIT(G4572,""/""),,1))"),44469.0)</f>
        <v>44469</v>
      </c>
      <c r="I4572" s="1" t="s">
        <v>1750</v>
      </c>
      <c r="J4572" s="4">
        <f>IFERROR(__xludf.DUMMYFUNCTION("DATE(INDEX(SPLIT(I4572,""/""),,3),INDEX(SPLIT(I4572,""/""),,2),INDEX(SPLIT(I4572,""/""),,1))"),44802.0)</f>
        <v>44802</v>
      </c>
      <c r="L4572" s="1">
        <v>0.0</v>
      </c>
      <c r="M4572" s="1" t="s">
        <v>633</v>
      </c>
      <c r="N4572" s="1"/>
      <c r="O4572" s="1" t="s">
        <v>30</v>
      </c>
      <c r="P4572" s="1" t="s">
        <v>31</v>
      </c>
      <c r="Q4572" s="1" t="s">
        <v>53</v>
      </c>
      <c r="R4572" s="1" t="s">
        <v>53</v>
      </c>
      <c r="S4572" s="1" t="s">
        <v>54</v>
      </c>
      <c r="T4572" s="1" t="s">
        <v>634</v>
      </c>
      <c r="U4572" s="1">
        <v>1.00997154E8</v>
      </c>
      <c r="X4572" s="1" t="s">
        <v>490</v>
      </c>
      <c r="Y4572" s="1" t="s">
        <v>9841</v>
      </c>
      <c r="Z4572" s="1" t="s">
        <v>37</v>
      </c>
    </row>
    <row r="4573">
      <c r="A4573" s="1" t="s">
        <v>12934</v>
      </c>
      <c r="B4573" s="1" t="s">
        <v>896</v>
      </c>
      <c r="C4573" s="1" t="s">
        <v>12935</v>
      </c>
      <c r="D4573" s="1" t="s">
        <v>122</v>
      </c>
      <c r="E4573" s="1" t="s">
        <v>28</v>
      </c>
      <c r="F4573" s="2">
        <v>100000.0</v>
      </c>
      <c r="G4573" s="1" t="s">
        <v>185</v>
      </c>
      <c r="H4573" s="4">
        <f>IFERROR(__xludf.DUMMYFUNCTION("DATE(INDEX(SPLIT(G4573,""/""),,3),INDEX(SPLIT(G4573,""/""),,2),INDEX(SPLIT(G4573,""/""),,1))"),44741.0)</f>
        <v>44741</v>
      </c>
      <c r="I4573" s="4">
        <v>44568.0</v>
      </c>
      <c r="J4573" s="4">
        <f>IFERROR(__xludf.DUMMYFUNCTION("DATE(INDEX(SPLIT(I4573,""/""),,3),INDEX(SPLIT(I4573,""/""),,2),INDEX(SPLIT(I4573,""/""),,1))"),44743.0)</f>
        <v>44743</v>
      </c>
      <c r="L4573" s="1">
        <v>0.0</v>
      </c>
      <c r="M4573" s="1" t="s">
        <v>5366</v>
      </c>
      <c r="N4573" s="1"/>
      <c r="O4573" s="1" t="s">
        <v>30</v>
      </c>
      <c r="P4573" s="1" t="s">
        <v>31</v>
      </c>
      <c r="Q4573" s="1" t="s">
        <v>157</v>
      </c>
      <c r="R4573" s="1" t="s">
        <v>157</v>
      </c>
      <c r="S4573" s="1" t="s">
        <v>158</v>
      </c>
      <c r="U4573" s="1">
        <v>1.00609544E8</v>
      </c>
      <c r="X4573" s="1" t="s">
        <v>490</v>
      </c>
      <c r="Y4573" s="1" t="s">
        <v>12936</v>
      </c>
      <c r="Z4573" s="1" t="s">
        <v>37</v>
      </c>
    </row>
    <row r="4574" hidden="1">
      <c r="A4574" s="1" t="s">
        <v>12937</v>
      </c>
      <c r="B4574" s="1" t="s">
        <v>954</v>
      </c>
      <c r="C4574" s="1" t="s">
        <v>12938</v>
      </c>
      <c r="D4574" s="1" t="s">
        <v>27</v>
      </c>
      <c r="E4574" s="1" t="s">
        <v>28</v>
      </c>
      <c r="F4574" s="2">
        <v>100000.0</v>
      </c>
      <c r="G4574" s="4">
        <v>44808.0</v>
      </c>
      <c r="H4574" s="4">
        <f>IFERROR(__xludf.DUMMYFUNCTION("DATE(INDEX(SPLIT(G4574,""/""),,3),INDEX(SPLIT(G4574,""/""),,2),INDEX(SPLIT(G4574,""/""),,1))"),44660.0)</f>
        <v>44660</v>
      </c>
      <c r="I4574" s="4">
        <v>44604.0</v>
      </c>
      <c r="J4574" s="4">
        <f>IFERROR(__xludf.DUMMYFUNCTION("DATE(INDEX(SPLIT(I4574,""/""),,3),INDEX(SPLIT(I4574,""/""),,2),INDEX(SPLIT(I4574,""/""),,1))"),44897.0)</f>
        <v>44897</v>
      </c>
      <c r="L4574" s="1">
        <v>0.0</v>
      </c>
      <c r="M4574" s="1" t="s">
        <v>204</v>
      </c>
      <c r="N4574" s="1"/>
      <c r="O4574" s="1" t="s">
        <v>30</v>
      </c>
      <c r="P4574" s="1" t="s">
        <v>31</v>
      </c>
      <c r="Q4574" s="1" t="s">
        <v>71</v>
      </c>
      <c r="R4574" s="1" t="s">
        <v>71</v>
      </c>
      <c r="S4574" s="1" t="s">
        <v>72</v>
      </c>
      <c r="T4574" s="1" t="s">
        <v>73</v>
      </c>
      <c r="U4574" s="1">
        <v>1.00650575E8</v>
      </c>
      <c r="X4574" s="1" t="s">
        <v>74</v>
      </c>
      <c r="Y4574" s="1" t="s">
        <v>957</v>
      </c>
      <c r="Z4574" s="1" t="s">
        <v>206</v>
      </c>
    </row>
    <row r="4575">
      <c r="A4575" s="1" t="s">
        <v>12939</v>
      </c>
      <c r="B4575" s="1" t="s">
        <v>4205</v>
      </c>
      <c r="C4575" s="1" t="s">
        <v>12940</v>
      </c>
      <c r="D4575" s="1" t="s">
        <v>27</v>
      </c>
      <c r="E4575" s="1" t="s">
        <v>28</v>
      </c>
      <c r="F4575" s="2">
        <v>100000.0</v>
      </c>
      <c r="G4575" s="1" t="s">
        <v>4985</v>
      </c>
      <c r="H4575" s="4">
        <f>IFERROR(__xludf.DUMMYFUNCTION("DATE(INDEX(SPLIT(G4575,""/""),,3),INDEX(SPLIT(G4575,""/""),,2),INDEX(SPLIT(G4575,""/""),,1))"),44273.0)</f>
        <v>44273</v>
      </c>
      <c r="I4575" s="1" t="s">
        <v>69</v>
      </c>
      <c r="J4575" s="4">
        <f>IFERROR(__xludf.DUMMYFUNCTION("DATE(INDEX(SPLIT(I4575,""/""),,3),INDEX(SPLIT(I4575,""/""),,2),INDEX(SPLIT(I4575,""/""),,1))"),44773.0)</f>
        <v>44773</v>
      </c>
      <c r="L4575" s="1">
        <v>0.0</v>
      </c>
      <c r="M4575" s="1" t="s">
        <v>3580</v>
      </c>
      <c r="N4575" s="1"/>
      <c r="O4575" s="1" t="s">
        <v>30</v>
      </c>
      <c r="P4575" s="1" t="s">
        <v>31</v>
      </c>
      <c r="Q4575" s="1" t="s">
        <v>157</v>
      </c>
      <c r="R4575" s="1" t="s">
        <v>157</v>
      </c>
      <c r="S4575" s="1" t="s">
        <v>158</v>
      </c>
      <c r="T4575" s="1" t="s">
        <v>1386</v>
      </c>
      <c r="U4575" s="1">
        <v>1.00956516E8</v>
      </c>
      <c r="X4575" s="1" t="s">
        <v>239</v>
      </c>
      <c r="Y4575" s="1" t="s">
        <v>2977</v>
      </c>
      <c r="Z4575" s="1" t="s">
        <v>37</v>
      </c>
    </row>
    <row r="4576" hidden="1">
      <c r="A4576" s="1" t="s">
        <v>12941</v>
      </c>
      <c r="B4576" s="1" t="s">
        <v>1590</v>
      </c>
      <c r="C4576" s="1" t="s">
        <v>12942</v>
      </c>
      <c r="D4576" s="1" t="s">
        <v>27</v>
      </c>
      <c r="E4576" s="1" t="s">
        <v>28</v>
      </c>
      <c r="F4576" s="2">
        <v>100000.0</v>
      </c>
      <c r="G4576" s="4">
        <v>44327.0</v>
      </c>
      <c r="H4576" s="4">
        <f>IFERROR(__xludf.DUMMYFUNCTION("DATE(INDEX(SPLIT(G4576,""/""),,3),INDEX(SPLIT(G4576,""/""),,2),INDEX(SPLIT(G4576,""/""),,1))"),44505.0)</f>
        <v>44505</v>
      </c>
      <c r="I4576" s="1" t="s">
        <v>42</v>
      </c>
      <c r="J4576" s="4">
        <f>IFERROR(__xludf.DUMMYFUNCTION("DATE(INDEX(SPLIT(I4576,""/""),,3),INDEX(SPLIT(I4576,""/""),,2),INDEX(SPLIT(I4576,""/""),,1))"),44926.0)</f>
        <v>44926</v>
      </c>
      <c r="L4576" s="1">
        <v>0.0</v>
      </c>
      <c r="M4576" s="1" t="s">
        <v>841</v>
      </c>
      <c r="N4576" s="1"/>
      <c r="O4576" s="1" t="s">
        <v>30</v>
      </c>
      <c r="P4576" s="1" t="s">
        <v>31</v>
      </c>
      <c r="Q4576" s="1" t="s">
        <v>95</v>
      </c>
      <c r="R4576" s="1" t="s">
        <v>95</v>
      </c>
      <c r="S4576" s="1" t="s">
        <v>96</v>
      </c>
      <c r="T4576" s="1" t="s">
        <v>311</v>
      </c>
      <c r="U4576" s="1">
        <v>1.00621664E8</v>
      </c>
      <c r="X4576" s="1" t="s">
        <v>46</v>
      </c>
      <c r="Y4576" s="1" t="s">
        <v>7327</v>
      </c>
      <c r="Z4576" s="1" t="s">
        <v>37</v>
      </c>
    </row>
    <row r="4577" hidden="1">
      <c r="A4577" s="1" t="s">
        <v>12943</v>
      </c>
      <c r="B4577" s="1" t="s">
        <v>4486</v>
      </c>
      <c r="C4577" s="1" t="s">
        <v>12944</v>
      </c>
      <c r="D4577" s="1" t="s">
        <v>122</v>
      </c>
      <c r="E4577" s="1" t="s">
        <v>28</v>
      </c>
      <c r="F4577" s="2">
        <v>100000.0</v>
      </c>
      <c r="G4577" s="4">
        <v>44414.0</v>
      </c>
      <c r="H4577" s="4">
        <f>IFERROR(__xludf.DUMMYFUNCTION("DATE(INDEX(SPLIT(G4577,""/""),,3),INDEX(SPLIT(G4577,""/""),,2),INDEX(SPLIT(G4577,""/""),,1))"),44355.0)</f>
        <v>44355</v>
      </c>
      <c r="I4577" s="4">
        <v>44571.0</v>
      </c>
      <c r="J4577" s="4">
        <f>IFERROR(__xludf.DUMMYFUNCTION("DATE(INDEX(SPLIT(I4577,""/""),,3),INDEX(SPLIT(I4577,""/""),,2),INDEX(SPLIT(I4577,""/""),,1))"),44835.0)</f>
        <v>44835</v>
      </c>
      <c r="L4577" s="1">
        <v>0.0</v>
      </c>
      <c r="M4577" s="1" t="s">
        <v>7088</v>
      </c>
      <c r="N4577" s="1"/>
      <c r="O4577" s="1" t="s">
        <v>30</v>
      </c>
      <c r="P4577" s="1" t="s">
        <v>31</v>
      </c>
      <c r="Q4577" s="1" t="s">
        <v>228</v>
      </c>
      <c r="R4577" s="1" t="s">
        <v>228</v>
      </c>
      <c r="S4577" s="1" t="s">
        <v>229</v>
      </c>
      <c r="T4577" s="1" t="s">
        <v>513</v>
      </c>
      <c r="U4577" s="1">
        <v>1.00597339E8</v>
      </c>
      <c r="X4577" s="1" t="s">
        <v>312</v>
      </c>
      <c r="Y4577" s="1" t="s">
        <v>7088</v>
      </c>
      <c r="Z4577" s="1" t="s">
        <v>37</v>
      </c>
    </row>
    <row r="4578" hidden="1">
      <c r="A4578" s="1" t="s">
        <v>12945</v>
      </c>
      <c r="B4578" s="1" t="s">
        <v>12946</v>
      </c>
      <c r="C4578" s="1" t="s">
        <v>12947</v>
      </c>
      <c r="D4578" s="1" t="s">
        <v>122</v>
      </c>
      <c r="E4578" s="1" t="s">
        <v>28</v>
      </c>
      <c r="F4578" s="2">
        <v>100000.0</v>
      </c>
      <c r="G4578" s="1" t="s">
        <v>280</v>
      </c>
      <c r="H4578" s="4">
        <f>IFERROR(__xludf.DUMMYFUNCTION("DATE(INDEX(SPLIT(G4578,""/""),,3),INDEX(SPLIT(G4578,""/""),,2),INDEX(SPLIT(G4578,""/""),,1))"),44613.0)</f>
        <v>44613</v>
      </c>
      <c r="I4578" s="4">
        <v>44569.0</v>
      </c>
      <c r="J4578" s="4">
        <f>IFERROR(__xludf.DUMMYFUNCTION("DATE(INDEX(SPLIT(I4578,""/""),,3),INDEX(SPLIT(I4578,""/""),,2),INDEX(SPLIT(I4578,""/""),,1))"),44774.0)</f>
        <v>44774</v>
      </c>
      <c r="L4578" s="1">
        <v>0.0</v>
      </c>
      <c r="M4578" s="1" t="s">
        <v>5017</v>
      </c>
      <c r="N4578" s="1"/>
      <c r="O4578" s="1" t="s">
        <v>30</v>
      </c>
      <c r="P4578" s="1" t="s">
        <v>31</v>
      </c>
      <c r="Q4578" s="1" t="s">
        <v>228</v>
      </c>
      <c r="R4578" s="1" t="s">
        <v>228</v>
      </c>
      <c r="S4578" s="1" t="s">
        <v>229</v>
      </c>
      <c r="T4578" s="1" t="s">
        <v>513</v>
      </c>
      <c r="U4578" s="1">
        <v>1.00620023E8</v>
      </c>
      <c r="X4578" s="1" t="s">
        <v>98</v>
      </c>
      <c r="Y4578" s="1" t="s">
        <v>4263</v>
      </c>
      <c r="Z4578" s="1" t="s">
        <v>37</v>
      </c>
    </row>
    <row r="4579" hidden="1">
      <c r="A4579" s="1" t="s">
        <v>12948</v>
      </c>
      <c r="B4579" s="1" t="s">
        <v>12949</v>
      </c>
      <c r="C4579" s="1" t="s">
        <v>12950</v>
      </c>
      <c r="D4579" s="1" t="s">
        <v>27</v>
      </c>
      <c r="E4579" s="1" t="s">
        <v>28</v>
      </c>
      <c r="F4579" s="2">
        <v>100000.0</v>
      </c>
      <c r="G4579" s="1" t="s">
        <v>10667</v>
      </c>
      <c r="H4579" s="4">
        <f>IFERROR(__xludf.DUMMYFUNCTION("DATE(INDEX(SPLIT(G4579,""/""),,3),INDEX(SPLIT(G4579,""/""),,2),INDEX(SPLIT(G4579,""/""),,1))"),44270.0)</f>
        <v>44270</v>
      </c>
      <c r="I4579" s="1" t="s">
        <v>42</v>
      </c>
      <c r="J4579" s="4">
        <f>IFERROR(__xludf.DUMMYFUNCTION("DATE(INDEX(SPLIT(I4579,""/""),,3),INDEX(SPLIT(I4579,""/""),,2),INDEX(SPLIT(I4579,""/""),,1))"),44926.0)</f>
        <v>44926</v>
      </c>
      <c r="L4579" s="1">
        <v>0.0</v>
      </c>
      <c r="M4579" s="1" t="s">
        <v>1376</v>
      </c>
      <c r="N4579" s="1"/>
      <c r="O4579" s="1" t="s">
        <v>30</v>
      </c>
      <c r="P4579" s="1" t="s">
        <v>31</v>
      </c>
      <c r="Q4579" s="1" t="s">
        <v>32</v>
      </c>
      <c r="R4579" s="1" t="s">
        <v>32</v>
      </c>
      <c r="S4579" s="1" t="s">
        <v>33</v>
      </c>
      <c r="T4579" s="1" t="s">
        <v>1195</v>
      </c>
      <c r="U4579" s="1">
        <v>1.006096E8</v>
      </c>
      <c r="X4579" s="1" t="s">
        <v>490</v>
      </c>
      <c r="Y4579" s="1" t="s">
        <v>7653</v>
      </c>
      <c r="Z4579" s="1" t="s">
        <v>37</v>
      </c>
    </row>
    <row r="4580" hidden="1">
      <c r="A4580" s="1" t="s">
        <v>12951</v>
      </c>
      <c r="B4580" s="1" t="s">
        <v>6599</v>
      </c>
      <c r="C4580" s="1" t="s">
        <v>12952</v>
      </c>
      <c r="D4580" s="1" t="s">
        <v>27</v>
      </c>
      <c r="E4580" s="1" t="s">
        <v>28</v>
      </c>
      <c r="F4580" s="2">
        <v>100000.0</v>
      </c>
      <c r="G4580" s="1" t="s">
        <v>1259</v>
      </c>
      <c r="H4580" s="4">
        <f>IFERROR(__xludf.DUMMYFUNCTION("DATE(INDEX(SPLIT(G4580,""/""),,3),INDEX(SPLIT(G4580,""/""),,2),INDEX(SPLIT(G4580,""/""),,1))"),44763.0)</f>
        <v>44763</v>
      </c>
      <c r="I4580" s="1" t="s">
        <v>281</v>
      </c>
      <c r="J4580" s="4">
        <f>IFERROR(__xludf.DUMMYFUNCTION("DATE(INDEX(SPLIT(I4580,""/""),,3),INDEX(SPLIT(I4580,""/""),,2),INDEX(SPLIT(I4580,""/""),,1))"),44865.0)</f>
        <v>44865</v>
      </c>
      <c r="L4580" s="1">
        <v>0.0</v>
      </c>
      <c r="M4580" s="1" t="s">
        <v>2072</v>
      </c>
      <c r="N4580" s="1"/>
      <c r="O4580" s="1" t="s">
        <v>30</v>
      </c>
      <c r="P4580" s="1" t="s">
        <v>31</v>
      </c>
      <c r="Q4580" s="1" t="s">
        <v>71</v>
      </c>
      <c r="R4580" s="1" t="s">
        <v>71</v>
      </c>
      <c r="S4580" s="1" t="s">
        <v>72</v>
      </c>
      <c r="T4580" s="1" t="s">
        <v>136</v>
      </c>
      <c r="U4580" s="1">
        <v>1.00628181E8</v>
      </c>
      <c r="X4580" s="1" t="s">
        <v>74</v>
      </c>
      <c r="Y4580" s="1" t="s">
        <v>2072</v>
      </c>
      <c r="Z4580" s="1" t="s">
        <v>37</v>
      </c>
    </row>
    <row r="4581" hidden="1">
      <c r="A4581" s="1" t="s">
        <v>12953</v>
      </c>
      <c r="B4581" s="1" t="s">
        <v>6599</v>
      </c>
      <c r="C4581" s="1" t="s">
        <v>12954</v>
      </c>
      <c r="D4581" s="1" t="s">
        <v>27</v>
      </c>
      <c r="E4581" s="1" t="s">
        <v>28</v>
      </c>
      <c r="F4581" s="2">
        <v>100000.0</v>
      </c>
      <c r="G4581" s="1" t="s">
        <v>1259</v>
      </c>
      <c r="H4581" s="4">
        <f>IFERROR(__xludf.DUMMYFUNCTION("DATE(INDEX(SPLIT(G4581,""/""),,3),INDEX(SPLIT(G4581,""/""),,2),INDEX(SPLIT(G4581,""/""),,1))"),44763.0)</f>
        <v>44763</v>
      </c>
      <c r="I4581" s="1" t="s">
        <v>281</v>
      </c>
      <c r="J4581" s="4">
        <f>IFERROR(__xludf.DUMMYFUNCTION("DATE(INDEX(SPLIT(I4581,""/""),,3),INDEX(SPLIT(I4581,""/""),,2),INDEX(SPLIT(I4581,""/""),,1))"),44865.0)</f>
        <v>44865</v>
      </c>
      <c r="L4581" s="1">
        <v>0.0</v>
      </c>
      <c r="M4581" s="1" t="s">
        <v>2057</v>
      </c>
      <c r="N4581" s="1"/>
      <c r="O4581" s="1" t="s">
        <v>30</v>
      </c>
      <c r="P4581" s="1" t="s">
        <v>31</v>
      </c>
      <c r="Q4581" s="1" t="s">
        <v>71</v>
      </c>
      <c r="R4581" s="1" t="s">
        <v>71</v>
      </c>
      <c r="S4581" s="1" t="s">
        <v>72</v>
      </c>
      <c r="T4581" s="1" t="s">
        <v>136</v>
      </c>
      <c r="U4581" s="1">
        <v>1.01078216E8</v>
      </c>
      <c r="X4581" s="1" t="s">
        <v>74</v>
      </c>
      <c r="Y4581" s="1" t="s">
        <v>2072</v>
      </c>
      <c r="Z4581" s="1" t="s">
        <v>206</v>
      </c>
    </row>
    <row r="4582" hidden="1">
      <c r="A4582" s="1" t="s">
        <v>12955</v>
      </c>
      <c r="B4582" s="1" t="s">
        <v>4797</v>
      </c>
      <c r="C4582" s="1" t="s">
        <v>3405</v>
      </c>
      <c r="D4582" s="1" t="s">
        <v>27</v>
      </c>
      <c r="E4582" s="1" t="s">
        <v>28</v>
      </c>
      <c r="F4582" s="2">
        <v>100000.0</v>
      </c>
      <c r="G4582" s="1" t="s">
        <v>5065</v>
      </c>
      <c r="H4582" s="4">
        <f>IFERROR(__xludf.DUMMYFUNCTION("DATE(INDEX(SPLIT(G4582,""/""),,3),INDEX(SPLIT(G4582,""/""),,2),INDEX(SPLIT(G4582,""/""),,1))"),44008.0)</f>
        <v>44008</v>
      </c>
      <c r="I4582" s="1" t="s">
        <v>12956</v>
      </c>
      <c r="J4582" s="4">
        <f>IFERROR(__xludf.DUMMYFUNCTION("DATE(INDEX(SPLIT(I4582,""/""),,3),INDEX(SPLIT(I4582,""/""),,2),INDEX(SPLIT(I4582,""/""),,1))"),45072.0)</f>
        <v>45072</v>
      </c>
      <c r="L4582" s="1">
        <v>0.0</v>
      </c>
      <c r="M4582" s="1" t="s">
        <v>3408</v>
      </c>
      <c r="N4582" s="1"/>
      <c r="O4582" s="1" t="s">
        <v>30</v>
      </c>
      <c r="P4582" s="1" t="s">
        <v>31</v>
      </c>
      <c r="Q4582" s="1" t="s">
        <v>95</v>
      </c>
      <c r="R4582" s="1" t="s">
        <v>95</v>
      </c>
      <c r="S4582" s="1" t="s">
        <v>96</v>
      </c>
      <c r="T4582" s="1" t="s">
        <v>3409</v>
      </c>
      <c r="U4582" s="1">
        <v>1.00953783E8</v>
      </c>
      <c r="X4582" s="1" t="s">
        <v>312</v>
      </c>
      <c r="Y4582" s="1" t="s">
        <v>2689</v>
      </c>
      <c r="Z4582" s="1" t="s">
        <v>527</v>
      </c>
    </row>
    <row r="4583" hidden="1">
      <c r="A4583" s="1" t="s">
        <v>12957</v>
      </c>
      <c r="B4583" s="1" t="s">
        <v>12958</v>
      </c>
      <c r="C4583" s="1" t="s">
        <v>12959</v>
      </c>
      <c r="D4583" s="1" t="s">
        <v>27</v>
      </c>
      <c r="E4583" s="1" t="s">
        <v>28</v>
      </c>
      <c r="F4583" s="2">
        <v>100000.0</v>
      </c>
      <c r="G4583" s="1" t="s">
        <v>10667</v>
      </c>
      <c r="H4583" s="4">
        <f>IFERROR(__xludf.DUMMYFUNCTION("DATE(INDEX(SPLIT(G4583,""/""),,3),INDEX(SPLIT(G4583,""/""),,2),INDEX(SPLIT(G4583,""/""),,1))"),44270.0)</f>
        <v>44270</v>
      </c>
      <c r="I4583" s="1" t="s">
        <v>42</v>
      </c>
      <c r="J4583" s="4">
        <f>IFERROR(__xludf.DUMMYFUNCTION("DATE(INDEX(SPLIT(I4583,""/""),,3),INDEX(SPLIT(I4583,""/""),,2),INDEX(SPLIT(I4583,""/""),,1))"),44926.0)</f>
        <v>44926</v>
      </c>
      <c r="L4583" s="1">
        <v>0.0</v>
      </c>
      <c r="M4583" s="1" t="s">
        <v>1376</v>
      </c>
      <c r="N4583" s="1"/>
      <c r="O4583" s="1" t="s">
        <v>30</v>
      </c>
      <c r="P4583" s="1" t="s">
        <v>31</v>
      </c>
      <c r="Q4583" s="1" t="s">
        <v>32</v>
      </c>
      <c r="R4583" s="1" t="s">
        <v>32</v>
      </c>
      <c r="S4583" s="1" t="s">
        <v>33</v>
      </c>
      <c r="T4583" s="1" t="s">
        <v>1195</v>
      </c>
      <c r="U4583" s="1">
        <v>1.006096E8</v>
      </c>
      <c r="X4583" s="1" t="s">
        <v>609</v>
      </c>
      <c r="Y4583" s="1" t="s">
        <v>7653</v>
      </c>
      <c r="Z4583" s="1" t="s">
        <v>37</v>
      </c>
    </row>
    <row r="4584">
      <c r="A4584" s="1" t="s">
        <v>12960</v>
      </c>
      <c r="B4584" s="1" t="s">
        <v>12961</v>
      </c>
      <c r="C4584" s="1" t="s">
        <v>12962</v>
      </c>
      <c r="D4584" s="1" t="s">
        <v>122</v>
      </c>
      <c r="E4584" s="1" t="s">
        <v>28</v>
      </c>
      <c r="F4584" s="2">
        <v>100000.0</v>
      </c>
      <c r="G4584" s="4">
        <v>44870.0</v>
      </c>
      <c r="H4584" s="4">
        <f>IFERROR(__xludf.DUMMYFUNCTION("DATE(INDEX(SPLIT(G4584,""/""),,3),INDEX(SPLIT(G4584,""/""),,2),INDEX(SPLIT(G4584,""/""),,1))"),44692.0)</f>
        <v>44692</v>
      </c>
      <c r="I4584" s="1" t="s">
        <v>1244</v>
      </c>
      <c r="J4584" s="4">
        <f>IFERROR(__xludf.DUMMYFUNCTION("DATE(INDEX(SPLIT(I4584,""/""),,3),INDEX(SPLIT(I4584,""/""),,2),INDEX(SPLIT(I4584,""/""),,1))"),44742.0)</f>
        <v>44742</v>
      </c>
      <c r="L4584" s="1">
        <v>0.0</v>
      </c>
      <c r="M4584" s="1" t="s">
        <v>12468</v>
      </c>
      <c r="N4584" s="1"/>
      <c r="O4584" s="1" t="s">
        <v>30</v>
      </c>
      <c r="P4584" s="1" t="s">
        <v>31</v>
      </c>
      <c r="Q4584" s="1" t="s">
        <v>228</v>
      </c>
      <c r="R4584" s="1" t="s">
        <v>228</v>
      </c>
      <c r="S4584" s="1" t="s">
        <v>229</v>
      </c>
      <c r="T4584" s="1" t="s">
        <v>513</v>
      </c>
      <c r="U4584" s="1">
        <v>1.00626837E8</v>
      </c>
      <c r="X4584" s="1" t="s">
        <v>375</v>
      </c>
      <c r="Y4584" s="1" t="s">
        <v>12468</v>
      </c>
      <c r="Z4584" s="1" t="s">
        <v>206</v>
      </c>
    </row>
    <row r="4585" hidden="1">
      <c r="A4585" s="1" t="s">
        <v>12963</v>
      </c>
      <c r="B4585" s="1" t="s">
        <v>6599</v>
      </c>
      <c r="C4585" s="1" t="s">
        <v>12964</v>
      </c>
      <c r="D4585" s="1" t="s">
        <v>27</v>
      </c>
      <c r="E4585" s="1" t="s">
        <v>28</v>
      </c>
      <c r="F4585" s="2">
        <v>100000.0</v>
      </c>
      <c r="G4585" s="1" t="s">
        <v>1259</v>
      </c>
      <c r="H4585" s="4">
        <f>IFERROR(__xludf.DUMMYFUNCTION("DATE(INDEX(SPLIT(G4585,""/""),,3),INDEX(SPLIT(G4585,""/""),,2),INDEX(SPLIT(G4585,""/""),,1))"),44763.0)</f>
        <v>44763</v>
      </c>
      <c r="I4585" s="1" t="s">
        <v>281</v>
      </c>
      <c r="J4585" s="4">
        <f>IFERROR(__xludf.DUMMYFUNCTION("DATE(INDEX(SPLIT(I4585,""/""),,3),INDEX(SPLIT(I4585,""/""),,2),INDEX(SPLIT(I4585,""/""),,1))"),44865.0)</f>
        <v>44865</v>
      </c>
      <c r="L4585" s="1">
        <v>0.0</v>
      </c>
      <c r="M4585" s="1" t="s">
        <v>1239</v>
      </c>
      <c r="N4585" s="1"/>
      <c r="O4585" s="1" t="s">
        <v>30</v>
      </c>
      <c r="P4585" s="1" t="s">
        <v>31</v>
      </c>
      <c r="Q4585" s="1" t="s">
        <v>71</v>
      </c>
      <c r="R4585" s="1" t="s">
        <v>71</v>
      </c>
      <c r="S4585" s="1" t="s">
        <v>72</v>
      </c>
      <c r="T4585" s="1" t="s">
        <v>136</v>
      </c>
      <c r="U4585" s="1">
        <v>1.00943277E8</v>
      </c>
      <c r="X4585" s="1" t="s">
        <v>74</v>
      </c>
      <c r="Y4585" s="1" t="s">
        <v>2072</v>
      </c>
      <c r="Z4585" s="1" t="s">
        <v>37</v>
      </c>
    </row>
    <row r="4586" hidden="1">
      <c r="A4586" s="1" t="s">
        <v>12965</v>
      </c>
      <c r="B4586" s="1" t="s">
        <v>4101</v>
      </c>
      <c r="C4586" s="1" t="s">
        <v>3405</v>
      </c>
      <c r="D4586" s="1" t="s">
        <v>27</v>
      </c>
      <c r="E4586" s="1" t="s">
        <v>28</v>
      </c>
      <c r="F4586" s="2">
        <v>100000.0</v>
      </c>
      <c r="G4586" s="1" t="s">
        <v>3406</v>
      </c>
      <c r="H4586" s="4">
        <f>IFERROR(__xludf.DUMMYFUNCTION("DATE(INDEX(SPLIT(G4586,""/""),,3),INDEX(SPLIT(G4586,""/""),,2),INDEX(SPLIT(G4586,""/""),,1))"),44009.0)</f>
        <v>44009</v>
      </c>
      <c r="I4586" s="1" t="s">
        <v>12956</v>
      </c>
      <c r="J4586" s="4">
        <f>IFERROR(__xludf.DUMMYFUNCTION("DATE(INDEX(SPLIT(I4586,""/""),,3),INDEX(SPLIT(I4586,""/""),,2),INDEX(SPLIT(I4586,""/""),,1))"),45072.0)</f>
        <v>45072</v>
      </c>
      <c r="L4586" s="1">
        <v>0.0</v>
      </c>
      <c r="M4586" s="1" t="s">
        <v>3408</v>
      </c>
      <c r="N4586" s="1"/>
      <c r="O4586" s="1" t="s">
        <v>30</v>
      </c>
      <c r="P4586" s="1" t="s">
        <v>31</v>
      </c>
      <c r="Q4586" s="1" t="s">
        <v>95</v>
      </c>
      <c r="R4586" s="1" t="s">
        <v>95</v>
      </c>
      <c r="S4586" s="1" t="s">
        <v>96</v>
      </c>
      <c r="T4586" s="1" t="s">
        <v>3409</v>
      </c>
      <c r="U4586" s="1">
        <v>1.00953783E8</v>
      </c>
      <c r="X4586" s="1" t="s">
        <v>312</v>
      </c>
      <c r="Y4586" s="1" t="s">
        <v>2689</v>
      </c>
      <c r="Z4586" s="1" t="s">
        <v>527</v>
      </c>
    </row>
    <row r="4587" hidden="1">
      <c r="A4587" s="1" t="s">
        <v>12966</v>
      </c>
      <c r="B4587" s="1" t="s">
        <v>6923</v>
      </c>
      <c r="C4587" s="1" t="s">
        <v>12967</v>
      </c>
      <c r="D4587" s="1" t="s">
        <v>27</v>
      </c>
      <c r="E4587" s="1" t="s">
        <v>28</v>
      </c>
      <c r="F4587" s="2">
        <v>100000.0</v>
      </c>
      <c r="G4587" s="1" t="s">
        <v>93</v>
      </c>
      <c r="H4587" s="4">
        <f>IFERROR(__xludf.DUMMYFUNCTION("DATE(INDEX(SPLIT(G4587,""/""),,3),INDEX(SPLIT(G4587,""/""),,2),INDEX(SPLIT(G4587,""/""),,1))"),44671.0)</f>
        <v>44671</v>
      </c>
      <c r="I4587" s="1" t="s">
        <v>203</v>
      </c>
      <c r="J4587" s="4">
        <f>IFERROR(__xludf.DUMMYFUNCTION("DATE(INDEX(SPLIT(I4587,""/""),,3),INDEX(SPLIT(I4587,""/""),,2),INDEX(SPLIT(I4587,""/""),,1))"),44925.0)</f>
        <v>44925</v>
      </c>
      <c r="L4587" s="1">
        <v>0.0</v>
      </c>
      <c r="M4587" s="1" t="s">
        <v>2072</v>
      </c>
      <c r="N4587" s="1"/>
      <c r="O4587" s="1" t="s">
        <v>30</v>
      </c>
      <c r="P4587" s="1" t="s">
        <v>31</v>
      </c>
      <c r="Q4587" s="1" t="s">
        <v>71</v>
      </c>
      <c r="R4587" s="1" t="s">
        <v>71</v>
      </c>
      <c r="S4587" s="1" t="s">
        <v>72</v>
      </c>
      <c r="T4587" s="1" t="s">
        <v>136</v>
      </c>
      <c r="U4587" s="1">
        <v>1.00628181E8</v>
      </c>
      <c r="X4587" s="1" t="s">
        <v>74</v>
      </c>
      <c r="Y4587" s="1" t="s">
        <v>2072</v>
      </c>
      <c r="Z4587" s="1" t="s">
        <v>37</v>
      </c>
    </row>
    <row r="4588" hidden="1">
      <c r="A4588" s="1" t="s">
        <v>12968</v>
      </c>
      <c r="B4588" s="1" t="s">
        <v>12969</v>
      </c>
      <c r="C4588" s="1" t="s">
        <v>12970</v>
      </c>
      <c r="D4588" s="1" t="s">
        <v>27</v>
      </c>
      <c r="E4588" s="1" t="s">
        <v>28</v>
      </c>
      <c r="F4588" s="2">
        <v>100000.0</v>
      </c>
      <c r="G4588" s="1" t="s">
        <v>10667</v>
      </c>
      <c r="H4588" s="4">
        <f>IFERROR(__xludf.DUMMYFUNCTION("DATE(INDEX(SPLIT(G4588,""/""),,3),INDEX(SPLIT(G4588,""/""),,2),INDEX(SPLIT(G4588,""/""),,1))"),44270.0)</f>
        <v>44270</v>
      </c>
      <c r="I4588" s="1" t="s">
        <v>42</v>
      </c>
      <c r="J4588" s="4">
        <f>IFERROR(__xludf.DUMMYFUNCTION("DATE(INDEX(SPLIT(I4588,""/""),,3),INDEX(SPLIT(I4588,""/""),,2),INDEX(SPLIT(I4588,""/""),,1))"),44926.0)</f>
        <v>44926</v>
      </c>
      <c r="L4588" s="1">
        <v>0.0</v>
      </c>
      <c r="M4588" s="1" t="s">
        <v>1376</v>
      </c>
      <c r="N4588" s="1"/>
      <c r="O4588" s="1" t="s">
        <v>30</v>
      </c>
      <c r="P4588" s="1" t="s">
        <v>31</v>
      </c>
      <c r="Q4588" s="1" t="s">
        <v>32</v>
      </c>
      <c r="R4588" s="1" t="s">
        <v>32</v>
      </c>
      <c r="S4588" s="1" t="s">
        <v>33</v>
      </c>
      <c r="T4588" s="1" t="s">
        <v>1195</v>
      </c>
      <c r="U4588" s="1">
        <v>1.006096E8</v>
      </c>
      <c r="X4588" s="1" t="s">
        <v>490</v>
      </c>
      <c r="Y4588" s="1" t="s">
        <v>7653</v>
      </c>
      <c r="Z4588" s="1" t="s">
        <v>37</v>
      </c>
    </row>
    <row r="4589" hidden="1">
      <c r="A4589" s="1" t="s">
        <v>12971</v>
      </c>
      <c r="B4589" s="1" t="s">
        <v>12969</v>
      </c>
      <c r="C4589" s="1" t="s">
        <v>12972</v>
      </c>
      <c r="D4589" s="1" t="s">
        <v>27</v>
      </c>
      <c r="E4589" s="1" t="s">
        <v>28</v>
      </c>
      <c r="F4589" s="2">
        <v>100000.0</v>
      </c>
      <c r="G4589" s="1" t="s">
        <v>10667</v>
      </c>
      <c r="H4589" s="4">
        <f>IFERROR(__xludf.DUMMYFUNCTION("DATE(INDEX(SPLIT(G4589,""/""),,3),INDEX(SPLIT(G4589,""/""),,2),INDEX(SPLIT(G4589,""/""),,1))"),44270.0)</f>
        <v>44270</v>
      </c>
      <c r="I4589" s="1" t="s">
        <v>42</v>
      </c>
      <c r="J4589" s="4">
        <f>IFERROR(__xludf.DUMMYFUNCTION("DATE(INDEX(SPLIT(I4589,""/""),,3),INDEX(SPLIT(I4589,""/""),,2),INDEX(SPLIT(I4589,""/""),,1))"),44926.0)</f>
        <v>44926</v>
      </c>
      <c r="L4589" s="1">
        <v>0.0</v>
      </c>
      <c r="M4589" s="1" t="s">
        <v>1376</v>
      </c>
      <c r="N4589" s="1"/>
      <c r="O4589" s="1" t="s">
        <v>30</v>
      </c>
      <c r="P4589" s="1" t="s">
        <v>31</v>
      </c>
      <c r="Q4589" s="1" t="s">
        <v>32</v>
      </c>
      <c r="R4589" s="1" t="s">
        <v>32</v>
      </c>
      <c r="S4589" s="1" t="s">
        <v>33</v>
      </c>
      <c r="T4589" s="1" t="s">
        <v>1195</v>
      </c>
      <c r="U4589" s="1">
        <v>1.006096E8</v>
      </c>
      <c r="X4589" s="1" t="s">
        <v>490</v>
      </c>
      <c r="Y4589" s="1" t="s">
        <v>7653</v>
      </c>
      <c r="Z4589" s="1" t="s">
        <v>37</v>
      </c>
    </row>
    <row r="4590" hidden="1">
      <c r="A4590" s="1" t="s">
        <v>12973</v>
      </c>
      <c r="B4590" s="1" t="s">
        <v>1185</v>
      </c>
      <c r="C4590" s="1" t="s">
        <v>12974</v>
      </c>
      <c r="D4590" s="1" t="s">
        <v>27</v>
      </c>
      <c r="E4590" s="1" t="s">
        <v>28</v>
      </c>
      <c r="F4590" s="2">
        <v>100000.0</v>
      </c>
      <c r="G4590" s="4">
        <v>44653.0</v>
      </c>
      <c r="H4590" s="4">
        <f>IFERROR(__xludf.DUMMYFUNCTION("DATE(INDEX(SPLIT(G4590,""/""),,3),INDEX(SPLIT(G4590,""/""),,2),INDEX(SPLIT(G4590,""/""),,1))"),44596.0)</f>
        <v>44596</v>
      </c>
      <c r="I4590" s="4">
        <v>44569.0</v>
      </c>
      <c r="J4590" s="4">
        <f>IFERROR(__xludf.DUMMYFUNCTION("DATE(INDEX(SPLIT(I4590,""/""),,3),INDEX(SPLIT(I4590,""/""),,2),INDEX(SPLIT(I4590,""/""),,1))"),44774.0)</f>
        <v>44774</v>
      </c>
      <c r="L4590" s="1">
        <v>0.0</v>
      </c>
      <c r="M4590" s="1" t="s">
        <v>2696</v>
      </c>
      <c r="N4590" s="1"/>
      <c r="O4590" s="1" t="s">
        <v>30</v>
      </c>
      <c r="P4590" s="1" t="s">
        <v>31</v>
      </c>
      <c r="Q4590" s="1" t="s">
        <v>157</v>
      </c>
      <c r="R4590" s="1" t="s">
        <v>157</v>
      </c>
      <c r="S4590" s="1" t="s">
        <v>158</v>
      </c>
      <c r="U4590" s="1">
        <v>1.00611351E8</v>
      </c>
      <c r="X4590" s="1" t="s">
        <v>190</v>
      </c>
      <c r="Y4590" s="1" t="s">
        <v>2959</v>
      </c>
      <c r="Z4590" s="1" t="s">
        <v>37</v>
      </c>
    </row>
    <row r="4591">
      <c r="A4591" s="1" t="s">
        <v>12975</v>
      </c>
      <c r="B4591" s="1" t="s">
        <v>12976</v>
      </c>
      <c r="C4591" s="1" t="s">
        <v>12977</v>
      </c>
      <c r="D4591" s="1" t="s">
        <v>68</v>
      </c>
      <c r="E4591" s="1" t="s">
        <v>28</v>
      </c>
      <c r="F4591" s="2">
        <v>100000.0</v>
      </c>
      <c r="G4591" s="4">
        <v>44656.0</v>
      </c>
      <c r="H4591" s="4">
        <f>IFERROR(__xludf.DUMMYFUNCTION("DATE(INDEX(SPLIT(G4591,""/""),,3),INDEX(SPLIT(G4591,""/""),,2),INDEX(SPLIT(G4591,""/""),,1))"),44685.0)</f>
        <v>44685</v>
      </c>
      <c r="I4591" s="1" t="s">
        <v>2300</v>
      </c>
      <c r="J4591" s="4">
        <f>IFERROR(__xludf.DUMMYFUNCTION("DATE(INDEX(SPLIT(I4591,""/""),,3),INDEX(SPLIT(I4591,""/""),,2),INDEX(SPLIT(I4591,""/""),,1))"),44712.0)</f>
        <v>44712</v>
      </c>
      <c r="L4591" s="1">
        <v>0.0</v>
      </c>
      <c r="M4591" s="1" t="s">
        <v>6045</v>
      </c>
      <c r="N4591" s="1"/>
      <c r="O4591" s="1" t="s">
        <v>30</v>
      </c>
      <c r="P4591" s="1" t="s">
        <v>31</v>
      </c>
      <c r="Q4591" s="1" t="s">
        <v>228</v>
      </c>
      <c r="R4591" s="1" t="s">
        <v>228</v>
      </c>
      <c r="S4591" s="1" t="s">
        <v>229</v>
      </c>
      <c r="T4591" s="1" t="s">
        <v>513</v>
      </c>
      <c r="U4591" s="1">
        <v>1.00652479E8</v>
      </c>
      <c r="X4591" s="1" t="s">
        <v>289</v>
      </c>
      <c r="Y4591" s="1" t="s">
        <v>12978</v>
      </c>
      <c r="Z4591" s="1" t="s">
        <v>37</v>
      </c>
    </row>
    <row r="4592" hidden="1">
      <c r="A4592" s="1" t="s">
        <v>12979</v>
      </c>
      <c r="B4592" s="1" t="s">
        <v>1609</v>
      </c>
      <c r="C4592" s="1" t="s">
        <v>12980</v>
      </c>
      <c r="D4592" s="1" t="s">
        <v>27</v>
      </c>
      <c r="E4592" s="1" t="s">
        <v>28</v>
      </c>
      <c r="F4592" s="2">
        <v>100000.0</v>
      </c>
      <c r="G4592" s="1" t="s">
        <v>1438</v>
      </c>
      <c r="H4592" s="4">
        <f>IFERROR(__xludf.DUMMYFUNCTION("DATE(INDEX(SPLIT(G4592,""/""),,3),INDEX(SPLIT(G4592,""/""),,2),INDEX(SPLIT(G4592,""/""),,1))"),44708.0)</f>
        <v>44708</v>
      </c>
      <c r="I4592" s="1" t="s">
        <v>42</v>
      </c>
      <c r="J4592" s="4">
        <f>IFERROR(__xludf.DUMMYFUNCTION("DATE(INDEX(SPLIT(I4592,""/""),,3),INDEX(SPLIT(I4592,""/""),,2),INDEX(SPLIT(I4592,""/""),,1))"),44926.0)</f>
        <v>44926</v>
      </c>
      <c r="L4592" s="1">
        <v>0.0</v>
      </c>
      <c r="M4592" s="1" t="s">
        <v>216</v>
      </c>
      <c r="N4592" s="1"/>
      <c r="O4592" s="1" t="s">
        <v>30</v>
      </c>
      <c r="P4592" s="1" t="s">
        <v>31</v>
      </c>
      <c r="Q4592" s="1" t="s">
        <v>95</v>
      </c>
      <c r="R4592" s="1" t="s">
        <v>95</v>
      </c>
      <c r="S4592" s="1" t="s">
        <v>96</v>
      </c>
      <c r="T4592" s="1" t="s">
        <v>217</v>
      </c>
      <c r="U4592" s="1">
        <v>1.01200292E8</v>
      </c>
      <c r="X4592" s="1" t="s">
        <v>81</v>
      </c>
      <c r="Y4592" s="1" t="s">
        <v>216</v>
      </c>
      <c r="Z4592" s="1" t="s">
        <v>37</v>
      </c>
    </row>
    <row r="4593" hidden="1">
      <c r="A4593" s="1" t="s">
        <v>12981</v>
      </c>
      <c r="B4593" s="1" t="s">
        <v>2030</v>
      </c>
      <c r="C4593" s="1" t="s">
        <v>12982</v>
      </c>
      <c r="D4593" s="1" t="s">
        <v>27</v>
      </c>
      <c r="E4593" s="1" t="s">
        <v>28</v>
      </c>
      <c r="F4593" s="2">
        <v>100000.0</v>
      </c>
      <c r="G4593" s="1" t="s">
        <v>418</v>
      </c>
      <c r="H4593" s="4">
        <f>IFERROR(__xludf.DUMMYFUNCTION("DATE(INDEX(SPLIT(G4593,""/""),,3),INDEX(SPLIT(G4593,""/""),,2),INDEX(SPLIT(G4593,""/""),,1))"),44755.0)</f>
        <v>44755</v>
      </c>
      <c r="I4593" s="1" t="s">
        <v>42</v>
      </c>
      <c r="J4593" s="4">
        <f>IFERROR(__xludf.DUMMYFUNCTION("DATE(INDEX(SPLIT(I4593,""/""),,3),INDEX(SPLIT(I4593,""/""),,2),INDEX(SPLIT(I4593,""/""),,1))"),44926.0)</f>
        <v>44926</v>
      </c>
      <c r="L4593" s="1">
        <v>0.0</v>
      </c>
      <c r="M4593" s="1" t="s">
        <v>2032</v>
      </c>
      <c r="N4593" s="1"/>
      <c r="O4593" s="1" t="s">
        <v>30</v>
      </c>
      <c r="P4593" s="1" t="s">
        <v>31</v>
      </c>
      <c r="Q4593" s="1" t="s">
        <v>71</v>
      </c>
      <c r="R4593" s="1" t="s">
        <v>71</v>
      </c>
      <c r="S4593" s="1" t="s">
        <v>72</v>
      </c>
      <c r="U4593" s="1">
        <v>1.00929557E8</v>
      </c>
      <c r="X4593" s="1" t="s">
        <v>74</v>
      </c>
      <c r="Y4593" s="1" t="s">
        <v>12700</v>
      </c>
      <c r="Z4593" s="1" t="s">
        <v>206</v>
      </c>
    </row>
    <row r="4594">
      <c r="A4594" s="1" t="s">
        <v>12983</v>
      </c>
      <c r="B4594" s="1" t="s">
        <v>6099</v>
      </c>
      <c r="C4594" s="1" t="s">
        <v>12984</v>
      </c>
      <c r="D4594" s="1" t="s">
        <v>122</v>
      </c>
      <c r="E4594" s="1" t="s">
        <v>28</v>
      </c>
      <c r="F4594" s="2">
        <v>100000.0</v>
      </c>
      <c r="G4594" s="1" t="s">
        <v>2629</v>
      </c>
      <c r="H4594" s="4">
        <f>IFERROR(__xludf.DUMMYFUNCTION("DATE(INDEX(SPLIT(G4594,""/""),,3),INDEX(SPLIT(G4594,""/""),,2),INDEX(SPLIT(G4594,""/""),,1))"),44651.0)</f>
        <v>44651</v>
      </c>
      <c r="I4594" s="1" t="s">
        <v>935</v>
      </c>
      <c r="J4594" s="4">
        <f>IFERROR(__xludf.DUMMYFUNCTION("DATE(INDEX(SPLIT(I4594,""/""),,3),INDEX(SPLIT(I4594,""/""),,2),INDEX(SPLIT(I4594,""/""),,1))"),44764.0)</f>
        <v>44764</v>
      </c>
      <c r="L4594" s="1">
        <v>0.0</v>
      </c>
      <c r="M4594" s="1" t="s">
        <v>2214</v>
      </c>
      <c r="N4594" s="1"/>
      <c r="O4594" s="1" t="s">
        <v>30</v>
      </c>
      <c r="P4594" s="1" t="s">
        <v>31</v>
      </c>
      <c r="Q4594" s="1" t="s">
        <v>95</v>
      </c>
      <c r="R4594" s="1" t="s">
        <v>95</v>
      </c>
      <c r="S4594" s="1" t="s">
        <v>96</v>
      </c>
      <c r="T4594" s="1" t="s">
        <v>640</v>
      </c>
      <c r="U4594" s="1">
        <v>1.00580065E8</v>
      </c>
      <c r="X4594" s="1" t="s">
        <v>361</v>
      </c>
      <c r="Y4594" s="1" t="s">
        <v>12985</v>
      </c>
      <c r="Z4594" s="1" t="s">
        <v>37</v>
      </c>
    </row>
    <row r="4595" hidden="1">
      <c r="A4595" s="1" t="s">
        <v>12986</v>
      </c>
      <c r="B4595" s="1" t="s">
        <v>308</v>
      </c>
      <c r="C4595" s="1" t="s">
        <v>12987</v>
      </c>
      <c r="D4595" s="1" t="s">
        <v>122</v>
      </c>
      <c r="E4595" s="1" t="s">
        <v>28</v>
      </c>
      <c r="F4595" s="2">
        <v>100000.0</v>
      </c>
      <c r="G4595" s="1" t="s">
        <v>3595</v>
      </c>
      <c r="H4595" s="4">
        <f>IFERROR(__xludf.DUMMYFUNCTION("DATE(INDEX(SPLIT(G4595,""/""),,3),INDEX(SPLIT(G4595,""/""),,2),INDEX(SPLIT(G4595,""/""),,1))"),44460.0)</f>
        <v>44460</v>
      </c>
      <c r="I4595" s="1" t="s">
        <v>130</v>
      </c>
      <c r="J4595" s="4">
        <f>IFERROR(__xludf.DUMMYFUNCTION("DATE(INDEX(SPLIT(I4595,""/""),,3),INDEX(SPLIT(I4595,""/""),,2),INDEX(SPLIT(I4595,""/""),,1))"),44804.0)</f>
        <v>44804</v>
      </c>
      <c r="L4595" s="1">
        <v>0.0</v>
      </c>
      <c r="M4595" s="1" t="s">
        <v>4574</v>
      </c>
      <c r="N4595" s="1"/>
      <c r="O4595" s="1" t="s">
        <v>30</v>
      </c>
      <c r="P4595" s="1" t="s">
        <v>31</v>
      </c>
      <c r="Q4595" s="1" t="s">
        <v>235</v>
      </c>
      <c r="R4595" s="1" t="s">
        <v>235</v>
      </c>
      <c r="S4595" s="1" t="s">
        <v>236</v>
      </c>
      <c r="T4595" s="1" t="s">
        <v>438</v>
      </c>
      <c r="U4595" s="1">
        <v>1.00625459E8</v>
      </c>
      <c r="X4595" s="1" t="s">
        <v>88</v>
      </c>
      <c r="Y4595" s="1" t="s">
        <v>7831</v>
      </c>
      <c r="Z4595" s="1" t="s">
        <v>37</v>
      </c>
    </row>
    <row r="4596" hidden="1">
      <c r="A4596" s="1" t="s">
        <v>12988</v>
      </c>
      <c r="B4596" s="1" t="s">
        <v>7467</v>
      </c>
      <c r="C4596" s="1" t="s">
        <v>3405</v>
      </c>
      <c r="D4596" s="1" t="s">
        <v>27</v>
      </c>
      <c r="E4596" s="1" t="s">
        <v>28</v>
      </c>
      <c r="F4596" s="2">
        <v>100000.0</v>
      </c>
      <c r="G4596" s="1" t="s">
        <v>5065</v>
      </c>
      <c r="H4596" s="4">
        <f>IFERROR(__xludf.DUMMYFUNCTION("DATE(INDEX(SPLIT(G4596,""/""),,3),INDEX(SPLIT(G4596,""/""),,2),INDEX(SPLIT(G4596,""/""),,1))"),44008.0)</f>
        <v>44008</v>
      </c>
      <c r="I4596" s="1" t="s">
        <v>425</v>
      </c>
      <c r="J4596" s="4">
        <f>IFERROR(__xludf.DUMMYFUNCTION("DATE(INDEX(SPLIT(I4596,""/""),,3),INDEX(SPLIT(I4596,""/""),,2),INDEX(SPLIT(I4596,""/""),,1))"),44911.0)</f>
        <v>44911</v>
      </c>
      <c r="L4596" s="1">
        <v>0.0</v>
      </c>
      <c r="M4596" s="1" t="s">
        <v>3408</v>
      </c>
      <c r="N4596" s="1"/>
      <c r="O4596" s="1" t="s">
        <v>30</v>
      </c>
      <c r="P4596" s="1" t="s">
        <v>31</v>
      </c>
      <c r="Q4596" s="1" t="s">
        <v>95</v>
      </c>
      <c r="R4596" s="1" t="s">
        <v>95</v>
      </c>
      <c r="S4596" s="1" t="s">
        <v>96</v>
      </c>
      <c r="T4596" s="1" t="s">
        <v>3409</v>
      </c>
      <c r="U4596" s="1">
        <v>1.00953783E8</v>
      </c>
      <c r="X4596" s="1" t="s">
        <v>125</v>
      </c>
      <c r="Y4596" s="1" t="s">
        <v>2689</v>
      </c>
      <c r="Z4596" s="1" t="s">
        <v>527</v>
      </c>
    </row>
    <row r="4597" hidden="1">
      <c r="A4597" s="1" t="s">
        <v>12989</v>
      </c>
      <c r="B4597" s="1" t="s">
        <v>12990</v>
      </c>
      <c r="C4597" s="1" t="s">
        <v>3405</v>
      </c>
      <c r="D4597" s="1" t="s">
        <v>27</v>
      </c>
      <c r="E4597" s="1" t="s">
        <v>28</v>
      </c>
      <c r="F4597" s="2">
        <v>100000.0</v>
      </c>
      <c r="G4597" s="4">
        <v>44019.0</v>
      </c>
      <c r="H4597" s="4">
        <f>IFERROR(__xludf.DUMMYFUNCTION("DATE(INDEX(SPLIT(G4597,""/""),,3),INDEX(SPLIT(G4597,""/""),,2),INDEX(SPLIT(G4597,""/""),,1))"),44019.0)</f>
        <v>44019</v>
      </c>
      <c r="I4597" s="1" t="s">
        <v>12956</v>
      </c>
      <c r="J4597" s="4">
        <f>IFERROR(__xludf.DUMMYFUNCTION("DATE(INDEX(SPLIT(I4597,""/""),,3),INDEX(SPLIT(I4597,""/""),,2),INDEX(SPLIT(I4597,""/""),,1))"),45072.0)</f>
        <v>45072</v>
      </c>
      <c r="L4597" s="1">
        <v>0.0</v>
      </c>
      <c r="M4597" s="1" t="s">
        <v>3408</v>
      </c>
      <c r="N4597" s="1"/>
      <c r="O4597" s="1" t="s">
        <v>30</v>
      </c>
      <c r="P4597" s="1" t="s">
        <v>31</v>
      </c>
      <c r="Q4597" s="1" t="s">
        <v>95</v>
      </c>
      <c r="R4597" s="1" t="s">
        <v>95</v>
      </c>
      <c r="S4597" s="1" t="s">
        <v>96</v>
      </c>
      <c r="T4597" s="1" t="s">
        <v>3409</v>
      </c>
      <c r="U4597" s="1">
        <v>1.00953783E8</v>
      </c>
      <c r="X4597" s="1" t="s">
        <v>125</v>
      </c>
      <c r="Y4597" s="1" t="s">
        <v>2689</v>
      </c>
      <c r="Z4597" s="1" t="s">
        <v>527</v>
      </c>
    </row>
    <row r="4598" hidden="1">
      <c r="A4598" s="1" t="s">
        <v>12991</v>
      </c>
      <c r="B4598" s="1" t="s">
        <v>12992</v>
      </c>
      <c r="C4598" s="1" t="s">
        <v>12993</v>
      </c>
      <c r="D4598" s="1" t="s">
        <v>27</v>
      </c>
      <c r="E4598" s="1" t="s">
        <v>28</v>
      </c>
      <c r="F4598" s="2">
        <v>100000.0</v>
      </c>
      <c r="G4598" s="4">
        <v>44019.0</v>
      </c>
      <c r="H4598" s="4">
        <f>IFERROR(__xludf.DUMMYFUNCTION("DATE(INDEX(SPLIT(G4598,""/""),,3),INDEX(SPLIT(G4598,""/""),,2),INDEX(SPLIT(G4598,""/""),,1))"),44019.0)</f>
        <v>44019</v>
      </c>
      <c r="I4598" s="1" t="s">
        <v>12956</v>
      </c>
      <c r="J4598" s="4">
        <f>IFERROR(__xludf.DUMMYFUNCTION("DATE(INDEX(SPLIT(I4598,""/""),,3),INDEX(SPLIT(I4598,""/""),,2),INDEX(SPLIT(I4598,""/""),,1))"),45072.0)</f>
        <v>45072</v>
      </c>
      <c r="L4598" s="1">
        <v>0.0</v>
      </c>
      <c r="M4598" s="1" t="s">
        <v>3408</v>
      </c>
      <c r="N4598" s="1"/>
      <c r="O4598" s="1" t="s">
        <v>30</v>
      </c>
      <c r="P4598" s="1" t="s">
        <v>31</v>
      </c>
      <c r="Q4598" s="1" t="s">
        <v>95</v>
      </c>
      <c r="R4598" s="1" t="s">
        <v>95</v>
      </c>
      <c r="S4598" s="1" t="s">
        <v>96</v>
      </c>
      <c r="T4598" s="1" t="s">
        <v>3409</v>
      </c>
      <c r="U4598" s="1">
        <v>1.00953783E8</v>
      </c>
      <c r="X4598" s="1" t="s">
        <v>46</v>
      </c>
      <c r="Y4598" s="1" t="s">
        <v>2689</v>
      </c>
      <c r="Z4598" s="1" t="s">
        <v>527</v>
      </c>
    </row>
    <row r="4599" hidden="1">
      <c r="A4599" s="1" t="s">
        <v>12994</v>
      </c>
      <c r="B4599" s="1" t="s">
        <v>6001</v>
      </c>
      <c r="C4599" s="1" t="s">
        <v>12995</v>
      </c>
      <c r="D4599" s="1" t="s">
        <v>27</v>
      </c>
      <c r="E4599" s="1" t="s">
        <v>28</v>
      </c>
      <c r="F4599" s="2">
        <v>100000.0</v>
      </c>
      <c r="G4599" s="1" t="s">
        <v>4346</v>
      </c>
      <c r="H4599" s="4">
        <f>IFERROR(__xludf.DUMMYFUNCTION("DATE(INDEX(SPLIT(G4599,""/""),,3),INDEX(SPLIT(G4599,""/""),,2),INDEX(SPLIT(G4599,""/""),,1))"),44765.0)</f>
        <v>44765</v>
      </c>
      <c r="I4599" s="1" t="s">
        <v>203</v>
      </c>
      <c r="J4599" s="4">
        <f>IFERROR(__xludf.DUMMYFUNCTION("DATE(INDEX(SPLIT(I4599,""/""),,3),INDEX(SPLIT(I4599,""/""),,2),INDEX(SPLIT(I4599,""/""),,1))"),44925.0)</f>
        <v>44925</v>
      </c>
      <c r="L4599" s="1">
        <v>0.0</v>
      </c>
      <c r="M4599" s="1" t="s">
        <v>124</v>
      </c>
      <c r="N4599" s="1"/>
      <c r="O4599" s="1" t="s">
        <v>30</v>
      </c>
      <c r="P4599" s="1" t="s">
        <v>31</v>
      </c>
      <c r="Q4599" s="1" t="s">
        <v>53</v>
      </c>
      <c r="R4599" s="1" t="s">
        <v>53</v>
      </c>
      <c r="S4599" s="1" t="s">
        <v>54</v>
      </c>
      <c r="U4599" s="1">
        <v>1.00651441E8</v>
      </c>
      <c r="X4599" s="1" t="s">
        <v>88</v>
      </c>
      <c r="Y4599" s="1" t="s">
        <v>200</v>
      </c>
      <c r="Z4599" s="1" t="s">
        <v>37</v>
      </c>
    </row>
    <row r="4600" hidden="1">
      <c r="A4600" s="1" t="s">
        <v>12996</v>
      </c>
      <c r="B4600" s="1" t="s">
        <v>5483</v>
      </c>
      <c r="C4600" s="1" t="s">
        <v>12997</v>
      </c>
      <c r="D4600" s="1" t="s">
        <v>27</v>
      </c>
      <c r="E4600" s="1" t="s">
        <v>28</v>
      </c>
      <c r="F4600" s="2">
        <v>100000.0</v>
      </c>
      <c r="G4600" s="1" t="s">
        <v>5039</v>
      </c>
      <c r="H4600" s="4">
        <f>IFERROR(__xludf.DUMMYFUNCTION("DATE(INDEX(SPLIT(G4600,""/""),,3),INDEX(SPLIT(G4600,""/""),,2),INDEX(SPLIT(G4600,""/""),,1))"),44674.0)</f>
        <v>44674</v>
      </c>
      <c r="I4600" s="1" t="s">
        <v>569</v>
      </c>
      <c r="J4600" s="4">
        <f>IFERROR(__xludf.DUMMYFUNCTION("DATE(INDEX(SPLIT(I4600,""/""),,3),INDEX(SPLIT(I4600,""/""),,2),INDEX(SPLIT(I4600,""/""),,1))"),45016.0)</f>
        <v>45016</v>
      </c>
      <c r="L4600" s="1">
        <v>0.0</v>
      </c>
      <c r="M4600" s="1" t="s">
        <v>780</v>
      </c>
      <c r="N4600" s="1"/>
      <c r="O4600" s="1" t="s">
        <v>30</v>
      </c>
      <c r="P4600" s="1" t="s">
        <v>31</v>
      </c>
      <c r="Q4600" s="1" t="s">
        <v>157</v>
      </c>
      <c r="R4600" s="1" t="s">
        <v>157</v>
      </c>
      <c r="S4600" s="1" t="s">
        <v>158</v>
      </c>
      <c r="T4600" s="1" t="s">
        <v>442</v>
      </c>
      <c r="U4600" s="1">
        <v>1.00654914E8</v>
      </c>
      <c r="X4600" s="1" t="s">
        <v>190</v>
      </c>
      <c r="Y4600" s="1" t="s">
        <v>3223</v>
      </c>
      <c r="Z4600" s="1" t="s">
        <v>37</v>
      </c>
    </row>
    <row r="4601">
      <c r="A4601" s="1" t="s">
        <v>12998</v>
      </c>
      <c r="B4601" s="1" t="s">
        <v>889</v>
      </c>
      <c r="C4601" s="1" t="s">
        <v>12999</v>
      </c>
      <c r="D4601" s="1" t="s">
        <v>27</v>
      </c>
      <c r="E4601" s="1" t="s">
        <v>28</v>
      </c>
      <c r="F4601" s="2">
        <v>100000.0</v>
      </c>
      <c r="G4601" s="1" t="s">
        <v>1467</v>
      </c>
      <c r="H4601" s="4">
        <f>IFERROR(__xludf.DUMMYFUNCTION("DATE(INDEX(SPLIT(G4601,""/""),,3),INDEX(SPLIT(G4601,""/""),,2),INDEX(SPLIT(G4601,""/""),,1))"),44396.0)</f>
        <v>44396</v>
      </c>
      <c r="I4601" s="1" t="s">
        <v>1244</v>
      </c>
      <c r="J4601" s="4">
        <f>IFERROR(__xludf.DUMMYFUNCTION("DATE(INDEX(SPLIT(I4601,""/""),,3),INDEX(SPLIT(I4601,""/""),,2),INDEX(SPLIT(I4601,""/""),,1))"),44742.0)</f>
        <v>44742</v>
      </c>
      <c r="L4601" s="1">
        <v>0.0</v>
      </c>
      <c r="M4601" s="1" t="s">
        <v>1552</v>
      </c>
      <c r="N4601" s="1"/>
      <c r="O4601" s="1" t="s">
        <v>30</v>
      </c>
      <c r="P4601" s="1" t="s">
        <v>31</v>
      </c>
      <c r="Q4601" s="1" t="s">
        <v>32</v>
      </c>
      <c r="R4601" s="1" t="s">
        <v>32</v>
      </c>
      <c r="S4601" s="1" t="s">
        <v>33</v>
      </c>
      <c r="T4601" s="1" t="s">
        <v>1195</v>
      </c>
      <c r="U4601" s="1">
        <v>1.00637597E8</v>
      </c>
      <c r="X4601" s="1" t="s">
        <v>125</v>
      </c>
      <c r="Y4601" s="1" t="s">
        <v>13000</v>
      </c>
      <c r="Z4601" s="1" t="s">
        <v>37</v>
      </c>
    </row>
    <row r="4602" hidden="1">
      <c r="A4602" s="1" t="s">
        <v>13001</v>
      </c>
      <c r="B4602" s="1" t="s">
        <v>177</v>
      </c>
      <c r="C4602" s="1" t="s">
        <v>13002</v>
      </c>
      <c r="D4602" s="1" t="s">
        <v>27</v>
      </c>
      <c r="E4602" s="1" t="s">
        <v>28</v>
      </c>
      <c r="F4602" s="2">
        <v>100000.0</v>
      </c>
      <c r="G4602" s="1" t="s">
        <v>711</v>
      </c>
      <c r="H4602" s="4">
        <f>IFERROR(__xludf.DUMMYFUNCTION("DATE(INDEX(SPLIT(G4602,""/""),,3),INDEX(SPLIT(G4602,""/""),,2),INDEX(SPLIT(G4602,""/""),,1))"),44279.0)</f>
        <v>44279</v>
      </c>
      <c r="I4602" s="1" t="s">
        <v>109</v>
      </c>
      <c r="J4602" s="4">
        <f>IFERROR(__xludf.DUMMYFUNCTION("DATE(INDEX(SPLIT(I4602,""/""),,3),INDEX(SPLIT(I4602,""/""),,2),INDEX(SPLIT(I4602,""/""),,1))"),44834.0)</f>
        <v>44834</v>
      </c>
      <c r="L4602" s="1">
        <v>0.0</v>
      </c>
      <c r="M4602" s="1" t="s">
        <v>1409</v>
      </c>
      <c r="N4602" s="1"/>
      <c r="O4602" s="1" t="s">
        <v>30</v>
      </c>
      <c r="P4602" s="1" t="s">
        <v>31</v>
      </c>
      <c r="Q4602" s="1" t="s">
        <v>71</v>
      </c>
      <c r="R4602" s="1" t="s">
        <v>71</v>
      </c>
      <c r="S4602" s="1" t="s">
        <v>72</v>
      </c>
      <c r="T4602" s="1" t="s">
        <v>73</v>
      </c>
      <c r="U4602" s="1">
        <v>1.00613761E8</v>
      </c>
      <c r="X4602" s="1" t="s">
        <v>74</v>
      </c>
      <c r="Y4602" s="1" t="s">
        <v>11286</v>
      </c>
      <c r="Z4602" s="1" t="s">
        <v>37</v>
      </c>
    </row>
    <row r="4603" hidden="1">
      <c r="A4603" s="1" t="s">
        <v>13003</v>
      </c>
      <c r="B4603" s="1" t="s">
        <v>8674</v>
      </c>
      <c r="C4603" s="1" t="s">
        <v>13004</v>
      </c>
      <c r="D4603" s="1" t="s">
        <v>78</v>
      </c>
      <c r="E4603" s="1" t="s">
        <v>28</v>
      </c>
      <c r="F4603" s="2">
        <v>100000.0</v>
      </c>
      <c r="G4603" s="4">
        <v>44658.0</v>
      </c>
      <c r="H4603" s="4">
        <f>IFERROR(__xludf.DUMMYFUNCTION("DATE(INDEX(SPLIT(G4603,""/""),,3),INDEX(SPLIT(G4603,""/""),,2),INDEX(SPLIT(G4603,""/""),,1))"),44746.0)</f>
        <v>44746</v>
      </c>
      <c r="I4603" s="1" t="s">
        <v>317</v>
      </c>
      <c r="J4603" s="4">
        <f>IFERROR(__xludf.DUMMYFUNCTION("DATE(INDEX(SPLIT(I4603,""/""),,3),INDEX(SPLIT(I4603,""/""),,2),INDEX(SPLIT(I4603,""/""),,1))"),44862.0)</f>
        <v>44862</v>
      </c>
      <c r="L4603" s="1">
        <v>0.0</v>
      </c>
      <c r="M4603" s="1" t="s">
        <v>9372</v>
      </c>
      <c r="N4603" s="1"/>
      <c r="O4603" s="1" t="s">
        <v>30</v>
      </c>
      <c r="P4603" s="1" t="s">
        <v>31</v>
      </c>
      <c r="Q4603" s="1" t="s">
        <v>1320</v>
      </c>
      <c r="R4603" s="1" t="s">
        <v>1320</v>
      </c>
      <c r="S4603" s="1" t="s">
        <v>236</v>
      </c>
      <c r="U4603" s="1">
        <v>1.01146755E8</v>
      </c>
      <c r="X4603" s="1" t="s">
        <v>239</v>
      </c>
      <c r="Y4603" s="1" t="s">
        <v>9372</v>
      </c>
      <c r="Z4603" s="1" t="s">
        <v>206</v>
      </c>
    </row>
    <row r="4604" hidden="1">
      <c r="A4604" s="1" t="s">
        <v>13005</v>
      </c>
      <c r="B4604" s="1" t="s">
        <v>1619</v>
      </c>
      <c r="C4604" s="1" t="s">
        <v>13006</v>
      </c>
      <c r="D4604" s="1" t="s">
        <v>78</v>
      </c>
      <c r="E4604" s="1" t="s">
        <v>28</v>
      </c>
      <c r="F4604" s="2">
        <v>100000.0</v>
      </c>
      <c r="G4604" s="1" t="s">
        <v>3467</v>
      </c>
      <c r="H4604" s="4">
        <f>IFERROR(__xludf.DUMMYFUNCTION("DATE(INDEX(SPLIT(G4604,""/""),,3),INDEX(SPLIT(G4604,""/""),,2),INDEX(SPLIT(G4604,""/""),,1))"),44615.0)</f>
        <v>44615</v>
      </c>
      <c r="I4604" s="1" t="s">
        <v>109</v>
      </c>
      <c r="J4604" s="4">
        <f>IFERROR(__xludf.DUMMYFUNCTION("DATE(INDEX(SPLIT(I4604,""/""),,3),INDEX(SPLIT(I4604,""/""),,2),INDEX(SPLIT(I4604,""/""),,1))"),44834.0)</f>
        <v>44834</v>
      </c>
      <c r="L4604" s="1">
        <v>0.0</v>
      </c>
      <c r="M4604" s="1" t="s">
        <v>1621</v>
      </c>
      <c r="N4604" s="1"/>
      <c r="O4604" s="1" t="s">
        <v>30</v>
      </c>
      <c r="P4604" s="1" t="s">
        <v>31</v>
      </c>
      <c r="Q4604" s="1" t="s">
        <v>157</v>
      </c>
      <c r="R4604" s="1" t="s">
        <v>157</v>
      </c>
      <c r="S4604" s="1" t="s">
        <v>158</v>
      </c>
      <c r="T4604" s="1" t="s">
        <v>634</v>
      </c>
      <c r="U4604" s="1">
        <v>1.00650783E8</v>
      </c>
      <c r="X4604" s="1" t="s">
        <v>117</v>
      </c>
      <c r="Y4604" s="1" t="s">
        <v>1621</v>
      </c>
      <c r="Z4604" s="1" t="s">
        <v>37</v>
      </c>
    </row>
    <row r="4605" hidden="1">
      <c r="A4605" s="1" t="s">
        <v>13007</v>
      </c>
      <c r="B4605" s="1" t="s">
        <v>1429</v>
      </c>
      <c r="C4605" s="1" t="s">
        <v>13008</v>
      </c>
      <c r="D4605" s="1" t="s">
        <v>27</v>
      </c>
      <c r="E4605" s="1" t="s">
        <v>28</v>
      </c>
      <c r="F4605" s="2">
        <v>100000.0</v>
      </c>
      <c r="G4605" s="1" t="s">
        <v>1044</v>
      </c>
      <c r="H4605" s="4">
        <f>IFERROR(__xludf.DUMMYFUNCTION("DATE(INDEX(SPLIT(G4605,""/""),,3),INDEX(SPLIT(G4605,""/""),,2),INDEX(SPLIT(G4605,""/""),,1))"),44588.0)</f>
        <v>44588</v>
      </c>
      <c r="I4605" s="1" t="s">
        <v>281</v>
      </c>
      <c r="J4605" s="4">
        <f>IFERROR(__xludf.DUMMYFUNCTION("DATE(INDEX(SPLIT(I4605,""/""),,3),INDEX(SPLIT(I4605,""/""),,2),INDEX(SPLIT(I4605,""/""),,1))"),44865.0)</f>
        <v>44865</v>
      </c>
      <c r="L4605" s="1">
        <v>0.0</v>
      </c>
      <c r="M4605" s="1" t="s">
        <v>8772</v>
      </c>
      <c r="N4605" s="1"/>
      <c r="O4605" s="1" t="s">
        <v>30</v>
      </c>
      <c r="P4605" s="1" t="s">
        <v>31</v>
      </c>
      <c r="Q4605" s="1" t="s">
        <v>228</v>
      </c>
      <c r="R4605" s="1" t="s">
        <v>228</v>
      </c>
      <c r="S4605" s="1" t="s">
        <v>229</v>
      </c>
      <c r="U4605" s="1">
        <v>1.01078151E8</v>
      </c>
      <c r="X4605" s="1" t="s">
        <v>190</v>
      </c>
      <c r="Y4605" s="1" t="s">
        <v>8772</v>
      </c>
      <c r="Z4605" s="1" t="s">
        <v>527</v>
      </c>
    </row>
    <row r="4606">
      <c r="A4606" s="1" t="s">
        <v>13009</v>
      </c>
      <c r="B4606" s="1" t="s">
        <v>13010</v>
      </c>
      <c r="C4606" s="1" t="s">
        <v>13011</v>
      </c>
      <c r="D4606" s="1" t="s">
        <v>78</v>
      </c>
      <c r="E4606" s="1" t="s">
        <v>28</v>
      </c>
      <c r="F4606" s="2">
        <v>100000.0</v>
      </c>
      <c r="G4606" s="4">
        <v>44595.0</v>
      </c>
      <c r="H4606" s="4">
        <f>IFERROR(__xludf.DUMMYFUNCTION("DATE(INDEX(SPLIT(G4606,""/""),,3),INDEX(SPLIT(G4606,""/""),,2),INDEX(SPLIT(G4606,""/""),,1))"),44622.0)</f>
        <v>44622</v>
      </c>
      <c r="I4606" s="1" t="s">
        <v>1438</v>
      </c>
      <c r="J4606" s="4">
        <f>IFERROR(__xludf.DUMMYFUNCTION("DATE(INDEX(SPLIT(I4606,""/""),,3),INDEX(SPLIT(I4606,""/""),,2),INDEX(SPLIT(I4606,""/""),,1))"),44708.0)</f>
        <v>44708</v>
      </c>
      <c r="L4606" s="1">
        <v>0.0</v>
      </c>
      <c r="M4606" s="1" t="s">
        <v>2905</v>
      </c>
      <c r="N4606" s="1"/>
      <c r="O4606" s="1" t="s">
        <v>30</v>
      </c>
      <c r="P4606" s="1" t="s">
        <v>31</v>
      </c>
      <c r="Q4606" s="1" t="s">
        <v>53</v>
      </c>
      <c r="R4606" s="1" t="s">
        <v>53</v>
      </c>
      <c r="S4606" s="1" t="s">
        <v>54</v>
      </c>
      <c r="T4606" s="1" t="s">
        <v>13012</v>
      </c>
      <c r="U4606" s="1">
        <v>1.01074419E8</v>
      </c>
      <c r="X4606" s="1" t="s">
        <v>254</v>
      </c>
      <c r="Y4606" s="1" t="s">
        <v>2905</v>
      </c>
      <c r="Z4606" s="1" t="s">
        <v>527</v>
      </c>
    </row>
    <row r="4607" hidden="1">
      <c r="A4607" s="1" t="s">
        <v>13013</v>
      </c>
      <c r="B4607" s="1" t="s">
        <v>13014</v>
      </c>
      <c r="C4607" s="1" t="s">
        <v>13015</v>
      </c>
      <c r="D4607" s="1" t="s">
        <v>27</v>
      </c>
      <c r="E4607" s="1" t="s">
        <v>28</v>
      </c>
      <c r="F4607" s="2">
        <v>100000.0</v>
      </c>
      <c r="G4607" s="1" t="s">
        <v>2025</v>
      </c>
      <c r="H4607" s="4">
        <f>IFERROR(__xludf.DUMMYFUNCTION("DATE(INDEX(SPLIT(G4607,""/""),,3),INDEX(SPLIT(G4607,""/""),,2),INDEX(SPLIT(G4607,""/""),,1))"),44664.0)</f>
        <v>44664</v>
      </c>
      <c r="I4607" s="1" t="s">
        <v>130</v>
      </c>
      <c r="J4607" s="4">
        <f>IFERROR(__xludf.DUMMYFUNCTION("DATE(INDEX(SPLIT(I4607,""/""),,3),INDEX(SPLIT(I4607,""/""),,2),INDEX(SPLIT(I4607,""/""),,1))"),44804.0)</f>
        <v>44804</v>
      </c>
      <c r="L4607" s="1">
        <v>0.0</v>
      </c>
      <c r="M4607" s="1" t="s">
        <v>303</v>
      </c>
      <c r="N4607" s="1"/>
      <c r="O4607" s="1" t="s">
        <v>30</v>
      </c>
      <c r="P4607" s="1" t="s">
        <v>31</v>
      </c>
      <c r="Q4607" s="1" t="s">
        <v>95</v>
      </c>
      <c r="R4607" s="1" t="s">
        <v>95</v>
      </c>
      <c r="S4607" s="1" t="s">
        <v>96</v>
      </c>
      <c r="T4607" s="1" t="s">
        <v>304</v>
      </c>
      <c r="U4607" s="1">
        <v>1.00623914E8</v>
      </c>
      <c r="X4607" s="1" t="s">
        <v>74</v>
      </c>
      <c r="Y4607" s="1" t="s">
        <v>303</v>
      </c>
      <c r="Z4607" s="1" t="s">
        <v>37</v>
      </c>
    </row>
    <row r="4608">
      <c r="A4608" s="1" t="s">
        <v>13016</v>
      </c>
      <c r="B4608" s="1" t="s">
        <v>1090</v>
      </c>
      <c r="C4608" s="1" t="s">
        <v>7388</v>
      </c>
      <c r="D4608" s="1" t="s">
        <v>78</v>
      </c>
      <c r="E4608" s="1" t="s">
        <v>28</v>
      </c>
      <c r="F4608" s="2">
        <v>100000.0</v>
      </c>
      <c r="G4608" s="4">
        <v>44208.0</v>
      </c>
      <c r="H4608" s="4">
        <f>IFERROR(__xludf.DUMMYFUNCTION("DATE(INDEX(SPLIT(G4608,""/""),,3),INDEX(SPLIT(G4608,""/""),,2),INDEX(SPLIT(G4608,""/""),,1))"),44531.0)</f>
        <v>44531</v>
      </c>
      <c r="I4608" s="4">
        <v>44872.0</v>
      </c>
      <c r="J4608" s="4">
        <f>IFERROR(__xludf.DUMMYFUNCTION("DATE(INDEX(SPLIT(I4608,""/""),,3),INDEX(SPLIT(I4608,""/""),,2),INDEX(SPLIT(I4608,""/""),,1))"),44753.0)</f>
        <v>44753</v>
      </c>
      <c r="L4608" s="1">
        <v>0.0</v>
      </c>
      <c r="M4608" s="1" t="s">
        <v>1093</v>
      </c>
      <c r="N4608" s="1"/>
      <c r="O4608" s="1" t="s">
        <v>30</v>
      </c>
      <c r="P4608" s="1" t="s">
        <v>31</v>
      </c>
      <c r="Q4608" s="1" t="s">
        <v>71</v>
      </c>
      <c r="R4608" s="1" t="s">
        <v>71</v>
      </c>
      <c r="S4608" s="1" t="s">
        <v>72</v>
      </c>
      <c r="T4608" s="1" t="s">
        <v>136</v>
      </c>
      <c r="U4608" s="1">
        <v>1.01131115E8</v>
      </c>
      <c r="X4608" s="1" t="s">
        <v>74</v>
      </c>
      <c r="Y4608" s="1" t="s">
        <v>1093</v>
      </c>
      <c r="Z4608" s="1" t="s">
        <v>37</v>
      </c>
    </row>
    <row r="4609" hidden="1">
      <c r="A4609" s="1" t="s">
        <v>13017</v>
      </c>
      <c r="B4609" s="1" t="s">
        <v>10345</v>
      </c>
      <c r="C4609" s="1" t="s">
        <v>13018</v>
      </c>
      <c r="D4609" s="1" t="s">
        <v>78</v>
      </c>
      <c r="E4609" s="1" t="s">
        <v>28</v>
      </c>
      <c r="F4609" s="2">
        <v>100000.0</v>
      </c>
      <c r="G4609" s="4">
        <v>44257.0</v>
      </c>
      <c r="H4609" s="4">
        <f>IFERROR(__xludf.DUMMYFUNCTION("DATE(INDEX(SPLIT(G4609,""/""),,3),INDEX(SPLIT(G4609,""/""),,2),INDEX(SPLIT(G4609,""/""),,1))"),44230.0)</f>
        <v>44230</v>
      </c>
      <c r="I4609" s="1" t="s">
        <v>1426</v>
      </c>
      <c r="J4609" s="4">
        <f>IFERROR(__xludf.DUMMYFUNCTION("DATE(INDEX(SPLIT(I4609,""/""),,3),INDEX(SPLIT(I4609,""/""),,2),INDEX(SPLIT(I4609,""/""),,1))"),44826.0)</f>
        <v>44826</v>
      </c>
      <c r="L4609" s="1">
        <v>0.0</v>
      </c>
      <c r="M4609" s="1" t="s">
        <v>3236</v>
      </c>
      <c r="N4609" s="1"/>
      <c r="O4609" s="1" t="s">
        <v>30</v>
      </c>
      <c r="P4609" s="1" t="s">
        <v>31</v>
      </c>
      <c r="Q4609" s="1" t="s">
        <v>53</v>
      </c>
      <c r="R4609" s="1" t="s">
        <v>53</v>
      </c>
      <c r="S4609" s="1" t="s">
        <v>54</v>
      </c>
      <c r="T4609" s="1" t="s">
        <v>13019</v>
      </c>
      <c r="U4609" s="1">
        <v>1.00650453E8</v>
      </c>
      <c r="X4609" s="1" t="s">
        <v>88</v>
      </c>
      <c r="Y4609" s="1" t="s">
        <v>11825</v>
      </c>
      <c r="Z4609" s="1" t="s">
        <v>37</v>
      </c>
    </row>
    <row r="4610" hidden="1">
      <c r="A4610" s="1" t="s">
        <v>13020</v>
      </c>
      <c r="B4610" s="1" t="s">
        <v>2012</v>
      </c>
      <c r="C4610" s="1" t="s">
        <v>13021</v>
      </c>
      <c r="D4610" s="1" t="s">
        <v>27</v>
      </c>
      <c r="E4610" s="1" t="s">
        <v>28</v>
      </c>
      <c r="F4610" s="2">
        <v>100000.0</v>
      </c>
      <c r="G4610" s="4">
        <v>44900.0</v>
      </c>
      <c r="H4610" s="4">
        <f>IFERROR(__xludf.DUMMYFUNCTION("DATE(INDEX(SPLIT(G4610,""/""),,3),INDEX(SPLIT(G4610,""/""),,2),INDEX(SPLIT(G4610,""/""),,1))"),44693.0)</f>
        <v>44693</v>
      </c>
      <c r="I4610" s="1" t="s">
        <v>11528</v>
      </c>
      <c r="J4610" s="4">
        <f>IFERROR(__xludf.DUMMYFUNCTION("DATE(INDEX(SPLIT(I4610,""/""),,3),INDEX(SPLIT(I4610,""/""),,2),INDEX(SPLIT(I4610,""/""),,1))"),44795.0)</f>
        <v>44795</v>
      </c>
      <c r="L4610" s="1">
        <v>0.0</v>
      </c>
      <c r="M4610" s="1" t="s">
        <v>799</v>
      </c>
      <c r="N4610" s="1"/>
      <c r="O4610" s="1" t="s">
        <v>30</v>
      </c>
      <c r="P4610" s="1" t="s">
        <v>31</v>
      </c>
      <c r="Q4610" s="1" t="s">
        <v>71</v>
      </c>
      <c r="R4610" s="1" t="s">
        <v>71</v>
      </c>
      <c r="S4610" s="1" t="s">
        <v>72</v>
      </c>
      <c r="T4610" s="1" t="s">
        <v>136</v>
      </c>
      <c r="U4610" s="1">
        <v>1.00634752E8</v>
      </c>
      <c r="X4610" s="1" t="s">
        <v>74</v>
      </c>
      <c r="Y4610" s="1" t="s">
        <v>9105</v>
      </c>
      <c r="Z4610" s="1" t="s">
        <v>37</v>
      </c>
    </row>
    <row r="4611">
      <c r="A4611" s="1" t="s">
        <v>13022</v>
      </c>
      <c r="B4611" s="1" t="s">
        <v>7123</v>
      </c>
      <c r="C4611" s="1" t="s">
        <v>13023</v>
      </c>
      <c r="D4611" s="1" t="s">
        <v>27</v>
      </c>
      <c r="E4611" s="1" t="s">
        <v>28</v>
      </c>
      <c r="F4611" s="2">
        <v>100000.0</v>
      </c>
      <c r="G4611" s="4">
        <v>44625.0</v>
      </c>
      <c r="H4611" s="4">
        <f>IFERROR(__xludf.DUMMYFUNCTION("DATE(INDEX(SPLIT(G4611,""/""),,3),INDEX(SPLIT(G4611,""/""),,2),INDEX(SPLIT(G4611,""/""),,1))"),44684.0)</f>
        <v>44684</v>
      </c>
      <c r="I4611" s="1" t="s">
        <v>1244</v>
      </c>
      <c r="J4611" s="4">
        <f>IFERROR(__xludf.DUMMYFUNCTION("DATE(INDEX(SPLIT(I4611,""/""),,3),INDEX(SPLIT(I4611,""/""),,2),INDEX(SPLIT(I4611,""/""),,1))"),44742.0)</f>
        <v>44742</v>
      </c>
      <c r="L4611" s="1">
        <v>0.0</v>
      </c>
      <c r="M4611" s="1" t="s">
        <v>3046</v>
      </c>
      <c r="N4611" s="1"/>
      <c r="O4611" s="1" t="s">
        <v>30</v>
      </c>
      <c r="P4611" s="1" t="s">
        <v>31</v>
      </c>
      <c r="Q4611" s="1" t="s">
        <v>228</v>
      </c>
      <c r="R4611" s="1" t="s">
        <v>228</v>
      </c>
      <c r="S4611" s="1" t="s">
        <v>229</v>
      </c>
      <c r="U4611" s="1">
        <v>1.00619685E8</v>
      </c>
      <c r="X4611" s="1" t="s">
        <v>254</v>
      </c>
      <c r="Y4611" s="1" t="s">
        <v>3046</v>
      </c>
      <c r="Z4611" s="1" t="s">
        <v>206</v>
      </c>
    </row>
    <row r="4612" hidden="1">
      <c r="A4612" s="1" t="s">
        <v>13024</v>
      </c>
      <c r="B4612" s="1" t="s">
        <v>4383</v>
      </c>
      <c r="C4612" s="1" t="s">
        <v>13025</v>
      </c>
      <c r="D4612" s="1" t="s">
        <v>27</v>
      </c>
      <c r="E4612" s="1" t="s">
        <v>28</v>
      </c>
      <c r="F4612" s="2">
        <v>100000.0</v>
      </c>
      <c r="G4612" s="1" t="s">
        <v>429</v>
      </c>
      <c r="H4612" s="4">
        <f>IFERROR(__xludf.DUMMYFUNCTION("DATE(INDEX(SPLIT(G4612,""/""),,3),INDEX(SPLIT(G4612,""/""),,2),INDEX(SPLIT(G4612,""/""),,1))"),44739.0)</f>
        <v>44739</v>
      </c>
      <c r="I4612" s="1" t="s">
        <v>109</v>
      </c>
      <c r="J4612" s="4">
        <f>IFERROR(__xludf.DUMMYFUNCTION("DATE(INDEX(SPLIT(I4612,""/""),,3),INDEX(SPLIT(I4612,""/""),,2),INDEX(SPLIT(I4612,""/""),,1))"),44834.0)</f>
        <v>44834</v>
      </c>
      <c r="L4612" s="1">
        <v>0.0</v>
      </c>
      <c r="M4612" s="1" t="s">
        <v>13026</v>
      </c>
      <c r="N4612" s="1"/>
      <c r="O4612" s="1" t="s">
        <v>30</v>
      </c>
      <c r="P4612" s="1" t="s">
        <v>31</v>
      </c>
      <c r="Q4612" s="1" t="s">
        <v>53</v>
      </c>
      <c r="R4612" s="1" t="s">
        <v>53</v>
      </c>
      <c r="S4612" s="1" t="s">
        <v>54</v>
      </c>
      <c r="U4612" s="1">
        <v>1.01230884E8</v>
      </c>
      <c r="X4612" s="1" t="s">
        <v>46</v>
      </c>
      <c r="Y4612" s="1" t="s">
        <v>5726</v>
      </c>
      <c r="Z4612" s="1" t="s">
        <v>37</v>
      </c>
    </row>
    <row r="4613" hidden="1">
      <c r="A4613" s="1" t="s">
        <v>13027</v>
      </c>
      <c r="B4613" s="1" t="s">
        <v>13028</v>
      </c>
      <c r="C4613" s="1" t="s">
        <v>13029</v>
      </c>
      <c r="D4613" s="1" t="s">
        <v>27</v>
      </c>
      <c r="E4613" s="1" t="s">
        <v>28</v>
      </c>
      <c r="F4613" s="2">
        <v>100000.0</v>
      </c>
      <c r="G4613" s="1" t="s">
        <v>518</v>
      </c>
      <c r="H4613" s="4">
        <f>IFERROR(__xludf.DUMMYFUNCTION("DATE(INDEX(SPLIT(G4613,""/""),,3),INDEX(SPLIT(G4613,""/""),,2),INDEX(SPLIT(G4613,""/""),,1))"),44757.0)</f>
        <v>44757</v>
      </c>
      <c r="I4613" s="1" t="s">
        <v>360</v>
      </c>
      <c r="J4613" s="4">
        <f>IFERROR(__xludf.DUMMYFUNCTION("DATE(INDEX(SPLIT(I4613,""/""),,3),INDEX(SPLIT(I4613,""/""),,2),INDEX(SPLIT(I4613,""/""),,1))"),44895.0)</f>
        <v>44895</v>
      </c>
      <c r="L4613" s="1">
        <v>0.0</v>
      </c>
      <c r="M4613" s="1" t="s">
        <v>3860</v>
      </c>
      <c r="N4613" s="1"/>
      <c r="O4613" s="1" t="s">
        <v>30</v>
      </c>
      <c r="P4613" s="1" t="s">
        <v>31</v>
      </c>
      <c r="Q4613" s="1" t="s">
        <v>235</v>
      </c>
      <c r="R4613" s="1" t="s">
        <v>235</v>
      </c>
      <c r="S4613" s="1" t="s">
        <v>236</v>
      </c>
      <c r="T4613" s="1" t="s">
        <v>753</v>
      </c>
      <c r="U4613" s="1">
        <v>1.00636461E8</v>
      </c>
      <c r="X4613" s="1" t="s">
        <v>88</v>
      </c>
      <c r="Y4613" s="1" t="s">
        <v>3860</v>
      </c>
      <c r="Z4613" s="1" t="s">
        <v>37</v>
      </c>
    </row>
    <row r="4614" hidden="1">
      <c r="A4614" s="1" t="s">
        <v>13030</v>
      </c>
      <c r="B4614" s="1" t="s">
        <v>1095</v>
      </c>
      <c r="C4614" s="1" t="s">
        <v>13031</v>
      </c>
      <c r="D4614" s="1" t="s">
        <v>27</v>
      </c>
      <c r="E4614" s="1" t="s">
        <v>28</v>
      </c>
      <c r="F4614" s="2">
        <v>100000.0</v>
      </c>
      <c r="G4614" s="1" t="s">
        <v>382</v>
      </c>
      <c r="H4614" s="4">
        <f>IFERROR(__xludf.DUMMYFUNCTION("DATE(INDEX(SPLIT(G4614,""/""),,3),INDEX(SPLIT(G4614,""/""),,2),INDEX(SPLIT(G4614,""/""),,1))"),44758.0)</f>
        <v>44758</v>
      </c>
      <c r="I4614" s="1" t="s">
        <v>203</v>
      </c>
      <c r="J4614" s="4">
        <f>IFERROR(__xludf.DUMMYFUNCTION("DATE(INDEX(SPLIT(I4614,""/""),,3),INDEX(SPLIT(I4614,""/""),,2),INDEX(SPLIT(I4614,""/""),,1))"),44925.0)</f>
        <v>44925</v>
      </c>
      <c r="L4614" s="1">
        <v>0.0</v>
      </c>
      <c r="M4614" s="1" t="s">
        <v>13032</v>
      </c>
      <c r="N4614" s="1"/>
      <c r="O4614" s="1" t="s">
        <v>30</v>
      </c>
      <c r="P4614" s="1" t="s">
        <v>31</v>
      </c>
      <c r="Q4614" s="1" t="s">
        <v>95</v>
      </c>
      <c r="R4614" s="1" t="s">
        <v>95</v>
      </c>
      <c r="S4614" s="1" t="s">
        <v>96</v>
      </c>
      <c r="U4614" s="1">
        <v>1.0125682E8</v>
      </c>
      <c r="X4614" s="1" t="s">
        <v>312</v>
      </c>
      <c r="Y4614" s="1" t="s">
        <v>1099</v>
      </c>
      <c r="Z4614" s="1" t="s">
        <v>37</v>
      </c>
    </row>
    <row r="4615">
      <c r="A4615" s="1" t="s">
        <v>13033</v>
      </c>
      <c r="B4615" s="1" t="s">
        <v>13034</v>
      </c>
      <c r="C4615" s="1" t="s">
        <v>11861</v>
      </c>
      <c r="D4615" s="1" t="s">
        <v>122</v>
      </c>
      <c r="E4615" s="1" t="s">
        <v>28</v>
      </c>
      <c r="F4615" s="2">
        <v>100000.0</v>
      </c>
      <c r="G4615" s="4">
        <v>44902.0</v>
      </c>
      <c r="H4615" s="4">
        <f>IFERROR(__xludf.DUMMYFUNCTION("DATE(INDEX(SPLIT(G4615,""/""),,3),INDEX(SPLIT(G4615,""/""),,2),INDEX(SPLIT(G4615,""/""),,1))"),44754.0)</f>
        <v>44754</v>
      </c>
      <c r="I4615" s="1" t="s">
        <v>69</v>
      </c>
      <c r="J4615" s="4">
        <f>IFERROR(__xludf.DUMMYFUNCTION("DATE(INDEX(SPLIT(I4615,""/""),,3),INDEX(SPLIT(I4615,""/""),,2),INDEX(SPLIT(I4615,""/""),,1))"),44773.0)</f>
        <v>44773</v>
      </c>
      <c r="L4615" s="1">
        <v>0.0</v>
      </c>
      <c r="M4615" s="1" t="s">
        <v>11190</v>
      </c>
      <c r="N4615" s="1"/>
      <c r="O4615" s="1" t="s">
        <v>30</v>
      </c>
      <c r="P4615" s="1" t="s">
        <v>31</v>
      </c>
      <c r="Q4615" s="1" t="s">
        <v>228</v>
      </c>
      <c r="R4615" s="1" t="s">
        <v>228</v>
      </c>
      <c r="S4615" s="1" t="s">
        <v>229</v>
      </c>
      <c r="T4615" s="1" t="s">
        <v>513</v>
      </c>
      <c r="U4615" s="1">
        <v>1.00608136E8</v>
      </c>
      <c r="X4615" s="1" t="s">
        <v>98</v>
      </c>
      <c r="Y4615" s="1" t="s">
        <v>11862</v>
      </c>
      <c r="Z4615" s="1" t="s">
        <v>37</v>
      </c>
    </row>
    <row r="4616">
      <c r="A4616" s="1" t="s">
        <v>13035</v>
      </c>
      <c r="B4616" s="1" t="s">
        <v>605</v>
      </c>
      <c r="C4616" s="1" t="s">
        <v>13036</v>
      </c>
      <c r="D4616" s="1" t="s">
        <v>68</v>
      </c>
      <c r="E4616" s="1" t="s">
        <v>28</v>
      </c>
      <c r="F4616" s="2">
        <v>100000.0</v>
      </c>
      <c r="G4616" s="4">
        <v>44839.0</v>
      </c>
      <c r="H4616" s="4">
        <f>IFERROR(__xludf.DUMMYFUNCTION("DATE(INDEX(SPLIT(G4616,""/""),,3),INDEX(SPLIT(G4616,""/""),,2),INDEX(SPLIT(G4616,""/""),,1))"),44691.0)</f>
        <v>44691</v>
      </c>
      <c r="I4616" s="1" t="s">
        <v>472</v>
      </c>
      <c r="J4616" s="4">
        <f>IFERROR(__xludf.DUMMYFUNCTION("DATE(INDEX(SPLIT(I4616,""/""),,3),INDEX(SPLIT(I4616,""/""),,2),INDEX(SPLIT(I4616,""/""),,1))"),44760.0)</f>
        <v>44760</v>
      </c>
      <c r="L4616" s="1">
        <v>0.0</v>
      </c>
      <c r="M4616" s="1" t="s">
        <v>3507</v>
      </c>
      <c r="N4616" s="1"/>
      <c r="O4616" s="1" t="s">
        <v>30</v>
      </c>
      <c r="P4616" s="1" t="s">
        <v>31</v>
      </c>
      <c r="Q4616" s="1" t="s">
        <v>235</v>
      </c>
      <c r="R4616" s="1" t="s">
        <v>235</v>
      </c>
      <c r="S4616" s="1" t="s">
        <v>236</v>
      </c>
      <c r="T4616" s="1" t="s">
        <v>1349</v>
      </c>
      <c r="U4616" s="1">
        <v>1.00585834E8</v>
      </c>
      <c r="X4616" s="1" t="s">
        <v>609</v>
      </c>
      <c r="Y4616" s="1" t="s">
        <v>13037</v>
      </c>
      <c r="Z4616" s="1" t="s">
        <v>37</v>
      </c>
    </row>
    <row r="4617" hidden="1">
      <c r="A4617" s="1" t="s">
        <v>13038</v>
      </c>
      <c r="B4617" s="1" t="s">
        <v>1371</v>
      </c>
      <c r="C4617" s="1" t="s">
        <v>13039</v>
      </c>
      <c r="D4617" s="1" t="s">
        <v>27</v>
      </c>
      <c r="E4617" s="1" t="s">
        <v>28</v>
      </c>
      <c r="F4617" s="2">
        <v>100000.0</v>
      </c>
      <c r="G4617" s="1" t="s">
        <v>1102</v>
      </c>
      <c r="H4617" s="4">
        <f>IFERROR(__xludf.DUMMYFUNCTION("DATE(INDEX(SPLIT(G4617,""/""),,3),INDEX(SPLIT(G4617,""/""),,2),INDEX(SPLIT(G4617,""/""),,1))"),44759.0)</f>
        <v>44759</v>
      </c>
      <c r="I4617" s="1" t="s">
        <v>109</v>
      </c>
      <c r="J4617" s="4">
        <f>IFERROR(__xludf.DUMMYFUNCTION("DATE(INDEX(SPLIT(I4617,""/""),,3),INDEX(SPLIT(I4617,""/""),,2),INDEX(SPLIT(I4617,""/""),,1))"),44834.0)</f>
        <v>44834</v>
      </c>
      <c r="L4617" s="1">
        <v>0.0</v>
      </c>
      <c r="M4617" s="1" t="s">
        <v>1484</v>
      </c>
      <c r="N4617" s="1"/>
      <c r="O4617" s="1" t="s">
        <v>30</v>
      </c>
      <c r="P4617" s="1" t="s">
        <v>31</v>
      </c>
      <c r="Q4617" s="1" t="s">
        <v>95</v>
      </c>
      <c r="R4617" s="1" t="s">
        <v>95</v>
      </c>
      <c r="S4617" s="1" t="s">
        <v>96</v>
      </c>
      <c r="T4617" s="1" t="s">
        <v>111</v>
      </c>
      <c r="U4617" s="1">
        <v>1.00585718E8</v>
      </c>
      <c r="X4617" s="1" t="s">
        <v>63</v>
      </c>
      <c r="Y4617" s="1" t="s">
        <v>3541</v>
      </c>
      <c r="Z4617" s="1" t="s">
        <v>37</v>
      </c>
    </row>
    <row r="4618" hidden="1">
      <c r="A4618" s="1" t="s">
        <v>13040</v>
      </c>
      <c r="B4618" s="1" t="s">
        <v>1665</v>
      </c>
      <c r="C4618" s="1" t="s">
        <v>13041</v>
      </c>
      <c r="D4618" s="1" t="s">
        <v>78</v>
      </c>
      <c r="E4618" s="1" t="s">
        <v>28</v>
      </c>
      <c r="F4618" s="2">
        <v>100000.0</v>
      </c>
      <c r="G4618" s="4">
        <v>44625.0</v>
      </c>
      <c r="H4618" s="4">
        <f>IFERROR(__xludf.DUMMYFUNCTION("DATE(INDEX(SPLIT(G4618,""/""),,3),INDEX(SPLIT(G4618,""/""),,2),INDEX(SPLIT(G4618,""/""),,1))"),44684.0)</f>
        <v>44684</v>
      </c>
      <c r="I4618" s="1" t="s">
        <v>109</v>
      </c>
      <c r="J4618" s="4">
        <f>IFERROR(__xludf.DUMMYFUNCTION("DATE(INDEX(SPLIT(I4618,""/""),,3),INDEX(SPLIT(I4618,""/""),,2),INDEX(SPLIT(I4618,""/""),,1))"),44834.0)</f>
        <v>44834</v>
      </c>
      <c r="L4618" s="1">
        <v>0.0</v>
      </c>
      <c r="M4618" s="1" t="s">
        <v>1833</v>
      </c>
      <c r="N4618" s="1"/>
      <c r="O4618" s="1" t="s">
        <v>30</v>
      </c>
      <c r="P4618" s="1" t="s">
        <v>31</v>
      </c>
      <c r="Q4618" s="1" t="s">
        <v>53</v>
      </c>
      <c r="R4618" s="1" t="s">
        <v>53</v>
      </c>
      <c r="S4618" s="1" t="s">
        <v>54</v>
      </c>
      <c r="T4618" s="1" t="s">
        <v>634</v>
      </c>
      <c r="U4618" s="1">
        <v>1.0105484E8</v>
      </c>
      <c r="X4618" s="1" t="s">
        <v>490</v>
      </c>
      <c r="Y4618" s="1" t="s">
        <v>1833</v>
      </c>
      <c r="Z4618" s="1" t="s">
        <v>37</v>
      </c>
    </row>
    <row r="4619">
      <c r="A4619" s="1" t="s">
        <v>13042</v>
      </c>
      <c r="B4619" s="1" t="s">
        <v>484</v>
      </c>
      <c r="C4619" s="1" t="s">
        <v>13043</v>
      </c>
      <c r="D4619" s="1" t="s">
        <v>27</v>
      </c>
      <c r="E4619" s="1" t="s">
        <v>28</v>
      </c>
      <c r="F4619" s="2">
        <v>100000.0</v>
      </c>
      <c r="G4619" s="1" t="s">
        <v>600</v>
      </c>
      <c r="H4619" s="4">
        <f>IFERROR(__xludf.DUMMYFUNCTION("DATE(INDEX(SPLIT(G4619,""/""),,3),INDEX(SPLIT(G4619,""/""),,2),INDEX(SPLIT(G4619,""/""),,1))"),44665.0)</f>
        <v>44665</v>
      </c>
      <c r="I4619" s="1" t="s">
        <v>226</v>
      </c>
      <c r="J4619" s="4">
        <f>IFERROR(__xludf.DUMMYFUNCTION("DATE(INDEX(SPLIT(I4619,""/""),,3),INDEX(SPLIT(I4619,""/""),,2),INDEX(SPLIT(I4619,""/""),,1))"),44771.0)</f>
        <v>44771</v>
      </c>
      <c r="L4619" s="1">
        <v>0.0</v>
      </c>
      <c r="M4619" s="1" t="s">
        <v>488</v>
      </c>
      <c r="N4619" s="1"/>
      <c r="O4619" s="1" t="s">
        <v>30</v>
      </c>
      <c r="P4619" s="1" t="s">
        <v>31</v>
      </c>
      <c r="Q4619" s="1" t="s">
        <v>95</v>
      </c>
      <c r="R4619" s="1" t="s">
        <v>95</v>
      </c>
      <c r="S4619" s="1" t="s">
        <v>96</v>
      </c>
      <c r="T4619" s="1" t="s">
        <v>489</v>
      </c>
      <c r="U4619" s="1">
        <v>1.00611486E8</v>
      </c>
      <c r="X4619" s="1" t="s">
        <v>490</v>
      </c>
      <c r="Y4619" s="1" t="s">
        <v>12320</v>
      </c>
      <c r="Z4619" s="1" t="s">
        <v>37</v>
      </c>
    </row>
    <row r="4620" hidden="1">
      <c r="A4620" s="1" t="s">
        <v>13044</v>
      </c>
      <c r="B4620" s="1" t="s">
        <v>13045</v>
      </c>
      <c r="C4620" s="1" t="s">
        <v>13046</v>
      </c>
      <c r="D4620" s="1" t="s">
        <v>78</v>
      </c>
      <c r="E4620" s="1" t="s">
        <v>28</v>
      </c>
      <c r="F4620" s="2">
        <v>100000.0</v>
      </c>
      <c r="G4620" s="4">
        <v>44625.0</v>
      </c>
      <c r="H4620" s="4">
        <f>IFERROR(__xludf.DUMMYFUNCTION("DATE(INDEX(SPLIT(G4620,""/""),,3),INDEX(SPLIT(G4620,""/""),,2),INDEX(SPLIT(G4620,""/""),,1))"),44684.0)</f>
        <v>44684</v>
      </c>
      <c r="I4620" s="1" t="s">
        <v>130</v>
      </c>
      <c r="J4620" s="4">
        <f>IFERROR(__xludf.DUMMYFUNCTION("DATE(INDEX(SPLIT(I4620,""/""),,3),INDEX(SPLIT(I4620,""/""),,2),INDEX(SPLIT(I4620,""/""),,1))"),44804.0)</f>
        <v>44804</v>
      </c>
      <c r="L4620" s="1">
        <v>0.0</v>
      </c>
      <c r="M4620" s="1" t="s">
        <v>303</v>
      </c>
      <c r="N4620" s="1"/>
      <c r="O4620" s="1" t="s">
        <v>30</v>
      </c>
      <c r="P4620" s="1" t="s">
        <v>31</v>
      </c>
      <c r="Q4620" s="1" t="s">
        <v>95</v>
      </c>
      <c r="R4620" s="1" t="s">
        <v>95</v>
      </c>
      <c r="S4620" s="1" t="s">
        <v>96</v>
      </c>
      <c r="T4620" s="1" t="s">
        <v>304</v>
      </c>
      <c r="U4620" s="1">
        <v>1.00623914E8</v>
      </c>
      <c r="Y4620" s="1" t="s">
        <v>13047</v>
      </c>
      <c r="Z4620" s="1" t="s">
        <v>37</v>
      </c>
    </row>
    <row r="4621" hidden="1">
      <c r="A4621" s="1" t="s">
        <v>13048</v>
      </c>
      <c r="B4621" s="1" t="s">
        <v>6520</v>
      </c>
      <c r="C4621" s="1" t="s">
        <v>13049</v>
      </c>
      <c r="D4621" s="1" t="s">
        <v>27</v>
      </c>
      <c r="E4621" s="1" t="s">
        <v>28</v>
      </c>
      <c r="F4621" s="2">
        <v>100000.0</v>
      </c>
      <c r="G4621" s="4">
        <v>44511.0</v>
      </c>
      <c r="H4621" s="4">
        <f>IFERROR(__xludf.DUMMYFUNCTION("DATE(INDEX(SPLIT(G4621,""/""),,3),INDEX(SPLIT(G4621,""/""),,2),INDEX(SPLIT(G4621,""/""),,1))"),44511.0)</f>
        <v>44511</v>
      </c>
      <c r="I4621" s="1" t="s">
        <v>42</v>
      </c>
      <c r="J4621" s="4">
        <f>IFERROR(__xludf.DUMMYFUNCTION("DATE(INDEX(SPLIT(I4621,""/""),,3),INDEX(SPLIT(I4621,""/""),,2),INDEX(SPLIT(I4621,""/""),,1))"),44926.0)</f>
        <v>44926</v>
      </c>
      <c r="L4621" s="1">
        <v>0.0</v>
      </c>
      <c r="M4621" s="1" t="s">
        <v>2057</v>
      </c>
      <c r="N4621" s="1"/>
      <c r="O4621" s="1" t="s">
        <v>30</v>
      </c>
      <c r="P4621" s="1" t="s">
        <v>31</v>
      </c>
      <c r="Q4621" s="1" t="s">
        <v>71</v>
      </c>
      <c r="R4621" s="1" t="s">
        <v>71</v>
      </c>
      <c r="S4621" s="1" t="s">
        <v>72</v>
      </c>
      <c r="T4621" s="1" t="s">
        <v>136</v>
      </c>
      <c r="U4621" s="1">
        <v>1.01078216E8</v>
      </c>
      <c r="X4621" s="1" t="s">
        <v>74</v>
      </c>
      <c r="Y4621" s="1" t="s">
        <v>2057</v>
      </c>
      <c r="Z4621" s="1" t="s">
        <v>206</v>
      </c>
    </row>
    <row r="4622" hidden="1">
      <c r="A4622" s="1" t="s">
        <v>13050</v>
      </c>
      <c r="B4622" s="1" t="s">
        <v>13051</v>
      </c>
      <c r="C4622" s="1" t="s">
        <v>13052</v>
      </c>
      <c r="D4622" s="1" t="s">
        <v>27</v>
      </c>
      <c r="E4622" s="1" t="s">
        <v>28</v>
      </c>
      <c r="F4622" s="2">
        <v>100000.0</v>
      </c>
      <c r="G4622" s="4">
        <v>44511.0</v>
      </c>
      <c r="H4622" s="4">
        <f>IFERROR(__xludf.DUMMYFUNCTION("DATE(INDEX(SPLIT(G4622,""/""),,3),INDEX(SPLIT(G4622,""/""),,2),INDEX(SPLIT(G4622,""/""),,1))"),44511.0)</f>
        <v>44511</v>
      </c>
      <c r="I4622" s="1" t="s">
        <v>42</v>
      </c>
      <c r="J4622" s="4">
        <f>IFERROR(__xludf.DUMMYFUNCTION("DATE(INDEX(SPLIT(I4622,""/""),,3),INDEX(SPLIT(I4622,""/""),,2),INDEX(SPLIT(I4622,""/""),,1))"),44926.0)</f>
        <v>44926</v>
      </c>
      <c r="L4622" s="1">
        <v>0.0</v>
      </c>
      <c r="M4622" s="1" t="s">
        <v>2057</v>
      </c>
      <c r="N4622" s="1"/>
      <c r="O4622" s="1" t="s">
        <v>30</v>
      </c>
      <c r="P4622" s="1" t="s">
        <v>31</v>
      </c>
      <c r="Q4622" s="1" t="s">
        <v>71</v>
      </c>
      <c r="R4622" s="1" t="s">
        <v>71</v>
      </c>
      <c r="S4622" s="1" t="s">
        <v>72</v>
      </c>
      <c r="T4622" s="1" t="s">
        <v>136</v>
      </c>
      <c r="U4622" s="1">
        <v>1.01078216E8</v>
      </c>
      <c r="X4622" s="1" t="s">
        <v>46</v>
      </c>
      <c r="Y4622" s="1" t="s">
        <v>2057</v>
      </c>
      <c r="Z4622" s="1" t="s">
        <v>206</v>
      </c>
    </row>
    <row r="4623" hidden="1">
      <c r="A4623" s="1" t="s">
        <v>13053</v>
      </c>
      <c r="B4623" s="1" t="s">
        <v>1479</v>
      </c>
      <c r="C4623" s="1" t="s">
        <v>13054</v>
      </c>
      <c r="D4623" s="1" t="s">
        <v>78</v>
      </c>
      <c r="E4623" s="1" t="s">
        <v>28</v>
      </c>
      <c r="F4623" s="2">
        <v>100000.0</v>
      </c>
      <c r="G4623" s="1" t="s">
        <v>472</v>
      </c>
      <c r="H4623" s="4">
        <f>IFERROR(__xludf.DUMMYFUNCTION("DATE(INDEX(SPLIT(G4623,""/""),,3),INDEX(SPLIT(G4623,""/""),,2),INDEX(SPLIT(G4623,""/""),,1))"),44760.0)</f>
        <v>44760</v>
      </c>
      <c r="I4623" s="1" t="s">
        <v>130</v>
      </c>
      <c r="J4623" s="4">
        <f>IFERROR(__xludf.DUMMYFUNCTION("DATE(INDEX(SPLIT(I4623,""/""),,3),INDEX(SPLIT(I4623,""/""),,2),INDEX(SPLIT(I4623,""/""),,1))"),44804.0)</f>
        <v>44804</v>
      </c>
      <c r="L4623" s="1">
        <v>0.0</v>
      </c>
      <c r="M4623" s="1" t="s">
        <v>5636</v>
      </c>
      <c r="N4623" s="1"/>
      <c r="O4623" s="1" t="s">
        <v>30</v>
      </c>
      <c r="P4623" s="1" t="s">
        <v>31</v>
      </c>
      <c r="Q4623" s="1" t="s">
        <v>228</v>
      </c>
      <c r="R4623" s="1" t="s">
        <v>228</v>
      </c>
      <c r="S4623" s="1" t="s">
        <v>229</v>
      </c>
      <c r="T4623" s="1" t="s">
        <v>513</v>
      </c>
      <c r="U4623" s="1">
        <v>1.00605581E8</v>
      </c>
      <c r="X4623" s="1" t="s">
        <v>305</v>
      </c>
      <c r="Y4623" s="1" t="s">
        <v>4535</v>
      </c>
      <c r="Z4623" s="1" t="s">
        <v>37</v>
      </c>
    </row>
    <row r="4624">
      <c r="A4624" s="1" t="s">
        <v>13055</v>
      </c>
      <c r="B4624" s="1" t="s">
        <v>555</v>
      </c>
      <c r="C4624" s="1" t="s">
        <v>13056</v>
      </c>
      <c r="D4624" s="1" t="s">
        <v>27</v>
      </c>
      <c r="E4624" s="1" t="s">
        <v>28</v>
      </c>
      <c r="F4624" s="2">
        <v>100000.0</v>
      </c>
      <c r="G4624" s="4">
        <v>44625.0</v>
      </c>
      <c r="H4624" s="4">
        <f>IFERROR(__xludf.DUMMYFUNCTION("DATE(INDEX(SPLIT(G4624,""/""),,3),INDEX(SPLIT(G4624,""/""),,2),INDEX(SPLIT(G4624,""/""),,1))"),44684.0)</f>
        <v>44684</v>
      </c>
      <c r="I4624" s="1" t="s">
        <v>69</v>
      </c>
      <c r="J4624" s="4">
        <f>IFERROR(__xludf.DUMMYFUNCTION("DATE(INDEX(SPLIT(I4624,""/""),,3),INDEX(SPLIT(I4624,""/""),,2),INDEX(SPLIT(I4624,""/""),,1))"),44773.0)</f>
        <v>44773</v>
      </c>
      <c r="L4624" s="1">
        <v>0.0</v>
      </c>
      <c r="M4624" s="1" t="s">
        <v>558</v>
      </c>
      <c r="N4624" s="1"/>
      <c r="O4624" s="1" t="s">
        <v>30</v>
      </c>
      <c r="P4624" s="1" t="s">
        <v>31</v>
      </c>
      <c r="Q4624" s="1" t="s">
        <v>53</v>
      </c>
      <c r="R4624" s="1" t="s">
        <v>53</v>
      </c>
      <c r="S4624" s="1" t="s">
        <v>54</v>
      </c>
      <c r="U4624" s="1">
        <v>1.00653597E8</v>
      </c>
      <c r="X4624" s="1" t="s">
        <v>88</v>
      </c>
      <c r="Y4624" s="1" t="s">
        <v>1954</v>
      </c>
      <c r="Z4624" s="1" t="s">
        <v>37</v>
      </c>
    </row>
    <row r="4625" hidden="1">
      <c r="A4625" s="1" t="s">
        <v>13057</v>
      </c>
      <c r="B4625" s="1" t="s">
        <v>6959</v>
      </c>
      <c r="C4625" s="1" t="s">
        <v>13058</v>
      </c>
      <c r="D4625" s="1" t="s">
        <v>27</v>
      </c>
      <c r="E4625" s="1" t="s">
        <v>28</v>
      </c>
      <c r="F4625" s="2">
        <v>100000.0</v>
      </c>
      <c r="G4625" s="1" t="s">
        <v>359</v>
      </c>
      <c r="H4625" s="4">
        <f>IFERROR(__xludf.DUMMYFUNCTION("DATE(INDEX(SPLIT(G4625,""/""),,3),INDEX(SPLIT(G4625,""/""),,2),INDEX(SPLIT(G4625,""/""),,1))"),44740.0)</f>
        <v>44740</v>
      </c>
      <c r="I4625" s="1" t="s">
        <v>109</v>
      </c>
      <c r="J4625" s="4">
        <f>IFERROR(__xludf.DUMMYFUNCTION("DATE(INDEX(SPLIT(I4625,""/""),,3),INDEX(SPLIT(I4625,""/""),,2),INDEX(SPLIT(I4625,""/""),,1))"),44834.0)</f>
        <v>44834</v>
      </c>
      <c r="L4625" s="1">
        <v>0.0</v>
      </c>
      <c r="M4625" s="1" t="s">
        <v>4530</v>
      </c>
      <c r="N4625" s="1"/>
      <c r="O4625" s="1" t="s">
        <v>30</v>
      </c>
      <c r="P4625" s="1" t="s">
        <v>31</v>
      </c>
      <c r="Q4625" s="1" t="s">
        <v>157</v>
      </c>
      <c r="R4625" s="1" t="s">
        <v>157</v>
      </c>
      <c r="S4625" s="1" t="s">
        <v>158</v>
      </c>
      <c r="U4625" s="1">
        <v>1.00659846E8</v>
      </c>
      <c r="X4625" s="1" t="s">
        <v>254</v>
      </c>
      <c r="Y4625" s="1" t="s">
        <v>3056</v>
      </c>
      <c r="Z4625" s="1" t="s">
        <v>37</v>
      </c>
    </row>
    <row r="4626">
      <c r="A4626" s="1" t="s">
        <v>13059</v>
      </c>
      <c r="B4626" s="1" t="s">
        <v>1389</v>
      </c>
      <c r="C4626" s="1" t="s">
        <v>13060</v>
      </c>
      <c r="D4626" s="1" t="s">
        <v>27</v>
      </c>
      <c r="E4626" s="1" t="s">
        <v>28</v>
      </c>
      <c r="F4626" s="2">
        <v>100000.0</v>
      </c>
      <c r="G4626" s="1" t="s">
        <v>551</v>
      </c>
      <c r="H4626" s="4">
        <f>IFERROR(__xludf.DUMMYFUNCTION("DATE(INDEX(SPLIT(G4626,""/""),,3),INDEX(SPLIT(G4626,""/""),,2),INDEX(SPLIT(G4626,""/""),,1))"),44701.0)</f>
        <v>44701</v>
      </c>
      <c r="I4626" s="1" t="s">
        <v>226</v>
      </c>
      <c r="J4626" s="4">
        <f>IFERROR(__xludf.DUMMYFUNCTION("DATE(INDEX(SPLIT(I4626,""/""),,3),INDEX(SPLIT(I4626,""/""),,2),INDEX(SPLIT(I4626,""/""),,1))"),44771.0)</f>
        <v>44771</v>
      </c>
      <c r="L4626" s="1">
        <v>0.0</v>
      </c>
      <c r="M4626" s="1" t="s">
        <v>5493</v>
      </c>
      <c r="N4626" s="1"/>
      <c r="O4626" s="1" t="s">
        <v>30</v>
      </c>
      <c r="P4626" s="1" t="s">
        <v>31</v>
      </c>
      <c r="Q4626" s="1" t="s">
        <v>95</v>
      </c>
      <c r="R4626" s="1" t="s">
        <v>95</v>
      </c>
      <c r="S4626" s="1" t="s">
        <v>96</v>
      </c>
      <c r="T4626" s="1" t="s">
        <v>111</v>
      </c>
      <c r="U4626" s="1">
        <v>1.00591654E8</v>
      </c>
      <c r="X4626" s="1" t="s">
        <v>63</v>
      </c>
      <c r="Y4626" s="1" t="s">
        <v>7649</v>
      </c>
      <c r="Z4626" s="1" t="s">
        <v>37</v>
      </c>
    </row>
    <row r="4627" hidden="1">
      <c r="A4627" s="1" t="s">
        <v>13061</v>
      </c>
      <c r="B4627" s="1" t="s">
        <v>1861</v>
      </c>
      <c r="C4627" s="1" t="s">
        <v>13062</v>
      </c>
      <c r="D4627" s="1" t="s">
        <v>27</v>
      </c>
      <c r="E4627" s="1" t="s">
        <v>28</v>
      </c>
      <c r="F4627" s="2">
        <v>100000.0</v>
      </c>
      <c r="G4627" s="1" t="s">
        <v>518</v>
      </c>
      <c r="H4627" s="4">
        <f>IFERROR(__xludf.DUMMYFUNCTION("DATE(INDEX(SPLIT(G4627,""/""),,3),INDEX(SPLIT(G4627,""/""),,2),INDEX(SPLIT(G4627,""/""),,1))"),44757.0)</f>
        <v>44757</v>
      </c>
      <c r="I4627" s="1" t="s">
        <v>569</v>
      </c>
      <c r="J4627" s="4">
        <f>IFERROR(__xludf.DUMMYFUNCTION("DATE(INDEX(SPLIT(I4627,""/""),,3),INDEX(SPLIT(I4627,""/""),,2),INDEX(SPLIT(I4627,""/""),,1))"),45016.0)</f>
        <v>45016</v>
      </c>
      <c r="L4627" s="1">
        <v>0.0</v>
      </c>
      <c r="M4627" s="1" t="s">
        <v>4636</v>
      </c>
      <c r="N4627" s="1"/>
      <c r="O4627" s="1" t="s">
        <v>30</v>
      </c>
      <c r="P4627" s="1" t="s">
        <v>31</v>
      </c>
      <c r="Q4627" s="1" t="s">
        <v>157</v>
      </c>
      <c r="R4627" s="1" t="s">
        <v>157</v>
      </c>
      <c r="S4627" s="1" t="s">
        <v>158</v>
      </c>
      <c r="U4627" s="1">
        <v>1.00589292E8</v>
      </c>
      <c r="X4627" s="1" t="s">
        <v>305</v>
      </c>
      <c r="Y4627" s="1" t="s">
        <v>4636</v>
      </c>
      <c r="Z4627" s="1" t="s">
        <v>527</v>
      </c>
    </row>
    <row r="4628" hidden="1">
      <c r="A4628" s="1" t="s">
        <v>13063</v>
      </c>
      <c r="B4628" s="1" t="s">
        <v>1861</v>
      </c>
      <c r="C4628" s="1" t="s">
        <v>13064</v>
      </c>
      <c r="D4628" s="1" t="s">
        <v>27</v>
      </c>
      <c r="E4628" s="1" t="s">
        <v>28</v>
      </c>
      <c r="F4628" s="2">
        <v>100000.0</v>
      </c>
      <c r="G4628" s="1" t="s">
        <v>518</v>
      </c>
      <c r="H4628" s="4">
        <f>IFERROR(__xludf.DUMMYFUNCTION("DATE(INDEX(SPLIT(G4628,""/""),,3),INDEX(SPLIT(G4628,""/""),,2),INDEX(SPLIT(G4628,""/""),,1))"),44757.0)</f>
        <v>44757</v>
      </c>
      <c r="I4628" s="1" t="s">
        <v>109</v>
      </c>
      <c r="J4628" s="4">
        <f>IFERROR(__xludf.DUMMYFUNCTION("DATE(INDEX(SPLIT(I4628,""/""),,3),INDEX(SPLIT(I4628,""/""),,2),INDEX(SPLIT(I4628,""/""),,1))"),44834.0)</f>
        <v>44834</v>
      </c>
      <c r="L4628" s="1">
        <v>0.0</v>
      </c>
      <c r="M4628" s="1" t="s">
        <v>4636</v>
      </c>
      <c r="N4628" s="1"/>
      <c r="O4628" s="1" t="s">
        <v>30</v>
      </c>
      <c r="P4628" s="1" t="s">
        <v>31</v>
      </c>
      <c r="Q4628" s="1" t="s">
        <v>157</v>
      </c>
      <c r="R4628" s="1" t="s">
        <v>157</v>
      </c>
      <c r="S4628" s="1" t="s">
        <v>158</v>
      </c>
      <c r="U4628" s="1">
        <v>1.00589292E8</v>
      </c>
      <c r="X4628" s="1" t="s">
        <v>305</v>
      </c>
      <c r="Y4628" s="1" t="s">
        <v>4636</v>
      </c>
      <c r="Z4628" s="1" t="s">
        <v>527</v>
      </c>
    </row>
    <row r="4629" hidden="1">
      <c r="A4629" s="1" t="s">
        <v>13065</v>
      </c>
      <c r="B4629" s="1" t="s">
        <v>83</v>
      </c>
      <c r="C4629" s="1" t="s">
        <v>13066</v>
      </c>
      <c r="D4629" s="1" t="s">
        <v>27</v>
      </c>
      <c r="E4629" s="1" t="s">
        <v>28</v>
      </c>
      <c r="F4629" s="2">
        <v>100000.0</v>
      </c>
      <c r="G4629" s="4">
        <v>44625.0</v>
      </c>
      <c r="H4629" s="4">
        <f>IFERROR(__xludf.DUMMYFUNCTION("DATE(INDEX(SPLIT(G4629,""/""),,3),INDEX(SPLIT(G4629,""/""),,2),INDEX(SPLIT(G4629,""/""),,1))"),44684.0)</f>
        <v>44684</v>
      </c>
      <c r="I4629" s="4">
        <v>44876.0</v>
      </c>
      <c r="J4629" s="4">
        <f>IFERROR(__xludf.DUMMYFUNCTION("DATE(INDEX(SPLIT(I4629,""/""),,3),INDEX(SPLIT(I4629,""/""),,2),INDEX(SPLIT(I4629,""/""),,1))"),44876.0)</f>
        <v>44876</v>
      </c>
      <c r="L4629" s="1">
        <v>0.0</v>
      </c>
      <c r="M4629" s="1" t="s">
        <v>1959</v>
      </c>
      <c r="N4629" s="1"/>
      <c r="O4629" s="1" t="s">
        <v>30</v>
      </c>
      <c r="P4629" s="1" t="s">
        <v>31</v>
      </c>
      <c r="Q4629" s="1" t="s">
        <v>228</v>
      </c>
      <c r="R4629" s="1" t="s">
        <v>228</v>
      </c>
      <c r="S4629" s="1" t="s">
        <v>229</v>
      </c>
      <c r="T4629" s="1" t="s">
        <v>640</v>
      </c>
      <c r="U4629" s="1">
        <v>1.00955805E8</v>
      </c>
      <c r="X4629" s="1" t="s">
        <v>88</v>
      </c>
      <c r="Y4629" s="1" t="s">
        <v>13067</v>
      </c>
      <c r="Z4629" s="1" t="s">
        <v>37</v>
      </c>
    </row>
    <row r="4630" hidden="1">
      <c r="A4630" s="1" t="s">
        <v>13068</v>
      </c>
      <c r="B4630" s="1" t="s">
        <v>1275</v>
      </c>
      <c r="C4630" s="1" t="s">
        <v>13069</v>
      </c>
      <c r="D4630" s="1" t="s">
        <v>27</v>
      </c>
      <c r="E4630" s="1" t="s">
        <v>28</v>
      </c>
      <c r="F4630" s="2">
        <v>100000.0</v>
      </c>
      <c r="G4630" s="4">
        <v>44902.0</v>
      </c>
      <c r="H4630" s="4">
        <f>IFERROR(__xludf.DUMMYFUNCTION("DATE(INDEX(SPLIT(G4630,""/""),,3),INDEX(SPLIT(G4630,""/""),,2),INDEX(SPLIT(G4630,""/""),,1))"),44754.0)</f>
        <v>44754</v>
      </c>
      <c r="I4630" s="1" t="s">
        <v>109</v>
      </c>
      <c r="J4630" s="4">
        <f>IFERROR(__xludf.DUMMYFUNCTION("DATE(INDEX(SPLIT(I4630,""/""),,3),INDEX(SPLIT(I4630,""/""),,2),INDEX(SPLIT(I4630,""/""),,1))"),44834.0)</f>
        <v>44834</v>
      </c>
      <c r="L4630" s="1">
        <v>0.0</v>
      </c>
      <c r="M4630" s="1" t="s">
        <v>2072</v>
      </c>
      <c r="N4630" s="1"/>
      <c r="O4630" s="1" t="s">
        <v>30</v>
      </c>
      <c r="P4630" s="1" t="s">
        <v>31</v>
      </c>
      <c r="Q4630" s="1" t="s">
        <v>71</v>
      </c>
      <c r="R4630" s="1" t="s">
        <v>71</v>
      </c>
      <c r="S4630" s="1" t="s">
        <v>72</v>
      </c>
      <c r="T4630" s="1" t="s">
        <v>136</v>
      </c>
      <c r="U4630" s="1">
        <v>1.00628181E8</v>
      </c>
      <c r="X4630" s="1" t="s">
        <v>74</v>
      </c>
      <c r="Y4630" s="1" t="s">
        <v>2072</v>
      </c>
      <c r="Z4630" s="1" t="s">
        <v>37</v>
      </c>
    </row>
    <row r="4631" hidden="1">
      <c r="A4631" s="1" t="s">
        <v>13070</v>
      </c>
      <c r="B4631" s="1" t="s">
        <v>1479</v>
      </c>
      <c r="C4631" s="1" t="s">
        <v>13071</v>
      </c>
      <c r="D4631" s="1" t="s">
        <v>27</v>
      </c>
      <c r="E4631" s="1" t="s">
        <v>28</v>
      </c>
      <c r="F4631" s="2">
        <v>100000.0</v>
      </c>
      <c r="G4631" s="1" t="s">
        <v>1569</v>
      </c>
      <c r="H4631" s="4">
        <f>IFERROR(__xludf.DUMMYFUNCTION("DATE(INDEX(SPLIT(G4631,""/""),,3),INDEX(SPLIT(G4631,""/""),,2),INDEX(SPLIT(G4631,""/""),,1))"),44645.0)</f>
        <v>44645</v>
      </c>
      <c r="I4631" s="1" t="s">
        <v>109</v>
      </c>
      <c r="J4631" s="4">
        <f>IFERROR(__xludf.DUMMYFUNCTION("DATE(INDEX(SPLIT(I4631,""/""),,3),INDEX(SPLIT(I4631,""/""),,2),INDEX(SPLIT(I4631,""/""),,1))"),44834.0)</f>
        <v>44834</v>
      </c>
      <c r="L4631" s="1">
        <v>0.0</v>
      </c>
      <c r="M4631" s="1" t="s">
        <v>10017</v>
      </c>
      <c r="N4631" s="1"/>
      <c r="O4631" s="1" t="s">
        <v>30</v>
      </c>
      <c r="P4631" s="1" t="s">
        <v>31</v>
      </c>
      <c r="Q4631" s="1" t="s">
        <v>157</v>
      </c>
      <c r="R4631" s="1" t="s">
        <v>157</v>
      </c>
      <c r="S4631" s="1" t="s">
        <v>158</v>
      </c>
      <c r="U4631" s="1">
        <v>1.0060437E8</v>
      </c>
      <c r="X4631" s="1" t="s">
        <v>305</v>
      </c>
      <c r="Y4631" s="1" t="s">
        <v>1481</v>
      </c>
      <c r="Z4631" s="1" t="s">
        <v>37</v>
      </c>
    </row>
    <row r="4632" hidden="1">
      <c r="A4632" s="1" t="s">
        <v>13072</v>
      </c>
      <c r="B4632" s="1" t="s">
        <v>39</v>
      </c>
      <c r="C4632" s="1" t="s">
        <v>13073</v>
      </c>
      <c r="D4632" s="1" t="s">
        <v>122</v>
      </c>
      <c r="E4632" s="1" t="s">
        <v>28</v>
      </c>
      <c r="F4632" s="2">
        <v>100000.0</v>
      </c>
      <c r="G4632" s="1" t="s">
        <v>518</v>
      </c>
      <c r="H4632" s="4">
        <f>IFERROR(__xludf.DUMMYFUNCTION("DATE(INDEX(SPLIT(G4632,""/""),,3),INDEX(SPLIT(G4632,""/""),,2),INDEX(SPLIT(G4632,""/""),,1))"),44757.0)</f>
        <v>44757</v>
      </c>
      <c r="I4632" s="4">
        <v>44569.0</v>
      </c>
      <c r="J4632" s="4">
        <f>IFERROR(__xludf.DUMMYFUNCTION("DATE(INDEX(SPLIT(I4632,""/""),,3),INDEX(SPLIT(I4632,""/""),,2),INDEX(SPLIT(I4632,""/""),,1))"),44774.0)</f>
        <v>44774</v>
      </c>
      <c r="L4632" s="1">
        <v>0.0</v>
      </c>
      <c r="M4632" s="1" t="s">
        <v>7484</v>
      </c>
      <c r="N4632" s="1"/>
      <c r="O4632" s="1" t="s">
        <v>30</v>
      </c>
      <c r="P4632" s="1" t="s">
        <v>31</v>
      </c>
      <c r="Q4632" s="1" t="s">
        <v>235</v>
      </c>
      <c r="R4632" s="1" t="s">
        <v>235</v>
      </c>
      <c r="S4632" s="1" t="s">
        <v>236</v>
      </c>
      <c r="U4632" s="1">
        <v>1.00647314E8</v>
      </c>
      <c r="X4632" s="1" t="s">
        <v>88</v>
      </c>
      <c r="Y4632" s="1" t="s">
        <v>13074</v>
      </c>
      <c r="Z4632" s="1" t="s">
        <v>37</v>
      </c>
    </row>
    <row r="4633" hidden="1">
      <c r="A4633" s="1" t="s">
        <v>13075</v>
      </c>
      <c r="B4633" s="1" t="s">
        <v>1113</v>
      </c>
      <c r="C4633" s="1" t="s">
        <v>13076</v>
      </c>
      <c r="D4633" s="1" t="s">
        <v>78</v>
      </c>
      <c r="E4633" s="1" t="s">
        <v>28</v>
      </c>
      <c r="F4633" s="2">
        <v>100000.0</v>
      </c>
      <c r="G4633" s="1" t="s">
        <v>330</v>
      </c>
      <c r="H4633" s="4">
        <f>IFERROR(__xludf.DUMMYFUNCTION("DATE(INDEX(SPLIT(G4633,""/""),,3),INDEX(SPLIT(G4633,""/""),,2),INDEX(SPLIT(G4633,""/""),,1))"),44728.0)</f>
        <v>44728</v>
      </c>
      <c r="I4633" s="4">
        <v>44630.0</v>
      </c>
      <c r="J4633" s="4">
        <f>IFERROR(__xludf.DUMMYFUNCTION("DATE(INDEX(SPLIT(I4633,""/""),,3),INDEX(SPLIT(I4633,""/""),,2),INDEX(SPLIT(I4633,""/""),,1))"),44837.0)</f>
        <v>44837</v>
      </c>
      <c r="L4633" s="1">
        <v>0.0</v>
      </c>
      <c r="M4633" s="1" t="s">
        <v>929</v>
      </c>
      <c r="N4633" s="1"/>
      <c r="O4633" s="1" t="s">
        <v>30</v>
      </c>
      <c r="P4633" s="1" t="s">
        <v>31</v>
      </c>
      <c r="Q4633" s="1" t="s">
        <v>71</v>
      </c>
      <c r="R4633" s="1" t="s">
        <v>71</v>
      </c>
      <c r="S4633" s="1" t="s">
        <v>72</v>
      </c>
      <c r="T4633" s="1" t="s">
        <v>73</v>
      </c>
      <c r="U4633" s="1">
        <v>1.00649698E8</v>
      </c>
      <c r="X4633" s="1" t="s">
        <v>490</v>
      </c>
      <c r="Y4633" s="1" t="s">
        <v>13077</v>
      </c>
      <c r="Z4633" s="1" t="s">
        <v>37</v>
      </c>
    </row>
    <row r="4634" hidden="1">
      <c r="A4634" s="1" t="s">
        <v>13078</v>
      </c>
      <c r="B4634" s="1" t="s">
        <v>854</v>
      </c>
      <c r="C4634" s="1" t="s">
        <v>13079</v>
      </c>
      <c r="D4634" s="1" t="s">
        <v>27</v>
      </c>
      <c r="E4634" s="1" t="s">
        <v>28</v>
      </c>
      <c r="F4634" s="2">
        <v>100000.0</v>
      </c>
      <c r="G4634" s="4">
        <v>43932.0</v>
      </c>
      <c r="H4634" s="4">
        <f>IFERROR(__xludf.DUMMYFUNCTION("DATE(INDEX(SPLIT(G4634,""/""),,3),INDEX(SPLIT(G4634,""/""),,2),INDEX(SPLIT(G4634,""/""),,1))"),44139.0)</f>
        <v>44139</v>
      </c>
      <c r="I4634" s="1" t="s">
        <v>425</v>
      </c>
      <c r="J4634" s="4">
        <f>IFERROR(__xludf.DUMMYFUNCTION("DATE(INDEX(SPLIT(I4634,""/""),,3),INDEX(SPLIT(I4634,""/""),,2),INDEX(SPLIT(I4634,""/""),,1))"),44911.0)</f>
        <v>44911</v>
      </c>
      <c r="L4634" s="1">
        <v>0.0</v>
      </c>
      <c r="M4634" s="1" t="s">
        <v>4153</v>
      </c>
      <c r="N4634" s="1"/>
      <c r="O4634" s="1" t="s">
        <v>30</v>
      </c>
      <c r="P4634" s="1" t="s">
        <v>31</v>
      </c>
      <c r="Q4634" s="1" t="s">
        <v>235</v>
      </c>
      <c r="R4634" s="1" t="s">
        <v>235</v>
      </c>
      <c r="S4634" s="1" t="s">
        <v>236</v>
      </c>
      <c r="T4634" s="1" t="s">
        <v>438</v>
      </c>
      <c r="U4634" s="1">
        <v>1.00659524E8</v>
      </c>
      <c r="X4634" s="1" t="s">
        <v>88</v>
      </c>
      <c r="Y4634" s="1" t="s">
        <v>3679</v>
      </c>
      <c r="Z4634" s="1" t="s">
        <v>37</v>
      </c>
    </row>
    <row r="4635" hidden="1">
      <c r="A4635" s="1" t="s">
        <v>13080</v>
      </c>
      <c r="B4635" s="1" t="s">
        <v>1586</v>
      </c>
      <c r="C4635" s="1" t="s">
        <v>13081</v>
      </c>
      <c r="D4635" s="1" t="s">
        <v>27</v>
      </c>
      <c r="E4635" s="1" t="s">
        <v>28</v>
      </c>
      <c r="F4635" s="2">
        <v>100000.0</v>
      </c>
      <c r="G4635" s="1" t="s">
        <v>3467</v>
      </c>
      <c r="H4635" s="4">
        <f>IFERROR(__xludf.DUMMYFUNCTION("DATE(INDEX(SPLIT(G4635,""/""),,3),INDEX(SPLIT(G4635,""/""),,2),INDEX(SPLIT(G4635,""/""),,1))"),44615.0)</f>
        <v>44615</v>
      </c>
      <c r="I4635" s="1" t="s">
        <v>85</v>
      </c>
      <c r="J4635" s="4">
        <f>IFERROR(__xludf.DUMMYFUNCTION("DATE(INDEX(SPLIT(I4635,""/""),,3),INDEX(SPLIT(I4635,""/""),,2),INDEX(SPLIT(I4635,""/""),,1))"),44799.0)</f>
        <v>44799</v>
      </c>
      <c r="L4635" s="1">
        <v>0.0</v>
      </c>
      <c r="M4635" s="1" t="s">
        <v>6260</v>
      </c>
      <c r="N4635" s="1"/>
      <c r="O4635" s="1" t="s">
        <v>30</v>
      </c>
      <c r="P4635" s="1" t="s">
        <v>31</v>
      </c>
      <c r="Q4635" s="1" t="s">
        <v>157</v>
      </c>
      <c r="R4635" s="1" t="s">
        <v>157</v>
      </c>
      <c r="S4635" s="1" t="s">
        <v>158</v>
      </c>
      <c r="T4635" s="1" t="s">
        <v>442</v>
      </c>
      <c r="U4635" s="1">
        <v>1.00875147E8</v>
      </c>
      <c r="X4635" s="1" t="s">
        <v>117</v>
      </c>
      <c r="Y4635" s="1" t="s">
        <v>852</v>
      </c>
      <c r="Z4635" s="1" t="s">
        <v>527</v>
      </c>
    </row>
    <row r="4636">
      <c r="A4636" s="1" t="s">
        <v>13082</v>
      </c>
      <c r="B4636" s="1" t="s">
        <v>10345</v>
      </c>
      <c r="C4636" s="1" t="s">
        <v>13083</v>
      </c>
      <c r="D4636" s="1" t="s">
        <v>78</v>
      </c>
      <c r="E4636" s="1" t="s">
        <v>28</v>
      </c>
      <c r="F4636" s="2">
        <v>100000.0</v>
      </c>
      <c r="G4636" s="1" t="s">
        <v>13084</v>
      </c>
      <c r="H4636" s="4">
        <f>IFERROR(__xludf.DUMMYFUNCTION("DATE(INDEX(SPLIT(G4636,""/""),,3),INDEX(SPLIT(G4636,""/""),,2),INDEX(SPLIT(G4636,""/""),,1))"),43671.0)</f>
        <v>43671</v>
      </c>
      <c r="I4636" s="1" t="s">
        <v>69</v>
      </c>
      <c r="J4636" s="4">
        <f>IFERROR(__xludf.DUMMYFUNCTION("DATE(INDEX(SPLIT(I4636,""/""),,3),INDEX(SPLIT(I4636,""/""),,2),INDEX(SPLIT(I4636,""/""),,1))"),44773.0)</f>
        <v>44773</v>
      </c>
      <c r="L4636" s="1">
        <v>0.0</v>
      </c>
      <c r="M4636" s="1" t="s">
        <v>2472</v>
      </c>
      <c r="N4636" s="1"/>
      <c r="O4636" s="1" t="s">
        <v>30</v>
      </c>
      <c r="P4636" s="1" t="s">
        <v>31</v>
      </c>
      <c r="Q4636" s="1" t="s">
        <v>228</v>
      </c>
      <c r="R4636" s="1" t="s">
        <v>228</v>
      </c>
      <c r="S4636" s="1" t="s">
        <v>229</v>
      </c>
      <c r="T4636" s="1" t="s">
        <v>640</v>
      </c>
      <c r="U4636" s="1">
        <v>1.00645232E8</v>
      </c>
      <c r="X4636" s="1" t="s">
        <v>88</v>
      </c>
      <c r="Y4636" s="1" t="s">
        <v>11825</v>
      </c>
      <c r="Z4636" s="1" t="s">
        <v>37</v>
      </c>
    </row>
    <row r="4637">
      <c r="A4637" s="1" t="s">
        <v>13085</v>
      </c>
      <c r="B4637" s="1" t="s">
        <v>7041</v>
      </c>
      <c r="C4637" s="1" t="s">
        <v>13086</v>
      </c>
      <c r="D4637" s="1" t="s">
        <v>27</v>
      </c>
      <c r="E4637" s="1" t="s">
        <v>28</v>
      </c>
      <c r="F4637" s="2">
        <v>100000.0</v>
      </c>
      <c r="G4637" s="1" t="s">
        <v>1851</v>
      </c>
      <c r="H4637" s="4">
        <f>IFERROR(__xludf.DUMMYFUNCTION("DATE(INDEX(SPLIT(G4637,""/""),,3),INDEX(SPLIT(G4637,""/""),,2),INDEX(SPLIT(G4637,""/""),,1))"),44646.0)</f>
        <v>44646</v>
      </c>
      <c r="I4637" s="1" t="s">
        <v>69</v>
      </c>
      <c r="J4637" s="4">
        <f>IFERROR(__xludf.DUMMYFUNCTION("DATE(INDEX(SPLIT(I4637,""/""),,3),INDEX(SPLIT(I4637,""/""),,2),INDEX(SPLIT(I4637,""/""),,1))"),44773.0)</f>
        <v>44773</v>
      </c>
      <c r="L4637" s="1">
        <v>0.0</v>
      </c>
      <c r="M4637" s="1" t="s">
        <v>10848</v>
      </c>
      <c r="N4637" s="1"/>
      <c r="O4637" s="1" t="s">
        <v>30</v>
      </c>
      <c r="P4637" s="1" t="s">
        <v>31</v>
      </c>
      <c r="Q4637" s="1" t="s">
        <v>53</v>
      </c>
      <c r="R4637" s="1" t="s">
        <v>53</v>
      </c>
      <c r="S4637" s="1" t="s">
        <v>54</v>
      </c>
      <c r="T4637" s="1" t="s">
        <v>159</v>
      </c>
      <c r="U4637" s="1">
        <v>1.00649481E8</v>
      </c>
      <c r="X4637" s="1" t="s">
        <v>74</v>
      </c>
      <c r="Y4637" s="1" t="s">
        <v>6982</v>
      </c>
      <c r="Z4637" s="1" t="s">
        <v>37</v>
      </c>
    </row>
    <row r="4638" hidden="1">
      <c r="A4638" s="1" t="s">
        <v>13087</v>
      </c>
      <c r="B4638" s="1" t="s">
        <v>1966</v>
      </c>
      <c r="C4638" s="1" t="s">
        <v>13088</v>
      </c>
      <c r="D4638" s="1" t="s">
        <v>27</v>
      </c>
      <c r="E4638" s="1" t="s">
        <v>28</v>
      </c>
      <c r="F4638" s="2">
        <v>100000.0</v>
      </c>
      <c r="G4638" s="4">
        <v>44623.0</v>
      </c>
      <c r="H4638" s="4">
        <f>IFERROR(__xludf.DUMMYFUNCTION("DATE(INDEX(SPLIT(G4638,""/""),,3),INDEX(SPLIT(G4638,""/""),,2),INDEX(SPLIT(G4638,""/""),,1))"),44623.0)</f>
        <v>44623</v>
      </c>
      <c r="I4638" s="4">
        <v>44752.0</v>
      </c>
      <c r="J4638" s="4">
        <f>IFERROR(__xludf.DUMMYFUNCTION("DATE(INDEX(SPLIT(I4638,""/""),,3),INDEX(SPLIT(I4638,""/""),,2),INDEX(SPLIT(I4638,""/""),,1))"),44841.0)</f>
        <v>44841</v>
      </c>
      <c r="L4638" s="1">
        <v>0.0</v>
      </c>
      <c r="M4638" s="1" t="s">
        <v>13089</v>
      </c>
      <c r="N4638" s="1"/>
      <c r="O4638" s="1" t="s">
        <v>30</v>
      </c>
      <c r="P4638" s="1" t="s">
        <v>31</v>
      </c>
      <c r="Q4638" s="1" t="s">
        <v>53</v>
      </c>
      <c r="R4638" s="1" t="s">
        <v>53</v>
      </c>
      <c r="S4638" s="1" t="s">
        <v>54</v>
      </c>
      <c r="U4638" s="1">
        <v>1.00650183E8</v>
      </c>
      <c r="X4638" s="1" t="s">
        <v>125</v>
      </c>
      <c r="Y4638" s="1" t="s">
        <v>13090</v>
      </c>
      <c r="Z4638" s="1" t="s">
        <v>37</v>
      </c>
    </row>
    <row r="4639" hidden="1">
      <c r="A4639" s="1" t="s">
        <v>13091</v>
      </c>
      <c r="B4639" s="1" t="s">
        <v>13092</v>
      </c>
      <c r="C4639" s="1" t="s">
        <v>13093</v>
      </c>
      <c r="D4639" s="1" t="s">
        <v>68</v>
      </c>
      <c r="E4639" s="1" t="s">
        <v>28</v>
      </c>
      <c r="F4639" s="2">
        <v>100000.0</v>
      </c>
      <c r="G4639" s="4">
        <v>44475.0</v>
      </c>
      <c r="H4639" s="4">
        <f>IFERROR(__xludf.DUMMYFUNCTION("DATE(INDEX(SPLIT(G4639,""/""),,3),INDEX(SPLIT(G4639,""/""),,2),INDEX(SPLIT(G4639,""/""),,1))"),44357.0)</f>
        <v>44357</v>
      </c>
      <c r="I4639" s="1" t="s">
        <v>109</v>
      </c>
      <c r="J4639" s="4">
        <f>IFERROR(__xludf.DUMMYFUNCTION("DATE(INDEX(SPLIT(I4639,""/""),,3),INDEX(SPLIT(I4639,""/""),,2),INDEX(SPLIT(I4639,""/""),,1))"),44834.0)</f>
        <v>44834</v>
      </c>
      <c r="L4639" s="1">
        <v>0.0</v>
      </c>
      <c r="M4639" s="1" t="s">
        <v>6045</v>
      </c>
      <c r="N4639" s="1"/>
      <c r="O4639" s="1" t="s">
        <v>30</v>
      </c>
      <c r="P4639" s="1" t="s">
        <v>31</v>
      </c>
      <c r="Q4639" s="1" t="s">
        <v>228</v>
      </c>
      <c r="R4639" s="1" t="s">
        <v>228</v>
      </c>
      <c r="S4639" s="1" t="s">
        <v>229</v>
      </c>
      <c r="T4639" s="1" t="s">
        <v>513</v>
      </c>
      <c r="U4639" s="1">
        <v>1.00652479E8</v>
      </c>
      <c r="X4639" s="1" t="s">
        <v>609</v>
      </c>
      <c r="Y4639" s="1" t="s">
        <v>13094</v>
      </c>
      <c r="Z4639" s="1" t="s">
        <v>37</v>
      </c>
    </row>
    <row r="4640" hidden="1">
      <c r="A4640" s="1" t="s">
        <v>13095</v>
      </c>
      <c r="B4640" s="1" t="s">
        <v>1854</v>
      </c>
      <c r="C4640" s="1" t="s">
        <v>13096</v>
      </c>
      <c r="D4640" s="1" t="s">
        <v>78</v>
      </c>
      <c r="E4640" s="1" t="s">
        <v>28</v>
      </c>
      <c r="F4640" s="2">
        <v>100000.0</v>
      </c>
      <c r="G4640" s="4">
        <v>44777.0</v>
      </c>
      <c r="H4640" s="4">
        <f>IFERROR(__xludf.DUMMYFUNCTION("DATE(INDEX(SPLIT(G4640,""/""),,3),INDEX(SPLIT(G4640,""/""),,2),INDEX(SPLIT(G4640,""/""),,1))"),44659.0)</f>
        <v>44659</v>
      </c>
      <c r="I4640" s="1" t="s">
        <v>109</v>
      </c>
      <c r="J4640" s="4">
        <f>IFERROR(__xludf.DUMMYFUNCTION("DATE(INDEX(SPLIT(I4640,""/""),,3),INDEX(SPLIT(I4640,""/""),,2),INDEX(SPLIT(I4640,""/""),,1))"),44834.0)</f>
        <v>44834</v>
      </c>
      <c r="L4640" s="1">
        <v>0.0</v>
      </c>
      <c r="M4640" s="1" t="s">
        <v>2448</v>
      </c>
      <c r="N4640" s="1"/>
      <c r="O4640" s="1" t="s">
        <v>30</v>
      </c>
      <c r="P4640" s="1" t="s">
        <v>31</v>
      </c>
      <c r="Q4640" s="1" t="s">
        <v>53</v>
      </c>
      <c r="R4640" s="1" t="s">
        <v>53</v>
      </c>
      <c r="S4640" s="1" t="s">
        <v>54</v>
      </c>
      <c r="T4640" s="1" t="s">
        <v>197</v>
      </c>
      <c r="U4640" s="1">
        <v>1.00584032E8</v>
      </c>
      <c r="V4640" s="1" t="s">
        <v>13097</v>
      </c>
      <c r="W4640" s="1" t="s">
        <v>717</v>
      </c>
      <c r="X4640" s="1" t="s">
        <v>63</v>
      </c>
      <c r="Y4640" s="1" t="s">
        <v>1857</v>
      </c>
      <c r="Z4640" s="1" t="s">
        <v>37</v>
      </c>
    </row>
    <row r="4641" hidden="1">
      <c r="A4641" s="1" t="s">
        <v>13098</v>
      </c>
      <c r="B4641" s="1" t="s">
        <v>13099</v>
      </c>
      <c r="C4641" s="1" t="s">
        <v>13100</v>
      </c>
      <c r="D4641" s="1" t="s">
        <v>68</v>
      </c>
      <c r="E4641" s="1" t="s">
        <v>28</v>
      </c>
      <c r="F4641" s="2">
        <v>100000.0</v>
      </c>
      <c r="G4641" s="4">
        <v>44475.0</v>
      </c>
      <c r="H4641" s="4">
        <f>IFERROR(__xludf.DUMMYFUNCTION("DATE(INDEX(SPLIT(G4641,""/""),,3),INDEX(SPLIT(G4641,""/""),,2),INDEX(SPLIT(G4641,""/""),,1))"),44357.0)</f>
        <v>44357</v>
      </c>
      <c r="I4641" s="1" t="s">
        <v>109</v>
      </c>
      <c r="J4641" s="4">
        <f>IFERROR(__xludf.DUMMYFUNCTION("DATE(INDEX(SPLIT(I4641,""/""),,3),INDEX(SPLIT(I4641,""/""),,2),INDEX(SPLIT(I4641,""/""),,1))"),44834.0)</f>
        <v>44834</v>
      </c>
      <c r="L4641" s="1">
        <v>0.0</v>
      </c>
      <c r="M4641" s="1" t="s">
        <v>6045</v>
      </c>
      <c r="N4641" s="1"/>
      <c r="O4641" s="1" t="s">
        <v>30</v>
      </c>
      <c r="P4641" s="1" t="s">
        <v>31</v>
      </c>
      <c r="Q4641" s="1" t="s">
        <v>228</v>
      </c>
      <c r="R4641" s="1" t="s">
        <v>228</v>
      </c>
      <c r="S4641" s="1" t="s">
        <v>229</v>
      </c>
      <c r="T4641" s="1" t="s">
        <v>513</v>
      </c>
      <c r="U4641" s="1">
        <v>1.00652479E8</v>
      </c>
      <c r="X4641" s="1" t="s">
        <v>609</v>
      </c>
      <c r="Y4641" s="1" t="s">
        <v>13094</v>
      </c>
      <c r="Z4641" s="1" t="s">
        <v>37</v>
      </c>
    </row>
    <row r="4642" hidden="1">
      <c r="A4642" s="1" t="s">
        <v>13101</v>
      </c>
      <c r="B4642" s="1" t="s">
        <v>13099</v>
      </c>
      <c r="C4642" s="1" t="s">
        <v>13102</v>
      </c>
      <c r="D4642" s="1" t="s">
        <v>68</v>
      </c>
      <c r="E4642" s="1" t="s">
        <v>28</v>
      </c>
      <c r="F4642" s="2">
        <v>100000.0</v>
      </c>
      <c r="G4642" s="4">
        <v>44475.0</v>
      </c>
      <c r="H4642" s="4">
        <f>IFERROR(__xludf.DUMMYFUNCTION("DATE(INDEX(SPLIT(G4642,""/""),,3),INDEX(SPLIT(G4642,""/""),,2),INDEX(SPLIT(G4642,""/""),,1))"),44357.0)</f>
        <v>44357</v>
      </c>
      <c r="I4642" s="1" t="s">
        <v>109</v>
      </c>
      <c r="J4642" s="4">
        <f>IFERROR(__xludf.DUMMYFUNCTION("DATE(INDEX(SPLIT(I4642,""/""),,3),INDEX(SPLIT(I4642,""/""),,2),INDEX(SPLIT(I4642,""/""),,1))"),44834.0)</f>
        <v>44834</v>
      </c>
      <c r="L4642" s="1">
        <v>0.0</v>
      </c>
      <c r="M4642" s="1" t="s">
        <v>6045</v>
      </c>
      <c r="N4642" s="1"/>
      <c r="O4642" s="1" t="s">
        <v>30</v>
      </c>
      <c r="P4642" s="1" t="s">
        <v>31</v>
      </c>
      <c r="Q4642" s="1" t="s">
        <v>228</v>
      </c>
      <c r="R4642" s="1" t="s">
        <v>228</v>
      </c>
      <c r="S4642" s="1" t="s">
        <v>229</v>
      </c>
      <c r="T4642" s="1" t="s">
        <v>513</v>
      </c>
      <c r="U4642" s="1">
        <v>1.00652479E8</v>
      </c>
      <c r="X4642" s="1" t="s">
        <v>609</v>
      </c>
      <c r="Y4642" s="1" t="s">
        <v>13094</v>
      </c>
      <c r="Z4642" s="1" t="s">
        <v>37</v>
      </c>
    </row>
    <row r="4643" hidden="1">
      <c r="A4643" s="1" t="s">
        <v>13103</v>
      </c>
      <c r="B4643" s="1" t="s">
        <v>13099</v>
      </c>
      <c r="C4643" s="1" t="s">
        <v>13104</v>
      </c>
      <c r="D4643" s="1" t="s">
        <v>68</v>
      </c>
      <c r="E4643" s="1" t="s">
        <v>28</v>
      </c>
      <c r="F4643" s="2">
        <v>100000.0</v>
      </c>
      <c r="G4643" s="4">
        <v>44475.0</v>
      </c>
      <c r="H4643" s="4">
        <f>IFERROR(__xludf.DUMMYFUNCTION("DATE(INDEX(SPLIT(G4643,""/""),,3),INDEX(SPLIT(G4643,""/""),,2),INDEX(SPLIT(G4643,""/""),,1))"),44357.0)</f>
        <v>44357</v>
      </c>
      <c r="I4643" s="1" t="s">
        <v>109</v>
      </c>
      <c r="J4643" s="4">
        <f>IFERROR(__xludf.DUMMYFUNCTION("DATE(INDEX(SPLIT(I4643,""/""),,3),INDEX(SPLIT(I4643,""/""),,2),INDEX(SPLIT(I4643,""/""),,1))"),44834.0)</f>
        <v>44834</v>
      </c>
      <c r="L4643" s="1">
        <v>0.0</v>
      </c>
      <c r="M4643" s="1" t="s">
        <v>6045</v>
      </c>
      <c r="N4643" s="1"/>
      <c r="O4643" s="1" t="s">
        <v>30</v>
      </c>
      <c r="P4643" s="1" t="s">
        <v>31</v>
      </c>
      <c r="Q4643" s="1" t="s">
        <v>228</v>
      </c>
      <c r="R4643" s="1" t="s">
        <v>228</v>
      </c>
      <c r="S4643" s="1" t="s">
        <v>229</v>
      </c>
      <c r="T4643" s="1" t="s">
        <v>513</v>
      </c>
      <c r="U4643" s="1">
        <v>1.00652479E8</v>
      </c>
      <c r="X4643" s="1" t="s">
        <v>609</v>
      </c>
      <c r="Y4643" s="1" t="s">
        <v>13094</v>
      </c>
      <c r="Z4643" s="1" t="s">
        <v>37</v>
      </c>
    </row>
    <row r="4644">
      <c r="A4644" s="1" t="s">
        <v>13105</v>
      </c>
      <c r="B4644" s="1" t="s">
        <v>4938</v>
      </c>
      <c r="C4644" s="1" t="s">
        <v>13106</v>
      </c>
      <c r="D4644" s="1" t="s">
        <v>122</v>
      </c>
      <c r="E4644" s="1" t="s">
        <v>28</v>
      </c>
      <c r="F4644" s="2">
        <v>100000.0</v>
      </c>
      <c r="G4644" s="4">
        <v>44171.0</v>
      </c>
      <c r="H4644" s="4">
        <f>IFERROR(__xludf.DUMMYFUNCTION("DATE(INDEX(SPLIT(G4644,""/""),,3),INDEX(SPLIT(G4644,""/""),,2),INDEX(SPLIT(G4644,""/""),,1))"),43994.0)</f>
        <v>43994</v>
      </c>
      <c r="I4644" s="1" t="s">
        <v>1244</v>
      </c>
      <c r="J4644" s="4">
        <f>IFERROR(__xludf.DUMMYFUNCTION("DATE(INDEX(SPLIT(I4644,""/""),,3),INDEX(SPLIT(I4644,""/""),,2),INDEX(SPLIT(I4644,""/""),,1))"),44742.0)</f>
        <v>44742</v>
      </c>
      <c r="L4644" s="1">
        <v>0.0</v>
      </c>
      <c r="M4644" s="1" t="s">
        <v>4477</v>
      </c>
      <c r="N4644" s="1"/>
      <c r="O4644" s="1" t="s">
        <v>30</v>
      </c>
      <c r="P4644" s="1" t="s">
        <v>31</v>
      </c>
      <c r="Q4644" s="1" t="s">
        <v>228</v>
      </c>
      <c r="R4644" s="1" t="s">
        <v>228</v>
      </c>
      <c r="S4644" s="1" t="s">
        <v>229</v>
      </c>
      <c r="T4644" s="1" t="s">
        <v>513</v>
      </c>
      <c r="U4644" s="1">
        <v>1.00592715E8</v>
      </c>
      <c r="X4644" s="1" t="s">
        <v>98</v>
      </c>
      <c r="Y4644" s="1" t="s">
        <v>13107</v>
      </c>
      <c r="Z4644" s="1" t="s">
        <v>37</v>
      </c>
    </row>
    <row r="4645">
      <c r="A4645" s="1" t="s">
        <v>13108</v>
      </c>
      <c r="B4645" s="1" t="s">
        <v>1619</v>
      </c>
      <c r="C4645" s="1" t="s">
        <v>13109</v>
      </c>
      <c r="D4645" s="1" t="s">
        <v>122</v>
      </c>
      <c r="E4645" s="1" t="s">
        <v>28</v>
      </c>
      <c r="F4645" s="2">
        <v>100000.0</v>
      </c>
      <c r="G4645" s="1" t="s">
        <v>154</v>
      </c>
      <c r="H4645" s="4">
        <f>IFERROR(__xludf.DUMMYFUNCTION("DATE(INDEX(SPLIT(G4645,""/""),,3),INDEX(SPLIT(G4645,""/""),,2),INDEX(SPLIT(G4645,""/""),,1))"),44670.0)</f>
        <v>44670</v>
      </c>
      <c r="I4645" s="1" t="s">
        <v>226</v>
      </c>
      <c r="J4645" s="4">
        <f>IFERROR(__xludf.DUMMYFUNCTION("DATE(INDEX(SPLIT(I4645,""/""),,3),INDEX(SPLIT(I4645,""/""),,2),INDEX(SPLIT(I4645,""/""),,1))"),44771.0)</f>
        <v>44771</v>
      </c>
      <c r="L4645" s="1">
        <v>0.0</v>
      </c>
      <c r="M4645" s="1" t="s">
        <v>1833</v>
      </c>
      <c r="N4645" s="1"/>
      <c r="O4645" s="1" t="s">
        <v>30</v>
      </c>
      <c r="P4645" s="1" t="s">
        <v>31</v>
      </c>
      <c r="Q4645" s="1" t="s">
        <v>53</v>
      </c>
      <c r="R4645" s="1" t="s">
        <v>53</v>
      </c>
      <c r="S4645" s="1" t="s">
        <v>54</v>
      </c>
      <c r="T4645" s="1" t="s">
        <v>634</v>
      </c>
      <c r="U4645" s="1">
        <v>1.0105484E8</v>
      </c>
      <c r="X4645" s="1" t="s">
        <v>117</v>
      </c>
      <c r="Y4645" s="1" t="s">
        <v>578</v>
      </c>
      <c r="Z4645" s="1" t="s">
        <v>37</v>
      </c>
    </row>
    <row r="4646" hidden="1">
      <c r="A4646" s="1" t="s">
        <v>13110</v>
      </c>
      <c r="B4646" s="1" t="s">
        <v>9616</v>
      </c>
      <c r="C4646" s="1" t="s">
        <v>13111</v>
      </c>
      <c r="D4646" s="1" t="s">
        <v>27</v>
      </c>
      <c r="E4646" s="1" t="s">
        <v>28</v>
      </c>
      <c r="F4646" s="2">
        <v>100000.0</v>
      </c>
      <c r="G4646" s="1" t="s">
        <v>1442</v>
      </c>
      <c r="H4646" s="4">
        <f>IFERROR(__xludf.DUMMYFUNCTION("DATE(INDEX(SPLIT(G4646,""/""),,3),INDEX(SPLIT(G4646,""/""),,2),INDEX(SPLIT(G4646,""/""),,1))"),44727.0)</f>
        <v>44727</v>
      </c>
      <c r="I4646" s="1" t="s">
        <v>109</v>
      </c>
      <c r="J4646" s="4">
        <f>IFERROR(__xludf.DUMMYFUNCTION("DATE(INDEX(SPLIT(I4646,""/""),,3),INDEX(SPLIT(I4646,""/""),,2),INDEX(SPLIT(I4646,""/""),,1))"),44834.0)</f>
        <v>44834</v>
      </c>
      <c r="L4646" s="1">
        <v>0.0</v>
      </c>
      <c r="M4646" s="1" t="s">
        <v>9618</v>
      </c>
      <c r="N4646" s="1"/>
      <c r="O4646" s="1" t="s">
        <v>30</v>
      </c>
      <c r="P4646" s="1" t="s">
        <v>31</v>
      </c>
      <c r="Q4646" s="1" t="s">
        <v>157</v>
      </c>
      <c r="R4646" s="1" t="s">
        <v>157</v>
      </c>
      <c r="S4646" s="1" t="s">
        <v>158</v>
      </c>
      <c r="U4646" s="1">
        <v>1.00653538E8</v>
      </c>
      <c r="X4646" s="1" t="s">
        <v>125</v>
      </c>
      <c r="Y4646" s="1" t="s">
        <v>589</v>
      </c>
      <c r="Z4646" s="1" t="s">
        <v>37</v>
      </c>
    </row>
    <row r="4647">
      <c r="A4647" s="1" t="s">
        <v>13112</v>
      </c>
      <c r="B4647" s="1" t="s">
        <v>4546</v>
      </c>
      <c r="C4647" s="1" t="s">
        <v>13113</v>
      </c>
      <c r="D4647" s="1" t="s">
        <v>78</v>
      </c>
      <c r="E4647" s="1" t="s">
        <v>28</v>
      </c>
      <c r="F4647" s="2">
        <v>100000.0</v>
      </c>
      <c r="G4647" s="1" t="s">
        <v>3178</v>
      </c>
      <c r="H4647" s="4">
        <f>IFERROR(__xludf.DUMMYFUNCTION("DATE(INDEX(SPLIT(G4647,""/""),,3),INDEX(SPLIT(G4647,""/""),,2),INDEX(SPLIT(G4647,""/""),,1))"),44644.0)</f>
        <v>44644</v>
      </c>
      <c r="I4647" s="1" t="s">
        <v>226</v>
      </c>
      <c r="J4647" s="4">
        <f>IFERROR(__xludf.DUMMYFUNCTION("DATE(INDEX(SPLIT(I4647,""/""),,3),INDEX(SPLIT(I4647,""/""),,2),INDEX(SPLIT(I4647,""/""),,1))"),44771.0)</f>
        <v>44771</v>
      </c>
      <c r="L4647" s="1">
        <v>0.0</v>
      </c>
      <c r="M4647" s="1" t="s">
        <v>1704</v>
      </c>
      <c r="N4647" s="1"/>
      <c r="O4647" s="1" t="s">
        <v>30</v>
      </c>
      <c r="P4647" s="1" t="s">
        <v>31</v>
      </c>
      <c r="Q4647" s="1" t="s">
        <v>157</v>
      </c>
      <c r="R4647" s="1" t="s">
        <v>157</v>
      </c>
      <c r="S4647" s="1" t="s">
        <v>158</v>
      </c>
      <c r="T4647" s="1" t="s">
        <v>442</v>
      </c>
      <c r="U4647" s="1">
        <v>1.00654991E8</v>
      </c>
      <c r="X4647" s="1" t="s">
        <v>98</v>
      </c>
      <c r="Y4647" s="1" t="s">
        <v>1704</v>
      </c>
      <c r="Z4647" s="1" t="s">
        <v>37</v>
      </c>
    </row>
    <row r="4648" hidden="1">
      <c r="A4648" s="1" t="s">
        <v>13114</v>
      </c>
      <c r="B4648" s="1" t="s">
        <v>516</v>
      </c>
      <c r="C4648" s="1" t="s">
        <v>13115</v>
      </c>
      <c r="D4648" s="1" t="s">
        <v>27</v>
      </c>
      <c r="E4648" s="1" t="s">
        <v>28</v>
      </c>
      <c r="F4648" s="2">
        <v>100000.0</v>
      </c>
      <c r="G4648" s="4">
        <v>44446.0</v>
      </c>
      <c r="H4648" s="4">
        <f>IFERROR(__xludf.DUMMYFUNCTION("DATE(INDEX(SPLIT(G4648,""/""),,3),INDEX(SPLIT(G4648,""/""),,2),INDEX(SPLIT(G4648,""/""),,1))"),44386.0)</f>
        <v>44386</v>
      </c>
      <c r="I4648" s="1" t="s">
        <v>42</v>
      </c>
      <c r="J4648" s="4">
        <f>IFERROR(__xludf.DUMMYFUNCTION("DATE(INDEX(SPLIT(I4648,""/""),,3),INDEX(SPLIT(I4648,""/""),,2),INDEX(SPLIT(I4648,""/""),,1))"),44926.0)</f>
        <v>44926</v>
      </c>
      <c r="L4648" s="1">
        <v>0.0</v>
      </c>
      <c r="M4648" s="1" t="s">
        <v>2057</v>
      </c>
      <c r="N4648" s="1"/>
      <c r="O4648" s="1" t="s">
        <v>30</v>
      </c>
      <c r="P4648" s="1" t="s">
        <v>31</v>
      </c>
      <c r="Q4648" s="1" t="s">
        <v>71</v>
      </c>
      <c r="R4648" s="1" t="s">
        <v>71</v>
      </c>
      <c r="S4648" s="1" t="s">
        <v>72</v>
      </c>
      <c r="T4648" s="1" t="s">
        <v>136</v>
      </c>
      <c r="U4648" s="1">
        <v>1.01078216E8</v>
      </c>
      <c r="X4648" s="1" t="s">
        <v>74</v>
      </c>
      <c r="Y4648" s="1" t="s">
        <v>2057</v>
      </c>
      <c r="Z4648" s="1" t="s">
        <v>206</v>
      </c>
    </row>
    <row r="4649" hidden="1">
      <c r="A4649" s="1" t="s">
        <v>13116</v>
      </c>
      <c r="B4649" s="1" t="s">
        <v>992</v>
      </c>
      <c r="C4649" s="1" t="s">
        <v>13117</v>
      </c>
      <c r="D4649" s="1" t="s">
        <v>27</v>
      </c>
      <c r="E4649" s="1" t="s">
        <v>28</v>
      </c>
      <c r="F4649" s="2">
        <v>100000.0</v>
      </c>
      <c r="G4649" s="1" t="s">
        <v>6847</v>
      </c>
      <c r="H4649" s="4">
        <f>IFERROR(__xludf.DUMMYFUNCTION("DATE(INDEX(SPLIT(G4649,""/""),,3),INDEX(SPLIT(G4649,""/""),,2),INDEX(SPLIT(G4649,""/""),,1))"),43756.0)</f>
        <v>43756</v>
      </c>
      <c r="I4649" s="1" t="s">
        <v>203</v>
      </c>
      <c r="J4649" s="4">
        <f>IFERROR(__xludf.DUMMYFUNCTION("DATE(INDEX(SPLIT(I4649,""/""),,3),INDEX(SPLIT(I4649,""/""),,2),INDEX(SPLIT(I4649,""/""),,1))"),44925.0)</f>
        <v>44925</v>
      </c>
      <c r="L4649" s="1">
        <v>0.0</v>
      </c>
      <c r="M4649" s="1" t="s">
        <v>1110</v>
      </c>
      <c r="N4649" s="1"/>
      <c r="O4649" s="1" t="s">
        <v>30</v>
      </c>
      <c r="P4649" s="1" t="s">
        <v>31</v>
      </c>
      <c r="Q4649" s="1" t="s">
        <v>53</v>
      </c>
      <c r="R4649" s="1" t="s">
        <v>53</v>
      </c>
      <c r="S4649" s="1" t="s">
        <v>54</v>
      </c>
      <c r="U4649" s="1">
        <v>1.00653785E8</v>
      </c>
      <c r="X4649" s="1" t="s">
        <v>35</v>
      </c>
      <c r="Y4649" s="1" t="s">
        <v>1110</v>
      </c>
      <c r="Z4649" s="1" t="s">
        <v>37</v>
      </c>
    </row>
    <row r="4650" hidden="1">
      <c r="A4650" s="1" t="s">
        <v>13118</v>
      </c>
      <c r="B4650" s="1" t="s">
        <v>1158</v>
      </c>
      <c r="C4650" s="1" t="s">
        <v>13119</v>
      </c>
      <c r="D4650" s="1" t="s">
        <v>27</v>
      </c>
      <c r="E4650" s="1" t="s">
        <v>28</v>
      </c>
      <c r="F4650" s="2">
        <v>100000.0</v>
      </c>
      <c r="G4650" s="1" t="s">
        <v>41</v>
      </c>
      <c r="H4650" s="4">
        <f>IFERROR(__xludf.DUMMYFUNCTION("DATE(INDEX(SPLIT(G4650,""/""),,3),INDEX(SPLIT(G4650,""/""),,2),INDEX(SPLIT(G4650,""/""),,1))"),44607.0)</f>
        <v>44607</v>
      </c>
      <c r="I4650" s="4">
        <v>44573.0</v>
      </c>
      <c r="J4650" s="4">
        <f>IFERROR(__xludf.DUMMYFUNCTION("DATE(INDEX(SPLIT(I4650,""/""),,3),INDEX(SPLIT(I4650,""/""),,2),INDEX(SPLIT(I4650,""/""),,1))"),44896.0)</f>
        <v>44896</v>
      </c>
      <c r="L4650" s="1">
        <v>0.0</v>
      </c>
      <c r="M4650" s="1" t="s">
        <v>1737</v>
      </c>
      <c r="N4650" s="1"/>
      <c r="O4650" s="1" t="s">
        <v>30</v>
      </c>
      <c r="P4650" s="1" t="s">
        <v>31</v>
      </c>
      <c r="Q4650" s="1" t="s">
        <v>53</v>
      </c>
      <c r="R4650" s="1" t="s">
        <v>53</v>
      </c>
      <c r="S4650" s="1" t="s">
        <v>54</v>
      </c>
      <c r="T4650" s="1" t="s">
        <v>1386</v>
      </c>
      <c r="U4650" s="1">
        <v>1.00642067E8</v>
      </c>
      <c r="X4650" s="1" t="s">
        <v>88</v>
      </c>
      <c r="Y4650" s="1" t="s">
        <v>1387</v>
      </c>
      <c r="Z4650" s="1" t="s">
        <v>37</v>
      </c>
    </row>
    <row r="4651" hidden="1">
      <c r="A4651" s="1" t="s">
        <v>13120</v>
      </c>
      <c r="B4651" s="1" t="s">
        <v>13121</v>
      </c>
      <c r="C4651" s="1" t="s">
        <v>13122</v>
      </c>
      <c r="D4651" s="1" t="s">
        <v>27</v>
      </c>
      <c r="E4651" s="1" t="s">
        <v>28</v>
      </c>
      <c r="F4651" s="2">
        <v>100000.0</v>
      </c>
      <c r="G4651" s="4">
        <v>44682.0</v>
      </c>
      <c r="H4651" s="4">
        <f>IFERROR(__xludf.DUMMYFUNCTION("DATE(INDEX(SPLIT(G4651,""/""),,3),INDEX(SPLIT(G4651,""/""),,2),INDEX(SPLIT(G4651,""/""),,1))"),44566.0)</f>
        <v>44566</v>
      </c>
      <c r="I4651" s="1" t="s">
        <v>42</v>
      </c>
      <c r="J4651" s="4">
        <f>IFERROR(__xludf.DUMMYFUNCTION("DATE(INDEX(SPLIT(I4651,""/""),,3),INDEX(SPLIT(I4651,""/""),,2),INDEX(SPLIT(I4651,""/""),,1))"),44926.0)</f>
        <v>44926</v>
      </c>
      <c r="L4651" s="1">
        <v>0.0</v>
      </c>
      <c r="M4651" s="1" t="s">
        <v>11638</v>
      </c>
      <c r="N4651" s="1"/>
      <c r="O4651" s="1" t="s">
        <v>30</v>
      </c>
      <c r="P4651" s="1" t="s">
        <v>31</v>
      </c>
      <c r="Q4651" s="1" t="s">
        <v>228</v>
      </c>
      <c r="R4651" s="1" t="s">
        <v>228</v>
      </c>
      <c r="S4651" s="1" t="s">
        <v>229</v>
      </c>
      <c r="T4651" s="1" t="s">
        <v>513</v>
      </c>
      <c r="U4651" s="1">
        <v>1.00592873E8</v>
      </c>
      <c r="X4651" s="1" t="s">
        <v>98</v>
      </c>
      <c r="Y4651" s="1" t="s">
        <v>11638</v>
      </c>
      <c r="Z4651" s="1" t="s">
        <v>206</v>
      </c>
    </row>
    <row r="4652">
      <c r="A4652" s="1" t="s">
        <v>13123</v>
      </c>
      <c r="B4652" s="1" t="s">
        <v>3666</v>
      </c>
      <c r="C4652" s="1" t="s">
        <v>13124</v>
      </c>
      <c r="D4652" s="1" t="s">
        <v>27</v>
      </c>
      <c r="E4652" s="1" t="s">
        <v>28</v>
      </c>
      <c r="F4652" s="2">
        <v>100000.0</v>
      </c>
      <c r="G4652" s="1" t="s">
        <v>13125</v>
      </c>
      <c r="H4652" s="4">
        <f>IFERROR(__xludf.DUMMYFUNCTION("DATE(INDEX(SPLIT(G4652,""/""),,3),INDEX(SPLIT(G4652,""/""),,2),INDEX(SPLIT(G4652,""/""),,1))"),43708.0)</f>
        <v>43708</v>
      </c>
      <c r="I4652" s="1" t="s">
        <v>226</v>
      </c>
      <c r="J4652" s="4">
        <f>IFERROR(__xludf.DUMMYFUNCTION("DATE(INDEX(SPLIT(I4652,""/""),,3),INDEX(SPLIT(I4652,""/""),,2),INDEX(SPLIT(I4652,""/""),,1))"),44771.0)</f>
        <v>44771</v>
      </c>
      <c r="L4652" s="1">
        <v>0.0</v>
      </c>
      <c r="M4652" s="1" t="s">
        <v>799</v>
      </c>
      <c r="N4652" s="1"/>
      <c r="O4652" s="1" t="s">
        <v>30</v>
      </c>
      <c r="P4652" s="1" t="s">
        <v>31</v>
      </c>
      <c r="Q4652" s="1" t="s">
        <v>71</v>
      </c>
      <c r="R4652" s="1" t="s">
        <v>71</v>
      </c>
      <c r="S4652" s="1" t="s">
        <v>72</v>
      </c>
      <c r="T4652" s="1" t="s">
        <v>136</v>
      </c>
      <c r="U4652" s="1">
        <v>1.00634752E8</v>
      </c>
      <c r="X4652" s="1" t="s">
        <v>74</v>
      </c>
      <c r="Y4652" s="1" t="s">
        <v>9105</v>
      </c>
      <c r="Z4652" s="1" t="s">
        <v>37</v>
      </c>
    </row>
    <row r="4653" hidden="1">
      <c r="A4653" s="1" t="s">
        <v>13126</v>
      </c>
      <c r="B4653" s="1" t="s">
        <v>444</v>
      </c>
      <c r="C4653" s="1" t="s">
        <v>13127</v>
      </c>
      <c r="D4653" s="1" t="s">
        <v>27</v>
      </c>
      <c r="E4653" s="1" t="s">
        <v>28</v>
      </c>
      <c r="F4653" s="2">
        <v>100000.0</v>
      </c>
      <c r="G4653" s="1" t="s">
        <v>10795</v>
      </c>
      <c r="H4653" s="4">
        <f>IFERROR(__xludf.DUMMYFUNCTION("DATE(INDEX(SPLIT(G4653,""/""),,3),INDEX(SPLIT(G4653,""/""),,2),INDEX(SPLIT(G4653,""/""),,1))"),44089.0)</f>
        <v>44089</v>
      </c>
      <c r="I4653" s="1" t="s">
        <v>360</v>
      </c>
      <c r="J4653" s="4">
        <f>IFERROR(__xludf.DUMMYFUNCTION("DATE(INDEX(SPLIT(I4653,""/""),,3),INDEX(SPLIT(I4653,""/""),,2),INDEX(SPLIT(I4653,""/""),,1))"),44895.0)</f>
        <v>44895</v>
      </c>
      <c r="L4653" s="1">
        <v>0.0</v>
      </c>
      <c r="M4653" s="1" t="s">
        <v>762</v>
      </c>
      <c r="N4653" s="1"/>
      <c r="O4653" s="1" t="s">
        <v>30</v>
      </c>
      <c r="P4653" s="1" t="s">
        <v>31</v>
      </c>
      <c r="Q4653" s="1" t="s">
        <v>235</v>
      </c>
      <c r="R4653" s="1" t="s">
        <v>235</v>
      </c>
      <c r="S4653" s="1" t="s">
        <v>236</v>
      </c>
      <c r="T4653" s="1" t="s">
        <v>237</v>
      </c>
      <c r="U4653" s="1">
        <v>1.00647674E8</v>
      </c>
      <c r="X4653" s="1" t="s">
        <v>239</v>
      </c>
      <c r="Y4653" s="1" t="s">
        <v>13128</v>
      </c>
      <c r="Z4653" s="1" t="s">
        <v>37</v>
      </c>
    </row>
    <row r="4654" hidden="1">
      <c r="A4654" s="1" t="s">
        <v>13129</v>
      </c>
      <c r="B4654" s="1" t="s">
        <v>1835</v>
      </c>
      <c r="C4654" s="1" t="s">
        <v>13130</v>
      </c>
      <c r="D4654" s="1" t="s">
        <v>78</v>
      </c>
      <c r="E4654" s="1" t="s">
        <v>28</v>
      </c>
      <c r="F4654" s="2">
        <v>100000.0</v>
      </c>
      <c r="G4654" s="4">
        <v>44746.0</v>
      </c>
      <c r="H4654" s="4">
        <f>IFERROR(__xludf.DUMMYFUNCTION("DATE(INDEX(SPLIT(G4654,""/""),,3),INDEX(SPLIT(G4654,""/""),,2),INDEX(SPLIT(G4654,""/""),,1))"),44658.0)</f>
        <v>44658</v>
      </c>
      <c r="I4654" s="1" t="s">
        <v>109</v>
      </c>
      <c r="J4654" s="4">
        <f>IFERROR(__xludf.DUMMYFUNCTION("DATE(INDEX(SPLIT(I4654,""/""),,3),INDEX(SPLIT(I4654,""/""),,2),INDEX(SPLIT(I4654,""/""),,1))"),44834.0)</f>
        <v>44834</v>
      </c>
      <c r="L4654" s="1">
        <v>0.0</v>
      </c>
      <c r="M4654" s="1" t="s">
        <v>1649</v>
      </c>
      <c r="N4654" s="1"/>
      <c r="O4654" s="1" t="s">
        <v>30</v>
      </c>
      <c r="P4654" s="1" t="s">
        <v>31</v>
      </c>
      <c r="Q4654" s="1" t="s">
        <v>157</v>
      </c>
      <c r="R4654" s="1" t="s">
        <v>157</v>
      </c>
      <c r="S4654" s="1" t="s">
        <v>158</v>
      </c>
      <c r="U4654" s="1">
        <v>1.00643454E8</v>
      </c>
      <c r="X4654" s="1" t="s">
        <v>490</v>
      </c>
      <c r="Y4654" s="1" t="s">
        <v>11169</v>
      </c>
      <c r="Z4654" s="1" t="s">
        <v>37</v>
      </c>
    </row>
    <row r="4655" hidden="1">
      <c r="A4655" s="1" t="s">
        <v>13131</v>
      </c>
      <c r="B4655" s="1" t="s">
        <v>357</v>
      </c>
      <c r="C4655" s="1" t="s">
        <v>13132</v>
      </c>
      <c r="D4655" s="1" t="s">
        <v>27</v>
      </c>
      <c r="E4655" s="1" t="s">
        <v>28</v>
      </c>
      <c r="F4655" s="2">
        <v>100000.0</v>
      </c>
      <c r="G4655" s="1" t="s">
        <v>359</v>
      </c>
      <c r="H4655" s="4">
        <f>IFERROR(__xludf.DUMMYFUNCTION("DATE(INDEX(SPLIT(G4655,""/""),,3),INDEX(SPLIT(G4655,""/""),,2),INDEX(SPLIT(G4655,""/""),,1))"),44740.0)</f>
        <v>44740</v>
      </c>
      <c r="I4655" s="1" t="s">
        <v>109</v>
      </c>
      <c r="J4655" s="4">
        <f>IFERROR(__xludf.DUMMYFUNCTION("DATE(INDEX(SPLIT(I4655,""/""),,3),INDEX(SPLIT(I4655,""/""),,2),INDEX(SPLIT(I4655,""/""),,1))"),44834.0)</f>
        <v>44834</v>
      </c>
      <c r="L4655" s="1">
        <v>0.0</v>
      </c>
      <c r="M4655" s="1" t="s">
        <v>3209</v>
      </c>
      <c r="N4655" s="1"/>
      <c r="O4655" s="1" t="s">
        <v>30</v>
      </c>
      <c r="P4655" s="1" t="s">
        <v>31</v>
      </c>
      <c r="Q4655" s="1" t="s">
        <v>188</v>
      </c>
      <c r="R4655" s="1" t="s">
        <v>188</v>
      </c>
      <c r="S4655" s="1" t="s">
        <v>189</v>
      </c>
      <c r="T4655" s="1" t="s">
        <v>1386</v>
      </c>
      <c r="U4655" s="1">
        <v>1.00604298E8</v>
      </c>
      <c r="X4655" s="1" t="s">
        <v>361</v>
      </c>
      <c r="Y4655" s="1" t="s">
        <v>884</v>
      </c>
      <c r="Z4655" s="1" t="s">
        <v>37</v>
      </c>
    </row>
    <row r="4656">
      <c r="A4656" s="1" t="s">
        <v>13133</v>
      </c>
      <c r="B4656" s="1" t="s">
        <v>13134</v>
      </c>
      <c r="C4656" s="1" t="s">
        <v>13135</v>
      </c>
      <c r="D4656" s="1" t="s">
        <v>78</v>
      </c>
      <c r="E4656" s="1" t="s">
        <v>28</v>
      </c>
      <c r="F4656" s="2">
        <v>100000.0</v>
      </c>
      <c r="G4656" s="4">
        <v>44599.0</v>
      </c>
      <c r="H4656" s="4">
        <f>IFERROR(__xludf.DUMMYFUNCTION("DATE(INDEX(SPLIT(G4656,""/""),,3),INDEX(SPLIT(G4656,""/""),,2),INDEX(SPLIT(G4656,""/""),,1))"),44744.0)</f>
        <v>44744</v>
      </c>
      <c r="I4656" s="1" t="s">
        <v>935</v>
      </c>
      <c r="J4656" s="4">
        <f>IFERROR(__xludf.DUMMYFUNCTION("DATE(INDEX(SPLIT(I4656,""/""),,3),INDEX(SPLIT(I4656,""/""),,2),INDEX(SPLIT(I4656,""/""),,1))"),44764.0)</f>
        <v>44764</v>
      </c>
      <c r="L4656" s="1">
        <v>0.0</v>
      </c>
      <c r="M4656" s="1" t="s">
        <v>3854</v>
      </c>
      <c r="N4656" s="1"/>
      <c r="O4656" s="1" t="s">
        <v>30</v>
      </c>
      <c r="P4656" s="1" t="s">
        <v>31</v>
      </c>
      <c r="Q4656" s="1" t="s">
        <v>71</v>
      </c>
      <c r="R4656" s="1" t="s">
        <v>71</v>
      </c>
      <c r="S4656" s="1" t="s">
        <v>72</v>
      </c>
      <c r="U4656" s="1">
        <v>1.00603613E8</v>
      </c>
      <c r="X4656" s="1" t="s">
        <v>609</v>
      </c>
      <c r="Y4656" s="1" t="s">
        <v>3854</v>
      </c>
      <c r="Z4656" s="1" t="s">
        <v>37</v>
      </c>
    </row>
    <row r="4657" hidden="1">
      <c r="A4657" s="1" t="s">
        <v>13136</v>
      </c>
      <c r="B4657" s="1" t="s">
        <v>13137</v>
      </c>
      <c r="C4657" s="1" t="s">
        <v>13138</v>
      </c>
      <c r="D4657" s="1" t="s">
        <v>27</v>
      </c>
      <c r="E4657" s="1" t="s">
        <v>28</v>
      </c>
      <c r="F4657" s="2">
        <v>100000.0</v>
      </c>
      <c r="G4657" s="4">
        <v>44599.0</v>
      </c>
      <c r="H4657" s="4">
        <f>IFERROR(__xludf.DUMMYFUNCTION("DATE(INDEX(SPLIT(G4657,""/""),,3),INDEX(SPLIT(G4657,""/""),,2),INDEX(SPLIT(G4657,""/""),,1))"),44744.0)</f>
        <v>44744</v>
      </c>
      <c r="I4657" s="1" t="s">
        <v>42</v>
      </c>
      <c r="J4657" s="4">
        <f>IFERROR(__xludf.DUMMYFUNCTION("DATE(INDEX(SPLIT(I4657,""/""),,3),INDEX(SPLIT(I4657,""/""),,2),INDEX(SPLIT(I4657,""/""),,1))"),44926.0)</f>
        <v>44926</v>
      </c>
      <c r="L4657" s="1">
        <v>0.0</v>
      </c>
      <c r="M4657" s="1" t="s">
        <v>5722</v>
      </c>
      <c r="N4657" s="1"/>
      <c r="O4657" s="1" t="s">
        <v>30</v>
      </c>
      <c r="P4657" s="1" t="s">
        <v>31</v>
      </c>
      <c r="Q4657" s="1" t="s">
        <v>228</v>
      </c>
      <c r="R4657" s="1" t="s">
        <v>228</v>
      </c>
      <c r="S4657" s="1" t="s">
        <v>229</v>
      </c>
      <c r="U4657" s="1">
        <v>1.0066023E8</v>
      </c>
      <c r="X4657" s="1" t="s">
        <v>361</v>
      </c>
      <c r="Y4657" s="1" t="s">
        <v>5722</v>
      </c>
      <c r="Z4657" s="1" t="s">
        <v>37</v>
      </c>
    </row>
    <row r="4658" hidden="1">
      <c r="A4658" s="1" t="s">
        <v>13139</v>
      </c>
      <c r="B4658" s="1" t="s">
        <v>1025</v>
      </c>
      <c r="C4658" s="1" t="s">
        <v>13140</v>
      </c>
      <c r="D4658" s="1" t="s">
        <v>27</v>
      </c>
      <c r="E4658" s="1" t="s">
        <v>28</v>
      </c>
      <c r="F4658" s="2">
        <v>100000.0</v>
      </c>
      <c r="G4658" s="4">
        <v>44626.0</v>
      </c>
      <c r="H4658" s="4">
        <f>IFERROR(__xludf.DUMMYFUNCTION("DATE(INDEX(SPLIT(G4658,""/""),,3),INDEX(SPLIT(G4658,""/""),,2),INDEX(SPLIT(G4658,""/""),,1))"),44715.0)</f>
        <v>44715</v>
      </c>
      <c r="I4658" s="1" t="s">
        <v>130</v>
      </c>
      <c r="J4658" s="4">
        <f>IFERROR(__xludf.DUMMYFUNCTION("DATE(INDEX(SPLIT(I4658,""/""),,3),INDEX(SPLIT(I4658,""/""),,2),INDEX(SPLIT(I4658,""/""),,1))"),44804.0)</f>
        <v>44804</v>
      </c>
      <c r="L4658" s="1">
        <v>0.0</v>
      </c>
      <c r="M4658" s="1" t="s">
        <v>1723</v>
      </c>
      <c r="N4658" s="1"/>
      <c r="O4658" s="1" t="s">
        <v>30</v>
      </c>
      <c r="P4658" s="1" t="s">
        <v>31</v>
      </c>
      <c r="Q4658" s="1" t="s">
        <v>157</v>
      </c>
      <c r="R4658" s="1" t="s">
        <v>157</v>
      </c>
      <c r="S4658" s="1" t="s">
        <v>158</v>
      </c>
      <c r="U4658" s="1">
        <v>1.00654085E8</v>
      </c>
      <c r="X4658" s="1" t="s">
        <v>74</v>
      </c>
      <c r="Y4658" s="1" t="s">
        <v>1723</v>
      </c>
      <c r="Z4658" s="1" t="s">
        <v>37</v>
      </c>
    </row>
    <row r="4659" hidden="1">
      <c r="A4659" s="1" t="s">
        <v>13141</v>
      </c>
      <c r="B4659" s="1" t="s">
        <v>427</v>
      </c>
      <c r="C4659" s="1" t="s">
        <v>13142</v>
      </c>
      <c r="D4659" s="1" t="s">
        <v>27</v>
      </c>
      <c r="E4659" s="1" t="s">
        <v>28</v>
      </c>
      <c r="F4659" s="2">
        <v>100000.0</v>
      </c>
      <c r="G4659" s="1" t="s">
        <v>1136</v>
      </c>
      <c r="H4659" s="4">
        <f>IFERROR(__xludf.DUMMYFUNCTION("DATE(INDEX(SPLIT(G4659,""/""),,3),INDEX(SPLIT(G4659,""/""),,2),INDEX(SPLIT(G4659,""/""),,1))"),44608.0)</f>
        <v>44608</v>
      </c>
      <c r="I4659" s="1" t="s">
        <v>130</v>
      </c>
      <c r="J4659" s="4">
        <f>IFERROR(__xludf.DUMMYFUNCTION("DATE(INDEX(SPLIT(I4659,""/""),,3),INDEX(SPLIT(I4659,""/""),,2),INDEX(SPLIT(I4659,""/""),,1))"),44804.0)</f>
        <v>44804</v>
      </c>
      <c r="L4659" s="1">
        <v>0.0</v>
      </c>
      <c r="M4659" s="1" t="s">
        <v>13143</v>
      </c>
      <c r="N4659" s="1"/>
      <c r="O4659" s="1" t="s">
        <v>30</v>
      </c>
      <c r="P4659" s="1" t="s">
        <v>31</v>
      </c>
      <c r="Q4659" s="1" t="s">
        <v>157</v>
      </c>
      <c r="R4659" s="1" t="s">
        <v>157</v>
      </c>
      <c r="S4659" s="1" t="s">
        <v>158</v>
      </c>
      <c r="U4659" s="1">
        <v>1.0115687E8</v>
      </c>
      <c r="X4659" s="1" t="s">
        <v>125</v>
      </c>
      <c r="Y4659" s="1" t="s">
        <v>772</v>
      </c>
      <c r="Z4659" s="1" t="s">
        <v>1783</v>
      </c>
    </row>
    <row r="4660" hidden="1">
      <c r="A4660" s="1" t="s">
        <v>13144</v>
      </c>
      <c r="B4660" s="1" t="s">
        <v>1379</v>
      </c>
      <c r="C4660" s="1" t="s">
        <v>13145</v>
      </c>
      <c r="D4660" s="1" t="s">
        <v>27</v>
      </c>
      <c r="E4660" s="1" t="s">
        <v>28</v>
      </c>
      <c r="F4660" s="2">
        <v>100000.0</v>
      </c>
      <c r="G4660" s="4">
        <v>44625.0</v>
      </c>
      <c r="H4660" s="4">
        <f>IFERROR(__xludf.DUMMYFUNCTION("DATE(INDEX(SPLIT(G4660,""/""),,3),INDEX(SPLIT(G4660,""/""),,2),INDEX(SPLIT(G4660,""/""),,1))"),44684.0)</f>
        <v>44684</v>
      </c>
      <c r="I4660" s="1" t="s">
        <v>109</v>
      </c>
      <c r="J4660" s="4">
        <f>IFERROR(__xludf.DUMMYFUNCTION("DATE(INDEX(SPLIT(I4660,""/""),,3),INDEX(SPLIT(I4660,""/""),,2),INDEX(SPLIT(I4660,""/""),,1))"),44834.0)</f>
        <v>44834</v>
      </c>
      <c r="L4660" s="1">
        <v>0.0</v>
      </c>
      <c r="M4660" s="1" t="s">
        <v>1382</v>
      </c>
      <c r="N4660" s="1"/>
      <c r="O4660" s="1" t="s">
        <v>30</v>
      </c>
      <c r="P4660" s="1" t="s">
        <v>31</v>
      </c>
      <c r="Q4660" s="1" t="s">
        <v>157</v>
      </c>
      <c r="R4660" s="1" t="s">
        <v>157</v>
      </c>
      <c r="S4660" s="1" t="s">
        <v>158</v>
      </c>
      <c r="T4660" s="1" t="s">
        <v>1386</v>
      </c>
      <c r="U4660" s="1">
        <v>1.00584043E8</v>
      </c>
      <c r="X4660" s="1" t="s">
        <v>63</v>
      </c>
      <c r="Y4660" s="1" t="s">
        <v>1382</v>
      </c>
      <c r="Z4660" s="1" t="s">
        <v>37</v>
      </c>
    </row>
    <row r="4661" hidden="1">
      <c r="A4661" s="1" t="s">
        <v>13146</v>
      </c>
      <c r="B4661" s="1" t="s">
        <v>13147</v>
      </c>
      <c r="C4661" s="1" t="s">
        <v>13148</v>
      </c>
      <c r="D4661" s="1" t="s">
        <v>27</v>
      </c>
      <c r="E4661" s="1" t="s">
        <v>28</v>
      </c>
      <c r="F4661" s="2">
        <v>100000.0</v>
      </c>
      <c r="G4661" s="1" t="s">
        <v>1513</v>
      </c>
      <c r="H4661" s="4">
        <f>IFERROR(__xludf.DUMMYFUNCTION("DATE(INDEX(SPLIT(G4661,""/""),,3),INDEX(SPLIT(G4661,""/""),,2),INDEX(SPLIT(G4661,""/""),,1))"),44183.0)</f>
        <v>44183</v>
      </c>
      <c r="I4661" s="1" t="s">
        <v>130</v>
      </c>
      <c r="J4661" s="4">
        <f>IFERROR(__xludf.DUMMYFUNCTION("DATE(INDEX(SPLIT(I4661,""/""),,3),INDEX(SPLIT(I4661,""/""),,2),INDEX(SPLIT(I4661,""/""),,1))"),44804.0)</f>
        <v>44804</v>
      </c>
      <c r="L4661" s="1">
        <v>0.0</v>
      </c>
      <c r="M4661" s="1" t="s">
        <v>3601</v>
      </c>
      <c r="N4661" s="1"/>
      <c r="O4661" s="1" t="s">
        <v>30</v>
      </c>
      <c r="P4661" s="1" t="s">
        <v>31</v>
      </c>
      <c r="Q4661" s="1" t="s">
        <v>71</v>
      </c>
      <c r="R4661" s="1" t="s">
        <v>71</v>
      </c>
      <c r="S4661" s="1" t="s">
        <v>72</v>
      </c>
      <c r="T4661" s="1" t="s">
        <v>136</v>
      </c>
      <c r="U4661" s="1">
        <v>1.00611547E8</v>
      </c>
      <c r="X4661" s="1" t="s">
        <v>2028</v>
      </c>
      <c r="Y4661" s="1" t="s">
        <v>3601</v>
      </c>
      <c r="Z4661" s="1" t="s">
        <v>37</v>
      </c>
    </row>
    <row r="4662">
      <c r="A4662" s="1" t="s">
        <v>13149</v>
      </c>
      <c r="B4662" s="1" t="s">
        <v>2030</v>
      </c>
      <c r="C4662" s="1" t="s">
        <v>13150</v>
      </c>
      <c r="D4662" s="1" t="s">
        <v>27</v>
      </c>
      <c r="E4662" s="1" t="s">
        <v>28</v>
      </c>
      <c r="F4662" s="2">
        <v>100000.0</v>
      </c>
      <c r="G4662" s="4">
        <v>44622.0</v>
      </c>
      <c r="H4662" s="4">
        <f>IFERROR(__xludf.DUMMYFUNCTION("DATE(INDEX(SPLIT(G4662,""/""),,3),INDEX(SPLIT(G4662,""/""),,2),INDEX(SPLIT(G4662,""/""),,1))"),44595.0)</f>
        <v>44595</v>
      </c>
      <c r="I4662" s="1" t="s">
        <v>69</v>
      </c>
      <c r="J4662" s="4">
        <f>IFERROR(__xludf.DUMMYFUNCTION("DATE(INDEX(SPLIT(I4662,""/""),,3),INDEX(SPLIT(I4662,""/""),,2),INDEX(SPLIT(I4662,""/""),,1))"),44773.0)</f>
        <v>44773</v>
      </c>
      <c r="L4662" s="1">
        <v>0.0</v>
      </c>
      <c r="M4662" s="1" t="s">
        <v>5196</v>
      </c>
      <c r="N4662" s="1"/>
      <c r="O4662" s="1" t="s">
        <v>30</v>
      </c>
      <c r="P4662" s="1" t="s">
        <v>31</v>
      </c>
      <c r="Q4662" s="1" t="s">
        <v>71</v>
      </c>
      <c r="R4662" s="1" t="s">
        <v>71</v>
      </c>
      <c r="S4662" s="1" t="s">
        <v>72</v>
      </c>
      <c r="T4662" s="1" t="s">
        <v>73</v>
      </c>
      <c r="U4662" s="1">
        <v>1.00635527E8</v>
      </c>
      <c r="X4662" s="1" t="s">
        <v>74</v>
      </c>
      <c r="Y4662" s="1" t="s">
        <v>5196</v>
      </c>
      <c r="Z4662" s="1" t="s">
        <v>37</v>
      </c>
    </row>
    <row r="4663" hidden="1">
      <c r="A4663" s="1" t="s">
        <v>13151</v>
      </c>
      <c r="B4663" s="1" t="s">
        <v>427</v>
      </c>
      <c r="C4663" s="1" t="s">
        <v>13152</v>
      </c>
      <c r="D4663" s="1" t="s">
        <v>27</v>
      </c>
      <c r="E4663" s="1" t="s">
        <v>28</v>
      </c>
      <c r="F4663" s="2">
        <v>100000.0</v>
      </c>
      <c r="G4663" s="1" t="s">
        <v>6317</v>
      </c>
      <c r="H4663" s="4">
        <f>IFERROR(__xludf.DUMMYFUNCTION("DATE(INDEX(SPLIT(G4663,""/""),,3),INDEX(SPLIT(G4663,""/""),,2),INDEX(SPLIT(G4663,""/""),,1))"),44217.0)</f>
        <v>44217</v>
      </c>
      <c r="I4663" s="1" t="s">
        <v>7282</v>
      </c>
      <c r="J4663" s="4">
        <f>IFERROR(__xludf.DUMMYFUNCTION("DATE(INDEX(SPLIT(I4663,""/""),,3),INDEX(SPLIT(I4663,""/""),,2),INDEX(SPLIT(I4663,""/""),,1))"),44798.0)</f>
        <v>44798</v>
      </c>
      <c r="L4663" s="1">
        <v>0.0</v>
      </c>
      <c r="M4663" s="1" t="s">
        <v>770</v>
      </c>
      <c r="N4663" s="1"/>
      <c r="O4663" s="1" t="s">
        <v>30</v>
      </c>
      <c r="P4663" s="1" t="s">
        <v>31</v>
      </c>
      <c r="Q4663" s="1" t="s">
        <v>157</v>
      </c>
      <c r="R4663" s="1" t="s">
        <v>157</v>
      </c>
      <c r="S4663" s="1" t="s">
        <v>158</v>
      </c>
      <c r="T4663" s="1" t="s">
        <v>442</v>
      </c>
      <c r="U4663" s="1">
        <v>1.00623421E8</v>
      </c>
      <c r="X4663" s="1" t="s">
        <v>125</v>
      </c>
      <c r="Y4663" s="1" t="s">
        <v>432</v>
      </c>
      <c r="Z4663" s="1" t="s">
        <v>37</v>
      </c>
    </row>
    <row r="4664">
      <c r="A4664" s="1" t="s">
        <v>13153</v>
      </c>
      <c r="B4664" s="1" t="s">
        <v>13154</v>
      </c>
      <c r="C4664" s="1" t="s">
        <v>13155</v>
      </c>
      <c r="D4664" s="1" t="s">
        <v>78</v>
      </c>
      <c r="E4664" s="1" t="s">
        <v>28</v>
      </c>
      <c r="F4664" s="2">
        <v>100000.0</v>
      </c>
      <c r="G4664" s="1" t="s">
        <v>779</v>
      </c>
      <c r="H4664" s="4">
        <f>IFERROR(__xludf.DUMMYFUNCTION("DATE(INDEX(SPLIT(G4664,""/""),,3),INDEX(SPLIT(G4664,""/""),,2),INDEX(SPLIT(G4664,""/""),,1))"),44734.0)</f>
        <v>44734</v>
      </c>
      <c r="I4664" s="1" t="s">
        <v>69</v>
      </c>
      <c r="J4664" s="4">
        <f>IFERROR(__xludf.DUMMYFUNCTION("DATE(INDEX(SPLIT(I4664,""/""),,3),INDEX(SPLIT(I4664,""/""),,2),INDEX(SPLIT(I4664,""/""),,1))"),44773.0)</f>
        <v>44773</v>
      </c>
      <c r="L4664" s="1">
        <v>0.0</v>
      </c>
      <c r="M4664" s="1" t="s">
        <v>1443</v>
      </c>
      <c r="N4664" s="1"/>
      <c r="O4664" s="1" t="s">
        <v>30</v>
      </c>
      <c r="P4664" s="1" t="s">
        <v>31</v>
      </c>
      <c r="Q4664" s="1" t="s">
        <v>53</v>
      </c>
      <c r="R4664" s="1" t="s">
        <v>53</v>
      </c>
      <c r="S4664" s="1" t="s">
        <v>54</v>
      </c>
      <c r="U4664" s="1">
        <v>1.0059033E8</v>
      </c>
      <c r="X4664" s="1" t="s">
        <v>46</v>
      </c>
      <c r="Y4664" s="1" t="s">
        <v>13156</v>
      </c>
      <c r="Z4664" s="1" t="s">
        <v>37</v>
      </c>
    </row>
    <row r="4665">
      <c r="A4665" s="1" t="s">
        <v>13157</v>
      </c>
      <c r="B4665" s="1" t="s">
        <v>1854</v>
      </c>
      <c r="C4665" s="1" t="s">
        <v>13158</v>
      </c>
      <c r="D4665" s="1" t="s">
        <v>122</v>
      </c>
      <c r="E4665" s="1" t="s">
        <v>28</v>
      </c>
      <c r="F4665" s="2">
        <v>100000.0</v>
      </c>
      <c r="G4665" s="1" t="s">
        <v>624</v>
      </c>
      <c r="H4665" s="4">
        <f>IFERROR(__xludf.DUMMYFUNCTION("DATE(INDEX(SPLIT(G4665,""/""),,3),INDEX(SPLIT(G4665,""/""),,2),INDEX(SPLIT(G4665,""/""),,1))"),44642.0)</f>
        <v>44642</v>
      </c>
      <c r="I4665" s="1" t="s">
        <v>1244</v>
      </c>
      <c r="J4665" s="4">
        <f>IFERROR(__xludf.DUMMYFUNCTION("DATE(INDEX(SPLIT(I4665,""/""),,3),INDEX(SPLIT(I4665,""/""),,2),INDEX(SPLIT(I4665,""/""),,1))"),44742.0)</f>
        <v>44742</v>
      </c>
      <c r="L4665" s="1">
        <v>0.0</v>
      </c>
      <c r="M4665" s="1" t="s">
        <v>780</v>
      </c>
      <c r="N4665" s="1"/>
      <c r="O4665" s="1" t="s">
        <v>30</v>
      </c>
      <c r="P4665" s="1" t="s">
        <v>31</v>
      </c>
      <c r="Q4665" s="1" t="s">
        <v>157</v>
      </c>
      <c r="R4665" s="1" t="s">
        <v>157</v>
      </c>
      <c r="S4665" s="1" t="s">
        <v>158</v>
      </c>
      <c r="T4665" s="1" t="s">
        <v>442</v>
      </c>
      <c r="U4665" s="1">
        <v>1.00654914E8</v>
      </c>
      <c r="X4665" s="1" t="s">
        <v>63</v>
      </c>
      <c r="Y4665" s="1" t="s">
        <v>3520</v>
      </c>
      <c r="Z4665" s="1" t="s">
        <v>37</v>
      </c>
    </row>
    <row r="4666" hidden="1">
      <c r="A4666" s="1" t="s">
        <v>13159</v>
      </c>
      <c r="B4666" s="1" t="s">
        <v>83</v>
      </c>
      <c r="C4666" s="1" t="s">
        <v>13160</v>
      </c>
      <c r="D4666" s="1" t="s">
        <v>78</v>
      </c>
      <c r="E4666" s="1" t="s">
        <v>28</v>
      </c>
      <c r="F4666" s="2">
        <v>100000.0</v>
      </c>
      <c r="G4666" s="1" t="s">
        <v>1288</v>
      </c>
      <c r="H4666" s="4">
        <f>IFERROR(__xludf.DUMMYFUNCTION("DATE(INDEX(SPLIT(G4666,""/""),,3),INDEX(SPLIT(G4666,""/""),,2),INDEX(SPLIT(G4666,""/""),,1))"),44707.0)</f>
        <v>44707</v>
      </c>
      <c r="I4666" s="1" t="s">
        <v>130</v>
      </c>
      <c r="J4666" s="4">
        <f>IFERROR(__xludf.DUMMYFUNCTION("DATE(INDEX(SPLIT(I4666,""/""),,3),INDEX(SPLIT(I4666,""/""),,2),INDEX(SPLIT(I4666,""/""),,1))"),44804.0)</f>
        <v>44804</v>
      </c>
      <c r="L4666" s="1">
        <v>0.0</v>
      </c>
      <c r="M4666" s="1" t="s">
        <v>1959</v>
      </c>
      <c r="N4666" s="1"/>
      <c r="O4666" s="1" t="s">
        <v>30</v>
      </c>
      <c r="P4666" s="1" t="s">
        <v>31</v>
      </c>
      <c r="Q4666" s="1" t="s">
        <v>228</v>
      </c>
      <c r="R4666" s="1" t="s">
        <v>228</v>
      </c>
      <c r="S4666" s="1" t="s">
        <v>229</v>
      </c>
      <c r="T4666" s="1" t="s">
        <v>640</v>
      </c>
      <c r="U4666" s="1">
        <v>1.00955805E8</v>
      </c>
      <c r="X4666" s="1" t="s">
        <v>88</v>
      </c>
      <c r="Y4666" s="1" t="s">
        <v>13067</v>
      </c>
      <c r="Z4666" s="1" t="s">
        <v>37</v>
      </c>
    </row>
    <row r="4667" hidden="1">
      <c r="A4667" s="1" t="s">
        <v>13161</v>
      </c>
      <c r="B4667" s="1" t="s">
        <v>4276</v>
      </c>
      <c r="C4667" s="1" t="s">
        <v>13162</v>
      </c>
      <c r="D4667" s="1" t="s">
        <v>27</v>
      </c>
      <c r="E4667" s="1" t="s">
        <v>28</v>
      </c>
      <c r="F4667" s="2">
        <v>100000.0</v>
      </c>
      <c r="G4667" s="1" t="s">
        <v>511</v>
      </c>
      <c r="H4667" s="4">
        <f>IFERROR(__xludf.DUMMYFUNCTION("DATE(INDEX(SPLIT(G4667,""/""),,3),INDEX(SPLIT(G4667,""/""),,2),INDEX(SPLIT(G4667,""/""),,1))"),44400.0)</f>
        <v>44400</v>
      </c>
      <c r="I4667" s="1" t="s">
        <v>109</v>
      </c>
      <c r="J4667" s="4">
        <f>IFERROR(__xludf.DUMMYFUNCTION("DATE(INDEX(SPLIT(I4667,""/""),,3),INDEX(SPLIT(I4667,""/""),,2),INDEX(SPLIT(I4667,""/""),,1))"),44834.0)</f>
        <v>44834</v>
      </c>
      <c r="L4667" s="1">
        <v>0.0</v>
      </c>
      <c r="M4667" s="1" t="s">
        <v>1552</v>
      </c>
      <c r="N4667" s="1"/>
      <c r="O4667" s="1" t="s">
        <v>30</v>
      </c>
      <c r="P4667" s="1" t="s">
        <v>31</v>
      </c>
      <c r="Q4667" s="1" t="s">
        <v>32</v>
      </c>
      <c r="R4667" s="1" t="s">
        <v>32</v>
      </c>
      <c r="S4667" s="1" t="s">
        <v>33</v>
      </c>
      <c r="T4667" s="1" t="s">
        <v>1195</v>
      </c>
      <c r="U4667" s="1">
        <v>1.00637597E8</v>
      </c>
      <c r="X4667" s="1" t="s">
        <v>490</v>
      </c>
      <c r="Y4667" s="1" t="s">
        <v>1552</v>
      </c>
      <c r="Z4667" s="1" t="s">
        <v>37</v>
      </c>
    </row>
    <row r="4668" hidden="1">
      <c r="A4668" s="1" t="s">
        <v>13163</v>
      </c>
      <c r="B4668" s="1" t="s">
        <v>106</v>
      </c>
      <c r="C4668" s="1" t="s">
        <v>13164</v>
      </c>
      <c r="D4668" s="1" t="s">
        <v>78</v>
      </c>
      <c r="E4668" s="1" t="s">
        <v>28</v>
      </c>
      <c r="F4668" s="2">
        <v>100000.0</v>
      </c>
      <c r="G4668" s="1" t="s">
        <v>1288</v>
      </c>
      <c r="H4668" s="4">
        <f>IFERROR(__xludf.DUMMYFUNCTION("DATE(INDEX(SPLIT(G4668,""/""),,3),INDEX(SPLIT(G4668,""/""),,2),INDEX(SPLIT(G4668,""/""),,1))"),44707.0)</f>
        <v>44707</v>
      </c>
      <c r="I4668" s="1" t="s">
        <v>281</v>
      </c>
      <c r="J4668" s="4">
        <f>IFERROR(__xludf.DUMMYFUNCTION("DATE(INDEX(SPLIT(I4668,""/""),,3),INDEX(SPLIT(I4668,""/""),,2),INDEX(SPLIT(I4668,""/""),,1))"),44865.0)</f>
        <v>44865</v>
      </c>
      <c r="L4668" s="1">
        <v>0.0</v>
      </c>
      <c r="M4668" s="1" t="s">
        <v>1959</v>
      </c>
      <c r="N4668" s="1"/>
      <c r="O4668" s="1" t="s">
        <v>30</v>
      </c>
      <c r="P4668" s="1" t="s">
        <v>31</v>
      </c>
      <c r="Q4668" s="1" t="s">
        <v>228</v>
      </c>
      <c r="R4668" s="1" t="s">
        <v>228</v>
      </c>
      <c r="S4668" s="1" t="s">
        <v>229</v>
      </c>
      <c r="T4668" s="1" t="s">
        <v>640</v>
      </c>
      <c r="U4668" s="1">
        <v>1.00955805E8</v>
      </c>
      <c r="X4668" s="1" t="s">
        <v>312</v>
      </c>
      <c r="Y4668" s="1" t="s">
        <v>13067</v>
      </c>
      <c r="Z4668" s="1" t="s">
        <v>37</v>
      </c>
    </row>
    <row r="4669" hidden="1">
      <c r="A4669" s="1" t="s">
        <v>13165</v>
      </c>
      <c r="B4669" s="1" t="s">
        <v>83</v>
      </c>
      <c r="C4669" s="1" t="s">
        <v>13166</v>
      </c>
      <c r="D4669" s="1" t="s">
        <v>78</v>
      </c>
      <c r="E4669" s="1" t="s">
        <v>28</v>
      </c>
      <c r="F4669" s="2">
        <v>100000.0</v>
      </c>
      <c r="G4669" s="1" t="s">
        <v>1288</v>
      </c>
      <c r="H4669" s="4">
        <f>IFERROR(__xludf.DUMMYFUNCTION("DATE(INDEX(SPLIT(G4669,""/""),,3),INDEX(SPLIT(G4669,""/""),,2),INDEX(SPLIT(G4669,""/""),,1))"),44707.0)</f>
        <v>44707</v>
      </c>
      <c r="I4669" s="4">
        <v>44601.0</v>
      </c>
      <c r="J4669" s="4">
        <f>IFERROR(__xludf.DUMMYFUNCTION("DATE(INDEX(SPLIT(I4669,""/""),,3),INDEX(SPLIT(I4669,""/""),,2),INDEX(SPLIT(I4669,""/""),,1))"),44806.0)</f>
        <v>44806</v>
      </c>
      <c r="L4669" s="1">
        <v>0.0</v>
      </c>
      <c r="M4669" s="1" t="s">
        <v>1959</v>
      </c>
      <c r="N4669" s="1"/>
      <c r="O4669" s="1" t="s">
        <v>30</v>
      </c>
      <c r="P4669" s="1" t="s">
        <v>31</v>
      </c>
      <c r="Q4669" s="1" t="s">
        <v>228</v>
      </c>
      <c r="R4669" s="1" t="s">
        <v>228</v>
      </c>
      <c r="S4669" s="1" t="s">
        <v>229</v>
      </c>
      <c r="T4669" s="1" t="s">
        <v>640</v>
      </c>
      <c r="U4669" s="1">
        <v>1.00955805E8</v>
      </c>
      <c r="X4669" s="1" t="s">
        <v>88</v>
      </c>
      <c r="Y4669" s="1" t="s">
        <v>13067</v>
      </c>
      <c r="Z4669" s="1" t="s">
        <v>37</v>
      </c>
    </row>
    <row r="4670">
      <c r="A4670" s="1" t="s">
        <v>13167</v>
      </c>
      <c r="B4670" s="1" t="s">
        <v>7785</v>
      </c>
      <c r="C4670" s="1" t="s">
        <v>13168</v>
      </c>
      <c r="D4670" s="1" t="s">
        <v>27</v>
      </c>
      <c r="E4670" s="1" t="s">
        <v>28</v>
      </c>
      <c r="F4670" s="2">
        <v>100000.0</v>
      </c>
      <c r="G4670" s="4">
        <v>44746.0</v>
      </c>
      <c r="H4670" s="4">
        <f>IFERROR(__xludf.DUMMYFUNCTION("DATE(INDEX(SPLIT(G4670,""/""),,3),INDEX(SPLIT(G4670,""/""),,2),INDEX(SPLIT(G4670,""/""),,1))"),44658.0)</f>
        <v>44658</v>
      </c>
      <c r="I4670" s="1" t="s">
        <v>1244</v>
      </c>
      <c r="J4670" s="4">
        <f>IFERROR(__xludf.DUMMYFUNCTION("DATE(INDEX(SPLIT(I4670,""/""),,3),INDEX(SPLIT(I4670,""/""),,2),INDEX(SPLIT(I4670,""/""),,1))"),44742.0)</f>
        <v>44742</v>
      </c>
      <c r="L4670" s="1">
        <v>0.0</v>
      </c>
      <c r="M4670" s="1" t="s">
        <v>3236</v>
      </c>
      <c r="N4670" s="1"/>
      <c r="O4670" s="1" t="s">
        <v>30</v>
      </c>
      <c r="P4670" s="1" t="s">
        <v>31</v>
      </c>
      <c r="Q4670" s="1" t="s">
        <v>53</v>
      </c>
      <c r="R4670" s="1" t="s">
        <v>53</v>
      </c>
      <c r="S4670" s="1" t="s">
        <v>54</v>
      </c>
      <c r="U4670" s="1">
        <v>1.00650453E8</v>
      </c>
      <c r="X4670" s="1" t="s">
        <v>375</v>
      </c>
      <c r="Y4670" s="1" t="s">
        <v>3236</v>
      </c>
      <c r="Z4670" s="1" t="s">
        <v>37</v>
      </c>
    </row>
    <row r="4671">
      <c r="A4671" s="1" t="s">
        <v>13169</v>
      </c>
      <c r="B4671" s="1" t="s">
        <v>7785</v>
      </c>
      <c r="C4671" s="1" t="s">
        <v>13170</v>
      </c>
      <c r="D4671" s="1" t="s">
        <v>27</v>
      </c>
      <c r="E4671" s="1" t="s">
        <v>28</v>
      </c>
      <c r="F4671" s="2">
        <v>100000.0</v>
      </c>
      <c r="G4671" s="4">
        <v>44746.0</v>
      </c>
      <c r="H4671" s="4">
        <f>IFERROR(__xludf.DUMMYFUNCTION("DATE(INDEX(SPLIT(G4671,""/""),,3),INDEX(SPLIT(G4671,""/""),,2),INDEX(SPLIT(G4671,""/""),,1))"),44658.0)</f>
        <v>44658</v>
      </c>
      <c r="I4671" s="1" t="s">
        <v>1244</v>
      </c>
      <c r="J4671" s="4">
        <f>IFERROR(__xludf.DUMMYFUNCTION("DATE(INDEX(SPLIT(I4671,""/""),,3),INDEX(SPLIT(I4671,""/""),,2),INDEX(SPLIT(I4671,""/""),,1))"),44742.0)</f>
        <v>44742</v>
      </c>
      <c r="L4671" s="1">
        <v>0.0</v>
      </c>
      <c r="M4671" s="1" t="s">
        <v>3236</v>
      </c>
      <c r="N4671" s="1"/>
      <c r="O4671" s="1" t="s">
        <v>30</v>
      </c>
      <c r="P4671" s="1" t="s">
        <v>31</v>
      </c>
      <c r="Q4671" s="1" t="s">
        <v>53</v>
      </c>
      <c r="R4671" s="1" t="s">
        <v>53</v>
      </c>
      <c r="S4671" s="1" t="s">
        <v>54</v>
      </c>
      <c r="U4671" s="1">
        <v>1.00650453E8</v>
      </c>
      <c r="X4671" s="1" t="s">
        <v>375</v>
      </c>
      <c r="Y4671" s="1" t="s">
        <v>3236</v>
      </c>
      <c r="Z4671" s="1" t="s">
        <v>37</v>
      </c>
    </row>
    <row r="4672" hidden="1">
      <c r="A4672" s="1" t="s">
        <v>13171</v>
      </c>
      <c r="B4672" s="1" t="s">
        <v>5063</v>
      </c>
      <c r="C4672" s="1" t="s">
        <v>13172</v>
      </c>
      <c r="D4672" s="1" t="s">
        <v>78</v>
      </c>
      <c r="E4672" s="1" t="s">
        <v>28</v>
      </c>
      <c r="F4672" s="2">
        <v>100000.0</v>
      </c>
      <c r="G4672" s="1" t="s">
        <v>2540</v>
      </c>
      <c r="H4672" s="4">
        <f>IFERROR(__xludf.DUMMYFUNCTION("DATE(INDEX(SPLIT(G4672,""/""),,3),INDEX(SPLIT(G4672,""/""),,2),INDEX(SPLIT(G4672,""/""),,1))"),44491.0)</f>
        <v>44491</v>
      </c>
      <c r="I4672" s="1" t="s">
        <v>109</v>
      </c>
      <c r="J4672" s="4">
        <f>IFERROR(__xludf.DUMMYFUNCTION("DATE(INDEX(SPLIT(I4672,""/""),,3),INDEX(SPLIT(I4672,""/""),,2),INDEX(SPLIT(I4672,""/""),,1))"),44834.0)</f>
        <v>44834</v>
      </c>
      <c r="L4672" s="1">
        <v>0.0</v>
      </c>
      <c r="M4672" s="1" t="s">
        <v>8088</v>
      </c>
      <c r="N4672" s="1"/>
      <c r="O4672" s="1" t="s">
        <v>30</v>
      </c>
      <c r="P4672" s="1" t="s">
        <v>31</v>
      </c>
      <c r="Q4672" s="1" t="s">
        <v>228</v>
      </c>
      <c r="R4672" s="1" t="s">
        <v>228</v>
      </c>
      <c r="S4672" s="1" t="s">
        <v>229</v>
      </c>
      <c r="T4672" s="1" t="s">
        <v>640</v>
      </c>
      <c r="U4672" s="1">
        <v>1.00882877E8</v>
      </c>
      <c r="X4672" s="1" t="s">
        <v>312</v>
      </c>
      <c r="Y4672" s="1" t="s">
        <v>8088</v>
      </c>
      <c r="Z4672" s="1" t="s">
        <v>206</v>
      </c>
    </row>
    <row r="4673">
      <c r="A4673" s="1" t="s">
        <v>13173</v>
      </c>
      <c r="B4673" s="1" t="s">
        <v>13174</v>
      </c>
      <c r="C4673" s="1" t="s">
        <v>13175</v>
      </c>
      <c r="D4673" s="1" t="s">
        <v>78</v>
      </c>
      <c r="E4673" s="1" t="s">
        <v>28</v>
      </c>
      <c r="F4673" s="2">
        <v>100000.0</v>
      </c>
      <c r="G4673" s="4">
        <v>44900.0</v>
      </c>
      <c r="H4673" s="4">
        <f>IFERROR(__xludf.DUMMYFUNCTION("DATE(INDEX(SPLIT(G4673,""/""),,3),INDEX(SPLIT(G4673,""/""),,2),INDEX(SPLIT(G4673,""/""),,1))"),44693.0)</f>
        <v>44693</v>
      </c>
      <c r="I4673" s="1" t="s">
        <v>1438</v>
      </c>
      <c r="J4673" s="4">
        <f>IFERROR(__xludf.DUMMYFUNCTION("DATE(INDEX(SPLIT(I4673,""/""),,3),INDEX(SPLIT(I4673,""/""),,2),INDEX(SPLIT(I4673,""/""),,1))"),44708.0)</f>
        <v>44708</v>
      </c>
      <c r="L4673" s="1">
        <v>0.0</v>
      </c>
      <c r="M4673" s="1" t="s">
        <v>1110</v>
      </c>
      <c r="N4673" s="1"/>
      <c r="O4673" s="1" t="s">
        <v>30</v>
      </c>
      <c r="P4673" s="1" t="s">
        <v>31</v>
      </c>
      <c r="Q4673" s="1" t="s">
        <v>53</v>
      </c>
      <c r="R4673" s="1" t="s">
        <v>53</v>
      </c>
      <c r="S4673" s="1" t="s">
        <v>54</v>
      </c>
      <c r="U4673" s="1">
        <v>1.00653785E8</v>
      </c>
      <c r="X4673" s="1" t="s">
        <v>289</v>
      </c>
      <c r="Y4673" s="1" t="s">
        <v>1110</v>
      </c>
      <c r="Z4673" s="1" t="s">
        <v>37</v>
      </c>
    </row>
    <row r="4674">
      <c r="A4674" s="1" t="s">
        <v>13176</v>
      </c>
      <c r="B4674" s="1" t="s">
        <v>13177</v>
      </c>
      <c r="C4674" s="1" t="s">
        <v>13178</v>
      </c>
      <c r="D4674" s="1" t="s">
        <v>78</v>
      </c>
      <c r="E4674" s="1" t="s">
        <v>28</v>
      </c>
      <c r="F4674" s="2">
        <v>100000.0</v>
      </c>
      <c r="G4674" s="1" t="s">
        <v>3470</v>
      </c>
      <c r="H4674" s="4">
        <f>IFERROR(__xludf.DUMMYFUNCTION("DATE(INDEX(SPLIT(G4674,""/""),,3),INDEX(SPLIT(G4674,""/""),,2),INDEX(SPLIT(G4674,""/""),,1))"),44126.0)</f>
        <v>44126</v>
      </c>
      <c r="I4674" s="1" t="s">
        <v>518</v>
      </c>
      <c r="J4674" s="4">
        <f>IFERROR(__xludf.DUMMYFUNCTION("DATE(INDEX(SPLIT(I4674,""/""),,3),INDEX(SPLIT(I4674,""/""),,2),INDEX(SPLIT(I4674,""/""),,1))"),44757.0)</f>
        <v>44757</v>
      </c>
      <c r="L4674" s="1">
        <v>0.0</v>
      </c>
      <c r="M4674" s="1" t="s">
        <v>1376</v>
      </c>
      <c r="N4674" s="1"/>
      <c r="O4674" s="1" t="s">
        <v>30</v>
      </c>
      <c r="P4674" s="1" t="s">
        <v>31</v>
      </c>
      <c r="Q4674" s="1" t="s">
        <v>32</v>
      </c>
      <c r="R4674" s="1" t="s">
        <v>32</v>
      </c>
      <c r="S4674" s="1" t="s">
        <v>33</v>
      </c>
      <c r="T4674" s="1" t="s">
        <v>1195</v>
      </c>
      <c r="U4674" s="1">
        <v>1.006096E8</v>
      </c>
      <c r="X4674" s="1" t="s">
        <v>490</v>
      </c>
      <c r="Y4674" s="1" t="s">
        <v>1194</v>
      </c>
      <c r="Z4674" s="1" t="s">
        <v>37</v>
      </c>
    </row>
    <row r="4675" hidden="1">
      <c r="A4675" s="1" t="s">
        <v>13179</v>
      </c>
      <c r="B4675" s="1" t="s">
        <v>13180</v>
      </c>
      <c r="C4675" s="1" t="s">
        <v>8515</v>
      </c>
      <c r="D4675" s="1" t="s">
        <v>27</v>
      </c>
      <c r="E4675" s="1" t="s">
        <v>28</v>
      </c>
      <c r="F4675" s="2">
        <v>100000.0</v>
      </c>
      <c r="G4675" s="1" t="s">
        <v>3595</v>
      </c>
      <c r="H4675" s="4">
        <f>IFERROR(__xludf.DUMMYFUNCTION("DATE(INDEX(SPLIT(G4675,""/""),,3),INDEX(SPLIT(G4675,""/""),,2),INDEX(SPLIT(G4675,""/""),,1))"),44460.0)</f>
        <v>44460</v>
      </c>
      <c r="I4675" s="1" t="s">
        <v>317</v>
      </c>
      <c r="J4675" s="4">
        <f>IFERROR(__xludf.DUMMYFUNCTION("DATE(INDEX(SPLIT(I4675,""/""),,3),INDEX(SPLIT(I4675,""/""),,2),INDEX(SPLIT(I4675,""/""),,1))"),44862.0)</f>
        <v>44862</v>
      </c>
      <c r="L4675" s="1">
        <v>0.0</v>
      </c>
      <c r="M4675" s="1" t="s">
        <v>914</v>
      </c>
      <c r="N4675" s="1"/>
      <c r="O4675" s="1" t="s">
        <v>30</v>
      </c>
      <c r="P4675" s="1" t="s">
        <v>31</v>
      </c>
      <c r="Q4675" s="1" t="s">
        <v>71</v>
      </c>
      <c r="R4675" s="1" t="s">
        <v>71</v>
      </c>
      <c r="S4675" s="1" t="s">
        <v>72</v>
      </c>
      <c r="T4675" s="1" t="s">
        <v>136</v>
      </c>
      <c r="U4675" s="1">
        <v>1.01033479E8</v>
      </c>
      <c r="X4675" s="1" t="s">
        <v>98</v>
      </c>
      <c r="Y4675" s="1" t="s">
        <v>914</v>
      </c>
      <c r="Z4675" s="1" t="s">
        <v>37</v>
      </c>
    </row>
    <row r="4676" hidden="1">
      <c r="A4676" s="1" t="s">
        <v>13181</v>
      </c>
      <c r="B4676" s="1" t="s">
        <v>1429</v>
      </c>
      <c r="C4676" s="1" t="s">
        <v>13182</v>
      </c>
      <c r="D4676" s="1" t="s">
        <v>27</v>
      </c>
      <c r="E4676" s="1" t="s">
        <v>28</v>
      </c>
      <c r="F4676" s="2">
        <v>100000.0</v>
      </c>
      <c r="G4676" s="4">
        <v>44746.0</v>
      </c>
      <c r="H4676" s="4">
        <f>IFERROR(__xludf.DUMMYFUNCTION("DATE(INDEX(SPLIT(G4676,""/""),,3),INDEX(SPLIT(G4676,""/""),,2),INDEX(SPLIT(G4676,""/""),,1))"),44658.0)</f>
        <v>44658</v>
      </c>
      <c r="I4676" s="1" t="s">
        <v>42</v>
      </c>
      <c r="J4676" s="4">
        <f>IFERROR(__xludf.DUMMYFUNCTION("DATE(INDEX(SPLIT(I4676,""/""),,3),INDEX(SPLIT(I4676,""/""),,2),INDEX(SPLIT(I4676,""/""),,1))"),44926.0)</f>
        <v>44926</v>
      </c>
      <c r="L4676" s="1">
        <v>0.0</v>
      </c>
      <c r="M4676" s="1" t="s">
        <v>2935</v>
      </c>
      <c r="N4676" s="1"/>
      <c r="O4676" s="1" t="s">
        <v>30</v>
      </c>
      <c r="P4676" s="1" t="s">
        <v>31</v>
      </c>
      <c r="Q4676" s="1" t="s">
        <v>188</v>
      </c>
      <c r="R4676" s="1" t="s">
        <v>188</v>
      </c>
      <c r="S4676" s="1" t="s">
        <v>189</v>
      </c>
      <c r="U4676" s="1">
        <v>1.00602451E8</v>
      </c>
      <c r="X4676" s="1" t="s">
        <v>190</v>
      </c>
      <c r="Y4676" s="1" t="s">
        <v>6232</v>
      </c>
      <c r="Z4676" s="1" t="s">
        <v>37</v>
      </c>
    </row>
    <row r="4677" hidden="1">
      <c r="A4677" s="1" t="s">
        <v>13183</v>
      </c>
      <c r="B4677" s="1" t="s">
        <v>2598</v>
      </c>
      <c r="C4677" s="1" t="s">
        <v>13184</v>
      </c>
      <c r="D4677" s="1" t="s">
        <v>27</v>
      </c>
      <c r="E4677" s="1" t="s">
        <v>28</v>
      </c>
      <c r="F4677" s="2">
        <v>100000.0</v>
      </c>
      <c r="G4677" s="1" t="s">
        <v>682</v>
      </c>
      <c r="H4677" s="4">
        <f>IFERROR(__xludf.DUMMYFUNCTION("DATE(INDEX(SPLIT(G4677,""/""),,3),INDEX(SPLIT(G4677,""/""),,2),INDEX(SPLIT(G4677,""/""),,1))"),44406.0)</f>
        <v>44406</v>
      </c>
      <c r="I4677" s="1" t="s">
        <v>203</v>
      </c>
      <c r="J4677" s="4">
        <f>IFERROR(__xludf.DUMMYFUNCTION("DATE(INDEX(SPLIT(I4677,""/""),,3),INDEX(SPLIT(I4677,""/""),,2),INDEX(SPLIT(I4677,""/""),,1))"),44925.0)</f>
        <v>44925</v>
      </c>
      <c r="L4677" s="1">
        <v>0.0</v>
      </c>
      <c r="M4677" s="1" t="s">
        <v>2371</v>
      </c>
      <c r="N4677" s="1"/>
      <c r="O4677" s="1" t="s">
        <v>30</v>
      </c>
      <c r="P4677" s="1" t="s">
        <v>31</v>
      </c>
      <c r="Q4677" s="1" t="s">
        <v>53</v>
      </c>
      <c r="R4677" s="1" t="s">
        <v>53</v>
      </c>
      <c r="S4677" s="1" t="s">
        <v>54</v>
      </c>
      <c r="T4677" s="1" t="s">
        <v>1386</v>
      </c>
      <c r="U4677" s="1">
        <v>1.00649936E8</v>
      </c>
      <c r="X4677" s="1" t="s">
        <v>239</v>
      </c>
      <c r="Y4677" s="1" t="s">
        <v>2481</v>
      </c>
      <c r="Z4677" s="1" t="s">
        <v>37</v>
      </c>
    </row>
    <row r="4678">
      <c r="A4678" s="1" t="s">
        <v>13185</v>
      </c>
      <c r="B4678" s="1" t="s">
        <v>645</v>
      </c>
      <c r="C4678" s="1" t="s">
        <v>13186</v>
      </c>
      <c r="D4678" s="1" t="s">
        <v>27</v>
      </c>
      <c r="E4678" s="1" t="s">
        <v>28</v>
      </c>
      <c r="F4678" s="2">
        <v>100000.0</v>
      </c>
      <c r="G4678" s="1" t="s">
        <v>3595</v>
      </c>
      <c r="H4678" s="4">
        <f>IFERROR(__xludf.DUMMYFUNCTION("DATE(INDEX(SPLIT(G4678,""/""),,3),INDEX(SPLIT(G4678,""/""),,2),INDEX(SPLIT(G4678,""/""),,1))"),44460.0)</f>
        <v>44460</v>
      </c>
      <c r="I4678" s="1" t="s">
        <v>226</v>
      </c>
      <c r="J4678" s="4">
        <f>IFERROR(__xludf.DUMMYFUNCTION("DATE(INDEX(SPLIT(I4678,""/""),,3),INDEX(SPLIT(I4678,""/""),,2),INDEX(SPLIT(I4678,""/""),,1))"),44771.0)</f>
        <v>44771</v>
      </c>
      <c r="L4678" s="1">
        <v>0.0</v>
      </c>
      <c r="M4678" s="1" t="s">
        <v>7598</v>
      </c>
      <c r="N4678" s="1"/>
      <c r="O4678" s="1" t="s">
        <v>30</v>
      </c>
      <c r="P4678" s="1" t="s">
        <v>31</v>
      </c>
      <c r="Q4678" s="1" t="s">
        <v>32</v>
      </c>
      <c r="R4678" s="1" t="s">
        <v>32</v>
      </c>
      <c r="S4678" s="1" t="s">
        <v>33</v>
      </c>
      <c r="U4678" s="1">
        <v>1.00644939E8</v>
      </c>
      <c r="X4678" s="1" t="s">
        <v>46</v>
      </c>
      <c r="Y4678" s="1" t="s">
        <v>1076</v>
      </c>
      <c r="Z4678" s="1" t="s">
        <v>37</v>
      </c>
    </row>
    <row r="4679" hidden="1">
      <c r="A4679" s="1" t="s">
        <v>13187</v>
      </c>
      <c r="B4679" s="1" t="s">
        <v>13188</v>
      </c>
      <c r="C4679" s="1" t="s">
        <v>13189</v>
      </c>
      <c r="D4679" s="1" t="s">
        <v>78</v>
      </c>
      <c r="E4679" s="1" t="s">
        <v>28</v>
      </c>
      <c r="F4679" s="2">
        <v>100000.0</v>
      </c>
      <c r="G4679" s="1" t="s">
        <v>9603</v>
      </c>
      <c r="H4679" s="4">
        <f>IFERROR(__xludf.DUMMYFUNCTION("DATE(INDEX(SPLIT(G4679,""/""),,3),INDEX(SPLIT(G4679,""/""),,2),INDEX(SPLIT(G4679,""/""),,1))"),44033.0)</f>
        <v>44033</v>
      </c>
      <c r="I4679" s="1" t="s">
        <v>13190</v>
      </c>
      <c r="J4679" s="4">
        <f>IFERROR(__xludf.DUMMYFUNCTION("DATE(INDEX(SPLIT(I4679,""/""),,3),INDEX(SPLIT(I4679,""/""),,2),INDEX(SPLIT(I4679,""/""),,1))"),44949.0)</f>
        <v>44949</v>
      </c>
      <c r="L4679" s="1">
        <v>0.0</v>
      </c>
      <c r="M4679" s="1" t="s">
        <v>13191</v>
      </c>
      <c r="N4679" s="1"/>
      <c r="O4679" s="1" t="s">
        <v>30</v>
      </c>
      <c r="P4679" s="1" t="s">
        <v>31</v>
      </c>
      <c r="Q4679" s="1" t="s">
        <v>32</v>
      </c>
      <c r="R4679" s="1" t="s">
        <v>32</v>
      </c>
      <c r="S4679" s="1" t="s">
        <v>33</v>
      </c>
      <c r="T4679" s="1" t="s">
        <v>103</v>
      </c>
      <c r="U4679" s="1">
        <v>1.00576376E8</v>
      </c>
      <c r="X4679" s="1" t="s">
        <v>63</v>
      </c>
      <c r="Y4679" s="1" t="s">
        <v>13192</v>
      </c>
      <c r="Z4679" s="1" t="s">
        <v>527</v>
      </c>
    </row>
    <row r="4680" hidden="1">
      <c r="A4680" s="1" t="s">
        <v>13193</v>
      </c>
      <c r="B4680" s="1" t="s">
        <v>672</v>
      </c>
      <c r="C4680" s="1" t="s">
        <v>13194</v>
      </c>
      <c r="D4680" s="1" t="s">
        <v>27</v>
      </c>
      <c r="E4680" s="1" t="s">
        <v>28</v>
      </c>
      <c r="F4680" s="2">
        <v>100000.0</v>
      </c>
      <c r="G4680" s="1" t="s">
        <v>13195</v>
      </c>
      <c r="H4680" s="4">
        <f>IFERROR(__xludf.DUMMYFUNCTION("DATE(INDEX(SPLIT(G4680,""/""),,3),INDEX(SPLIT(G4680,""/""),,2),INDEX(SPLIT(G4680,""/""),,1))"),44148.0)</f>
        <v>44148</v>
      </c>
      <c r="I4680" s="1" t="s">
        <v>1799</v>
      </c>
      <c r="J4680" s="4">
        <f>IFERROR(__xludf.DUMMYFUNCTION("DATE(INDEX(SPLIT(I4680,""/""),,3),INDEX(SPLIT(I4680,""/""),,2),INDEX(SPLIT(I4680,""/""),,1))"),44788.0)</f>
        <v>44788</v>
      </c>
      <c r="L4680" s="1">
        <v>0.0</v>
      </c>
      <c r="M4680" s="1" t="s">
        <v>6003</v>
      </c>
      <c r="N4680" s="1"/>
      <c r="O4680" s="1" t="s">
        <v>30</v>
      </c>
      <c r="P4680" s="1" t="s">
        <v>31</v>
      </c>
      <c r="Q4680" s="1" t="s">
        <v>235</v>
      </c>
      <c r="R4680" s="1" t="s">
        <v>235</v>
      </c>
      <c r="S4680" s="1" t="s">
        <v>236</v>
      </c>
      <c r="T4680" s="1" t="s">
        <v>753</v>
      </c>
      <c r="U4680" s="1">
        <v>1.00623535E8</v>
      </c>
      <c r="X4680" s="1" t="s">
        <v>88</v>
      </c>
      <c r="Y4680" s="1" t="s">
        <v>4592</v>
      </c>
      <c r="Z4680" s="1" t="s">
        <v>37</v>
      </c>
    </row>
    <row r="4681">
      <c r="A4681" s="1" t="s">
        <v>13196</v>
      </c>
      <c r="B4681" s="1" t="s">
        <v>13197</v>
      </c>
      <c r="C4681" s="1" t="s">
        <v>13198</v>
      </c>
      <c r="D4681" s="1" t="s">
        <v>27</v>
      </c>
      <c r="E4681" s="1" t="s">
        <v>28</v>
      </c>
      <c r="F4681" s="2">
        <v>100000.0</v>
      </c>
      <c r="G4681" s="1" t="s">
        <v>6249</v>
      </c>
      <c r="H4681" s="4">
        <f>IFERROR(__xludf.DUMMYFUNCTION("DATE(INDEX(SPLIT(G4681,""/""),,3),INDEX(SPLIT(G4681,""/""),,2),INDEX(SPLIT(G4681,""/""),,1))"),43887.0)</f>
        <v>43887</v>
      </c>
      <c r="I4681" s="1" t="s">
        <v>1244</v>
      </c>
      <c r="J4681" s="4">
        <f>IFERROR(__xludf.DUMMYFUNCTION("DATE(INDEX(SPLIT(I4681,""/""),,3),INDEX(SPLIT(I4681,""/""),,2),INDEX(SPLIT(I4681,""/""),,1))"),44742.0)</f>
        <v>44742</v>
      </c>
      <c r="L4681" s="1">
        <v>0.0</v>
      </c>
      <c r="M4681" s="1" t="s">
        <v>846</v>
      </c>
      <c r="N4681" s="1"/>
      <c r="O4681" s="1" t="s">
        <v>30</v>
      </c>
      <c r="P4681" s="1" t="s">
        <v>31</v>
      </c>
      <c r="Q4681" s="1" t="s">
        <v>157</v>
      </c>
      <c r="R4681" s="1" t="s">
        <v>157</v>
      </c>
      <c r="S4681" s="1" t="s">
        <v>158</v>
      </c>
      <c r="T4681" s="1" t="s">
        <v>442</v>
      </c>
      <c r="U4681" s="1">
        <v>1.00584422E8</v>
      </c>
      <c r="X4681" s="1" t="s">
        <v>125</v>
      </c>
      <c r="Y4681" s="1" t="s">
        <v>3676</v>
      </c>
      <c r="Z4681" s="1" t="s">
        <v>37</v>
      </c>
    </row>
    <row r="4682" hidden="1">
      <c r="A4682" s="1" t="s">
        <v>13199</v>
      </c>
      <c r="B4682" s="1" t="s">
        <v>4013</v>
      </c>
      <c r="C4682" s="1" t="s">
        <v>13200</v>
      </c>
      <c r="D4682" s="1" t="s">
        <v>27</v>
      </c>
      <c r="E4682" s="1" t="s">
        <v>28</v>
      </c>
      <c r="F4682" s="2">
        <v>100000.0</v>
      </c>
      <c r="G4682" s="1" t="s">
        <v>836</v>
      </c>
      <c r="H4682" s="4">
        <f>IFERROR(__xludf.DUMMYFUNCTION("DATE(INDEX(SPLIT(G4682,""/""),,3),INDEX(SPLIT(G4682,""/""),,2),INDEX(SPLIT(G4682,""/""),,1))"),44610.0)</f>
        <v>44610</v>
      </c>
      <c r="I4682" s="1" t="s">
        <v>130</v>
      </c>
      <c r="J4682" s="4">
        <f>IFERROR(__xludf.DUMMYFUNCTION("DATE(INDEX(SPLIT(I4682,""/""),,3),INDEX(SPLIT(I4682,""/""),,2),INDEX(SPLIT(I4682,""/""),,1))"),44804.0)</f>
        <v>44804</v>
      </c>
      <c r="K4682" s="1" t="s">
        <v>13201</v>
      </c>
      <c r="L4682" s="1">
        <v>0.0</v>
      </c>
      <c r="M4682" s="1" t="s">
        <v>1433</v>
      </c>
      <c r="N4682" s="1"/>
      <c r="O4682" s="1" t="s">
        <v>30</v>
      </c>
      <c r="P4682" s="1" t="s">
        <v>31</v>
      </c>
      <c r="Q4682" s="1" t="s">
        <v>228</v>
      </c>
      <c r="R4682" s="1" t="s">
        <v>228</v>
      </c>
      <c r="S4682" s="1" t="s">
        <v>229</v>
      </c>
      <c r="T4682" s="1" t="s">
        <v>640</v>
      </c>
      <c r="U4682" s="1">
        <v>1.00609118E8</v>
      </c>
      <c r="X4682" s="1" t="s">
        <v>190</v>
      </c>
      <c r="Y4682" s="1" t="s">
        <v>2402</v>
      </c>
      <c r="Z4682" s="1" t="s">
        <v>37</v>
      </c>
    </row>
    <row r="4683">
      <c r="A4683" s="1" t="s">
        <v>13202</v>
      </c>
      <c r="B4683" s="1" t="s">
        <v>13203</v>
      </c>
      <c r="C4683" s="1" t="s">
        <v>13204</v>
      </c>
      <c r="D4683" s="1" t="s">
        <v>78</v>
      </c>
      <c r="E4683" s="1" t="s">
        <v>28</v>
      </c>
      <c r="F4683" s="2">
        <v>100000.0</v>
      </c>
      <c r="G4683" s="4">
        <v>44598.0</v>
      </c>
      <c r="H4683" s="4">
        <f>IFERROR(__xludf.DUMMYFUNCTION("DATE(INDEX(SPLIT(G4683,""/""),,3),INDEX(SPLIT(G4683,""/""),,2),INDEX(SPLIT(G4683,""/""),,1))"),44714.0)</f>
        <v>44714</v>
      </c>
      <c r="I4683" s="1" t="s">
        <v>226</v>
      </c>
      <c r="J4683" s="4">
        <f>IFERROR(__xludf.DUMMYFUNCTION("DATE(INDEX(SPLIT(I4683,""/""),,3),INDEX(SPLIT(I4683,""/""),,2),INDEX(SPLIT(I4683,""/""),,1))"),44771.0)</f>
        <v>44771</v>
      </c>
      <c r="L4683" s="1">
        <v>0.0</v>
      </c>
      <c r="M4683" s="1" t="s">
        <v>1918</v>
      </c>
      <c r="N4683" s="1"/>
      <c r="O4683" s="1" t="s">
        <v>30</v>
      </c>
      <c r="P4683" s="1" t="s">
        <v>31</v>
      </c>
      <c r="Q4683" s="1" t="s">
        <v>53</v>
      </c>
      <c r="R4683" s="1" t="s">
        <v>53</v>
      </c>
      <c r="S4683" s="1" t="s">
        <v>54</v>
      </c>
      <c r="T4683" s="1" t="s">
        <v>1386</v>
      </c>
      <c r="U4683" s="1">
        <v>1.00638639E8</v>
      </c>
      <c r="X4683" s="1" t="s">
        <v>375</v>
      </c>
      <c r="Y4683" s="1" t="s">
        <v>13205</v>
      </c>
      <c r="Z4683" s="1" t="s">
        <v>206</v>
      </c>
    </row>
    <row r="4684" hidden="1">
      <c r="A4684" s="1" t="s">
        <v>13206</v>
      </c>
      <c r="B4684" s="1" t="s">
        <v>11395</v>
      </c>
      <c r="C4684" s="1" t="s">
        <v>13207</v>
      </c>
      <c r="D4684" s="1" t="s">
        <v>27</v>
      </c>
      <c r="E4684" s="1" t="s">
        <v>28</v>
      </c>
      <c r="F4684" s="2">
        <v>100000.0</v>
      </c>
      <c r="G4684" s="1" t="s">
        <v>6249</v>
      </c>
      <c r="H4684" s="4">
        <f>IFERROR(__xludf.DUMMYFUNCTION("DATE(INDEX(SPLIT(G4684,""/""),,3),INDEX(SPLIT(G4684,""/""),,2),INDEX(SPLIT(G4684,""/""),,1))"),43887.0)</f>
        <v>43887</v>
      </c>
      <c r="I4684" s="1" t="s">
        <v>203</v>
      </c>
      <c r="J4684" s="4">
        <f>IFERROR(__xludf.DUMMYFUNCTION("DATE(INDEX(SPLIT(I4684,""/""),,3),INDEX(SPLIT(I4684,""/""),,2),INDEX(SPLIT(I4684,""/""),,1))"),44925.0)</f>
        <v>44925</v>
      </c>
      <c r="L4684" s="1">
        <v>0.0</v>
      </c>
      <c r="M4684" s="1" t="s">
        <v>9618</v>
      </c>
      <c r="N4684" s="1"/>
      <c r="O4684" s="1" t="s">
        <v>30</v>
      </c>
      <c r="P4684" s="1" t="s">
        <v>31</v>
      </c>
      <c r="Q4684" s="1" t="s">
        <v>157</v>
      </c>
      <c r="R4684" s="1" t="s">
        <v>157</v>
      </c>
      <c r="S4684" s="1" t="s">
        <v>158</v>
      </c>
      <c r="T4684" s="1" t="s">
        <v>442</v>
      </c>
      <c r="U4684" s="1">
        <v>1.00653538E8</v>
      </c>
      <c r="X4684" s="1" t="s">
        <v>125</v>
      </c>
      <c r="Y4684" s="1" t="s">
        <v>3676</v>
      </c>
      <c r="Z4684" s="1" t="s">
        <v>37</v>
      </c>
    </row>
    <row r="4685" hidden="1">
      <c r="A4685" s="1" t="s">
        <v>13208</v>
      </c>
      <c r="B4685" s="1" t="s">
        <v>13209</v>
      </c>
      <c r="C4685" s="1" t="s">
        <v>13210</v>
      </c>
      <c r="D4685" s="1" t="s">
        <v>78</v>
      </c>
      <c r="E4685" s="1" t="s">
        <v>28</v>
      </c>
      <c r="F4685" s="2">
        <v>100000.0</v>
      </c>
      <c r="G4685" s="1" t="s">
        <v>321</v>
      </c>
      <c r="H4685" s="4">
        <f>IFERROR(__xludf.DUMMYFUNCTION("DATE(INDEX(SPLIT(G4685,""/""),,3),INDEX(SPLIT(G4685,""/""),,2),INDEX(SPLIT(G4685,""/""),,1))"),44586.0)</f>
        <v>44586</v>
      </c>
      <c r="I4685" s="1" t="s">
        <v>42</v>
      </c>
      <c r="J4685" s="4">
        <f>IFERROR(__xludf.DUMMYFUNCTION("DATE(INDEX(SPLIT(I4685,""/""),,3),INDEX(SPLIT(I4685,""/""),,2),INDEX(SPLIT(I4685,""/""),,1))"),44926.0)</f>
        <v>44926</v>
      </c>
      <c r="L4685" s="1">
        <v>0.0</v>
      </c>
      <c r="M4685" s="1" t="s">
        <v>211</v>
      </c>
      <c r="N4685" s="1"/>
      <c r="O4685" s="1" t="s">
        <v>30</v>
      </c>
      <c r="P4685" s="1" t="s">
        <v>31</v>
      </c>
      <c r="Q4685" s="1" t="s">
        <v>71</v>
      </c>
      <c r="R4685" s="1" t="s">
        <v>71</v>
      </c>
      <c r="S4685" s="1" t="s">
        <v>72</v>
      </c>
      <c r="T4685" s="1" t="s">
        <v>136</v>
      </c>
      <c r="U4685" s="1">
        <v>1.00590896E8</v>
      </c>
      <c r="X4685" s="1" t="s">
        <v>74</v>
      </c>
      <c r="Y4685" s="1" t="s">
        <v>211</v>
      </c>
      <c r="Z4685" s="1" t="s">
        <v>37</v>
      </c>
    </row>
    <row r="4686" hidden="1">
      <c r="A4686" s="1" t="s">
        <v>13211</v>
      </c>
      <c r="B4686" s="1" t="s">
        <v>13212</v>
      </c>
      <c r="C4686" s="1" t="s">
        <v>13213</v>
      </c>
      <c r="D4686" s="1" t="s">
        <v>27</v>
      </c>
      <c r="E4686" s="1" t="s">
        <v>28</v>
      </c>
      <c r="F4686" s="2">
        <v>100000.0</v>
      </c>
      <c r="G4686" s="1" t="s">
        <v>1259</v>
      </c>
      <c r="H4686" s="4">
        <f>IFERROR(__xludf.DUMMYFUNCTION("DATE(INDEX(SPLIT(G4686,""/""),,3),INDEX(SPLIT(G4686,""/""),,2),INDEX(SPLIT(G4686,""/""),,1))"),44763.0)</f>
        <v>44763</v>
      </c>
      <c r="I4686" s="1" t="s">
        <v>130</v>
      </c>
      <c r="J4686" s="4">
        <f>IFERROR(__xludf.DUMMYFUNCTION("DATE(INDEX(SPLIT(I4686,""/""),,3),INDEX(SPLIT(I4686,""/""),,2),INDEX(SPLIT(I4686,""/""),,1))"),44804.0)</f>
        <v>44804</v>
      </c>
      <c r="L4686" s="1">
        <v>0.0</v>
      </c>
      <c r="M4686" s="1" t="s">
        <v>1828</v>
      </c>
      <c r="N4686" s="1"/>
      <c r="O4686" s="1" t="s">
        <v>30</v>
      </c>
      <c r="P4686" s="1" t="s">
        <v>31</v>
      </c>
      <c r="Q4686" s="1" t="s">
        <v>235</v>
      </c>
      <c r="R4686" s="1" t="s">
        <v>235</v>
      </c>
      <c r="S4686" s="1" t="s">
        <v>236</v>
      </c>
      <c r="U4686" s="1">
        <v>1.00593918E8</v>
      </c>
      <c r="X4686" s="1" t="s">
        <v>375</v>
      </c>
      <c r="Y4686" s="1" t="s">
        <v>1829</v>
      </c>
      <c r="Z4686" s="1" t="s">
        <v>37</v>
      </c>
    </row>
    <row r="4687" hidden="1">
      <c r="A4687" s="1" t="s">
        <v>13214</v>
      </c>
      <c r="B4687" s="1" t="s">
        <v>13215</v>
      </c>
      <c r="C4687" s="1" t="s">
        <v>13216</v>
      </c>
      <c r="D4687" s="1" t="s">
        <v>27</v>
      </c>
      <c r="E4687" s="1" t="s">
        <v>28</v>
      </c>
      <c r="F4687" s="2">
        <v>100000.0</v>
      </c>
      <c r="G4687" s="1" t="s">
        <v>6249</v>
      </c>
      <c r="H4687" s="4">
        <f>IFERROR(__xludf.DUMMYFUNCTION("DATE(INDEX(SPLIT(G4687,""/""),,3),INDEX(SPLIT(G4687,""/""),,2),INDEX(SPLIT(G4687,""/""),,1))"),43887.0)</f>
        <v>43887</v>
      </c>
      <c r="I4687" s="4">
        <v>44933.0</v>
      </c>
      <c r="J4687" s="4">
        <f>IFERROR(__xludf.DUMMYFUNCTION("DATE(INDEX(SPLIT(I4687,""/""),,3),INDEX(SPLIT(I4687,""/""),,2),INDEX(SPLIT(I4687,""/""),,1))"),45108.0)</f>
        <v>45108</v>
      </c>
      <c r="L4687" s="1">
        <v>0.0</v>
      </c>
      <c r="M4687" s="1" t="s">
        <v>3573</v>
      </c>
      <c r="N4687" s="1"/>
      <c r="O4687" s="1" t="s">
        <v>30</v>
      </c>
      <c r="P4687" s="1" t="s">
        <v>31</v>
      </c>
      <c r="Q4687" s="1" t="s">
        <v>157</v>
      </c>
      <c r="R4687" s="1" t="s">
        <v>157</v>
      </c>
      <c r="S4687" s="1" t="s">
        <v>158</v>
      </c>
      <c r="T4687" s="1" t="s">
        <v>442</v>
      </c>
      <c r="U4687" s="1">
        <v>1.00651086E8</v>
      </c>
      <c r="X4687" s="1" t="s">
        <v>125</v>
      </c>
      <c r="Y4687" s="1" t="s">
        <v>3676</v>
      </c>
      <c r="Z4687" s="1" t="s">
        <v>37</v>
      </c>
    </row>
    <row r="4688" hidden="1">
      <c r="A4688" s="1" t="s">
        <v>13217</v>
      </c>
      <c r="B4688" s="1" t="s">
        <v>13218</v>
      </c>
      <c r="C4688" s="1" t="s">
        <v>13219</v>
      </c>
      <c r="D4688" s="1" t="s">
        <v>27</v>
      </c>
      <c r="E4688" s="1" t="s">
        <v>28</v>
      </c>
      <c r="F4688" s="2">
        <v>100000.0</v>
      </c>
      <c r="G4688" s="4">
        <v>44442.0</v>
      </c>
      <c r="H4688" s="4">
        <f>IFERROR(__xludf.DUMMYFUNCTION("DATE(INDEX(SPLIT(G4688,""/""),,3),INDEX(SPLIT(G4688,""/""),,2),INDEX(SPLIT(G4688,""/""),,1))"),44264.0)</f>
        <v>44264</v>
      </c>
      <c r="I4688" s="1" t="s">
        <v>109</v>
      </c>
      <c r="J4688" s="4">
        <f>IFERROR(__xludf.DUMMYFUNCTION("DATE(INDEX(SPLIT(I4688,""/""),,3),INDEX(SPLIT(I4688,""/""),,2),INDEX(SPLIT(I4688,""/""),,1))"),44834.0)</f>
        <v>44834</v>
      </c>
      <c r="L4688" s="1">
        <v>0.0</v>
      </c>
      <c r="M4688" s="1" t="s">
        <v>597</v>
      </c>
      <c r="N4688" s="1"/>
      <c r="O4688" s="1" t="s">
        <v>30</v>
      </c>
      <c r="P4688" s="1" t="s">
        <v>31</v>
      </c>
      <c r="Q4688" s="1" t="s">
        <v>32</v>
      </c>
      <c r="R4688" s="1" t="s">
        <v>32</v>
      </c>
      <c r="S4688" s="1" t="s">
        <v>33</v>
      </c>
      <c r="T4688" s="1" t="s">
        <v>34</v>
      </c>
      <c r="U4688" s="1">
        <v>1.0064407E8</v>
      </c>
      <c r="X4688" s="1" t="s">
        <v>35</v>
      </c>
      <c r="Y4688" s="1" t="s">
        <v>13220</v>
      </c>
      <c r="Z4688" s="1" t="s">
        <v>37</v>
      </c>
    </row>
    <row r="4689" hidden="1">
      <c r="A4689" s="1" t="s">
        <v>13221</v>
      </c>
      <c r="B4689" s="1" t="s">
        <v>13222</v>
      </c>
      <c r="C4689" s="1" t="s">
        <v>13223</v>
      </c>
      <c r="D4689" s="1" t="s">
        <v>27</v>
      </c>
      <c r="E4689" s="1" t="s">
        <v>28</v>
      </c>
      <c r="F4689" s="2">
        <v>100000.0</v>
      </c>
      <c r="G4689" s="1" t="s">
        <v>6249</v>
      </c>
      <c r="H4689" s="4">
        <f>IFERROR(__xludf.DUMMYFUNCTION("DATE(INDEX(SPLIT(G4689,""/""),,3),INDEX(SPLIT(G4689,""/""),,2),INDEX(SPLIT(G4689,""/""),,1))"),43887.0)</f>
        <v>43887</v>
      </c>
      <c r="I4689" s="4">
        <v>44934.0</v>
      </c>
      <c r="J4689" s="4">
        <f>IFERROR(__xludf.DUMMYFUNCTION("DATE(INDEX(SPLIT(I4689,""/""),,3),INDEX(SPLIT(I4689,""/""),,2),INDEX(SPLIT(I4689,""/""),,1))"),45139.0)</f>
        <v>45139</v>
      </c>
      <c r="L4689" s="1">
        <v>0.0</v>
      </c>
      <c r="M4689" s="1" t="s">
        <v>3573</v>
      </c>
      <c r="N4689" s="1"/>
      <c r="O4689" s="1" t="s">
        <v>30</v>
      </c>
      <c r="P4689" s="1" t="s">
        <v>31</v>
      </c>
      <c r="Q4689" s="1" t="s">
        <v>157</v>
      </c>
      <c r="R4689" s="1" t="s">
        <v>157</v>
      </c>
      <c r="S4689" s="1" t="s">
        <v>158</v>
      </c>
      <c r="T4689" s="1" t="s">
        <v>442</v>
      </c>
      <c r="U4689" s="1">
        <v>1.00651086E8</v>
      </c>
      <c r="X4689" s="1" t="s">
        <v>125</v>
      </c>
      <c r="Y4689" s="1" t="s">
        <v>3676</v>
      </c>
      <c r="Z4689" s="1" t="s">
        <v>37</v>
      </c>
    </row>
    <row r="4690" hidden="1">
      <c r="A4690" s="1" t="s">
        <v>13224</v>
      </c>
      <c r="B4690" s="1" t="s">
        <v>11977</v>
      </c>
      <c r="C4690" s="1" t="s">
        <v>13225</v>
      </c>
      <c r="D4690" s="1" t="s">
        <v>27</v>
      </c>
      <c r="E4690" s="1" t="s">
        <v>28</v>
      </c>
      <c r="F4690" s="2">
        <v>100000.0</v>
      </c>
      <c r="G4690" s="1" t="s">
        <v>1058</v>
      </c>
      <c r="H4690" s="4">
        <f>IFERROR(__xludf.DUMMYFUNCTION("DATE(INDEX(SPLIT(G4690,""/""),,3),INDEX(SPLIT(G4690,""/""),,2),INDEX(SPLIT(G4690,""/""),,1))"),44733.0)</f>
        <v>44733</v>
      </c>
      <c r="I4690" s="1" t="s">
        <v>12128</v>
      </c>
      <c r="J4690" s="4">
        <f>IFERROR(__xludf.DUMMYFUNCTION("DATE(INDEX(SPLIT(I4690,""/""),,3),INDEX(SPLIT(I4690,""/""),,2),INDEX(SPLIT(I4690,""/""),,1))"),44942.0)</f>
        <v>44942</v>
      </c>
      <c r="L4690" s="1">
        <v>0.0</v>
      </c>
      <c r="M4690" s="1" t="s">
        <v>6570</v>
      </c>
      <c r="N4690" s="1"/>
      <c r="O4690" s="1" t="s">
        <v>30</v>
      </c>
      <c r="P4690" s="1" t="s">
        <v>31</v>
      </c>
      <c r="Q4690" s="1" t="s">
        <v>53</v>
      </c>
      <c r="R4690" s="1" t="s">
        <v>53</v>
      </c>
      <c r="S4690" s="1" t="s">
        <v>54</v>
      </c>
      <c r="U4690" s="1">
        <v>1.01230882E8</v>
      </c>
      <c r="X4690" s="1" t="s">
        <v>117</v>
      </c>
      <c r="Y4690" s="1" t="s">
        <v>6570</v>
      </c>
      <c r="Z4690" s="1" t="s">
        <v>37</v>
      </c>
    </row>
    <row r="4691">
      <c r="A4691" s="1" t="s">
        <v>13226</v>
      </c>
      <c r="B4691" s="1" t="s">
        <v>7662</v>
      </c>
      <c r="C4691" s="1" t="s">
        <v>13227</v>
      </c>
      <c r="D4691" s="1" t="s">
        <v>78</v>
      </c>
      <c r="E4691" s="1" t="s">
        <v>28</v>
      </c>
      <c r="F4691" s="2">
        <v>100000.0</v>
      </c>
      <c r="G4691" s="1" t="s">
        <v>359</v>
      </c>
      <c r="H4691" s="4">
        <f>IFERROR(__xludf.DUMMYFUNCTION("DATE(INDEX(SPLIT(G4691,""/""),,3),INDEX(SPLIT(G4691,""/""),,2),INDEX(SPLIT(G4691,""/""),,1))"),44740.0)</f>
        <v>44740</v>
      </c>
      <c r="I4691" s="1" t="s">
        <v>226</v>
      </c>
      <c r="J4691" s="4">
        <f>IFERROR(__xludf.DUMMYFUNCTION("DATE(INDEX(SPLIT(I4691,""/""),,3),INDEX(SPLIT(I4691,""/""),,2),INDEX(SPLIT(I4691,""/""),,1))"),44771.0)</f>
        <v>44771</v>
      </c>
      <c r="L4691" s="1">
        <v>0.0</v>
      </c>
      <c r="M4691" s="1" t="s">
        <v>10257</v>
      </c>
      <c r="N4691" s="1"/>
      <c r="O4691" s="1" t="s">
        <v>30</v>
      </c>
      <c r="P4691" s="1" t="s">
        <v>31</v>
      </c>
      <c r="Q4691" s="1" t="s">
        <v>157</v>
      </c>
      <c r="R4691" s="1" t="s">
        <v>157</v>
      </c>
      <c r="S4691" s="1" t="s">
        <v>158</v>
      </c>
      <c r="U4691" s="1">
        <v>1.0061717E8</v>
      </c>
      <c r="X4691" s="1" t="s">
        <v>88</v>
      </c>
      <c r="Y4691" s="1" t="s">
        <v>10257</v>
      </c>
      <c r="Z4691" s="1" t="s">
        <v>37</v>
      </c>
    </row>
    <row r="4692">
      <c r="A4692" s="1" t="s">
        <v>13228</v>
      </c>
      <c r="B4692" s="1" t="s">
        <v>4938</v>
      </c>
      <c r="C4692" s="1" t="s">
        <v>13229</v>
      </c>
      <c r="D4692" s="1" t="s">
        <v>78</v>
      </c>
      <c r="E4692" s="1" t="s">
        <v>28</v>
      </c>
      <c r="F4692" s="2">
        <v>100000.0</v>
      </c>
      <c r="G4692" s="1" t="s">
        <v>568</v>
      </c>
      <c r="H4692" s="4">
        <f>IFERROR(__xludf.DUMMYFUNCTION("DATE(INDEX(SPLIT(G4692,""/""),,3),INDEX(SPLIT(G4692,""/""),,2),INDEX(SPLIT(G4692,""/""),,1))"),44587.0)</f>
        <v>44587</v>
      </c>
      <c r="I4692" s="1" t="s">
        <v>1244</v>
      </c>
      <c r="J4692" s="4">
        <f>IFERROR(__xludf.DUMMYFUNCTION("DATE(INDEX(SPLIT(I4692,""/""),,3),INDEX(SPLIT(I4692,""/""),,2),INDEX(SPLIT(I4692,""/""),,1))"),44742.0)</f>
        <v>44742</v>
      </c>
      <c r="L4692" s="1">
        <v>0.0</v>
      </c>
      <c r="M4692" s="1" t="s">
        <v>4477</v>
      </c>
      <c r="N4692" s="1"/>
      <c r="O4692" s="1" t="s">
        <v>30</v>
      </c>
      <c r="P4692" s="1" t="s">
        <v>31</v>
      </c>
      <c r="Q4692" s="1" t="s">
        <v>228</v>
      </c>
      <c r="R4692" s="1" t="s">
        <v>228</v>
      </c>
      <c r="S4692" s="1" t="s">
        <v>229</v>
      </c>
      <c r="T4692" s="1" t="s">
        <v>513</v>
      </c>
      <c r="U4692" s="1">
        <v>1.00592715E8</v>
      </c>
      <c r="X4692" s="1" t="s">
        <v>98</v>
      </c>
      <c r="Y4692" s="1" t="s">
        <v>4477</v>
      </c>
      <c r="Z4692" s="1" t="s">
        <v>37</v>
      </c>
    </row>
    <row r="4693">
      <c r="A4693" s="1" t="s">
        <v>13230</v>
      </c>
      <c r="B4693" s="1" t="s">
        <v>13231</v>
      </c>
      <c r="C4693" s="1" t="s">
        <v>13232</v>
      </c>
      <c r="D4693" s="1" t="s">
        <v>122</v>
      </c>
      <c r="E4693" s="1" t="s">
        <v>28</v>
      </c>
      <c r="F4693" s="2">
        <v>100000.0</v>
      </c>
      <c r="G4693" s="1" t="s">
        <v>1288</v>
      </c>
      <c r="H4693" s="4">
        <f>IFERROR(__xludf.DUMMYFUNCTION("DATE(INDEX(SPLIT(G4693,""/""),,3),INDEX(SPLIT(G4693,""/""),,2),INDEX(SPLIT(G4693,""/""),,1))"),44707.0)</f>
        <v>44707</v>
      </c>
      <c r="I4693" s="4">
        <v>44626.0</v>
      </c>
      <c r="J4693" s="4">
        <f>IFERROR(__xludf.DUMMYFUNCTION("DATE(INDEX(SPLIT(I4693,""/""),,3),INDEX(SPLIT(I4693,""/""),,2),INDEX(SPLIT(I4693,""/""),,1))"),44715.0)</f>
        <v>44715</v>
      </c>
      <c r="L4693" s="1">
        <v>0.0</v>
      </c>
      <c r="M4693" s="1" t="s">
        <v>3304</v>
      </c>
      <c r="N4693" s="1"/>
      <c r="O4693" s="1" t="s">
        <v>30</v>
      </c>
      <c r="P4693" s="1" t="s">
        <v>31</v>
      </c>
      <c r="Q4693" s="1" t="s">
        <v>188</v>
      </c>
      <c r="R4693" s="1" t="s">
        <v>188</v>
      </c>
      <c r="S4693" s="1" t="s">
        <v>189</v>
      </c>
      <c r="U4693" s="1">
        <v>1.00584866E8</v>
      </c>
      <c r="X4693" s="1" t="s">
        <v>375</v>
      </c>
      <c r="Y4693" s="1" t="s">
        <v>13233</v>
      </c>
      <c r="Z4693" s="1" t="s">
        <v>37</v>
      </c>
    </row>
    <row r="4694" hidden="1">
      <c r="A4694" s="1" t="s">
        <v>13234</v>
      </c>
      <c r="B4694" s="1" t="s">
        <v>1144</v>
      </c>
      <c r="C4694" s="1" t="s">
        <v>13235</v>
      </c>
      <c r="D4694" s="1" t="s">
        <v>78</v>
      </c>
      <c r="E4694" s="1" t="s">
        <v>28</v>
      </c>
      <c r="F4694" s="2">
        <v>100000.0</v>
      </c>
      <c r="G4694" s="1" t="s">
        <v>779</v>
      </c>
      <c r="H4694" s="4">
        <f>IFERROR(__xludf.DUMMYFUNCTION("DATE(INDEX(SPLIT(G4694,""/""),,3),INDEX(SPLIT(G4694,""/""),,2),INDEX(SPLIT(G4694,""/""),,1))"),44734.0)</f>
        <v>44734</v>
      </c>
      <c r="I4694" s="1" t="s">
        <v>42</v>
      </c>
      <c r="J4694" s="4">
        <f>IFERROR(__xludf.DUMMYFUNCTION("DATE(INDEX(SPLIT(I4694,""/""),,3),INDEX(SPLIT(I4694,""/""),,2),INDEX(SPLIT(I4694,""/""),,1))"),44926.0)</f>
        <v>44926</v>
      </c>
      <c r="L4694" s="1">
        <v>0.0</v>
      </c>
      <c r="M4694" s="1" t="s">
        <v>7780</v>
      </c>
      <c r="N4694" s="1"/>
      <c r="O4694" s="1" t="s">
        <v>30</v>
      </c>
      <c r="P4694" s="1" t="s">
        <v>31</v>
      </c>
      <c r="Q4694" s="1" t="s">
        <v>157</v>
      </c>
      <c r="R4694" s="1" t="s">
        <v>157</v>
      </c>
      <c r="S4694" s="1" t="s">
        <v>158</v>
      </c>
      <c r="U4694" s="1">
        <v>1.00644077E8</v>
      </c>
      <c r="X4694" s="1" t="s">
        <v>63</v>
      </c>
      <c r="Y4694" s="1" t="s">
        <v>1147</v>
      </c>
      <c r="Z4694" s="1" t="s">
        <v>37</v>
      </c>
    </row>
    <row r="4695" hidden="1">
      <c r="A4695" s="1" t="s">
        <v>13236</v>
      </c>
      <c r="B4695" s="1" t="s">
        <v>177</v>
      </c>
      <c r="C4695" s="1" t="s">
        <v>13237</v>
      </c>
      <c r="D4695" s="1" t="s">
        <v>27</v>
      </c>
      <c r="E4695" s="1" t="s">
        <v>28</v>
      </c>
      <c r="F4695" s="2">
        <v>100000.0</v>
      </c>
      <c r="G4695" s="4">
        <v>44870.0</v>
      </c>
      <c r="H4695" s="4">
        <f>IFERROR(__xludf.DUMMYFUNCTION("DATE(INDEX(SPLIT(G4695,""/""),,3),INDEX(SPLIT(G4695,""/""),,2),INDEX(SPLIT(G4695,""/""),,1))"),44692.0)</f>
        <v>44692</v>
      </c>
      <c r="I4695" s="1" t="s">
        <v>130</v>
      </c>
      <c r="J4695" s="4">
        <f>IFERROR(__xludf.DUMMYFUNCTION("DATE(INDEX(SPLIT(I4695,""/""),,3),INDEX(SPLIT(I4695,""/""),,2),INDEX(SPLIT(I4695,""/""),,1))"),44804.0)</f>
        <v>44804</v>
      </c>
      <c r="L4695" s="1">
        <v>0.0</v>
      </c>
      <c r="M4695" s="1" t="s">
        <v>2623</v>
      </c>
      <c r="N4695" s="1"/>
      <c r="O4695" s="1" t="s">
        <v>30</v>
      </c>
      <c r="P4695" s="1" t="s">
        <v>31</v>
      </c>
      <c r="Q4695" s="1" t="s">
        <v>71</v>
      </c>
      <c r="R4695" s="1" t="s">
        <v>71</v>
      </c>
      <c r="S4695" s="1" t="s">
        <v>72</v>
      </c>
      <c r="T4695" s="1" t="s">
        <v>73</v>
      </c>
      <c r="U4695" s="1">
        <v>1.00618842E8</v>
      </c>
      <c r="X4695" s="1" t="s">
        <v>74</v>
      </c>
      <c r="Y4695" s="1" t="s">
        <v>2623</v>
      </c>
      <c r="Z4695" s="1" t="s">
        <v>37</v>
      </c>
    </row>
    <row r="4696" hidden="1">
      <c r="A4696" s="1" t="s">
        <v>13238</v>
      </c>
      <c r="B4696" s="1" t="s">
        <v>13239</v>
      </c>
      <c r="C4696" s="1" t="s">
        <v>13240</v>
      </c>
      <c r="D4696" s="1" t="s">
        <v>78</v>
      </c>
      <c r="E4696" s="1" t="s">
        <v>28</v>
      </c>
      <c r="F4696" s="2">
        <v>100000.0</v>
      </c>
      <c r="G4696" s="1" t="s">
        <v>13241</v>
      </c>
      <c r="H4696" s="4">
        <f>IFERROR(__xludf.DUMMYFUNCTION("DATE(INDEX(SPLIT(G4696,""/""),,3),INDEX(SPLIT(G4696,""/""),,2),INDEX(SPLIT(G4696,""/""),,1))"),42114.0)</f>
        <v>42114</v>
      </c>
      <c r="I4696" s="1" t="s">
        <v>42</v>
      </c>
      <c r="J4696" s="4">
        <f>IFERROR(__xludf.DUMMYFUNCTION("DATE(INDEX(SPLIT(I4696,""/""),,3),INDEX(SPLIT(I4696,""/""),,2),INDEX(SPLIT(I4696,""/""),,1))"),44926.0)</f>
        <v>44926</v>
      </c>
      <c r="L4696" s="1">
        <v>0.0</v>
      </c>
      <c r="M4696" s="1" t="s">
        <v>11533</v>
      </c>
      <c r="N4696" s="1"/>
      <c r="O4696" s="1" t="s">
        <v>30</v>
      </c>
      <c r="P4696" s="1" t="s">
        <v>31</v>
      </c>
      <c r="Q4696" s="1" t="s">
        <v>235</v>
      </c>
      <c r="R4696" s="1" t="s">
        <v>235</v>
      </c>
      <c r="S4696" s="1" t="s">
        <v>236</v>
      </c>
      <c r="T4696" s="1" t="s">
        <v>13242</v>
      </c>
      <c r="U4696" s="1">
        <v>1.00608282E8</v>
      </c>
      <c r="X4696" s="1" t="s">
        <v>2769</v>
      </c>
      <c r="Y4696" s="1" t="s">
        <v>13243</v>
      </c>
      <c r="Z4696" s="1" t="s">
        <v>37</v>
      </c>
    </row>
    <row r="4697">
      <c r="A4697" s="1" t="s">
        <v>13244</v>
      </c>
      <c r="B4697" s="1" t="s">
        <v>13245</v>
      </c>
      <c r="C4697" s="1" t="s">
        <v>13246</v>
      </c>
      <c r="D4697" s="1" t="s">
        <v>78</v>
      </c>
      <c r="E4697" s="1" t="s">
        <v>28</v>
      </c>
      <c r="F4697" s="2">
        <v>100000.0</v>
      </c>
      <c r="G4697" s="1" t="s">
        <v>13247</v>
      </c>
      <c r="H4697" s="4">
        <f>IFERROR(__xludf.DUMMYFUNCTION("DATE(INDEX(SPLIT(G4697,""/""),,3),INDEX(SPLIT(G4697,""/""),,2),INDEX(SPLIT(G4697,""/""),,1))"),43782.0)</f>
        <v>43782</v>
      </c>
      <c r="I4697" s="1" t="s">
        <v>226</v>
      </c>
      <c r="J4697" s="4">
        <f>IFERROR(__xludf.DUMMYFUNCTION("DATE(INDEX(SPLIT(I4697,""/""),,3),INDEX(SPLIT(I4697,""/""),,2),INDEX(SPLIT(I4697,""/""),,1))"),44771.0)</f>
        <v>44771</v>
      </c>
      <c r="L4697" s="1">
        <v>0.0</v>
      </c>
      <c r="M4697" s="1" t="s">
        <v>2696</v>
      </c>
      <c r="N4697" s="1"/>
      <c r="O4697" s="1" t="s">
        <v>30</v>
      </c>
      <c r="P4697" s="1" t="s">
        <v>31</v>
      </c>
      <c r="Q4697" s="1" t="s">
        <v>157</v>
      </c>
      <c r="R4697" s="1" t="s">
        <v>157</v>
      </c>
      <c r="S4697" s="1" t="s">
        <v>158</v>
      </c>
      <c r="T4697" s="1" t="s">
        <v>8712</v>
      </c>
      <c r="U4697" s="1">
        <v>1.00611351E8</v>
      </c>
      <c r="X4697" s="1" t="s">
        <v>88</v>
      </c>
      <c r="Y4697" s="1" t="s">
        <v>3016</v>
      </c>
      <c r="Z4697" s="1" t="s">
        <v>37</v>
      </c>
    </row>
    <row r="4698" hidden="1">
      <c r="A4698" s="1" t="s">
        <v>13248</v>
      </c>
      <c r="B4698" s="1" t="s">
        <v>13249</v>
      </c>
      <c r="C4698" s="1" t="s">
        <v>13250</v>
      </c>
      <c r="D4698" s="1" t="s">
        <v>27</v>
      </c>
      <c r="E4698" s="1" t="s">
        <v>28</v>
      </c>
      <c r="F4698" s="2">
        <v>100000.0</v>
      </c>
      <c r="G4698" s="4">
        <v>44682.0</v>
      </c>
      <c r="H4698" s="4">
        <f>IFERROR(__xludf.DUMMYFUNCTION("DATE(INDEX(SPLIT(G4698,""/""),,3),INDEX(SPLIT(G4698,""/""),,2),INDEX(SPLIT(G4698,""/""),,1))"),44566.0)</f>
        <v>44566</v>
      </c>
      <c r="I4698" s="1" t="s">
        <v>42</v>
      </c>
      <c r="J4698" s="4">
        <f>IFERROR(__xludf.DUMMYFUNCTION("DATE(INDEX(SPLIT(I4698,""/""),,3),INDEX(SPLIT(I4698,""/""),,2),INDEX(SPLIT(I4698,""/""),,1))"),44926.0)</f>
        <v>44926</v>
      </c>
      <c r="L4698" s="1">
        <v>0.0</v>
      </c>
      <c r="M4698" s="1" t="s">
        <v>11638</v>
      </c>
      <c r="N4698" s="1"/>
      <c r="O4698" s="1" t="s">
        <v>30</v>
      </c>
      <c r="P4698" s="1" t="s">
        <v>31</v>
      </c>
      <c r="Q4698" s="1" t="s">
        <v>228</v>
      </c>
      <c r="R4698" s="1" t="s">
        <v>228</v>
      </c>
      <c r="S4698" s="1" t="s">
        <v>229</v>
      </c>
      <c r="T4698" s="1" t="s">
        <v>513</v>
      </c>
      <c r="U4698" s="1">
        <v>1.00592873E8</v>
      </c>
      <c r="X4698" s="1" t="s">
        <v>98</v>
      </c>
      <c r="Y4698" s="1" t="s">
        <v>11638</v>
      </c>
      <c r="Z4698" s="1" t="s">
        <v>206</v>
      </c>
    </row>
    <row r="4699" hidden="1">
      <c r="A4699" s="1" t="s">
        <v>13251</v>
      </c>
      <c r="B4699" s="1" t="s">
        <v>612</v>
      </c>
      <c r="C4699" s="1" t="s">
        <v>13252</v>
      </c>
      <c r="D4699" s="1" t="s">
        <v>27</v>
      </c>
      <c r="E4699" s="1" t="s">
        <v>28</v>
      </c>
      <c r="F4699" s="2">
        <v>100000.0</v>
      </c>
      <c r="G4699" s="1" t="s">
        <v>1674</v>
      </c>
      <c r="H4699" s="4">
        <f>IFERROR(__xludf.DUMMYFUNCTION("DATE(INDEX(SPLIT(G4699,""/""),,3),INDEX(SPLIT(G4699,""/""),,2),INDEX(SPLIT(G4699,""/""),,1))"),44617.0)</f>
        <v>44617</v>
      </c>
      <c r="I4699" s="1" t="s">
        <v>109</v>
      </c>
      <c r="J4699" s="4">
        <f>IFERROR(__xludf.DUMMYFUNCTION("DATE(INDEX(SPLIT(I4699,""/""),,3),INDEX(SPLIT(I4699,""/""),,2),INDEX(SPLIT(I4699,""/""),,1))"),44834.0)</f>
        <v>44834</v>
      </c>
      <c r="L4699" s="1">
        <v>0.0</v>
      </c>
      <c r="M4699" s="1" t="s">
        <v>1649</v>
      </c>
      <c r="N4699" s="1"/>
      <c r="O4699" s="1" t="s">
        <v>30</v>
      </c>
      <c r="P4699" s="1" t="s">
        <v>31</v>
      </c>
      <c r="Q4699" s="1" t="s">
        <v>157</v>
      </c>
      <c r="R4699" s="1" t="s">
        <v>157</v>
      </c>
      <c r="S4699" s="1" t="s">
        <v>158</v>
      </c>
      <c r="T4699" s="1" t="s">
        <v>442</v>
      </c>
      <c r="U4699" s="1">
        <v>1.00643454E8</v>
      </c>
      <c r="X4699" s="1" t="s">
        <v>490</v>
      </c>
      <c r="Y4699" s="1" t="s">
        <v>1649</v>
      </c>
      <c r="Z4699" s="1" t="s">
        <v>37</v>
      </c>
    </row>
    <row r="4700" hidden="1">
      <c r="A4700" s="1" t="s">
        <v>13253</v>
      </c>
      <c r="B4700" s="1" t="s">
        <v>4361</v>
      </c>
      <c r="C4700" s="1" t="s">
        <v>13254</v>
      </c>
      <c r="D4700" s="1" t="s">
        <v>27</v>
      </c>
      <c r="E4700" s="1" t="s">
        <v>28</v>
      </c>
      <c r="F4700" s="2">
        <v>100000.0</v>
      </c>
      <c r="G4700" s="1" t="s">
        <v>1467</v>
      </c>
      <c r="H4700" s="4">
        <f>IFERROR(__xludf.DUMMYFUNCTION("DATE(INDEX(SPLIT(G4700,""/""),,3),INDEX(SPLIT(G4700,""/""),,2),INDEX(SPLIT(G4700,""/""),,1))"),44396.0)</f>
        <v>44396</v>
      </c>
      <c r="I4700" s="1" t="s">
        <v>42</v>
      </c>
      <c r="J4700" s="4">
        <f>IFERROR(__xludf.DUMMYFUNCTION("DATE(INDEX(SPLIT(I4700,""/""),,3),INDEX(SPLIT(I4700,""/""),,2),INDEX(SPLIT(I4700,""/""),,1))"),44926.0)</f>
        <v>44926</v>
      </c>
      <c r="L4700" s="1">
        <v>0.0</v>
      </c>
      <c r="M4700" s="1" t="s">
        <v>9922</v>
      </c>
      <c r="N4700" s="1"/>
      <c r="O4700" s="1" t="s">
        <v>30</v>
      </c>
      <c r="P4700" s="1" t="s">
        <v>31</v>
      </c>
      <c r="Q4700" s="1" t="s">
        <v>228</v>
      </c>
      <c r="R4700" s="1" t="s">
        <v>228</v>
      </c>
      <c r="S4700" s="1" t="s">
        <v>229</v>
      </c>
      <c r="T4700" s="1" t="s">
        <v>513</v>
      </c>
      <c r="U4700" s="1">
        <v>1.00609628E8</v>
      </c>
      <c r="X4700" s="1" t="s">
        <v>63</v>
      </c>
      <c r="Y4700" s="1" t="s">
        <v>12703</v>
      </c>
      <c r="Z4700" s="1" t="s">
        <v>37</v>
      </c>
    </row>
    <row r="4701" hidden="1">
      <c r="A4701" s="1" t="s">
        <v>13255</v>
      </c>
      <c r="B4701" s="1" t="s">
        <v>981</v>
      </c>
      <c r="C4701" s="1" t="s">
        <v>13256</v>
      </c>
      <c r="D4701" s="1" t="s">
        <v>27</v>
      </c>
      <c r="E4701" s="1" t="s">
        <v>28</v>
      </c>
      <c r="F4701" s="2">
        <v>100000.0</v>
      </c>
      <c r="G4701" s="4">
        <v>44626.0</v>
      </c>
      <c r="H4701" s="4">
        <f>IFERROR(__xludf.DUMMYFUNCTION("DATE(INDEX(SPLIT(G4701,""/""),,3),INDEX(SPLIT(G4701,""/""),,2),INDEX(SPLIT(G4701,""/""),,1))"),44715.0)</f>
        <v>44715</v>
      </c>
      <c r="I4701" s="1" t="s">
        <v>1097</v>
      </c>
      <c r="J4701" s="4">
        <f>IFERROR(__xludf.DUMMYFUNCTION("DATE(INDEX(SPLIT(I4701,""/""),,3),INDEX(SPLIT(I4701,""/""),,2),INDEX(SPLIT(I4701,""/""),,1))"),45107.0)</f>
        <v>45107</v>
      </c>
      <c r="L4701" s="1">
        <v>0.0</v>
      </c>
      <c r="M4701" s="1" t="s">
        <v>536</v>
      </c>
      <c r="N4701" s="1"/>
      <c r="O4701" s="1" t="s">
        <v>30</v>
      </c>
      <c r="P4701" s="1" t="s">
        <v>31</v>
      </c>
      <c r="Q4701" s="1" t="s">
        <v>188</v>
      </c>
      <c r="R4701" s="1" t="s">
        <v>188</v>
      </c>
      <c r="S4701" s="1" t="s">
        <v>189</v>
      </c>
      <c r="T4701" s="1" t="s">
        <v>1386</v>
      </c>
      <c r="U4701" s="1">
        <v>1.00620711E8</v>
      </c>
      <c r="X4701" s="1" t="s">
        <v>490</v>
      </c>
      <c r="Y4701" s="1" t="s">
        <v>985</v>
      </c>
      <c r="Z4701" s="1" t="s">
        <v>37</v>
      </c>
    </row>
    <row r="4702" hidden="1">
      <c r="A4702" s="1" t="s">
        <v>13257</v>
      </c>
      <c r="B4702" s="1" t="s">
        <v>784</v>
      </c>
      <c r="C4702" s="1" t="s">
        <v>13258</v>
      </c>
      <c r="D4702" s="1" t="s">
        <v>78</v>
      </c>
      <c r="E4702" s="1" t="s">
        <v>28</v>
      </c>
      <c r="F4702" s="2">
        <v>100000.0</v>
      </c>
      <c r="G4702" s="1" t="s">
        <v>624</v>
      </c>
      <c r="H4702" s="4">
        <f>IFERROR(__xludf.DUMMYFUNCTION("DATE(INDEX(SPLIT(G4702,""/""),,3),INDEX(SPLIT(G4702,""/""),,2),INDEX(SPLIT(G4702,""/""),,1))"),44642.0)</f>
        <v>44642</v>
      </c>
      <c r="I4702" s="1" t="s">
        <v>130</v>
      </c>
      <c r="J4702" s="4">
        <f>IFERROR(__xludf.DUMMYFUNCTION("DATE(INDEX(SPLIT(I4702,""/""),,3),INDEX(SPLIT(I4702,""/""),,2),INDEX(SPLIT(I4702,""/""),,1))"),44804.0)</f>
        <v>44804</v>
      </c>
      <c r="L4702" s="1">
        <v>0.0</v>
      </c>
      <c r="M4702" s="1" t="s">
        <v>2067</v>
      </c>
      <c r="N4702" s="1"/>
      <c r="O4702" s="1" t="s">
        <v>30</v>
      </c>
      <c r="P4702" s="1" t="s">
        <v>31</v>
      </c>
      <c r="Q4702" s="1" t="s">
        <v>95</v>
      </c>
      <c r="R4702" s="1" t="s">
        <v>95</v>
      </c>
      <c r="S4702" s="1" t="s">
        <v>96</v>
      </c>
      <c r="T4702" s="1" t="s">
        <v>111</v>
      </c>
      <c r="U4702" s="1">
        <v>1.00631322E8</v>
      </c>
      <c r="X4702" s="1" t="s">
        <v>63</v>
      </c>
      <c r="Y4702" s="1" t="s">
        <v>7026</v>
      </c>
      <c r="Z4702" s="1" t="s">
        <v>37</v>
      </c>
    </row>
    <row r="4703">
      <c r="A4703" s="1" t="s">
        <v>13259</v>
      </c>
      <c r="B4703" s="1" t="s">
        <v>2009</v>
      </c>
      <c r="C4703" s="1" t="s">
        <v>13260</v>
      </c>
      <c r="D4703" s="1" t="s">
        <v>27</v>
      </c>
      <c r="E4703" s="1" t="s">
        <v>28</v>
      </c>
      <c r="F4703" s="2">
        <v>100000.0</v>
      </c>
      <c r="G4703" s="1" t="s">
        <v>4423</v>
      </c>
      <c r="H4703" s="4">
        <f>IFERROR(__xludf.DUMMYFUNCTION("DATE(INDEX(SPLIT(G4703,""/""),,3),INDEX(SPLIT(G4703,""/""),,2),INDEX(SPLIT(G4703,""/""),,1))"),44337.0)</f>
        <v>44337</v>
      </c>
      <c r="I4703" s="1" t="s">
        <v>1244</v>
      </c>
      <c r="J4703" s="4">
        <f>IFERROR(__xludf.DUMMYFUNCTION("DATE(INDEX(SPLIT(I4703,""/""),,3),INDEX(SPLIT(I4703,""/""),,2),INDEX(SPLIT(I4703,""/""),,1))"),44742.0)</f>
        <v>44742</v>
      </c>
      <c r="L4703" s="1">
        <v>0.0</v>
      </c>
      <c r="M4703" s="1" t="s">
        <v>3580</v>
      </c>
      <c r="N4703" s="1"/>
      <c r="O4703" s="1" t="s">
        <v>30</v>
      </c>
      <c r="P4703" s="1" t="s">
        <v>31</v>
      </c>
      <c r="Q4703" s="1" t="s">
        <v>157</v>
      </c>
      <c r="R4703" s="1" t="s">
        <v>157</v>
      </c>
      <c r="S4703" s="1" t="s">
        <v>158</v>
      </c>
      <c r="T4703" s="1" t="s">
        <v>237</v>
      </c>
      <c r="U4703" s="1">
        <v>1.00956516E8</v>
      </c>
      <c r="X4703" s="1" t="s">
        <v>239</v>
      </c>
      <c r="Y4703" s="1" t="s">
        <v>13261</v>
      </c>
      <c r="Z4703" s="1" t="s">
        <v>37</v>
      </c>
    </row>
    <row r="4704" hidden="1">
      <c r="A4704" s="1" t="s">
        <v>13262</v>
      </c>
      <c r="B4704" s="1" t="s">
        <v>1192</v>
      </c>
      <c r="C4704" s="1" t="s">
        <v>13263</v>
      </c>
      <c r="D4704" s="1" t="s">
        <v>27</v>
      </c>
      <c r="E4704" s="1" t="s">
        <v>28</v>
      </c>
      <c r="F4704" s="2">
        <v>100000.0</v>
      </c>
      <c r="G4704" s="1" t="s">
        <v>1674</v>
      </c>
      <c r="H4704" s="4">
        <f>IFERROR(__xludf.DUMMYFUNCTION("DATE(INDEX(SPLIT(G4704,""/""),,3),INDEX(SPLIT(G4704,""/""),,2),INDEX(SPLIT(G4704,""/""),,1))"),44617.0)</f>
        <v>44617</v>
      </c>
      <c r="I4704" s="1" t="s">
        <v>134</v>
      </c>
      <c r="J4704" s="4">
        <f>IFERROR(__xludf.DUMMYFUNCTION("DATE(INDEX(SPLIT(I4704,""/""),,3),INDEX(SPLIT(I4704,""/""),,2),INDEX(SPLIT(I4704,""/""),,1))"),44792.0)</f>
        <v>44792</v>
      </c>
      <c r="L4704" s="1">
        <v>0.0</v>
      </c>
      <c r="M4704" s="1" t="s">
        <v>1194</v>
      </c>
      <c r="N4704" s="1"/>
      <c r="O4704" s="1" t="s">
        <v>30</v>
      </c>
      <c r="P4704" s="1" t="s">
        <v>31</v>
      </c>
      <c r="Q4704" s="1" t="s">
        <v>32</v>
      </c>
      <c r="R4704" s="1" t="s">
        <v>32</v>
      </c>
      <c r="S4704" s="1" t="s">
        <v>33</v>
      </c>
      <c r="T4704" s="1" t="s">
        <v>1195</v>
      </c>
      <c r="U4704" s="1">
        <v>1.00586863E8</v>
      </c>
      <c r="X4704" s="1" t="s">
        <v>125</v>
      </c>
      <c r="Y4704" s="1" t="s">
        <v>2576</v>
      </c>
      <c r="Z4704" s="1" t="s">
        <v>37</v>
      </c>
    </row>
    <row r="4705" hidden="1">
      <c r="A4705" s="1" t="s">
        <v>13264</v>
      </c>
      <c r="B4705" s="1" t="s">
        <v>923</v>
      </c>
      <c r="C4705" s="1" t="s">
        <v>13265</v>
      </c>
      <c r="D4705" s="1" t="s">
        <v>27</v>
      </c>
      <c r="E4705" s="1" t="s">
        <v>28</v>
      </c>
      <c r="F4705" s="2">
        <v>100000.0</v>
      </c>
      <c r="G4705" s="4">
        <v>44208.0</v>
      </c>
      <c r="H4705" s="4">
        <f>IFERROR(__xludf.DUMMYFUNCTION("DATE(INDEX(SPLIT(G4705,""/""),,3),INDEX(SPLIT(G4705,""/""),,2),INDEX(SPLIT(G4705,""/""),,1))"),44531.0)</f>
        <v>44531</v>
      </c>
      <c r="I4705" s="4">
        <v>44571.0</v>
      </c>
      <c r="J4705" s="4">
        <f>IFERROR(__xludf.DUMMYFUNCTION("DATE(INDEX(SPLIT(I4705,""/""),,3),INDEX(SPLIT(I4705,""/""),,2),INDEX(SPLIT(I4705,""/""),,1))"),44835.0)</f>
        <v>44835</v>
      </c>
      <c r="L4705" s="1">
        <v>0.0</v>
      </c>
      <c r="M4705" s="1" t="s">
        <v>914</v>
      </c>
      <c r="N4705" s="1"/>
      <c r="O4705" s="1" t="s">
        <v>30</v>
      </c>
      <c r="P4705" s="1" t="s">
        <v>31</v>
      </c>
      <c r="Q4705" s="1" t="s">
        <v>71</v>
      </c>
      <c r="R4705" s="1" t="s">
        <v>71</v>
      </c>
      <c r="S4705" s="1" t="s">
        <v>72</v>
      </c>
      <c r="T4705" s="1" t="s">
        <v>136</v>
      </c>
      <c r="U4705" s="1">
        <v>1.01033479E8</v>
      </c>
      <c r="X4705" s="1" t="s">
        <v>74</v>
      </c>
      <c r="Y4705" s="1" t="s">
        <v>913</v>
      </c>
      <c r="Z4705" s="1" t="s">
        <v>37</v>
      </c>
    </row>
    <row r="4706" hidden="1">
      <c r="A4706" s="1" t="s">
        <v>13266</v>
      </c>
      <c r="B4706" s="1" t="s">
        <v>889</v>
      </c>
      <c r="C4706" s="1" t="s">
        <v>13267</v>
      </c>
      <c r="D4706" s="1" t="s">
        <v>27</v>
      </c>
      <c r="E4706" s="1" t="s">
        <v>28</v>
      </c>
      <c r="F4706" s="2">
        <v>100000.0</v>
      </c>
      <c r="G4706" s="1" t="s">
        <v>5109</v>
      </c>
      <c r="H4706" s="4">
        <f>IFERROR(__xludf.DUMMYFUNCTION("DATE(INDEX(SPLIT(G4706,""/""),,3),INDEX(SPLIT(G4706,""/""),,2),INDEX(SPLIT(G4706,""/""),,1))"),44222.0)</f>
        <v>44222</v>
      </c>
      <c r="I4706" s="1" t="s">
        <v>130</v>
      </c>
      <c r="J4706" s="4">
        <f>IFERROR(__xludf.DUMMYFUNCTION("DATE(INDEX(SPLIT(I4706,""/""),,3),INDEX(SPLIT(I4706,""/""),,2),INDEX(SPLIT(I4706,""/""),,1))"),44804.0)</f>
        <v>44804</v>
      </c>
      <c r="L4706" s="1">
        <v>0.0</v>
      </c>
      <c r="M4706" s="1" t="s">
        <v>2510</v>
      </c>
      <c r="N4706" s="1"/>
      <c r="O4706" s="1" t="s">
        <v>30</v>
      </c>
      <c r="P4706" s="1" t="s">
        <v>31</v>
      </c>
      <c r="Q4706" s="1" t="s">
        <v>157</v>
      </c>
      <c r="R4706" s="1" t="s">
        <v>157</v>
      </c>
      <c r="S4706" s="1" t="s">
        <v>158</v>
      </c>
      <c r="T4706" s="1" t="s">
        <v>442</v>
      </c>
      <c r="U4706" s="1">
        <v>1.00634919E8</v>
      </c>
      <c r="X4706" s="1" t="s">
        <v>125</v>
      </c>
      <c r="Y4706" s="1" t="s">
        <v>13268</v>
      </c>
      <c r="Z4706" s="1" t="s">
        <v>37</v>
      </c>
    </row>
    <row r="4707">
      <c r="A4707" s="1" t="s">
        <v>13269</v>
      </c>
      <c r="B4707" s="1" t="s">
        <v>4782</v>
      </c>
      <c r="C4707" s="1" t="s">
        <v>13270</v>
      </c>
      <c r="D4707" s="1" t="s">
        <v>122</v>
      </c>
      <c r="E4707" s="1" t="s">
        <v>28</v>
      </c>
      <c r="F4707" s="2">
        <v>100000.0</v>
      </c>
      <c r="G4707" s="4">
        <v>44625.0</v>
      </c>
      <c r="H4707" s="4">
        <f>IFERROR(__xludf.DUMMYFUNCTION("DATE(INDEX(SPLIT(G4707,""/""),,3),INDEX(SPLIT(G4707,""/""),,2),INDEX(SPLIT(G4707,""/""),,1))"),44684.0)</f>
        <v>44684</v>
      </c>
      <c r="I4707" s="1" t="s">
        <v>2300</v>
      </c>
      <c r="J4707" s="4">
        <f>IFERROR(__xludf.DUMMYFUNCTION("DATE(INDEX(SPLIT(I4707,""/""),,3),INDEX(SPLIT(I4707,""/""),,2),INDEX(SPLIT(I4707,""/""),,1))"),44712.0)</f>
        <v>44712</v>
      </c>
      <c r="L4707" s="1">
        <v>0.0</v>
      </c>
      <c r="M4707" s="1" t="s">
        <v>1828</v>
      </c>
      <c r="N4707" s="1"/>
      <c r="O4707" s="1" t="s">
        <v>30</v>
      </c>
      <c r="P4707" s="1" t="s">
        <v>31</v>
      </c>
      <c r="Q4707" s="1" t="s">
        <v>235</v>
      </c>
      <c r="R4707" s="1" t="s">
        <v>235</v>
      </c>
      <c r="S4707" s="1" t="s">
        <v>236</v>
      </c>
      <c r="T4707" s="1" t="s">
        <v>1349</v>
      </c>
      <c r="U4707" s="1">
        <v>1.00593918E8</v>
      </c>
      <c r="X4707" s="1" t="s">
        <v>375</v>
      </c>
      <c r="Y4707" s="1" t="s">
        <v>1350</v>
      </c>
      <c r="Z4707" s="1" t="s">
        <v>37</v>
      </c>
    </row>
    <row r="4708">
      <c r="A4708" s="1" t="s">
        <v>13271</v>
      </c>
      <c r="B4708" s="1" t="s">
        <v>13272</v>
      </c>
      <c r="C4708" s="1" t="s">
        <v>13273</v>
      </c>
      <c r="D4708" s="1" t="s">
        <v>122</v>
      </c>
      <c r="E4708" s="1" t="s">
        <v>28</v>
      </c>
      <c r="F4708" s="2">
        <v>100000.0</v>
      </c>
      <c r="G4708" s="4">
        <v>44810.0</v>
      </c>
      <c r="H4708" s="4">
        <f>IFERROR(__xludf.DUMMYFUNCTION("DATE(INDEX(SPLIT(G4708,""/""),,3),INDEX(SPLIT(G4708,""/""),,2),INDEX(SPLIT(G4708,""/""),,1))"),44721.0)</f>
        <v>44721</v>
      </c>
      <c r="I4708" s="1" t="s">
        <v>1244</v>
      </c>
      <c r="J4708" s="4">
        <f>IFERROR(__xludf.DUMMYFUNCTION("DATE(INDEX(SPLIT(I4708,""/""),,3),INDEX(SPLIT(I4708,""/""),,2),INDEX(SPLIT(I4708,""/""),,1))"),44742.0)</f>
        <v>44742</v>
      </c>
      <c r="L4708" s="1">
        <v>0.0</v>
      </c>
      <c r="M4708" s="1" t="s">
        <v>2371</v>
      </c>
      <c r="N4708" s="1"/>
      <c r="O4708" s="1" t="s">
        <v>30</v>
      </c>
      <c r="P4708" s="1" t="s">
        <v>31</v>
      </c>
      <c r="Q4708" s="1" t="s">
        <v>53</v>
      </c>
      <c r="R4708" s="1" t="s">
        <v>53</v>
      </c>
      <c r="S4708" s="1" t="s">
        <v>54</v>
      </c>
      <c r="T4708" s="1" t="s">
        <v>2372</v>
      </c>
      <c r="U4708" s="1">
        <v>1.00649936E8</v>
      </c>
      <c r="X4708" s="1" t="s">
        <v>239</v>
      </c>
      <c r="Y4708" s="1" t="s">
        <v>13274</v>
      </c>
      <c r="Z4708" s="1" t="s">
        <v>37</v>
      </c>
    </row>
    <row r="4709" hidden="1">
      <c r="A4709" s="1" t="s">
        <v>13275</v>
      </c>
      <c r="B4709" s="1" t="s">
        <v>889</v>
      </c>
      <c r="C4709" s="1" t="s">
        <v>13276</v>
      </c>
      <c r="D4709" s="1" t="s">
        <v>27</v>
      </c>
      <c r="E4709" s="1" t="s">
        <v>28</v>
      </c>
      <c r="F4709" s="2">
        <v>100000.0</v>
      </c>
      <c r="G4709" s="4">
        <v>44594.0</v>
      </c>
      <c r="H4709" s="4">
        <f>IFERROR(__xludf.DUMMYFUNCTION("DATE(INDEX(SPLIT(G4709,""/""),,3),INDEX(SPLIT(G4709,""/""),,2),INDEX(SPLIT(G4709,""/""),,1))"),44594.0)</f>
        <v>44594</v>
      </c>
      <c r="I4709" s="1" t="s">
        <v>130</v>
      </c>
      <c r="J4709" s="4">
        <f>IFERROR(__xludf.DUMMYFUNCTION("DATE(INDEX(SPLIT(I4709,""/""),,3),INDEX(SPLIT(I4709,""/""),,2),INDEX(SPLIT(I4709,""/""),,1))"),44804.0)</f>
        <v>44804</v>
      </c>
      <c r="L4709" s="1">
        <v>0.0</v>
      </c>
      <c r="M4709" s="1" t="s">
        <v>587</v>
      </c>
      <c r="N4709" s="1"/>
      <c r="O4709" s="1" t="s">
        <v>30</v>
      </c>
      <c r="P4709" s="1" t="s">
        <v>31</v>
      </c>
      <c r="Q4709" s="1" t="s">
        <v>157</v>
      </c>
      <c r="R4709" s="1" t="s">
        <v>157</v>
      </c>
      <c r="S4709" s="1" t="s">
        <v>158</v>
      </c>
      <c r="T4709" s="1" t="s">
        <v>442</v>
      </c>
      <c r="U4709" s="1">
        <v>1.00700761E8</v>
      </c>
      <c r="X4709" s="1" t="s">
        <v>125</v>
      </c>
      <c r="Y4709" s="1" t="s">
        <v>847</v>
      </c>
      <c r="Z4709" s="1" t="s">
        <v>37</v>
      </c>
    </row>
    <row r="4710">
      <c r="A4710" s="1" t="s">
        <v>13277</v>
      </c>
      <c r="B4710" s="1" t="s">
        <v>377</v>
      </c>
      <c r="C4710" s="1" t="s">
        <v>13278</v>
      </c>
      <c r="D4710" s="1" t="s">
        <v>78</v>
      </c>
      <c r="E4710" s="1" t="s">
        <v>28</v>
      </c>
      <c r="F4710" s="2">
        <v>100000.0</v>
      </c>
      <c r="G4710" s="1" t="s">
        <v>3467</v>
      </c>
      <c r="H4710" s="4">
        <f>IFERROR(__xludf.DUMMYFUNCTION("DATE(INDEX(SPLIT(G4710,""/""),,3),INDEX(SPLIT(G4710,""/""),,2),INDEX(SPLIT(G4710,""/""),,1))"),44615.0)</f>
        <v>44615</v>
      </c>
      <c r="I4710" s="1" t="s">
        <v>226</v>
      </c>
      <c r="J4710" s="4">
        <f>IFERROR(__xludf.DUMMYFUNCTION("DATE(INDEX(SPLIT(I4710,""/""),,3),INDEX(SPLIT(I4710,""/""),,2),INDEX(SPLIT(I4710,""/""),,1))"),44771.0)</f>
        <v>44771</v>
      </c>
      <c r="L4710" s="1">
        <v>0.0</v>
      </c>
      <c r="M4710" s="1" t="s">
        <v>2147</v>
      </c>
      <c r="N4710" s="1"/>
      <c r="O4710" s="1" t="s">
        <v>30</v>
      </c>
      <c r="P4710" s="1" t="s">
        <v>31</v>
      </c>
      <c r="Q4710" s="1" t="s">
        <v>235</v>
      </c>
      <c r="R4710" s="1" t="s">
        <v>235</v>
      </c>
      <c r="S4710" s="1" t="s">
        <v>236</v>
      </c>
      <c r="T4710" s="1" t="s">
        <v>237</v>
      </c>
      <c r="U4710" s="1">
        <v>1.00647935E8</v>
      </c>
      <c r="X4710" s="1" t="s">
        <v>239</v>
      </c>
      <c r="Y4710" s="1" t="s">
        <v>2147</v>
      </c>
      <c r="Z4710" s="1" t="s">
        <v>37</v>
      </c>
    </row>
    <row r="4711" hidden="1">
      <c r="A4711" s="1" t="s">
        <v>13279</v>
      </c>
      <c r="B4711" s="1" t="s">
        <v>1748</v>
      </c>
      <c r="C4711" s="1" t="s">
        <v>13280</v>
      </c>
      <c r="D4711" s="1" t="s">
        <v>27</v>
      </c>
      <c r="E4711" s="1" t="s">
        <v>28</v>
      </c>
      <c r="F4711" s="2">
        <v>100000.0</v>
      </c>
      <c r="G4711" s="4">
        <v>44775.0</v>
      </c>
      <c r="H4711" s="4">
        <f>IFERROR(__xludf.DUMMYFUNCTION("DATE(INDEX(SPLIT(G4711,""/""),,3),INDEX(SPLIT(G4711,""/""),,2),INDEX(SPLIT(G4711,""/""),,1))"),44600.0)</f>
        <v>44600</v>
      </c>
      <c r="I4711" s="1" t="s">
        <v>3202</v>
      </c>
      <c r="J4711" s="4">
        <f>IFERROR(__xludf.DUMMYFUNCTION("DATE(INDEX(SPLIT(I4711,""/""),,3),INDEX(SPLIT(I4711,""/""),,2),INDEX(SPLIT(I4711,""/""),,1))"),44830.0)</f>
        <v>44830</v>
      </c>
      <c r="L4711" s="1">
        <v>0.0</v>
      </c>
      <c r="M4711" s="1" t="s">
        <v>6003</v>
      </c>
      <c r="N4711" s="1"/>
      <c r="O4711" s="1" t="s">
        <v>30</v>
      </c>
      <c r="P4711" s="1" t="s">
        <v>31</v>
      </c>
      <c r="Q4711" s="1" t="s">
        <v>235</v>
      </c>
      <c r="R4711" s="1" t="s">
        <v>235</v>
      </c>
      <c r="S4711" s="1" t="s">
        <v>236</v>
      </c>
      <c r="T4711" s="1" t="s">
        <v>753</v>
      </c>
      <c r="U4711" s="1">
        <v>1.00623535E8</v>
      </c>
      <c r="X4711" s="1" t="s">
        <v>88</v>
      </c>
      <c r="Y4711" s="1" t="s">
        <v>6003</v>
      </c>
      <c r="Z4711" s="1" t="s">
        <v>37</v>
      </c>
    </row>
    <row r="4712" hidden="1">
      <c r="A4712" s="1" t="s">
        <v>13281</v>
      </c>
      <c r="B4712" s="1" t="s">
        <v>13282</v>
      </c>
      <c r="C4712" s="1" t="s">
        <v>13283</v>
      </c>
      <c r="D4712" s="1" t="s">
        <v>27</v>
      </c>
      <c r="E4712" s="1" t="s">
        <v>28</v>
      </c>
      <c r="F4712" s="2">
        <v>100000.0</v>
      </c>
      <c r="G4712" s="1" t="s">
        <v>6249</v>
      </c>
      <c r="H4712" s="4">
        <f>IFERROR(__xludf.DUMMYFUNCTION("DATE(INDEX(SPLIT(G4712,""/""),,3),INDEX(SPLIT(G4712,""/""),,2),INDEX(SPLIT(G4712,""/""),,1))"),43887.0)</f>
        <v>43887</v>
      </c>
      <c r="I4712" s="4">
        <v>44933.0</v>
      </c>
      <c r="J4712" s="4">
        <f>IFERROR(__xludf.DUMMYFUNCTION("DATE(INDEX(SPLIT(I4712,""/""),,3),INDEX(SPLIT(I4712,""/""),,2),INDEX(SPLIT(I4712,""/""),,1))"),45108.0)</f>
        <v>45108</v>
      </c>
      <c r="L4712" s="1">
        <v>0.0</v>
      </c>
      <c r="M4712" s="1" t="s">
        <v>3573</v>
      </c>
      <c r="N4712" s="1"/>
      <c r="O4712" s="1" t="s">
        <v>30</v>
      </c>
      <c r="P4712" s="1" t="s">
        <v>31</v>
      </c>
      <c r="Q4712" s="1" t="s">
        <v>157</v>
      </c>
      <c r="R4712" s="1" t="s">
        <v>157</v>
      </c>
      <c r="S4712" s="1" t="s">
        <v>158</v>
      </c>
      <c r="T4712" s="1" t="s">
        <v>442</v>
      </c>
      <c r="U4712" s="1">
        <v>1.00651086E8</v>
      </c>
      <c r="X4712" s="1" t="s">
        <v>125</v>
      </c>
      <c r="Y4712" s="1" t="s">
        <v>3676</v>
      </c>
      <c r="Z4712" s="1" t="s">
        <v>37</v>
      </c>
    </row>
    <row r="4713" hidden="1">
      <c r="A4713" s="1" t="s">
        <v>13284</v>
      </c>
      <c r="B4713" s="1" t="s">
        <v>1971</v>
      </c>
      <c r="C4713" s="1" t="s">
        <v>13285</v>
      </c>
      <c r="D4713" s="1" t="s">
        <v>78</v>
      </c>
      <c r="E4713" s="1" t="s">
        <v>28</v>
      </c>
      <c r="F4713" s="2">
        <v>100000.0</v>
      </c>
      <c r="G4713" s="4">
        <v>44687.0</v>
      </c>
      <c r="H4713" s="4">
        <f>IFERROR(__xludf.DUMMYFUNCTION("DATE(INDEX(SPLIT(G4713,""/""),,3),INDEX(SPLIT(G4713,""/""),,2),INDEX(SPLIT(G4713,""/""),,1))"),44717.0)</f>
        <v>44717</v>
      </c>
      <c r="I4713" s="4">
        <v>44813.0</v>
      </c>
      <c r="J4713" s="4">
        <f>IFERROR(__xludf.DUMMYFUNCTION("DATE(INDEX(SPLIT(I4713,""/""),,3),INDEX(SPLIT(I4713,""/""),,2),INDEX(SPLIT(I4713,""/""),,1))"),44813.0)</f>
        <v>44813</v>
      </c>
      <c r="L4713" s="1">
        <v>0.0</v>
      </c>
      <c r="M4713" s="1" t="s">
        <v>79</v>
      </c>
      <c r="N4713" s="1"/>
      <c r="O4713" s="1" t="s">
        <v>30</v>
      </c>
      <c r="P4713" s="1" t="s">
        <v>31</v>
      </c>
      <c r="Q4713" s="1" t="s">
        <v>32</v>
      </c>
      <c r="R4713" s="1" t="s">
        <v>32</v>
      </c>
      <c r="S4713" s="1" t="s">
        <v>33</v>
      </c>
      <c r="U4713" s="1">
        <v>1.00609569E8</v>
      </c>
      <c r="X4713" s="1" t="s">
        <v>35</v>
      </c>
      <c r="Y4713" s="1" t="s">
        <v>79</v>
      </c>
      <c r="Z4713" s="1" t="s">
        <v>37</v>
      </c>
    </row>
    <row r="4714">
      <c r="A4714" s="1" t="s">
        <v>13286</v>
      </c>
      <c r="B4714" s="1" t="s">
        <v>434</v>
      </c>
      <c r="C4714" s="1" t="s">
        <v>13287</v>
      </c>
      <c r="D4714" s="1" t="s">
        <v>78</v>
      </c>
      <c r="E4714" s="1" t="s">
        <v>28</v>
      </c>
      <c r="F4714" s="2">
        <v>100000.0</v>
      </c>
      <c r="G4714" s="1" t="s">
        <v>429</v>
      </c>
      <c r="H4714" s="4">
        <f>IFERROR(__xludf.DUMMYFUNCTION("DATE(INDEX(SPLIT(G4714,""/""),,3),INDEX(SPLIT(G4714,""/""),,2),INDEX(SPLIT(G4714,""/""),,1))"),44739.0)</f>
        <v>44739</v>
      </c>
      <c r="I4714" s="1" t="s">
        <v>69</v>
      </c>
      <c r="J4714" s="4">
        <f>IFERROR(__xludf.DUMMYFUNCTION("DATE(INDEX(SPLIT(I4714,""/""),,3),INDEX(SPLIT(I4714,""/""),,2),INDEX(SPLIT(I4714,""/""),,1))"),44773.0)</f>
        <v>44773</v>
      </c>
      <c r="L4714" s="1">
        <v>0.0</v>
      </c>
      <c r="M4714" s="1" t="s">
        <v>2600</v>
      </c>
      <c r="N4714" s="1"/>
      <c r="O4714" s="1" t="s">
        <v>30</v>
      </c>
      <c r="P4714" s="1" t="s">
        <v>31</v>
      </c>
      <c r="Q4714" s="1" t="s">
        <v>32</v>
      </c>
      <c r="R4714" s="1" t="s">
        <v>32</v>
      </c>
      <c r="S4714" s="1" t="s">
        <v>33</v>
      </c>
      <c r="U4714" s="1">
        <v>1.00642238E8</v>
      </c>
      <c r="X4714" s="1" t="s">
        <v>88</v>
      </c>
      <c r="Y4714" s="1" t="s">
        <v>7107</v>
      </c>
      <c r="Z4714" s="1" t="s">
        <v>37</v>
      </c>
    </row>
    <row r="4715" hidden="1">
      <c r="A4715" s="1" t="s">
        <v>13288</v>
      </c>
      <c r="B4715" s="1" t="s">
        <v>1966</v>
      </c>
      <c r="C4715" s="1" t="s">
        <v>13289</v>
      </c>
      <c r="D4715" s="1" t="s">
        <v>27</v>
      </c>
      <c r="E4715" s="1" t="s">
        <v>28</v>
      </c>
      <c r="F4715" s="2">
        <v>100000.0</v>
      </c>
      <c r="G4715" s="4">
        <v>44564.0</v>
      </c>
      <c r="H4715" s="4">
        <f>IFERROR(__xludf.DUMMYFUNCTION("DATE(INDEX(SPLIT(G4715,""/""),,3),INDEX(SPLIT(G4715,""/""),,2),INDEX(SPLIT(G4715,""/""),,1))"),44621.0)</f>
        <v>44621</v>
      </c>
      <c r="I4715" s="4">
        <v>44630.0</v>
      </c>
      <c r="J4715" s="4">
        <f>IFERROR(__xludf.DUMMYFUNCTION("DATE(INDEX(SPLIT(I4715,""/""),,3),INDEX(SPLIT(I4715,""/""),,2),INDEX(SPLIT(I4715,""/""),,1))"),44837.0)</f>
        <v>44837</v>
      </c>
      <c r="L4715" s="1">
        <v>0.0</v>
      </c>
      <c r="M4715" s="1" t="s">
        <v>406</v>
      </c>
      <c r="N4715" s="1"/>
      <c r="O4715" s="1" t="s">
        <v>30</v>
      </c>
      <c r="P4715" s="1" t="s">
        <v>31</v>
      </c>
      <c r="Q4715" s="1" t="s">
        <v>32</v>
      </c>
      <c r="R4715" s="1" t="s">
        <v>32</v>
      </c>
      <c r="S4715" s="1" t="s">
        <v>33</v>
      </c>
      <c r="U4715" s="1">
        <v>1.00642129E8</v>
      </c>
      <c r="X4715" s="1" t="s">
        <v>125</v>
      </c>
      <c r="Y4715" s="1" t="s">
        <v>13090</v>
      </c>
      <c r="Z4715" s="1" t="s">
        <v>37</v>
      </c>
    </row>
    <row r="4716" hidden="1">
      <c r="A4716" s="1" t="s">
        <v>13290</v>
      </c>
      <c r="B4716" s="1" t="s">
        <v>1743</v>
      </c>
      <c r="C4716" s="1" t="s">
        <v>13291</v>
      </c>
      <c r="D4716" s="1" t="s">
        <v>27</v>
      </c>
      <c r="E4716" s="1" t="s">
        <v>28</v>
      </c>
      <c r="F4716" s="2">
        <v>100000.0</v>
      </c>
      <c r="G4716" s="4">
        <v>44266.0</v>
      </c>
      <c r="H4716" s="4">
        <f>IFERROR(__xludf.DUMMYFUNCTION("DATE(INDEX(SPLIT(G4716,""/""),,3),INDEX(SPLIT(G4716,""/""),,2),INDEX(SPLIT(G4716,""/""),,1))"),44503.0)</f>
        <v>44503</v>
      </c>
      <c r="I4716" s="1" t="s">
        <v>130</v>
      </c>
      <c r="J4716" s="4">
        <f>IFERROR(__xludf.DUMMYFUNCTION("DATE(INDEX(SPLIT(I4716,""/""),,3),INDEX(SPLIT(I4716,""/""),,2),INDEX(SPLIT(I4716,""/""),,1))"),44804.0)</f>
        <v>44804</v>
      </c>
      <c r="L4716" s="1">
        <v>0.0</v>
      </c>
      <c r="M4716" s="1" t="s">
        <v>10848</v>
      </c>
      <c r="N4716" s="1"/>
      <c r="O4716" s="1" t="s">
        <v>30</v>
      </c>
      <c r="P4716" s="1" t="s">
        <v>31</v>
      </c>
      <c r="Q4716" s="1" t="s">
        <v>53</v>
      </c>
      <c r="R4716" s="1" t="s">
        <v>53</v>
      </c>
      <c r="S4716" s="1" t="s">
        <v>54</v>
      </c>
      <c r="T4716" s="1" t="s">
        <v>136</v>
      </c>
      <c r="U4716" s="1">
        <v>1.00649481E8</v>
      </c>
      <c r="X4716" s="1" t="s">
        <v>74</v>
      </c>
      <c r="Y4716" s="1" t="s">
        <v>1746</v>
      </c>
      <c r="Z4716" s="1" t="s">
        <v>37</v>
      </c>
    </row>
    <row r="4717">
      <c r="A4717" s="1" t="s">
        <v>13292</v>
      </c>
      <c r="B4717" s="1" t="s">
        <v>13293</v>
      </c>
      <c r="C4717" s="1" t="s">
        <v>13294</v>
      </c>
      <c r="D4717" s="1" t="s">
        <v>68</v>
      </c>
      <c r="E4717" s="1" t="s">
        <v>28</v>
      </c>
      <c r="F4717" s="2">
        <v>100000.0</v>
      </c>
      <c r="G4717" s="4">
        <v>44840.0</v>
      </c>
      <c r="H4717" s="4">
        <f>IFERROR(__xludf.DUMMYFUNCTION("DATE(INDEX(SPLIT(G4717,""/""),,3),INDEX(SPLIT(G4717,""/""),,2),INDEX(SPLIT(G4717,""/""),,1))"),44722.0)</f>
        <v>44722</v>
      </c>
      <c r="I4717" s="1" t="s">
        <v>226</v>
      </c>
      <c r="J4717" s="4">
        <f>IFERROR(__xludf.DUMMYFUNCTION("DATE(INDEX(SPLIT(I4717,""/""),,3),INDEX(SPLIT(I4717,""/""),,2),INDEX(SPLIT(I4717,""/""),,1))"),44771.0)</f>
        <v>44771</v>
      </c>
      <c r="L4717" s="1">
        <v>0.0</v>
      </c>
      <c r="M4717" s="1" t="s">
        <v>7887</v>
      </c>
      <c r="N4717" s="1"/>
      <c r="O4717" s="1" t="s">
        <v>30</v>
      </c>
      <c r="P4717" s="1" t="s">
        <v>31</v>
      </c>
      <c r="Q4717" s="1" t="s">
        <v>53</v>
      </c>
      <c r="R4717" s="1" t="s">
        <v>53</v>
      </c>
      <c r="S4717" s="1" t="s">
        <v>54</v>
      </c>
      <c r="T4717" s="1" t="s">
        <v>1386</v>
      </c>
      <c r="U4717" s="1">
        <v>1.00587219E8</v>
      </c>
      <c r="Y4717" s="1" t="s">
        <v>13295</v>
      </c>
      <c r="Z4717" s="1" t="s">
        <v>37</v>
      </c>
    </row>
    <row r="4718" hidden="1">
      <c r="A4718" s="1" t="s">
        <v>13296</v>
      </c>
      <c r="B4718" s="1" t="s">
        <v>5051</v>
      </c>
      <c r="C4718" s="1" t="s">
        <v>13297</v>
      </c>
      <c r="D4718" s="1" t="s">
        <v>27</v>
      </c>
      <c r="E4718" s="1" t="s">
        <v>28</v>
      </c>
      <c r="F4718" s="2">
        <v>100000.0</v>
      </c>
      <c r="G4718" s="4">
        <v>44810.0</v>
      </c>
      <c r="H4718" s="4">
        <f>IFERROR(__xludf.DUMMYFUNCTION("DATE(INDEX(SPLIT(G4718,""/""),,3),INDEX(SPLIT(G4718,""/""),,2),INDEX(SPLIT(G4718,""/""),,1))"),44721.0)</f>
        <v>44721</v>
      </c>
      <c r="I4718" s="1" t="s">
        <v>109</v>
      </c>
      <c r="J4718" s="4">
        <f>IFERROR(__xludf.DUMMYFUNCTION("DATE(INDEX(SPLIT(I4718,""/""),,3),INDEX(SPLIT(I4718,""/""),,2),INDEX(SPLIT(I4718,""/""),,1))"),44834.0)</f>
        <v>44834</v>
      </c>
      <c r="L4718" s="1">
        <v>0.0</v>
      </c>
      <c r="M4718" s="1" t="s">
        <v>3507</v>
      </c>
      <c r="N4718" s="1"/>
      <c r="O4718" s="1" t="s">
        <v>30</v>
      </c>
      <c r="P4718" s="1" t="s">
        <v>31</v>
      </c>
      <c r="Q4718" s="1" t="s">
        <v>235</v>
      </c>
      <c r="R4718" s="1" t="s">
        <v>235</v>
      </c>
      <c r="S4718" s="1" t="s">
        <v>236</v>
      </c>
      <c r="U4718" s="1">
        <v>1.00585834E8</v>
      </c>
      <c r="X4718" s="1" t="s">
        <v>375</v>
      </c>
      <c r="Y4718" s="1" t="s">
        <v>6463</v>
      </c>
      <c r="Z4718" s="1" t="s">
        <v>37</v>
      </c>
    </row>
    <row r="4719" hidden="1">
      <c r="A4719" s="1" t="s">
        <v>13298</v>
      </c>
      <c r="B4719" s="1" t="s">
        <v>6131</v>
      </c>
      <c r="C4719" s="1" t="s">
        <v>13299</v>
      </c>
      <c r="D4719" s="1" t="s">
        <v>27</v>
      </c>
      <c r="E4719" s="1" t="s">
        <v>28</v>
      </c>
      <c r="F4719" s="2">
        <v>100000.0</v>
      </c>
      <c r="G4719" s="1" t="s">
        <v>2455</v>
      </c>
      <c r="H4719" s="4">
        <f>IFERROR(__xludf.DUMMYFUNCTION("DATE(INDEX(SPLIT(G4719,""/""),,3),INDEX(SPLIT(G4719,""/""),,2),INDEX(SPLIT(G4719,""/""),,1))"),44606.0)</f>
        <v>44606</v>
      </c>
      <c r="I4719" s="1" t="s">
        <v>317</v>
      </c>
      <c r="J4719" s="4">
        <f>IFERROR(__xludf.DUMMYFUNCTION("DATE(INDEX(SPLIT(I4719,""/""),,3),INDEX(SPLIT(I4719,""/""),,2),INDEX(SPLIT(I4719,""/""),,1))"),44862.0)</f>
        <v>44862</v>
      </c>
      <c r="L4719" s="1">
        <v>0.0</v>
      </c>
      <c r="M4719" s="1" t="s">
        <v>2752</v>
      </c>
      <c r="N4719" s="1"/>
      <c r="O4719" s="1" t="s">
        <v>30</v>
      </c>
      <c r="P4719" s="1" t="s">
        <v>31</v>
      </c>
      <c r="Q4719" s="1" t="s">
        <v>235</v>
      </c>
      <c r="R4719" s="1" t="s">
        <v>235</v>
      </c>
      <c r="S4719" s="1" t="s">
        <v>236</v>
      </c>
      <c r="T4719" s="1" t="s">
        <v>1349</v>
      </c>
      <c r="U4719" s="1">
        <v>1.0062606E8</v>
      </c>
      <c r="X4719" s="1" t="s">
        <v>375</v>
      </c>
      <c r="Y4719" s="1" t="s">
        <v>7800</v>
      </c>
      <c r="Z4719" s="1" t="s">
        <v>37</v>
      </c>
    </row>
    <row r="4720">
      <c r="A4720" s="1" t="s">
        <v>13300</v>
      </c>
      <c r="B4720" s="1" t="s">
        <v>6332</v>
      </c>
      <c r="C4720" s="1" t="s">
        <v>11861</v>
      </c>
      <c r="D4720" s="1" t="s">
        <v>68</v>
      </c>
      <c r="E4720" s="1" t="s">
        <v>28</v>
      </c>
      <c r="F4720" s="2">
        <v>100000.0</v>
      </c>
      <c r="G4720" s="1" t="s">
        <v>586</v>
      </c>
      <c r="H4720" s="4">
        <f>IFERROR(__xludf.DUMMYFUNCTION("DATE(INDEX(SPLIT(G4720,""/""),,3),INDEX(SPLIT(G4720,""/""),,2),INDEX(SPLIT(G4720,""/""),,1))"),44726.0)</f>
        <v>44726</v>
      </c>
      <c r="I4720" s="1" t="s">
        <v>414</v>
      </c>
      <c r="J4720" s="4">
        <f>IFERROR(__xludf.DUMMYFUNCTION("DATE(INDEX(SPLIT(I4720,""/""),,3),INDEX(SPLIT(I4720,""/""),,2),INDEX(SPLIT(I4720,""/""),,1))"),44772.0)</f>
        <v>44772</v>
      </c>
      <c r="L4720" s="1">
        <v>0.0</v>
      </c>
      <c r="M4720" s="1" t="s">
        <v>11190</v>
      </c>
      <c r="N4720" s="1"/>
      <c r="O4720" s="1" t="s">
        <v>30</v>
      </c>
      <c r="P4720" s="1" t="s">
        <v>31</v>
      </c>
      <c r="Q4720" s="1" t="s">
        <v>228</v>
      </c>
      <c r="R4720" s="1" t="s">
        <v>228</v>
      </c>
      <c r="S4720" s="1" t="s">
        <v>229</v>
      </c>
      <c r="T4720" s="1" t="s">
        <v>513</v>
      </c>
      <c r="U4720" s="1">
        <v>1.00608136E8</v>
      </c>
      <c r="X4720" s="1" t="s">
        <v>46</v>
      </c>
      <c r="Y4720" s="1" t="s">
        <v>11862</v>
      </c>
      <c r="Z4720" s="1" t="s">
        <v>37</v>
      </c>
    </row>
    <row r="4721" hidden="1">
      <c r="A4721" s="1" t="s">
        <v>13301</v>
      </c>
      <c r="B4721" s="1" t="s">
        <v>12243</v>
      </c>
      <c r="C4721" s="1" t="s">
        <v>13302</v>
      </c>
      <c r="D4721" s="1" t="s">
        <v>27</v>
      </c>
      <c r="E4721" s="1" t="s">
        <v>28</v>
      </c>
      <c r="F4721" s="2">
        <v>100000.0</v>
      </c>
      <c r="G4721" s="4">
        <v>44532.0</v>
      </c>
      <c r="H4721" s="4">
        <f>IFERROR(__xludf.DUMMYFUNCTION("DATE(INDEX(SPLIT(G4721,""/""),,3),INDEX(SPLIT(G4721,""/""),,2),INDEX(SPLIT(G4721,""/""),,1))"),44239.0)</f>
        <v>44239</v>
      </c>
      <c r="I4721" s="1" t="s">
        <v>109</v>
      </c>
      <c r="J4721" s="4">
        <f>IFERROR(__xludf.DUMMYFUNCTION("DATE(INDEX(SPLIT(I4721,""/""),,3),INDEX(SPLIT(I4721,""/""),,2),INDEX(SPLIT(I4721,""/""),,1))"),44834.0)</f>
        <v>44834</v>
      </c>
      <c r="L4721" s="1">
        <v>0.0</v>
      </c>
      <c r="M4721" s="1" t="s">
        <v>587</v>
      </c>
      <c r="N4721" s="1"/>
      <c r="O4721" s="1" t="s">
        <v>30</v>
      </c>
      <c r="P4721" s="1" t="s">
        <v>31</v>
      </c>
      <c r="Q4721" s="1" t="s">
        <v>157</v>
      </c>
      <c r="R4721" s="1" t="s">
        <v>157</v>
      </c>
      <c r="S4721" s="1" t="s">
        <v>158</v>
      </c>
      <c r="T4721" s="1" t="s">
        <v>442</v>
      </c>
      <c r="U4721" s="1">
        <v>1.00700761E8</v>
      </c>
      <c r="X4721" s="1" t="s">
        <v>125</v>
      </c>
      <c r="Y4721" s="1" t="s">
        <v>587</v>
      </c>
      <c r="Z4721" s="1" t="s">
        <v>37</v>
      </c>
    </row>
    <row r="4722" hidden="1">
      <c r="A4722" s="1" t="s">
        <v>13303</v>
      </c>
      <c r="B4722" s="1" t="s">
        <v>1730</v>
      </c>
      <c r="C4722" s="1" t="s">
        <v>13304</v>
      </c>
      <c r="D4722" s="1" t="s">
        <v>27</v>
      </c>
      <c r="E4722" s="1" t="s">
        <v>28</v>
      </c>
      <c r="F4722" s="2">
        <v>100000.0</v>
      </c>
      <c r="G4722" s="1" t="s">
        <v>751</v>
      </c>
      <c r="H4722" s="4">
        <f>IFERROR(__xludf.DUMMYFUNCTION("DATE(INDEX(SPLIT(G4722,""/""),,3),INDEX(SPLIT(G4722,""/""),,2),INDEX(SPLIT(G4722,""/""),,1))"),44519.0)</f>
        <v>44519</v>
      </c>
      <c r="I4722" s="1" t="s">
        <v>872</v>
      </c>
      <c r="J4722" s="4">
        <f>IFERROR(__xludf.DUMMYFUNCTION("DATE(INDEX(SPLIT(I4722,""/""),,3),INDEX(SPLIT(I4722,""/""),,2),INDEX(SPLIT(I4722,""/""),,1))"),44820.0)</f>
        <v>44820</v>
      </c>
      <c r="L4722" s="1">
        <v>0.0</v>
      </c>
      <c r="M4722" s="1" t="s">
        <v>863</v>
      </c>
      <c r="N4722" s="1"/>
      <c r="O4722" s="1" t="s">
        <v>30</v>
      </c>
      <c r="P4722" s="1" t="s">
        <v>31</v>
      </c>
      <c r="Q4722" s="1" t="s">
        <v>32</v>
      </c>
      <c r="R4722" s="1" t="s">
        <v>32</v>
      </c>
      <c r="S4722" s="1" t="s">
        <v>33</v>
      </c>
      <c r="T4722" s="1" t="s">
        <v>402</v>
      </c>
      <c r="U4722" s="1">
        <v>1.00650568E8</v>
      </c>
      <c r="X4722" s="1" t="s">
        <v>125</v>
      </c>
      <c r="Y4722" s="1" t="s">
        <v>2576</v>
      </c>
      <c r="Z4722" s="1" t="s">
        <v>37</v>
      </c>
    </row>
    <row r="4723" hidden="1">
      <c r="A4723" s="1" t="s">
        <v>13305</v>
      </c>
      <c r="B4723" s="1" t="s">
        <v>1730</v>
      </c>
      <c r="C4723" s="1" t="s">
        <v>13306</v>
      </c>
      <c r="D4723" s="1" t="s">
        <v>27</v>
      </c>
      <c r="E4723" s="1" t="s">
        <v>28</v>
      </c>
      <c r="F4723" s="2">
        <v>100000.0</v>
      </c>
      <c r="G4723" s="1" t="s">
        <v>751</v>
      </c>
      <c r="H4723" s="4">
        <f>IFERROR(__xludf.DUMMYFUNCTION("DATE(INDEX(SPLIT(G4723,""/""),,3),INDEX(SPLIT(G4723,""/""),,2),INDEX(SPLIT(G4723,""/""),,1))"),44519.0)</f>
        <v>44519</v>
      </c>
      <c r="I4723" s="1" t="s">
        <v>872</v>
      </c>
      <c r="J4723" s="4">
        <f>IFERROR(__xludf.DUMMYFUNCTION("DATE(INDEX(SPLIT(I4723,""/""),,3),INDEX(SPLIT(I4723,""/""),,2),INDEX(SPLIT(I4723,""/""),,1))"),44820.0)</f>
        <v>44820</v>
      </c>
      <c r="L4723" s="1">
        <v>0.0</v>
      </c>
      <c r="M4723" s="1" t="s">
        <v>863</v>
      </c>
      <c r="N4723" s="1"/>
      <c r="O4723" s="1" t="s">
        <v>30</v>
      </c>
      <c r="P4723" s="1" t="s">
        <v>31</v>
      </c>
      <c r="Q4723" s="1" t="s">
        <v>32</v>
      </c>
      <c r="R4723" s="1" t="s">
        <v>32</v>
      </c>
      <c r="S4723" s="1" t="s">
        <v>33</v>
      </c>
      <c r="T4723" s="1" t="s">
        <v>402</v>
      </c>
      <c r="U4723" s="1">
        <v>1.00650568E8</v>
      </c>
      <c r="X4723" s="1" t="s">
        <v>125</v>
      </c>
      <c r="Y4723" s="1" t="s">
        <v>2576</v>
      </c>
      <c r="Z4723" s="1" t="s">
        <v>37</v>
      </c>
    </row>
    <row r="4724" hidden="1">
      <c r="A4724" s="1" t="s">
        <v>13307</v>
      </c>
      <c r="B4724" s="1" t="s">
        <v>1730</v>
      </c>
      <c r="C4724" s="1" t="s">
        <v>13308</v>
      </c>
      <c r="D4724" s="1" t="s">
        <v>27</v>
      </c>
      <c r="E4724" s="1" t="s">
        <v>28</v>
      </c>
      <c r="F4724" s="2">
        <v>100000.0</v>
      </c>
      <c r="G4724" s="1" t="s">
        <v>751</v>
      </c>
      <c r="H4724" s="4">
        <f>IFERROR(__xludf.DUMMYFUNCTION("DATE(INDEX(SPLIT(G4724,""/""),,3),INDEX(SPLIT(G4724,""/""),,2),INDEX(SPLIT(G4724,""/""),,1))"),44519.0)</f>
        <v>44519</v>
      </c>
      <c r="I4724" s="1" t="s">
        <v>872</v>
      </c>
      <c r="J4724" s="4">
        <f>IFERROR(__xludf.DUMMYFUNCTION("DATE(INDEX(SPLIT(I4724,""/""),,3),INDEX(SPLIT(I4724,""/""),,2),INDEX(SPLIT(I4724,""/""),,1))"),44820.0)</f>
        <v>44820</v>
      </c>
      <c r="L4724" s="1">
        <v>0.0</v>
      </c>
      <c r="M4724" s="1" t="s">
        <v>863</v>
      </c>
      <c r="N4724" s="1"/>
      <c r="O4724" s="1" t="s">
        <v>30</v>
      </c>
      <c r="P4724" s="1" t="s">
        <v>31</v>
      </c>
      <c r="Q4724" s="1" t="s">
        <v>32</v>
      </c>
      <c r="R4724" s="1" t="s">
        <v>32</v>
      </c>
      <c r="S4724" s="1" t="s">
        <v>33</v>
      </c>
      <c r="T4724" s="1" t="s">
        <v>402</v>
      </c>
      <c r="U4724" s="1">
        <v>1.00650568E8</v>
      </c>
      <c r="X4724" s="1" t="s">
        <v>125</v>
      </c>
      <c r="Y4724" s="1" t="s">
        <v>2576</v>
      </c>
      <c r="Z4724" s="1" t="s">
        <v>37</v>
      </c>
    </row>
    <row r="4725" hidden="1">
      <c r="A4725" s="1" t="s">
        <v>13309</v>
      </c>
      <c r="B4725" s="1" t="s">
        <v>4276</v>
      </c>
      <c r="C4725" s="1" t="s">
        <v>13310</v>
      </c>
      <c r="D4725" s="1" t="s">
        <v>27</v>
      </c>
      <c r="E4725" s="1" t="s">
        <v>28</v>
      </c>
      <c r="F4725" s="2">
        <v>100000.0</v>
      </c>
      <c r="G4725" s="1" t="s">
        <v>3595</v>
      </c>
      <c r="H4725" s="4">
        <f>IFERROR(__xludf.DUMMYFUNCTION("DATE(INDEX(SPLIT(G4725,""/""),,3),INDEX(SPLIT(G4725,""/""),,2),INDEX(SPLIT(G4725,""/""),,1))"),44460.0)</f>
        <v>44460</v>
      </c>
      <c r="I4725" s="1" t="s">
        <v>109</v>
      </c>
      <c r="J4725" s="4">
        <f>IFERROR(__xludf.DUMMYFUNCTION("DATE(INDEX(SPLIT(I4725,""/""),,3),INDEX(SPLIT(I4725,""/""),,2),INDEX(SPLIT(I4725,""/""),,1))"),44834.0)</f>
        <v>44834</v>
      </c>
      <c r="L4725" s="1">
        <v>0.0</v>
      </c>
      <c r="M4725" s="1" t="s">
        <v>488</v>
      </c>
      <c r="N4725" s="1"/>
      <c r="O4725" s="1" t="s">
        <v>30</v>
      </c>
      <c r="P4725" s="1" t="s">
        <v>31</v>
      </c>
      <c r="Q4725" s="1" t="s">
        <v>95</v>
      </c>
      <c r="R4725" s="1" t="s">
        <v>95</v>
      </c>
      <c r="S4725" s="1" t="s">
        <v>96</v>
      </c>
      <c r="T4725" s="1" t="s">
        <v>489</v>
      </c>
      <c r="U4725" s="1">
        <v>1.00611486E8</v>
      </c>
      <c r="X4725" s="1" t="s">
        <v>490</v>
      </c>
      <c r="Y4725" s="1" t="s">
        <v>2765</v>
      </c>
      <c r="Z4725" s="1" t="s">
        <v>37</v>
      </c>
    </row>
    <row r="4726" hidden="1">
      <c r="A4726" s="1" t="s">
        <v>13311</v>
      </c>
      <c r="B4726" s="1" t="s">
        <v>301</v>
      </c>
      <c r="C4726" s="1" t="s">
        <v>13312</v>
      </c>
      <c r="D4726" s="1" t="s">
        <v>27</v>
      </c>
      <c r="E4726" s="1" t="s">
        <v>28</v>
      </c>
      <c r="F4726" s="2">
        <v>100000.0</v>
      </c>
      <c r="G4726" s="4">
        <v>44233.0</v>
      </c>
      <c r="H4726" s="4">
        <f>IFERROR(__xludf.DUMMYFUNCTION("DATE(INDEX(SPLIT(G4726,""/""),,3),INDEX(SPLIT(G4726,""/""),,2),INDEX(SPLIT(G4726,""/""),,1))"),44349.0)</f>
        <v>44349</v>
      </c>
      <c r="I4726" s="4">
        <v>45177.0</v>
      </c>
      <c r="J4726" s="4">
        <f>IFERROR(__xludf.DUMMYFUNCTION("DATE(INDEX(SPLIT(I4726,""/""),,3),INDEX(SPLIT(I4726,""/""),,2),INDEX(SPLIT(I4726,""/""),,1))"),45147.0)</f>
        <v>45147</v>
      </c>
      <c r="L4726" s="1">
        <v>0.0</v>
      </c>
      <c r="M4726" s="1" t="s">
        <v>873</v>
      </c>
      <c r="N4726" s="1"/>
      <c r="O4726" s="1" t="s">
        <v>30</v>
      </c>
      <c r="P4726" s="1" t="s">
        <v>31</v>
      </c>
      <c r="Q4726" s="1" t="s">
        <v>157</v>
      </c>
      <c r="R4726" s="1" t="s">
        <v>157</v>
      </c>
      <c r="S4726" s="1" t="s">
        <v>158</v>
      </c>
      <c r="U4726" s="1">
        <v>1.00586701E8</v>
      </c>
      <c r="X4726" s="1" t="s">
        <v>305</v>
      </c>
      <c r="Y4726" s="1" t="s">
        <v>1103</v>
      </c>
      <c r="Z4726" s="1" t="s">
        <v>37</v>
      </c>
    </row>
    <row r="4727" hidden="1">
      <c r="A4727" s="1" t="s">
        <v>13313</v>
      </c>
      <c r="B4727" s="1" t="s">
        <v>1966</v>
      </c>
      <c r="C4727" s="1" t="s">
        <v>13314</v>
      </c>
      <c r="D4727" s="1" t="s">
        <v>122</v>
      </c>
      <c r="E4727" s="1" t="s">
        <v>28</v>
      </c>
      <c r="F4727" s="2">
        <v>100000.0</v>
      </c>
      <c r="G4727" s="4">
        <v>44350.0</v>
      </c>
      <c r="H4727" s="4">
        <f>IFERROR(__xludf.DUMMYFUNCTION("DATE(INDEX(SPLIT(G4727,""/""),,3),INDEX(SPLIT(G4727,""/""),,2),INDEX(SPLIT(G4727,""/""),,1))"),44261.0)</f>
        <v>44261</v>
      </c>
      <c r="I4727" s="4">
        <v>44690.0</v>
      </c>
      <c r="J4727" s="4">
        <f>IFERROR(__xludf.DUMMYFUNCTION("DATE(INDEX(SPLIT(I4727,""/""),,3),INDEX(SPLIT(I4727,""/""),,2),INDEX(SPLIT(I4727,""/""),,1))"),44809.0)</f>
        <v>44809</v>
      </c>
      <c r="L4727" s="1">
        <v>0.0</v>
      </c>
      <c r="M4727" s="1" t="s">
        <v>2938</v>
      </c>
      <c r="N4727" s="1"/>
      <c r="O4727" s="1" t="s">
        <v>30</v>
      </c>
      <c r="P4727" s="1" t="s">
        <v>31</v>
      </c>
      <c r="Q4727" s="1" t="s">
        <v>95</v>
      </c>
      <c r="R4727" s="1" t="s">
        <v>95</v>
      </c>
      <c r="S4727" s="1" t="s">
        <v>96</v>
      </c>
      <c r="T4727" s="1" t="s">
        <v>97</v>
      </c>
      <c r="U4727" s="1">
        <v>1.00627224E8</v>
      </c>
      <c r="X4727" s="1" t="s">
        <v>125</v>
      </c>
      <c r="Y4727" s="1" t="s">
        <v>2576</v>
      </c>
      <c r="Z4727" s="1" t="s">
        <v>37</v>
      </c>
    </row>
    <row r="4728" hidden="1">
      <c r="A4728" s="1" t="s">
        <v>13315</v>
      </c>
      <c r="B4728" s="1" t="s">
        <v>66</v>
      </c>
      <c r="C4728" s="1" t="s">
        <v>13316</v>
      </c>
      <c r="D4728" s="1" t="s">
        <v>27</v>
      </c>
      <c r="E4728" s="1" t="s">
        <v>28</v>
      </c>
      <c r="F4728" s="2">
        <v>100000.0</v>
      </c>
      <c r="G4728" s="1" t="s">
        <v>1302</v>
      </c>
      <c r="H4728" s="4">
        <f>IFERROR(__xludf.DUMMYFUNCTION("DATE(INDEX(SPLIT(G4728,""/""),,3),INDEX(SPLIT(G4728,""/""),,2),INDEX(SPLIT(G4728,""/""),,1))"),44589.0)</f>
        <v>44589</v>
      </c>
      <c r="I4728" s="4">
        <v>44570.0</v>
      </c>
      <c r="J4728" s="4">
        <f>IFERROR(__xludf.DUMMYFUNCTION("DATE(INDEX(SPLIT(I4728,""/""),,3),INDEX(SPLIT(I4728,""/""),,2),INDEX(SPLIT(I4728,""/""),,1))"),44805.0)</f>
        <v>44805</v>
      </c>
      <c r="L4728" s="1">
        <v>0.0</v>
      </c>
      <c r="M4728" s="1" t="s">
        <v>70</v>
      </c>
      <c r="N4728" s="1"/>
      <c r="O4728" s="1" t="s">
        <v>30</v>
      </c>
      <c r="P4728" s="1" t="s">
        <v>31</v>
      </c>
      <c r="Q4728" s="1" t="s">
        <v>71</v>
      </c>
      <c r="R4728" s="1" t="s">
        <v>71</v>
      </c>
      <c r="S4728" s="1" t="s">
        <v>72</v>
      </c>
      <c r="T4728" s="1" t="s">
        <v>73</v>
      </c>
      <c r="U4728" s="1">
        <v>1.00640331E8</v>
      </c>
      <c r="X4728" s="1" t="s">
        <v>74</v>
      </c>
      <c r="Y4728" s="1" t="s">
        <v>7660</v>
      </c>
      <c r="Z4728" s="1" t="s">
        <v>37</v>
      </c>
    </row>
    <row r="4729" hidden="1">
      <c r="A4729" s="1" t="s">
        <v>13317</v>
      </c>
      <c r="B4729" s="1" t="s">
        <v>13318</v>
      </c>
      <c r="C4729" s="1" t="s">
        <v>13319</v>
      </c>
      <c r="D4729" s="1" t="s">
        <v>122</v>
      </c>
      <c r="E4729" s="1" t="s">
        <v>28</v>
      </c>
      <c r="F4729" s="2">
        <v>100000.0</v>
      </c>
      <c r="G4729" s="4">
        <v>44598.0</v>
      </c>
      <c r="H4729" s="4">
        <f>IFERROR(__xludf.DUMMYFUNCTION("DATE(INDEX(SPLIT(G4729,""/""),,3),INDEX(SPLIT(G4729,""/""),,2),INDEX(SPLIT(G4729,""/""),,1))"),44714.0)</f>
        <v>44714</v>
      </c>
      <c r="I4729" s="4">
        <v>44628.0</v>
      </c>
      <c r="J4729" s="4">
        <f>IFERROR(__xludf.DUMMYFUNCTION("DATE(INDEX(SPLIT(I4729,""/""),,3),INDEX(SPLIT(I4729,""/""),,2),INDEX(SPLIT(I4729,""/""),,1))"),44776.0)</f>
        <v>44776</v>
      </c>
      <c r="L4729" s="1">
        <v>0.0</v>
      </c>
      <c r="M4729" s="1" t="s">
        <v>13320</v>
      </c>
      <c r="N4729" s="1"/>
      <c r="O4729" s="1" t="s">
        <v>30</v>
      </c>
      <c r="P4729" s="1" t="s">
        <v>31</v>
      </c>
      <c r="Q4729" s="1" t="s">
        <v>188</v>
      </c>
      <c r="R4729" s="1" t="s">
        <v>188</v>
      </c>
      <c r="S4729" s="1" t="s">
        <v>189</v>
      </c>
      <c r="U4729" s="1">
        <v>1.00586521E8</v>
      </c>
      <c r="X4729" s="1" t="s">
        <v>125</v>
      </c>
      <c r="Y4729" s="1" t="s">
        <v>13321</v>
      </c>
      <c r="Z4729" s="1" t="s">
        <v>37</v>
      </c>
    </row>
    <row r="4730" hidden="1">
      <c r="A4730" s="1" t="s">
        <v>13322</v>
      </c>
      <c r="B4730" s="1" t="s">
        <v>13323</v>
      </c>
      <c r="C4730" s="1" t="s">
        <v>13324</v>
      </c>
      <c r="D4730" s="1" t="s">
        <v>27</v>
      </c>
      <c r="E4730" s="1" t="s">
        <v>28</v>
      </c>
      <c r="F4730" s="2">
        <v>100000.0</v>
      </c>
      <c r="G4730" s="1" t="s">
        <v>6249</v>
      </c>
      <c r="H4730" s="4">
        <f>IFERROR(__xludf.DUMMYFUNCTION("DATE(INDEX(SPLIT(G4730,""/""),,3),INDEX(SPLIT(G4730,""/""),,2),INDEX(SPLIT(G4730,""/""),,1))"),43887.0)</f>
        <v>43887</v>
      </c>
      <c r="I4730" s="4">
        <v>44604.0</v>
      </c>
      <c r="J4730" s="4">
        <f>IFERROR(__xludf.DUMMYFUNCTION("DATE(INDEX(SPLIT(I4730,""/""),,3),INDEX(SPLIT(I4730,""/""),,2),INDEX(SPLIT(I4730,""/""),,1))"),44897.0)</f>
        <v>44897</v>
      </c>
      <c r="L4730" s="1">
        <v>0.0</v>
      </c>
      <c r="M4730" s="1" t="s">
        <v>3573</v>
      </c>
      <c r="N4730" s="1"/>
      <c r="O4730" s="1" t="s">
        <v>30</v>
      </c>
      <c r="P4730" s="1" t="s">
        <v>31</v>
      </c>
      <c r="Q4730" s="1" t="s">
        <v>157</v>
      </c>
      <c r="R4730" s="1" t="s">
        <v>157</v>
      </c>
      <c r="S4730" s="1" t="s">
        <v>158</v>
      </c>
      <c r="T4730" s="1" t="s">
        <v>442</v>
      </c>
      <c r="U4730" s="1">
        <v>1.00651086E8</v>
      </c>
      <c r="X4730" s="1" t="s">
        <v>98</v>
      </c>
      <c r="Y4730" s="1" t="s">
        <v>3676</v>
      </c>
      <c r="Z4730" s="1" t="s">
        <v>37</v>
      </c>
    </row>
    <row r="4731" hidden="1">
      <c r="A4731" s="1" t="s">
        <v>13325</v>
      </c>
      <c r="B4731" s="1" t="s">
        <v>1730</v>
      </c>
      <c r="C4731" s="1" t="s">
        <v>13326</v>
      </c>
      <c r="D4731" s="1" t="s">
        <v>27</v>
      </c>
      <c r="E4731" s="1" t="s">
        <v>28</v>
      </c>
      <c r="F4731" s="2">
        <v>100000.0</v>
      </c>
      <c r="G4731" s="1" t="s">
        <v>751</v>
      </c>
      <c r="H4731" s="4">
        <f>IFERROR(__xludf.DUMMYFUNCTION("DATE(INDEX(SPLIT(G4731,""/""),,3),INDEX(SPLIT(G4731,""/""),,2),INDEX(SPLIT(G4731,""/""),,1))"),44519.0)</f>
        <v>44519</v>
      </c>
      <c r="I4731" s="1" t="s">
        <v>872</v>
      </c>
      <c r="J4731" s="4">
        <f>IFERROR(__xludf.DUMMYFUNCTION("DATE(INDEX(SPLIT(I4731,""/""),,3),INDEX(SPLIT(I4731,""/""),,2),INDEX(SPLIT(I4731,""/""),,1))"),44820.0)</f>
        <v>44820</v>
      </c>
      <c r="L4731" s="1">
        <v>0.0</v>
      </c>
      <c r="M4731" s="1" t="s">
        <v>863</v>
      </c>
      <c r="N4731" s="1"/>
      <c r="O4731" s="1" t="s">
        <v>30</v>
      </c>
      <c r="P4731" s="1" t="s">
        <v>31</v>
      </c>
      <c r="Q4731" s="1" t="s">
        <v>32</v>
      </c>
      <c r="R4731" s="1" t="s">
        <v>32</v>
      </c>
      <c r="S4731" s="1" t="s">
        <v>33</v>
      </c>
      <c r="T4731" s="1" t="s">
        <v>402</v>
      </c>
      <c r="U4731" s="1">
        <v>1.00650568E8</v>
      </c>
      <c r="X4731" s="1" t="s">
        <v>125</v>
      </c>
      <c r="Y4731" s="1" t="s">
        <v>2576</v>
      </c>
      <c r="Z4731" s="1" t="s">
        <v>37</v>
      </c>
    </row>
    <row r="4732">
      <c r="A4732" s="1" t="s">
        <v>13327</v>
      </c>
      <c r="B4732" s="1" t="s">
        <v>7217</v>
      </c>
      <c r="C4732" s="1" t="s">
        <v>13328</v>
      </c>
      <c r="D4732" s="1" t="s">
        <v>78</v>
      </c>
      <c r="E4732" s="1" t="s">
        <v>28</v>
      </c>
      <c r="F4732" s="2">
        <v>100000.0</v>
      </c>
      <c r="G4732" s="1" t="s">
        <v>3849</v>
      </c>
      <c r="H4732" s="4">
        <f>IFERROR(__xludf.DUMMYFUNCTION("DATE(INDEX(SPLIT(G4732,""/""),,3),INDEX(SPLIT(G4732,""/""),,2),INDEX(SPLIT(G4732,""/""),,1))"),44551.0)</f>
        <v>44551</v>
      </c>
      <c r="I4732" s="1" t="s">
        <v>1244</v>
      </c>
      <c r="J4732" s="4">
        <f>IFERROR(__xludf.DUMMYFUNCTION("DATE(INDEX(SPLIT(I4732,""/""),,3),INDEX(SPLIT(I4732,""/""),,2),INDEX(SPLIT(I4732,""/""),,1))"),44742.0)</f>
        <v>44742</v>
      </c>
      <c r="L4732" s="1">
        <v>0.0</v>
      </c>
      <c r="M4732" s="1" t="s">
        <v>601</v>
      </c>
      <c r="N4732" s="1"/>
      <c r="O4732" s="1" t="s">
        <v>30</v>
      </c>
      <c r="P4732" s="1" t="s">
        <v>31</v>
      </c>
      <c r="Q4732" s="1" t="s">
        <v>95</v>
      </c>
      <c r="R4732" s="1" t="s">
        <v>95</v>
      </c>
      <c r="S4732" s="1" t="s">
        <v>96</v>
      </c>
      <c r="T4732" s="1" t="s">
        <v>602</v>
      </c>
      <c r="U4732" s="1">
        <v>1.00625415E8</v>
      </c>
      <c r="X4732" s="1" t="s">
        <v>88</v>
      </c>
      <c r="Y4732" s="1" t="s">
        <v>1929</v>
      </c>
      <c r="Z4732" s="1" t="s">
        <v>37</v>
      </c>
    </row>
    <row r="4733" hidden="1">
      <c r="A4733" s="1" t="s">
        <v>13329</v>
      </c>
      <c r="B4733" s="1" t="s">
        <v>13330</v>
      </c>
      <c r="C4733" s="1" t="s">
        <v>13331</v>
      </c>
      <c r="D4733" s="1" t="s">
        <v>27</v>
      </c>
      <c r="E4733" s="1" t="s">
        <v>28</v>
      </c>
      <c r="F4733" s="2">
        <v>100000.0</v>
      </c>
      <c r="G4733" s="4">
        <v>44503.0</v>
      </c>
      <c r="H4733" s="4">
        <f>IFERROR(__xludf.DUMMYFUNCTION("DATE(INDEX(SPLIT(G4733,""/""),,3),INDEX(SPLIT(G4733,""/""),,2),INDEX(SPLIT(G4733,""/""),,1))"),44266.0)</f>
        <v>44266</v>
      </c>
      <c r="I4733" s="1" t="s">
        <v>13332</v>
      </c>
      <c r="J4733" s="4">
        <f>IFERROR(__xludf.DUMMYFUNCTION("DATE(INDEX(SPLIT(I4733,""/""),,3),INDEX(SPLIT(I4733,""/""),,2),INDEX(SPLIT(I4733,""/""),,1))"),45165.0)</f>
        <v>45165</v>
      </c>
      <c r="L4733" s="1">
        <v>0.0</v>
      </c>
      <c r="M4733" s="1" t="s">
        <v>1129</v>
      </c>
      <c r="N4733" s="1"/>
      <c r="O4733" s="1" t="s">
        <v>30</v>
      </c>
      <c r="P4733" s="1" t="s">
        <v>31</v>
      </c>
      <c r="Q4733" s="1" t="s">
        <v>157</v>
      </c>
      <c r="R4733" s="1" t="s">
        <v>157</v>
      </c>
      <c r="S4733" s="1" t="s">
        <v>158</v>
      </c>
      <c r="T4733" s="1" t="s">
        <v>442</v>
      </c>
      <c r="U4733" s="1">
        <v>1.00650786E8</v>
      </c>
      <c r="X4733" s="1" t="s">
        <v>125</v>
      </c>
      <c r="Y4733" s="1" t="s">
        <v>13333</v>
      </c>
      <c r="Z4733" s="1" t="s">
        <v>37</v>
      </c>
    </row>
    <row r="4734">
      <c r="A4734" s="1" t="s">
        <v>13334</v>
      </c>
      <c r="B4734" s="1" t="s">
        <v>9950</v>
      </c>
      <c r="C4734" s="1" t="s">
        <v>13335</v>
      </c>
      <c r="D4734" s="1" t="s">
        <v>27</v>
      </c>
      <c r="E4734" s="1" t="s">
        <v>28</v>
      </c>
      <c r="F4734" s="2">
        <v>100000.0</v>
      </c>
      <c r="G4734" s="1" t="s">
        <v>2419</v>
      </c>
      <c r="H4734" s="4">
        <f>IFERROR(__xludf.DUMMYFUNCTION("DATE(INDEX(SPLIT(G4734,""/""),,3),INDEX(SPLIT(G4734,""/""),,2),INDEX(SPLIT(G4734,""/""),,1))"),44482.0)</f>
        <v>44482</v>
      </c>
      <c r="I4734" s="1" t="s">
        <v>226</v>
      </c>
      <c r="J4734" s="4">
        <f>IFERROR(__xludf.DUMMYFUNCTION("DATE(INDEX(SPLIT(I4734,""/""),,3),INDEX(SPLIT(I4734,""/""),,2),INDEX(SPLIT(I4734,""/""),,1))"),44771.0)</f>
        <v>44771</v>
      </c>
      <c r="L4734" s="1">
        <v>0.0</v>
      </c>
      <c r="M4734" s="1" t="s">
        <v>2573</v>
      </c>
      <c r="N4734" s="1"/>
      <c r="O4734" s="1" t="s">
        <v>30</v>
      </c>
      <c r="P4734" s="1" t="s">
        <v>31</v>
      </c>
      <c r="Q4734" s="1" t="s">
        <v>157</v>
      </c>
      <c r="R4734" s="1" t="s">
        <v>157</v>
      </c>
      <c r="S4734" s="1" t="s">
        <v>158</v>
      </c>
      <c r="T4734" s="1" t="s">
        <v>237</v>
      </c>
      <c r="U4734" s="1">
        <v>1.00690774E8</v>
      </c>
      <c r="X4734" s="1" t="s">
        <v>239</v>
      </c>
      <c r="Y4734" s="1" t="s">
        <v>4239</v>
      </c>
      <c r="Z4734" s="1" t="s">
        <v>37</v>
      </c>
    </row>
    <row r="4735" hidden="1">
      <c r="A4735" s="1" t="s">
        <v>13336</v>
      </c>
      <c r="B4735" s="1" t="s">
        <v>2303</v>
      </c>
      <c r="C4735" s="1" t="s">
        <v>13337</v>
      </c>
      <c r="D4735" s="1" t="s">
        <v>27</v>
      </c>
      <c r="E4735" s="1" t="s">
        <v>28</v>
      </c>
      <c r="F4735" s="2">
        <v>100000.0</v>
      </c>
      <c r="G4735" s="1" t="s">
        <v>3921</v>
      </c>
      <c r="H4735" s="4">
        <f>IFERROR(__xludf.DUMMYFUNCTION("DATE(INDEX(SPLIT(G4735,""/""),,3),INDEX(SPLIT(G4735,""/""),,2),INDEX(SPLIT(G4735,""/""),,1))"),44006.0)</f>
        <v>44006</v>
      </c>
      <c r="I4735" s="1" t="s">
        <v>85</v>
      </c>
      <c r="J4735" s="4">
        <f>IFERROR(__xludf.DUMMYFUNCTION("DATE(INDEX(SPLIT(I4735,""/""),,3),INDEX(SPLIT(I4735,""/""),,2),INDEX(SPLIT(I4735,""/""),,1))"),44799.0)</f>
        <v>44799</v>
      </c>
      <c r="L4735" s="1">
        <v>0.0</v>
      </c>
      <c r="M4735" s="1" t="s">
        <v>558</v>
      </c>
      <c r="N4735" s="1"/>
      <c r="O4735" s="1" t="s">
        <v>30</v>
      </c>
      <c r="P4735" s="1" t="s">
        <v>31</v>
      </c>
      <c r="Q4735" s="1" t="s">
        <v>53</v>
      </c>
      <c r="R4735" s="1" t="s">
        <v>53</v>
      </c>
      <c r="S4735" s="1" t="s">
        <v>54</v>
      </c>
      <c r="T4735" s="1" t="s">
        <v>87</v>
      </c>
      <c r="U4735" s="1">
        <v>1.00653597E8</v>
      </c>
      <c r="X4735" s="1" t="s">
        <v>375</v>
      </c>
      <c r="Y4735" s="1" t="s">
        <v>13338</v>
      </c>
      <c r="Z4735" s="1" t="s">
        <v>37</v>
      </c>
    </row>
    <row r="4736">
      <c r="A4736" s="1" t="s">
        <v>13339</v>
      </c>
      <c r="B4736" s="1" t="s">
        <v>13340</v>
      </c>
      <c r="C4736" s="1" t="s">
        <v>13341</v>
      </c>
      <c r="D4736" s="1" t="s">
        <v>68</v>
      </c>
      <c r="E4736" s="1" t="s">
        <v>28</v>
      </c>
      <c r="F4736" s="2">
        <v>100000.0</v>
      </c>
      <c r="G4736" s="1" t="s">
        <v>5068</v>
      </c>
      <c r="H4736" s="4">
        <f>IFERROR(__xludf.DUMMYFUNCTION("DATE(INDEX(SPLIT(G4736,""/""),,3),INDEX(SPLIT(G4736,""/""),,2),INDEX(SPLIT(G4736,""/""),,1))"),44315.0)</f>
        <v>44315</v>
      </c>
      <c r="I4736" s="4">
        <v>44208.0</v>
      </c>
      <c r="J4736" s="4">
        <f>IFERROR(__xludf.DUMMYFUNCTION("DATE(INDEX(SPLIT(I4736,""/""),,3),INDEX(SPLIT(I4736,""/""),,2),INDEX(SPLIT(I4736,""/""),,1))"),44531.0)</f>
        <v>44531</v>
      </c>
      <c r="K4736" s="1" t="s">
        <v>13342</v>
      </c>
      <c r="L4736" s="1">
        <v>0.0</v>
      </c>
      <c r="M4736" s="1" t="s">
        <v>10697</v>
      </c>
      <c r="N4736" s="1"/>
      <c r="O4736" s="1" t="s">
        <v>30</v>
      </c>
      <c r="P4736" s="1" t="s">
        <v>31</v>
      </c>
      <c r="Q4736" s="1" t="s">
        <v>228</v>
      </c>
      <c r="R4736" s="1" t="s">
        <v>228</v>
      </c>
      <c r="S4736" s="1" t="s">
        <v>229</v>
      </c>
      <c r="T4736" s="1" t="s">
        <v>513</v>
      </c>
      <c r="U4736" s="1">
        <v>1.00612201E8</v>
      </c>
      <c r="X4736" s="1" t="s">
        <v>289</v>
      </c>
      <c r="Y4736" s="1" t="s">
        <v>11181</v>
      </c>
      <c r="Z4736" s="1" t="s">
        <v>37</v>
      </c>
    </row>
    <row r="4737" hidden="1">
      <c r="A4737" s="1" t="s">
        <v>13343</v>
      </c>
      <c r="B4737" s="1" t="s">
        <v>4213</v>
      </c>
      <c r="C4737" s="1" t="s">
        <v>13344</v>
      </c>
      <c r="D4737" s="1" t="s">
        <v>27</v>
      </c>
      <c r="E4737" s="1" t="s">
        <v>28</v>
      </c>
      <c r="F4737" s="2">
        <v>100000.0</v>
      </c>
      <c r="G4737" s="4">
        <v>44414.0</v>
      </c>
      <c r="H4737" s="4">
        <f>IFERROR(__xludf.DUMMYFUNCTION("DATE(INDEX(SPLIT(G4737,""/""),,3),INDEX(SPLIT(G4737,""/""),,2),INDEX(SPLIT(G4737,""/""),,1))"),44355.0)</f>
        <v>44355</v>
      </c>
      <c r="I4737" s="1" t="s">
        <v>317</v>
      </c>
      <c r="J4737" s="4">
        <f>IFERROR(__xludf.DUMMYFUNCTION("DATE(INDEX(SPLIT(I4737,""/""),,3),INDEX(SPLIT(I4737,""/""),,2),INDEX(SPLIT(I4737,""/""),,1))"),44862.0)</f>
        <v>44862</v>
      </c>
      <c r="L4737" s="1">
        <v>0.0</v>
      </c>
      <c r="M4737" s="1" t="s">
        <v>4591</v>
      </c>
      <c r="N4737" s="1"/>
      <c r="O4737" s="1" t="s">
        <v>30</v>
      </c>
      <c r="P4737" s="1" t="s">
        <v>31</v>
      </c>
      <c r="Q4737" s="1" t="s">
        <v>157</v>
      </c>
      <c r="R4737" s="1" t="s">
        <v>157</v>
      </c>
      <c r="S4737" s="1" t="s">
        <v>158</v>
      </c>
      <c r="U4737" s="1">
        <v>1.01056026E8</v>
      </c>
      <c r="X4737" s="1" t="s">
        <v>88</v>
      </c>
      <c r="Y4737" s="1" t="s">
        <v>4591</v>
      </c>
      <c r="Z4737" s="1" t="s">
        <v>37</v>
      </c>
    </row>
    <row r="4738" hidden="1">
      <c r="A4738" s="1" t="s">
        <v>13345</v>
      </c>
      <c r="B4738" s="1" t="s">
        <v>9950</v>
      </c>
      <c r="C4738" s="1" t="s">
        <v>13346</v>
      </c>
      <c r="D4738" s="1" t="s">
        <v>27</v>
      </c>
      <c r="E4738" s="1" t="s">
        <v>28</v>
      </c>
      <c r="F4738" s="2">
        <v>100000.0</v>
      </c>
      <c r="G4738" s="1" t="s">
        <v>2419</v>
      </c>
      <c r="H4738" s="4">
        <f>IFERROR(__xludf.DUMMYFUNCTION("DATE(INDEX(SPLIT(G4738,""/""),,3),INDEX(SPLIT(G4738,""/""),,2),INDEX(SPLIT(G4738,""/""),,1))"),44482.0)</f>
        <v>44482</v>
      </c>
      <c r="I4738" s="1" t="s">
        <v>999</v>
      </c>
      <c r="J4738" s="4">
        <f>IFERROR(__xludf.DUMMYFUNCTION("DATE(INDEX(SPLIT(I4738,""/""),,3),INDEX(SPLIT(I4738,""/""),,2),INDEX(SPLIT(I4738,""/""),,1))"),44953.0)</f>
        <v>44953</v>
      </c>
      <c r="L4738" s="1">
        <v>0.0</v>
      </c>
      <c r="M4738" s="1" t="s">
        <v>13347</v>
      </c>
      <c r="N4738" s="1"/>
      <c r="O4738" s="1" t="s">
        <v>30</v>
      </c>
      <c r="P4738" s="1" t="s">
        <v>31</v>
      </c>
      <c r="Q4738" s="1" t="s">
        <v>235</v>
      </c>
      <c r="R4738" s="1" t="s">
        <v>235</v>
      </c>
      <c r="S4738" s="1" t="s">
        <v>236</v>
      </c>
      <c r="T4738" s="1" t="s">
        <v>237</v>
      </c>
      <c r="U4738" s="1">
        <v>1.00922604E8</v>
      </c>
      <c r="X4738" s="1" t="s">
        <v>239</v>
      </c>
      <c r="Y4738" s="1" t="s">
        <v>4239</v>
      </c>
      <c r="Z4738" s="1" t="s">
        <v>206</v>
      </c>
    </row>
    <row r="4739">
      <c r="A4739" s="1" t="s">
        <v>13348</v>
      </c>
      <c r="B4739" s="1" t="s">
        <v>9950</v>
      </c>
      <c r="C4739" s="1" t="s">
        <v>13349</v>
      </c>
      <c r="D4739" s="1" t="s">
        <v>27</v>
      </c>
      <c r="E4739" s="1" t="s">
        <v>28</v>
      </c>
      <c r="F4739" s="2">
        <v>100000.0</v>
      </c>
      <c r="G4739" s="1" t="s">
        <v>2419</v>
      </c>
      <c r="H4739" s="4">
        <f>IFERROR(__xludf.DUMMYFUNCTION("DATE(INDEX(SPLIT(G4739,""/""),,3),INDEX(SPLIT(G4739,""/""),,2),INDEX(SPLIT(G4739,""/""),,1))"),44482.0)</f>
        <v>44482</v>
      </c>
      <c r="I4739" s="1" t="s">
        <v>226</v>
      </c>
      <c r="J4739" s="4">
        <f>IFERROR(__xludf.DUMMYFUNCTION("DATE(INDEX(SPLIT(I4739,""/""),,3),INDEX(SPLIT(I4739,""/""),,2),INDEX(SPLIT(I4739,""/""),,1))"),44771.0)</f>
        <v>44771</v>
      </c>
      <c r="L4739" s="1">
        <v>0.0</v>
      </c>
      <c r="M4739" s="1" t="s">
        <v>2573</v>
      </c>
      <c r="N4739" s="1"/>
      <c r="O4739" s="1" t="s">
        <v>30</v>
      </c>
      <c r="P4739" s="1" t="s">
        <v>31</v>
      </c>
      <c r="Q4739" s="1" t="s">
        <v>157</v>
      </c>
      <c r="R4739" s="1" t="s">
        <v>157</v>
      </c>
      <c r="S4739" s="1" t="s">
        <v>158</v>
      </c>
      <c r="T4739" s="1" t="s">
        <v>237</v>
      </c>
      <c r="U4739" s="1">
        <v>1.00690774E8</v>
      </c>
      <c r="X4739" s="1" t="s">
        <v>239</v>
      </c>
      <c r="Y4739" s="1" t="s">
        <v>4239</v>
      </c>
      <c r="Z4739" s="1" t="s">
        <v>37</v>
      </c>
    </row>
    <row r="4740">
      <c r="A4740" s="1" t="s">
        <v>13350</v>
      </c>
      <c r="B4740" s="1" t="s">
        <v>13351</v>
      </c>
      <c r="C4740" s="1" t="s">
        <v>13352</v>
      </c>
      <c r="D4740" s="1" t="s">
        <v>122</v>
      </c>
      <c r="E4740" s="1" t="s">
        <v>28</v>
      </c>
      <c r="F4740" s="2">
        <v>100000.0</v>
      </c>
      <c r="G4740" s="1" t="s">
        <v>1154</v>
      </c>
      <c r="H4740" s="4">
        <f>IFERROR(__xludf.DUMMYFUNCTION("DATE(INDEX(SPLIT(G4740,""/""),,3),INDEX(SPLIT(G4740,""/""),,2),INDEX(SPLIT(G4740,""/""),,1))"),44735.0)</f>
        <v>44735</v>
      </c>
      <c r="I4740" s="1" t="s">
        <v>226</v>
      </c>
      <c r="J4740" s="4">
        <f>IFERROR(__xludf.DUMMYFUNCTION("DATE(INDEX(SPLIT(I4740,""/""),,3),INDEX(SPLIT(I4740,""/""),,2),INDEX(SPLIT(I4740,""/""),,1))"),44771.0)</f>
        <v>44771</v>
      </c>
      <c r="L4740" s="1">
        <v>0.0</v>
      </c>
      <c r="M4740" s="1" t="s">
        <v>2390</v>
      </c>
      <c r="N4740" s="1"/>
      <c r="O4740" s="1" t="s">
        <v>30</v>
      </c>
      <c r="P4740" s="1" t="s">
        <v>31</v>
      </c>
      <c r="Q4740" s="1" t="s">
        <v>71</v>
      </c>
      <c r="R4740" s="1" t="s">
        <v>71</v>
      </c>
      <c r="S4740" s="1" t="s">
        <v>72</v>
      </c>
      <c r="T4740" s="1" t="s">
        <v>73</v>
      </c>
      <c r="U4740" s="1">
        <v>1.00646452E8</v>
      </c>
      <c r="Y4740" s="1" t="s">
        <v>2390</v>
      </c>
      <c r="Z4740" s="1" t="s">
        <v>37</v>
      </c>
    </row>
    <row r="4741" hidden="1">
      <c r="A4741" s="1" t="s">
        <v>13353</v>
      </c>
      <c r="B4741" s="1" t="s">
        <v>645</v>
      </c>
      <c r="C4741" s="1" t="s">
        <v>13354</v>
      </c>
      <c r="D4741" s="1" t="s">
        <v>78</v>
      </c>
      <c r="E4741" s="1" t="s">
        <v>28</v>
      </c>
      <c r="F4741" s="2">
        <v>100000.0</v>
      </c>
      <c r="G4741" s="4">
        <v>44902.0</v>
      </c>
      <c r="H4741" s="4">
        <f>IFERROR(__xludf.DUMMYFUNCTION("DATE(INDEX(SPLIT(G4741,""/""),,3),INDEX(SPLIT(G4741,""/""),,2),INDEX(SPLIT(G4741,""/""),,1))"),44754.0)</f>
        <v>44754</v>
      </c>
      <c r="I4741" s="1" t="s">
        <v>109</v>
      </c>
      <c r="J4741" s="4">
        <f>IFERROR(__xludf.DUMMYFUNCTION("DATE(INDEX(SPLIT(I4741,""/""),,3),INDEX(SPLIT(I4741,""/""),,2),INDEX(SPLIT(I4741,""/""),,1))"),44834.0)</f>
        <v>44834</v>
      </c>
      <c r="L4741" s="1">
        <v>0.0</v>
      </c>
      <c r="M4741" s="1" t="s">
        <v>1610</v>
      </c>
      <c r="N4741" s="1"/>
      <c r="O4741" s="1" t="s">
        <v>30</v>
      </c>
      <c r="P4741" s="1" t="s">
        <v>31</v>
      </c>
      <c r="Q4741" s="1" t="s">
        <v>53</v>
      </c>
      <c r="R4741" s="1" t="s">
        <v>53</v>
      </c>
      <c r="S4741" s="1" t="s">
        <v>54</v>
      </c>
      <c r="T4741" s="1" t="s">
        <v>1386</v>
      </c>
      <c r="U4741" s="1">
        <v>1.01141441E8</v>
      </c>
      <c r="X4741" s="1" t="s">
        <v>239</v>
      </c>
      <c r="Y4741" s="1" t="s">
        <v>1076</v>
      </c>
      <c r="Z4741" s="1" t="s">
        <v>37</v>
      </c>
    </row>
    <row r="4742" hidden="1">
      <c r="A4742" s="1" t="s">
        <v>13355</v>
      </c>
      <c r="B4742" s="1" t="s">
        <v>4747</v>
      </c>
      <c r="C4742" s="1" t="s">
        <v>13356</v>
      </c>
      <c r="D4742" s="1" t="s">
        <v>27</v>
      </c>
      <c r="E4742" s="1" t="s">
        <v>28</v>
      </c>
      <c r="F4742" s="2">
        <v>100000.0</v>
      </c>
      <c r="G4742" s="4">
        <v>44744.0</v>
      </c>
      <c r="H4742" s="4">
        <f>IFERROR(__xludf.DUMMYFUNCTION("DATE(INDEX(SPLIT(G4742,""/""),,3),INDEX(SPLIT(G4742,""/""),,2),INDEX(SPLIT(G4742,""/""),,1))"),44599.0)</f>
        <v>44599</v>
      </c>
      <c r="I4742" s="1" t="s">
        <v>42</v>
      </c>
      <c r="J4742" s="4">
        <f>IFERROR(__xludf.DUMMYFUNCTION("DATE(INDEX(SPLIT(I4742,""/""),,3),INDEX(SPLIT(I4742,""/""),,2),INDEX(SPLIT(I4742,""/""),,1))"),44926.0)</f>
        <v>44926</v>
      </c>
      <c r="L4742" s="1">
        <v>0.0</v>
      </c>
      <c r="M4742" s="1" t="s">
        <v>13357</v>
      </c>
      <c r="N4742" s="1"/>
      <c r="O4742" s="1" t="s">
        <v>30</v>
      </c>
      <c r="P4742" s="1" t="s">
        <v>31</v>
      </c>
      <c r="Q4742" s="1" t="s">
        <v>188</v>
      </c>
      <c r="R4742" s="1" t="s">
        <v>188</v>
      </c>
      <c r="S4742" s="1" t="s">
        <v>189</v>
      </c>
      <c r="U4742" s="1">
        <v>1.0060697E8</v>
      </c>
      <c r="X4742" s="1" t="s">
        <v>63</v>
      </c>
      <c r="Y4742" s="1" t="s">
        <v>13358</v>
      </c>
      <c r="Z4742" s="1" t="s">
        <v>37</v>
      </c>
    </row>
    <row r="4743" hidden="1">
      <c r="A4743" s="1" t="s">
        <v>13359</v>
      </c>
      <c r="B4743" s="1" t="s">
        <v>948</v>
      </c>
      <c r="C4743" s="1" t="s">
        <v>13360</v>
      </c>
      <c r="D4743" s="1" t="s">
        <v>27</v>
      </c>
      <c r="E4743" s="1" t="s">
        <v>28</v>
      </c>
      <c r="F4743" s="2">
        <v>100000.0</v>
      </c>
      <c r="G4743" s="1" t="s">
        <v>983</v>
      </c>
      <c r="H4743" s="4">
        <f>IFERROR(__xludf.DUMMYFUNCTION("DATE(INDEX(SPLIT(G4743,""/""),,3),INDEX(SPLIT(G4743,""/""),,2),INDEX(SPLIT(G4743,""/""),,1))"),44393.0)</f>
        <v>44393</v>
      </c>
      <c r="I4743" s="1" t="s">
        <v>360</v>
      </c>
      <c r="J4743" s="4">
        <f>IFERROR(__xludf.DUMMYFUNCTION("DATE(INDEX(SPLIT(I4743,""/""),,3),INDEX(SPLIT(I4743,""/""),,2),INDEX(SPLIT(I4743,""/""),,1))"),44895.0)</f>
        <v>44895</v>
      </c>
      <c r="K4743" s="9">
        <v>44656.157638888886</v>
      </c>
      <c r="L4743" s="1">
        <v>0.0</v>
      </c>
      <c r="M4743" s="1" t="s">
        <v>2032</v>
      </c>
      <c r="N4743" s="1"/>
      <c r="O4743" s="1" t="s">
        <v>30</v>
      </c>
      <c r="P4743" s="1" t="s">
        <v>31</v>
      </c>
      <c r="Q4743" s="1" t="s">
        <v>71</v>
      </c>
      <c r="R4743" s="1" t="s">
        <v>71</v>
      </c>
      <c r="S4743" s="1" t="s">
        <v>72</v>
      </c>
      <c r="T4743" s="1" t="s">
        <v>73</v>
      </c>
      <c r="U4743" s="1">
        <v>1.00929557E8</v>
      </c>
      <c r="X4743" s="1" t="s">
        <v>74</v>
      </c>
      <c r="Y4743" s="1" t="s">
        <v>10659</v>
      </c>
      <c r="Z4743" s="1" t="s">
        <v>206</v>
      </c>
    </row>
    <row r="4744" hidden="1">
      <c r="A4744" s="1" t="s">
        <v>13361</v>
      </c>
      <c r="B4744" s="1" t="s">
        <v>6959</v>
      </c>
      <c r="C4744" s="1" t="s">
        <v>13362</v>
      </c>
      <c r="D4744" s="1" t="s">
        <v>78</v>
      </c>
      <c r="E4744" s="1" t="s">
        <v>28</v>
      </c>
      <c r="F4744" s="2">
        <v>100000.0</v>
      </c>
      <c r="G4744" s="4">
        <v>44594.0</v>
      </c>
      <c r="H4744" s="4">
        <f>IFERROR(__xludf.DUMMYFUNCTION("DATE(INDEX(SPLIT(G4744,""/""),,3),INDEX(SPLIT(G4744,""/""),,2),INDEX(SPLIT(G4744,""/""),,1))"),44594.0)</f>
        <v>44594</v>
      </c>
      <c r="I4744" s="1" t="s">
        <v>872</v>
      </c>
      <c r="J4744" s="4">
        <f>IFERROR(__xludf.DUMMYFUNCTION("DATE(INDEX(SPLIT(I4744,""/""),,3),INDEX(SPLIT(I4744,""/""),,2),INDEX(SPLIT(I4744,""/""),,1))"),44820.0)</f>
        <v>44820</v>
      </c>
      <c r="L4744" s="1">
        <v>0.0</v>
      </c>
      <c r="M4744" s="1" t="s">
        <v>1704</v>
      </c>
      <c r="N4744" s="1"/>
      <c r="O4744" s="1" t="s">
        <v>30</v>
      </c>
      <c r="P4744" s="1" t="s">
        <v>31</v>
      </c>
      <c r="Q4744" s="1" t="s">
        <v>157</v>
      </c>
      <c r="R4744" s="1" t="s">
        <v>157</v>
      </c>
      <c r="S4744" s="1" t="s">
        <v>158</v>
      </c>
      <c r="T4744" s="1" t="s">
        <v>442</v>
      </c>
      <c r="U4744" s="1">
        <v>1.00654991E8</v>
      </c>
      <c r="X4744" s="1" t="s">
        <v>254</v>
      </c>
      <c r="Y4744" s="1" t="s">
        <v>3056</v>
      </c>
      <c r="Z4744" s="1" t="s">
        <v>37</v>
      </c>
    </row>
    <row r="4745" hidden="1">
      <c r="A4745" s="1" t="s">
        <v>13363</v>
      </c>
      <c r="B4745" s="1" t="s">
        <v>7930</v>
      </c>
      <c r="C4745" s="1" t="s">
        <v>13364</v>
      </c>
      <c r="D4745" s="1" t="s">
        <v>27</v>
      </c>
      <c r="E4745" s="1" t="s">
        <v>28</v>
      </c>
      <c r="F4745" s="2">
        <v>100000.0</v>
      </c>
      <c r="G4745" s="1" t="s">
        <v>619</v>
      </c>
      <c r="H4745" s="4">
        <f>IFERROR(__xludf.DUMMYFUNCTION("DATE(INDEX(SPLIT(G4745,""/""),,3),INDEX(SPLIT(G4745,""/""),,2),INDEX(SPLIT(G4745,""/""),,1))"),44490.0)</f>
        <v>44490</v>
      </c>
      <c r="I4745" s="1" t="s">
        <v>109</v>
      </c>
      <c r="J4745" s="4">
        <f>IFERROR(__xludf.DUMMYFUNCTION("DATE(INDEX(SPLIT(I4745,""/""),,3),INDEX(SPLIT(I4745,""/""),,2),INDEX(SPLIT(I4745,""/""),,1))"),44834.0)</f>
        <v>44834</v>
      </c>
      <c r="L4745" s="1">
        <v>0.0</v>
      </c>
      <c r="M4745" s="1" t="s">
        <v>913</v>
      </c>
      <c r="N4745" s="1"/>
      <c r="O4745" s="1" t="s">
        <v>30</v>
      </c>
      <c r="P4745" s="1" t="s">
        <v>31</v>
      </c>
      <c r="Q4745" s="1" t="s">
        <v>71</v>
      </c>
      <c r="R4745" s="1" t="s">
        <v>71</v>
      </c>
      <c r="S4745" s="1" t="s">
        <v>72</v>
      </c>
      <c r="T4745" s="1" t="s">
        <v>136</v>
      </c>
      <c r="U4745" s="1">
        <v>1.0112897E8</v>
      </c>
      <c r="X4745" s="1" t="s">
        <v>2028</v>
      </c>
      <c r="Y4745" s="1" t="s">
        <v>4444</v>
      </c>
      <c r="Z4745" s="1" t="s">
        <v>37</v>
      </c>
    </row>
    <row r="4746">
      <c r="A4746" s="1" t="s">
        <v>13365</v>
      </c>
      <c r="B4746" s="1" t="s">
        <v>3778</v>
      </c>
      <c r="C4746" s="1" t="s">
        <v>13366</v>
      </c>
      <c r="D4746" s="1" t="s">
        <v>27</v>
      </c>
      <c r="E4746" s="1" t="s">
        <v>28</v>
      </c>
      <c r="F4746" s="2">
        <v>100000.0</v>
      </c>
      <c r="G4746" s="4">
        <v>44598.0</v>
      </c>
      <c r="H4746" s="4">
        <f>IFERROR(__xludf.DUMMYFUNCTION("DATE(INDEX(SPLIT(G4746,""/""),,3),INDEX(SPLIT(G4746,""/""),,2),INDEX(SPLIT(G4746,""/""),,1))"),44714.0)</f>
        <v>44714</v>
      </c>
      <c r="I4746" s="1" t="s">
        <v>935</v>
      </c>
      <c r="J4746" s="4">
        <f>IFERROR(__xludf.DUMMYFUNCTION("DATE(INDEX(SPLIT(I4746,""/""),,3),INDEX(SPLIT(I4746,""/""),,2),INDEX(SPLIT(I4746,""/""),,1))"),44764.0)</f>
        <v>44764</v>
      </c>
      <c r="L4746" s="1">
        <v>0.0</v>
      </c>
      <c r="M4746" s="1" t="s">
        <v>1723</v>
      </c>
      <c r="N4746" s="1"/>
      <c r="O4746" s="1" t="s">
        <v>30</v>
      </c>
      <c r="P4746" s="1" t="s">
        <v>31</v>
      </c>
      <c r="Q4746" s="1" t="s">
        <v>157</v>
      </c>
      <c r="R4746" s="1" t="s">
        <v>157</v>
      </c>
      <c r="S4746" s="1" t="s">
        <v>158</v>
      </c>
      <c r="T4746" s="1" t="s">
        <v>159</v>
      </c>
      <c r="U4746" s="1">
        <v>1.00654085E8</v>
      </c>
      <c r="X4746" s="1" t="s">
        <v>74</v>
      </c>
      <c r="Y4746" s="1" t="s">
        <v>1723</v>
      </c>
      <c r="Z4746" s="1" t="s">
        <v>37</v>
      </c>
    </row>
    <row r="4747">
      <c r="A4747" s="1" t="s">
        <v>13367</v>
      </c>
      <c r="B4747" s="1" t="s">
        <v>906</v>
      </c>
      <c r="C4747" s="1" t="s">
        <v>13368</v>
      </c>
      <c r="D4747" s="1" t="s">
        <v>27</v>
      </c>
      <c r="E4747" s="1" t="s">
        <v>28</v>
      </c>
      <c r="F4747" s="2">
        <v>100000.0</v>
      </c>
      <c r="G4747" s="4">
        <v>44598.0</v>
      </c>
      <c r="H4747" s="4">
        <f>IFERROR(__xludf.DUMMYFUNCTION("DATE(INDEX(SPLIT(G4747,""/""),,3),INDEX(SPLIT(G4747,""/""),,2),INDEX(SPLIT(G4747,""/""),,1))"),44714.0)</f>
        <v>44714</v>
      </c>
      <c r="I4747" s="1" t="s">
        <v>69</v>
      </c>
      <c r="J4747" s="4">
        <f>IFERROR(__xludf.DUMMYFUNCTION("DATE(INDEX(SPLIT(I4747,""/""),,3),INDEX(SPLIT(I4747,""/""),,2),INDEX(SPLIT(I4747,""/""),,1))"),44773.0)</f>
        <v>44773</v>
      </c>
      <c r="L4747" s="1">
        <v>0.0</v>
      </c>
      <c r="M4747" s="1" t="s">
        <v>1723</v>
      </c>
      <c r="N4747" s="1"/>
      <c r="O4747" s="1" t="s">
        <v>30</v>
      </c>
      <c r="P4747" s="1" t="s">
        <v>31</v>
      </c>
      <c r="Q4747" s="1" t="s">
        <v>157</v>
      </c>
      <c r="R4747" s="1" t="s">
        <v>157</v>
      </c>
      <c r="S4747" s="1" t="s">
        <v>158</v>
      </c>
      <c r="T4747" s="1" t="s">
        <v>159</v>
      </c>
      <c r="U4747" s="1">
        <v>1.00654085E8</v>
      </c>
      <c r="X4747" s="1" t="s">
        <v>74</v>
      </c>
      <c r="Y4747" s="1" t="s">
        <v>1723</v>
      </c>
      <c r="Z4747" s="1" t="s">
        <v>37</v>
      </c>
    </row>
    <row r="4748">
      <c r="A4748" s="1" t="s">
        <v>13369</v>
      </c>
      <c r="B4748" s="1" t="s">
        <v>4029</v>
      </c>
      <c r="C4748" s="1" t="s">
        <v>13370</v>
      </c>
      <c r="D4748" s="1" t="s">
        <v>68</v>
      </c>
      <c r="E4748" s="1" t="s">
        <v>28</v>
      </c>
      <c r="F4748" s="2">
        <v>100000.0</v>
      </c>
      <c r="G4748" s="4">
        <v>44567.0</v>
      </c>
      <c r="H4748" s="4">
        <f>IFERROR(__xludf.DUMMYFUNCTION("DATE(INDEX(SPLIT(G4748,""/""),,3),INDEX(SPLIT(G4748,""/""),,2),INDEX(SPLIT(G4748,""/""),,1))"),44713.0)</f>
        <v>44713</v>
      </c>
      <c r="I4748" s="1" t="s">
        <v>69</v>
      </c>
      <c r="J4748" s="4">
        <f>IFERROR(__xludf.DUMMYFUNCTION("DATE(INDEX(SPLIT(I4748,""/""),,3),INDEX(SPLIT(I4748,""/""),,2),INDEX(SPLIT(I4748,""/""),,1))"),44773.0)</f>
        <v>44773</v>
      </c>
      <c r="L4748" s="1">
        <v>0.0</v>
      </c>
      <c r="M4748" s="1" t="s">
        <v>2057</v>
      </c>
      <c r="N4748" s="1"/>
      <c r="O4748" s="1" t="s">
        <v>30</v>
      </c>
      <c r="P4748" s="1" t="s">
        <v>31</v>
      </c>
      <c r="Q4748" s="1" t="s">
        <v>71</v>
      </c>
      <c r="R4748" s="1" t="s">
        <v>71</v>
      </c>
      <c r="S4748" s="1" t="s">
        <v>72</v>
      </c>
      <c r="T4748" s="1" t="s">
        <v>136</v>
      </c>
      <c r="U4748" s="1">
        <v>1.01078216E8</v>
      </c>
      <c r="X4748" s="1" t="s">
        <v>74</v>
      </c>
      <c r="Y4748" s="1" t="s">
        <v>5827</v>
      </c>
      <c r="Z4748" s="1" t="s">
        <v>206</v>
      </c>
    </row>
    <row r="4749" hidden="1">
      <c r="A4749" s="1" t="s">
        <v>13371</v>
      </c>
      <c r="B4749" s="1" t="s">
        <v>13372</v>
      </c>
      <c r="C4749" s="1" t="s">
        <v>13373</v>
      </c>
      <c r="D4749" s="1" t="s">
        <v>27</v>
      </c>
      <c r="E4749" s="1" t="s">
        <v>28</v>
      </c>
      <c r="F4749" s="2">
        <v>100000.0</v>
      </c>
      <c r="G4749" s="1" t="s">
        <v>2329</v>
      </c>
      <c r="H4749" s="4">
        <f>IFERROR(__xludf.DUMMYFUNCTION("DATE(INDEX(SPLIT(G4749,""/""),,3),INDEX(SPLIT(G4749,""/""),,2),INDEX(SPLIT(G4749,""/""),,1))"),44732.0)</f>
        <v>44732</v>
      </c>
      <c r="I4749" s="1" t="s">
        <v>130</v>
      </c>
      <c r="J4749" s="4">
        <f>IFERROR(__xludf.DUMMYFUNCTION("DATE(INDEX(SPLIT(I4749,""/""),,3),INDEX(SPLIT(I4749,""/""),,2),INDEX(SPLIT(I4749,""/""),,1))"),44804.0)</f>
        <v>44804</v>
      </c>
      <c r="L4749" s="1">
        <v>0.0</v>
      </c>
      <c r="M4749" s="1" t="s">
        <v>9372</v>
      </c>
      <c r="N4749" s="1"/>
      <c r="O4749" s="1" t="s">
        <v>30</v>
      </c>
      <c r="P4749" s="1" t="s">
        <v>31</v>
      </c>
      <c r="Q4749" s="1" t="s">
        <v>1320</v>
      </c>
      <c r="R4749" s="1" t="s">
        <v>1320</v>
      </c>
      <c r="S4749" s="1" t="s">
        <v>236</v>
      </c>
      <c r="U4749" s="1">
        <v>1.01146755E8</v>
      </c>
      <c r="X4749" s="1" t="s">
        <v>239</v>
      </c>
      <c r="Y4749" s="1" t="s">
        <v>9372</v>
      </c>
      <c r="Z4749" s="1" t="s">
        <v>206</v>
      </c>
    </row>
    <row r="4750">
      <c r="A4750" s="1" t="s">
        <v>13374</v>
      </c>
      <c r="B4750" s="1" t="s">
        <v>1748</v>
      </c>
      <c r="C4750" s="1" t="s">
        <v>13375</v>
      </c>
      <c r="D4750" s="1" t="s">
        <v>27</v>
      </c>
      <c r="E4750" s="1" t="s">
        <v>28</v>
      </c>
      <c r="F4750" s="2">
        <v>100000.0</v>
      </c>
      <c r="G4750" s="1" t="s">
        <v>13376</v>
      </c>
      <c r="H4750" s="4">
        <f>IFERROR(__xludf.DUMMYFUNCTION("DATE(INDEX(SPLIT(G4750,""/""),,3),INDEX(SPLIT(G4750,""/""),,2),INDEX(SPLIT(G4750,""/""),,1))"),44226.0)</f>
        <v>44226</v>
      </c>
      <c r="I4750" s="1" t="s">
        <v>472</v>
      </c>
      <c r="J4750" s="4">
        <f>IFERROR(__xludf.DUMMYFUNCTION("DATE(INDEX(SPLIT(I4750,""/""),,3),INDEX(SPLIT(I4750,""/""),,2),INDEX(SPLIT(I4750,""/""),,1))"),44760.0)</f>
        <v>44760</v>
      </c>
      <c r="L4750" s="1">
        <v>0.0</v>
      </c>
      <c r="M4750" s="1" t="s">
        <v>3860</v>
      </c>
      <c r="N4750" s="1"/>
      <c r="O4750" s="1" t="s">
        <v>30</v>
      </c>
      <c r="P4750" s="1" t="s">
        <v>31</v>
      </c>
      <c r="Q4750" s="1" t="s">
        <v>235</v>
      </c>
      <c r="R4750" s="1" t="s">
        <v>235</v>
      </c>
      <c r="S4750" s="1" t="s">
        <v>236</v>
      </c>
      <c r="T4750" s="1" t="s">
        <v>753</v>
      </c>
      <c r="U4750" s="1">
        <v>1.00636461E8</v>
      </c>
      <c r="X4750" s="1" t="s">
        <v>88</v>
      </c>
      <c r="Y4750" s="1" t="s">
        <v>3860</v>
      </c>
      <c r="Z4750" s="1" t="s">
        <v>37</v>
      </c>
    </row>
    <row r="4751" hidden="1">
      <c r="A4751" s="1" t="s">
        <v>13377</v>
      </c>
      <c r="B4751" s="1" t="s">
        <v>3591</v>
      </c>
      <c r="C4751" s="1" t="s">
        <v>13378</v>
      </c>
      <c r="D4751" s="1" t="s">
        <v>27</v>
      </c>
      <c r="E4751" s="1" t="s">
        <v>28</v>
      </c>
      <c r="F4751" s="2">
        <v>100000.0</v>
      </c>
      <c r="G4751" s="1" t="s">
        <v>983</v>
      </c>
      <c r="H4751" s="4">
        <f>IFERROR(__xludf.DUMMYFUNCTION("DATE(INDEX(SPLIT(G4751,""/""),,3),INDEX(SPLIT(G4751,""/""),,2),INDEX(SPLIT(G4751,""/""),,1))"),44393.0)</f>
        <v>44393</v>
      </c>
      <c r="I4751" s="1" t="s">
        <v>85</v>
      </c>
      <c r="J4751" s="4">
        <f>IFERROR(__xludf.DUMMYFUNCTION("DATE(INDEX(SPLIT(I4751,""/""),,3),INDEX(SPLIT(I4751,""/""),,2),INDEX(SPLIT(I4751,""/""),,1))"),44799.0)</f>
        <v>44799</v>
      </c>
      <c r="L4751" s="1">
        <v>0.0</v>
      </c>
      <c r="M4751" s="1" t="s">
        <v>2032</v>
      </c>
      <c r="N4751" s="1"/>
      <c r="O4751" s="1" t="s">
        <v>30</v>
      </c>
      <c r="P4751" s="1" t="s">
        <v>31</v>
      </c>
      <c r="Q4751" s="1" t="s">
        <v>71</v>
      </c>
      <c r="R4751" s="1" t="s">
        <v>71</v>
      </c>
      <c r="S4751" s="1" t="s">
        <v>72</v>
      </c>
      <c r="T4751" s="1" t="s">
        <v>73</v>
      </c>
      <c r="U4751" s="1">
        <v>1.00929557E8</v>
      </c>
      <c r="X4751" s="1" t="s">
        <v>74</v>
      </c>
      <c r="Y4751" s="1" t="s">
        <v>10659</v>
      </c>
      <c r="Z4751" s="1" t="s">
        <v>206</v>
      </c>
    </row>
    <row r="4752" hidden="1">
      <c r="A4752" s="1" t="s">
        <v>13379</v>
      </c>
      <c r="B4752" s="1" t="s">
        <v>2895</v>
      </c>
      <c r="C4752" s="1" t="s">
        <v>13380</v>
      </c>
      <c r="D4752" s="1" t="s">
        <v>27</v>
      </c>
      <c r="E4752" s="1" t="s">
        <v>28</v>
      </c>
      <c r="F4752" s="2">
        <v>100000.0</v>
      </c>
      <c r="G4752" s="1" t="s">
        <v>983</v>
      </c>
      <c r="H4752" s="4">
        <f>IFERROR(__xludf.DUMMYFUNCTION("DATE(INDEX(SPLIT(G4752,""/""),,3),INDEX(SPLIT(G4752,""/""),,2),INDEX(SPLIT(G4752,""/""),,1))"),44393.0)</f>
        <v>44393</v>
      </c>
      <c r="I4752" s="1" t="s">
        <v>130</v>
      </c>
      <c r="J4752" s="4">
        <f>IFERROR(__xludf.DUMMYFUNCTION("DATE(INDEX(SPLIT(I4752,""/""),,3),INDEX(SPLIT(I4752,""/""),,2),INDEX(SPLIT(I4752,""/""),,1))"),44804.0)</f>
        <v>44804</v>
      </c>
      <c r="L4752" s="1">
        <v>0.0</v>
      </c>
      <c r="M4752" s="1" t="s">
        <v>2032</v>
      </c>
      <c r="N4752" s="1"/>
      <c r="O4752" s="1" t="s">
        <v>30</v>
      </c>
      <c r="P4752" s="1" t="s">
        <v>31</v>
      </c>
      <c r="Q4752" s="1" t="s">
        <v>71</v>
      </c>
      <c r="R4752" s="1" t="s">
        <v>71</v>
      </c>
      <c r="S4752" s="1" t="s">
        <v>72</v>
      </c>
      <c r="T4752" s="1" t="s">
        <v>73</v>
      </c>
      <c r="U4752" s="1">
        <v>1.00929557E8</v>
      </c>
      <c r="X4752" s="1" t="s">
        <v>74</v>
      </c>
      <c r="Y4752" s="1" t="s">
        <v>10659</v>
      </c>
      <c r="Z4752" s="1" t="s">
        <v>206</v>
      </c>
    </row>
    <row r="4753" hidden="1">
      <c r="A4753" s="1" t="s">
        <v>13381</v>
      </c>
      <c r="B4753" s="1" t="s">
        <v>2159</v>
      </c>
      <c r="C4753" s="1" t="s">
        <v>13382</v>
      </c>
      <c r="D4753" s="1" t="s">
        <v>27</v>
      </c>
      <c r="E4753" s="1" t="s">
        <v>28</v>
      </c>
      <c r="F4753" s="2">
        <v>100000.0</v>
      </c>
      <c r="G4753" s="1" t="s">
        <v>983</v>
      </c>
      <c r="H4753" s="4">
        <f>IFERROR(__xludf.DUMMYFUNCTION("DATE(INDEX(SPLIT(G4753,""/""),,3),INDEX(SPLIT(G4753,""/""),,2),INDEX(SPLIT(G4753,""/""),,1))"),44393.0)</f>
        <v>44393</v>
      </c>
      <c r="I4753" s="1" t="s">
        <v>1361</v>
      </c>
      <c r="J4753" s="4">
        <f>IFERROR(__xludf.DUMMYFUNCTION("DATE(INDEX(SPLIT(I4753,""/""),,3),INDEX(SPLIT(I4753,""/""),,2),INDEX(SPLIT(I4753,""/""),,1))"),44827.0)</f>
        <v>44827</v>
      </c>
      <c r="L4753" s="1">
        <v>0.0</v>
      </c>
      <c r="M4753" s="1" t="s">
        <v>2032</v>
      </c>
      <c r="N4753" s="1"/>
      <c r="O4753" s="1" t="s">
        <v>30</v>
      </c>
      <c r="P4753" s="1" t="s">
        <v>31</v>
      </c>
      <c r="Q4753" s="1" t="s">
        <v>71</v>
      </c>
      <c r="R4753" s="1" t="s">
        <v>71</v>
      </c>
      <c r="S4753" s="1" t="s">
        <v>72</v>
      </c>
      <c r="T4753" s="1" t="s">
        <v>73</v>
      </c>
      <c r="U4753" s="1">
        <v>1.00929557E8</v>
      </c>
      <c r="X4753" s="1" t="s">
        <v>74</v>
      </c>
      <c r="Y4753" s="1" t="s">
        <v>10659</v>
      </c>
      <c r="Z4753" s="1" t="s">
        <v>206</v>
      </c>
    </row>
    <row r="4754">
      <c r="A4754" s="1" t="s">
        <v>13383</v>
      </c>
      <c r="B4754" s="1" t="s">
        <v>13384</v>
      </c>
      <c r="C4754" s="1" t="s">
        <v>6018</v>
      </c>
      <c r="D4754" s="1" t="s">
        <v>78</v>
      </c>
      <c r="E4754" s="1" t="s">
        <v>28</v>
      </c>
      <c r="F4754" s="2">
        <v>100000.0</v>
      </c>
      <c r="G4754" s="1" t="s">
        <v>862</v>
      </c>
      <c r="H4754" s="4">
        <f>IFERROR(__xludf.DUMMYFUNCTION("DATE(INDEX(SPLIT(G4754,""/""),,3),INDEX(SPLIT(G4754,""/""),,2),INDEX(SPLIT(G4754,""/""),,1))"),44699.0)</f>
        <v>44699</v>
      </c>
      <c r="I4754" s="1" t="s">
        <v>414</v>
      </c>
      <c r="J4754" s="4">
        <f>IFERROR(__xludf.DUMMYFUNCTION("DATE(INDEX(SPLIT(I4754,""/""),,3),INDEX(SPLIT(I4754,""/""),,2),INDEX(SPLIT(I4754,""/""),,1))"),44772.0)</f>
        <v>44772</v>
      </c>
      <c r="L4754" s="1">
        <v>0.0</v>
      </c>
      <c r="M4754" s="1" t="s">
        <v>881</v>
      </c>
      <c r="N4754" s="1"/>
      <c r="O4754" s="1" t="s">
        <v>30</v>
      </c>
      <c r="P4754" s="1" t="s">
        <v>31</v>
      </c>
      <c r="Q4754" s="1" t="s">
        <v>53</v>
      </c>
      <c r="R4754" s="1" t="s">
        <v>53</v>
      </c>
      <c r="S4754" s="1" t="s">
        <v>54</v>
      </c>
      <c r="U4754" s="1">
        <v>1.01156917E8</v>
      </c>
      <c r="X4754" s="1" t="s">
        <v>781</v>
      </c>
      <c r="Y4754" s="1" t="s">
        <v>11832</v>
      </c>
      <c r="Z4754" s="1" t="s">
        <v>206</v>
      </c>
    </row>
    <row r="4755" hidden="1">
      <c r="A4755" s="1" t="s">
        <v>13385</v>
      </c>
      <c r="B4755" s="1" t="s">
        <v>8999</v>
      </c>
      <c r="C4755" s="1" t="s">
        <v>13386</v>
      </c>
      <c r="D4755" s="1" t="s">
        <v>27</v>
      </c>
      <c r="E4755" s="1" t="s">
        <v>28</v>
      </c>
      <c r="F4755" s="2">
        <v>100000.0</v>
      </c>
      <c r="G4755" s="4">
        <v>44203.0</v>
      </c>
      <c r="H4755" s="4">
        <f>IFERROR(__xludf.DUMMYFUNCTION("DATE(INDEX(SPLIT(G4755,""/""),,3),INDEX(SPLIT(G4755,""/""),,2),INDEX(SPLIT(G4755,""/""),,1))"),44378.0)</f>
        <v>44378</v>
      </c>
      <c r="I4755" s="4">
        <v>44927.0</v>
      </c>
      <c r="J4755" s="4">
        <f>IFERROR(__xludf.DUMMYFUNCTION("DATE(INDEX(SPLIT(I4755,""/""),,3),INDEX(SPLIT(I4755,""/""),,2),INDEX(SPLIT(I4755,""/""),,1))"),44927.0)</f>
        <v>44927</v>
      </c>
      <c r="K4755" s="1" t="s">
        <v>13387</v>
      </c>
      <c r="L4755" s="1">
        <v>0.0</v>
      </c>
      <c r="M4755" s="1" t="s">
        <v>419</v>
      </c>
      <c r="N4755" s="1"/>
      <c r="O4755" s="1" t="s">
        <v>30</v>
      </c>
      <c r="P4755" s="1" t="s">
        <v>31</v>
      </c>
      <c r="Q4755" s="1" t="s">
        <v>71</v>
      </c>
      <c r="R4755" s="1" t="s">
        <v>71</v>
      </c>
      <c r="S4755" s="1" t="s">
        <v>72</v>
      </c>
      <c r="T4755" s="1" t="s">
        <v>136</v>
      </c>
      <c r="U4755" s="1">
        <v>1.0061032E8</v>
      </c>
      <c r="X4755" s="1" t="s">
        <v>74</v>
      </c>
      <c r="Y4755" s="1" t="s">
        <v>419</v>
      </c>
      <c r="Z4755" s="1" t="s">
        <v>37</v>
      </c>
    </row>
    <row r="4756" hidden="1">
      <c r="A4756" s="1" t="s">
        <v>13388</v>
      </c>
      <c r="B4756" s="1" t="s">
        <v>13389</v>
      </c>
      <c r="C4756" s="1" t="s">
        <v>13390</v>
      </c>
      <c r="D4756" s="1" t="s">
        <v>27</v>
      </c>
      <c r="E4756" s="1" t="s">
        <v>28</v>
      </c>
      <c r="F4756" s="2">
        <v>100000.0</v>
      </c>
      <c r="G4756" s="4">
        <v>44503.0</v>
      </c>
      <c r="H4756" s="4">
        <f>IFERROR(__xludf.DUMMYFUNCTION("DATE(INDEX(SPLIT(G4756,""/""),,3),INDEX(SPLIT(G4756,""/""),,2),INDEX(SPLIT(G4756,""/""),,1))"),44266.0)</f>
        <v>44266</v>
      </c>
      <c r="I4756" s="1" t="s">
        <v>13391</v>
      </c>
      <c r="J4756" s="4">
        <f>IFERROR(__xludf.DUMMYFUNCTION("DATE(INDEX(SPLIT(I4756,""/""),,3),INDEX(SPLIT(I4756,""/""),,2),INDEX(SPLIT(I4756,""/""),,1))"),45531.0)</f>
        <v>45531</v>
      </c>
      <c r="L4756" s="1">
        <v>0.0</v>
      </c>
      <c r="M4756" s="1" t="s">
        <v>1129</v>
      </c>
      <c r="N4756" s="1"/>
      <c r="O4756" s="1" t="s">
        <v>30</v>
      </c>
      <c r="P4756" s="1" t="s">
        <v>31</v>
      </c>
      <c r="Q4756" s="1" t="s">
        <v>157</v>
      </c>
      <c r="R4756" s="1" t="s">
        <v>157</v>
      </c>
      <c r="S4756" s="1" t="s">
        <v>158</v>
      </c>
      <c r="T4756" s="1" t="s">
        <v>442</v>
      </c>
      <c r="U4756" s="1">
        <v>1.00650786E8</v>
      </c>
      <c r="X4756" s="1" t="s">
        <v>117</v>
      </c>
      <c r="Y4756" s="1" t="s">
        <v>3676</v>
      </c>
      <c r="Z4756" s="1" t="s">
        <v>37</v>
      </c>
    </row>
    <row r="4757" hidden="1">
      <c r="A4757" s="1" t="s">
        <v>13392</v>
      </c>
      <c r="B4757" s="1" t="s">
        <v>2809</v>
      </c>
      <c r="C4757" s="1" t="s">
        <v>13393</v>
      </c>
      <c r="D4757" s="1" t="s">
        <v>78</v>
      </c>
      <c r="E4757" s="1" t="s">
        <v>28</v>
      </c>
      <c r="F4757" s="2">
        <v>100000.0</v>
      </c>
      <c r="G4757" s="1" t="s">
        <v>1863</v>
      </c>
      <c r="H4757" s="4">
        <f>IFERROR(__xludf.DUMMYFUNCTION("DATE(INDEX(SPLIT(G4757,""/""),,3),INDEX(SPLIT(G4757,""/""),,2),INDEX(SPLIT(G4757,""/""),,1))"),44069.0)</f>
        <v>44069</v>
      </c>
      <c r="I4757" s="1" t="s">
        <v>42</v>
      </c>
      <c r="J4757" s="4">
        <f>IFERROR(__xludf.DUMMYFUNCTION("DATE(INDEX(SPLIT(I4757,""/""),,3),INDEX(SPLIT(I4757,""/""),,2),INDEX(SPLIT(I4757,""/""),,1))"),44926.0)</f>
        <v>44926</v>
      </c>
      <c r="L4757" s="1">
        <v>0.0</v>
      </c>
      <c r="M4757" s="1" t="s">
        <v>3133</v>
      </c>
      <c r="N4757" s="1"/>
      <c r="O4757" s="1" t="s">
        <v>30</v>
      </c>
      <c r="P4757" s="1" t="s">
        <v>31</v>
      </c>
      <c r="Q4757" s="1" t="s">
        <v>228</v>
      </c>
      <c r="R4757" s="1" t="s">
        <v>228</v>
      </c>
      <c r="S4757" s="1" t="s">
        <v>229</v>
      </c>
      <c r="T4757" s="1" t="s">
        <v>513</v>
      </c>
      <c r="U4757" s="1">
        <v>1.00611158E8</v>
      </c>
      <c r="X4757" s="1" t="s">
        <v>81</v>
      </c>
      <c r="Y4757" s="1" t="s">
        <v>13394</v>
      </c>
      <c r="Z4757" s="1" t="s">
        <v>37</v>
      </c>
    </row>
    <row r="4758" hidden="1">
      <c r="A4758" s="1" t="s">
        <v>13395</v>
      </c>
      <c r="B4758" s="1" t="s">
        <v>12466</v>
      </c>
      <c r="C4758" s="1" t="s">
        <v>13396</v>
      </c>
      <c r="D4758" s="1" t="s">
        <v>122</v>
      </c>
      <c r="E4758" s="1" t="s">
        <v>28</v>
      </c>
      <c r="F4758" s="2">
        <v>100000.0</v>
      </c>
      <c r="G4758" s="4">
        <v>44598.0</v>
      </c>
      <c r="H4758" s="4">
        <f>IFERROR(__xludf.DUMMYFUNCTION("DATE(INDEX(SPLIT(G4758,""/""),,3),INDEX(SPLIT(G4758,""/""),,2),INDEX(SPLIT(G4758,""/""),,1))"),44714.0)</f>
        <v>44714</v>
      </c>
      <c r="I4758" s="1" t="s">
        <v>535</v>
      </c>
      <c r="J4758" s="4">
        <f>IFERROR(__xludf.DUMMYFUNCTION("DATE(INDEX(SPLIT(I4758,""/""),,3),INDEX(SPLIT(I4758,""/""),,2),INDEX(SPLIT(I4758,""/""),,1))"),44957.0)</f>
        <v>44957</v>
      </c>
      <c r="L4758" s="1">
        <v>0.0</v>
      </c>
      <c r="M4758" s="1" t="s">
        <v>12468</v>
      </c>
      <c r="N4758" s="1"/>
      <c r="O4758" s="1" t="s">
        <v>30</v>
      </c>
      <c r="P4758" s="1" t="s">
        <v>31</v>
      </c>
      <c r="Q4758" s="1" t="s">
        <v>228</v>
      </c>
      <c r="R4758" s="1" t="s">
        <v>228</v>
      </c>
      <c r="S4758" s="1" t="s">
        <v>229</v>
      </c>
      <c r="T4758" s="1" t="s">
        <v>513</v>
      </c>
      <c r="U4758" s="1">
        <v>1.00626837E8</v>
      </c>
      <c r="X4758" s="1" t="s">
        <v>490</v>
      </c>
      <c r="Y4758" s="1" t="s">
        <v>12468</v>
      </c>
      <c r="Z4758" s="1" t="s">
        <v>206</v>
      </c>
    </row>
    <row r="4759" hidden="1">
      <c r="A4759" s="1" t="s">
        <v>13397</v>
      </c>
      <c r="B4759" s="1" t="s">
        <v>11467</v>
      </c>
      <c r="C4759" s="1" t="s">
        <v>13398</v>
      </c>
      <c r="D4759" s="1" t="s">
        <v>78</v>
      </c>
      <c r="E4759" s="1" t="s">
        <v>28</v>
      </c>
      <c r="F4759" s="2">
        <v>100000.0</v>
      </c>
      <c r="G4759" s="1" t="s">
        <v>343</v>
      </c>
      <c r="H4759" s="4">
        <f>IFERROR(__xludf.DUMMYFUNCTION("DATE(INDEX(SPLIT(G4759,""/""),,3),INDEX(SPLIT(G4759,""/""),,2),INDEX(SPLIT(G4759,""/""),,1))"),44761.0)</f>
        <v>44761</v>
      </c>
      <c r="I4759" s="1" t="s">
        <v>11528</v>
      </c>
      <c r="J4759" s="4">
        <f>IFERROR(__xludf.DUMMYFUNCTION("DATE(INDEX(SPLIT(I4759,""/""),,3),INDEX(SPLIT(I4759,""/""),,2),INDEX(SPLIT(I4759,""/""),,1))"),44795.0)</f>
        <v>44795</v>
      </c>
      <c r="L4759" s="1">
        <v>0.0</v>
      </c>
      <c r="M4759" s="1" t="s">
        <v>294</v>
      </c>
      <c r="N4759" s="1"/>
      <c r="O4759" s="1" t="s">
        <v>30</v>
      </c>
      <c r="P4759" s="1" t="s">
        <v>31</v>
      </c>
      <c r="Q4759" s="1" t="s">
        <v>157</v>
      </c>
      <c r="R4759" s="1" t="s">
        <v>157</v>
      </c>
      <c r="S4759" s="1" t="s">
        <v>158</v>
      </c>
      <c r="U4759" s="1">
        <v>1.00642806E8</v>
      </c>
      <c r="X4759" s="1" t="s">
        <v>239</v>
      </c>
      <c r="Y4759" s="1" t="s">
        <v>6066</v>
      </c>
      <c r="Z4759" s="1" t="s">
        <v>37</v>
      </c>
    </row>
    <row r="4760" hidden="1">
      <c r="A4760" s="1" t="s">
        <v>13399</v>
      </c>
      <c r="B4760" s="1" t="s">
        <v>7393</v>
      </c>
      <c r="C4760" s="1" t="s">
        <v>13400</v>
      </c>
      <c r="D4760" s="1" t="s">
        <v>27</v>
      </c>
      <c r="E4760" s="1" t="s">
        <v>28</v>
      </c>
      <c r="F4760" s="2">
        <v>100000.0</v>
      </c>
      <c r="G4760" s="4">
        <v>44535.0</v>
      </c>
      <c r="H4760" s="4">
        <f>IFERROR(__xludf.DUMMYFUNCTION("DATE(INDEX(SPLIT(G4760,""/""),,3),INDEX(SPLIT(G4760,""/""),,2),INDEX(SPLIT(G4760,""/""),,1))"),44328.0)</f>
        <v>44328</v>
      </c>
      <c r="I4760" s="4">
        <v>44601.0</v>
      </c>
      <c r="J4760" s="4">
        <f>IFERROR(__xludf.DUMMYFUNCTION("DATE(INDEX(SPLIT(I4760,""/""),,3),INDEX(SPLIT(I4760,""/""),,2),INDEX(SPLIT(I4760,""/""),,1))"),44806.0)</f>
        <v>44806</v>
      </c>
      <c r="L4760" s="1">
        <v>0.0</v>
      </c>
      <c r="M4760" s="1" t="s">
        <v>2623</v>
      </c>
      <c r="N4760" s="1"/>
      <c r="O4760" s="1" t="s">
        <v>30</v>
      </c>
      <c r="P4760" s="1" t="s">
        <v>31</v>
      </c>
      <c r="Q4760" s="1" t="s">
        <v>71</v>
      </c>
      <c r="R4760" s="1" t="s">
        <v>71</v>
      </c>
      <c r="S4760" s="1" t="s">
        <v>72</v>
      </c>
      <c r="T4760" s="1" t="s">
        <v>73</v>
      </c>
      <c r="U4760" s="1">
        <v>1.00618842E8</v>
      </c>
      <c r="X4760" s="1" t="s">
        <v>74</v>
      </c>
      <c r="Y4760" s="1" t="s">
        <v>4520</v>
      </c>
      <c r="Z4760" s="1" t="s">
        <v>37</v>
      </c>
    </row>
    <row r="4761" hidden="1">
      <c r="A4761" s="1" t="s">
        <v>13401</v>
      </c>
      <c r="B4761" s="1" t="s">
        <v>5325</v>
      </c>
      <c r="C4761" s="1" t="s">
        <v>13402</v>
      </c>
      <c r="D4761" s="1" t="s">
        <v>78</v>
      </c>
      <c r="E4761" s="1" t="s">
        <v>28</v>
      </c>
      <c r="F4761" s="2">
        <v>100000.0</v>
      </c>
      <c r="G4761" s="1" t="s">
        <v>862</v>
      </c>
      <c r="H4761" s="4">
        <f>IFERROR(__xludf.DUMMYFUNCTION("DATE(INDEX(SPLIT(G4761,""/""),,3),INDEX(SPLIT(G4761,""/""),,2),INDEX(SPLIT(G4761,""/""),,1))"),44699.0)</f>
        <v>44699</v>
      </c>
      <c r="I4761" s="4">
        <v>44781.0</v>
      </c>
      <c r="J4761" s="4">
        <f>IFERROR(__xludf.DUMMYFUNCTION("DATE(INDEX(SPLIT(I4761,""/""),,3),INDEX(SPLIT(I4761,""/""),,2),INDEX(SPLIT(I4761,""/""),,1))"),44781.0)</f>
        <v>44781</v>
      </c>
      <c r="L4761" s="1">
        <v>0.0</v>
      </c>
      <c r="M4761" s="1" t="s">
        <v>2724</v>
      </c>
      <c r="N4761" s="1"/>
      <c r="O4761" s="1" t="s">
        <v>30</v>
      </c>
      <c r="P4761" s="1" t="s">
        <v>31</v>
      </c>
      <c r="Q4761" s="1" t="s">
        <v>32</v>
      </c>
      <c r="R4761" s="1" t="s">
        <v>32</v>
      </c>
      <c r="S4761" s="1" t="s">
        <v>33</v>
      </c>
      <c r="T4761" s="1" t="s">
        <v>1195</v>
      </c>
      <c r="U4761" s="1">
        <v>1.00606975E8</v>
      </c>
      <c r="X4761" s="1" t="s">
        <v>490</v>
      </c>
      <c r="Y4761" s="1" t="s">
        <v>2765</v>
      </c>
      <c r="Z4761" s="1" t="s">
        <v>37</v>
      </c>
    </row>
    <row r="4762" hidden="1">
      <c r="A4762" s="1" t="s">
        <v>13403</v>
      </c>
      <c r="B4762" s="1" t="s">
        <v>13404</v>
      </c>
      <c r="C4762" s="1" t="s">
        <v>13405</v>
      </c>
      <c r="D4762" s="1" t="s">
        <v>27</v>
      </c>
      <c r="E4762" s="1" t="s">
        <v>28</v>
      </c>
      <c r="F4762" s="2">
        <v>100000.0</v>
      </c>
      <c r="G4762" s="1" t="s">
        <v>1494</v>
      </c>
      <c r="H4762" s="4">
        <f>IFERROR(__xludf.DUMMYFUNCTION("DATE(INDEX(SPLIT(G4762,""/""),,3),INDEX(SPLIT(G4762,""/""),,2),INDEX(SPLIT(G4762,""/""),,1))"),44463.0)</f>
        <v>44463</v>
      </c>
      <c r="I4762" s="1" t="s">
        <v>109</v>
      </c>
      <c r="J4762" s="4">
        <f>IFERROR(__xludf.DUMMYFUNCTION("DATE(INDEX(SPLIT(I4762,""/""),,3),INDEX(SPLIT(I4762,""/""),,2),INDEX(SPLIT(I4762,""/""),,1))"),44834.0)</f>
        <v>44834</v>
      </c>
      <c r="L4762" s="1">
        <v>0.0</v>
      </c>
      <c r="M4762" s="1" t="s">
        <v>1929</v>
      </c>
      <c r="N4762" s="1"/>
      <c r="O4762" s="1" t="s">
        <v>30</v>
      </c>
      <c r="P4762" s="1" t="s">
        <v>31</v>
      </c>
      <c r="Q4762" s="1" t="s">
        <v>95</v>
      </c>
      <c r="R4762" s="1" t="s">
        <v>95</v>
      </c>
      <c r="S4762" s="1" t="s">
        <v>96</v>
      </c>
      <c r="U4762" s="1">
        <v>1.00631642E8</v>
      </c>
      <c r="X4762" s="1" t="s">
        <v>88</v>
      </c>
      <c r="Y4762" s="1" t="s">
        <v>350</v>
      </c>
      <c r="Z4762" s="1" t="s">
        <v>37</v>
      </c>
    </row>
    <row r="4763" hidden="1">
      <c r="A4763" s="1" t="s">
        <v>13406</v>
      </c>
      <c r="B4763" s="1" t="s">
        <v>13407</v>
      </c>
      <c r="C4763" s="1" t="s">
        <v>13408</v>
      </c>
      <c r="D4763" s="1" t="s">
        <v>27</v>
      </c>
      <c r="E4763" s="1" t="s">
        <v>28</v>
      </c>
      <c r="F4763" s="2">
        <v>100000.0</v>
      </c>
      <c r="G4763" s="1" t="s">
        <v>1494</v>
      </c>
      <c r="H4763" s="4">
        <f>IFERROR(__xludf.DUMMYFUNCTION("DATE(INDEX(SPLIT(G4763,""/""),,3),INDEX(SPLIT(G4763,""/""),,2),INDEX(SPLIT(G4763,""/""),,1))"),44463.0)</f>
        <v>44463</v>
      </c>
      <c r="I4763" s="1" t="s">
        <v>109</v>
      </c>
      <c r="J4763" s="4">
        <f>IFERROR(__xludf.DUMMYFUNCTION("DATE(INDEX(SPLIT(I4763,""/""),,3),INDEX(SPLIT(I4763,""/""),,2),INDEX(SPLIT(I4763,""/""),,1))"),44834.0)</f>
        <v>44834</v>
      </c>
      <c r="L4763" s="1">
        <v>0.0</v>
      </c>
      <c r="M4763" s="1" t="s">
        <v>1929</v>
      </c>
      <c r="N4763" s="1"/>
      <c r="O4763" s="1" t="s">
        <v>30</v>
      </c>
      <c r="P4763" s="1" t="s">
        <v>31</v>
      </c>
      <c r="Q4763" s="1" t="s">
        <v>95</v>
      </c>
      <c r="R4763" s="1" t="s">
        <v>95</v>
      </c>
      <c r="S4763" s="1" t="s">
        <v>96</v>
      </c>
      <c r="T4763" s="1" t="s">
        <v>602</v>
      </c>
      <c r="U4763" s="1">
        <v>1.00631642E8</v>
      </c>
      <c r="X4763" s="1" t="s">
        <v>88</v>
      </c>
      <c r="Y4763" s="1" t="s">
        <v>350</v>
      </c>
      <c r="Z4763" s="1" t="s">
        <v>37</v>
      </c>
    </row>
    <row r="4764" hidden="1">
      <c r="A4764" s="1" t="s">
        <v>13409</v>
      </c>
      <c r="B4764" s="1" t="s">
        <v>7217</v>
      </c>
      <c r="C4764" s="1" t="s">
        <v>13410</v>
      </c>
      <c r="D4764" s="1" t="s">
        <v>27</v>
      </c>
      <c r="E4764" s="1" t="s">
        <v>28</v>
      </c>
      <c r="F4764" s="2">
        <v>100000.0</v>
      </c>
      <c r="G4764" s="1" t="s">
        <v>1494</v>
      </c>
      <c r="H4764" s="4">
        <f>IFERROR(__xludf.DUMMYFUNCTION("DATE(INDEX(SPLIT(G4764,""/""),,3),INDEX(SPLIT(G4764,""/""),,2),INDEX(SPLIT(G4764,""/""),,1))"),44463.0)</f>
        <v>44463</v>
      </c>
      <c r="I4764" s="1" t="s">
        <v>203</v>
      </c>
      <c r="J4764" s="4">
        <f>IFERROR(__xludf.DUMMYFUNCTION("DATE(INDEX(SPLIT(I4764,""/""),,3),INDEX(SPLIT(I4764,""/""),,2),INDEX(SPLIT(I4764,""/""),,1))"),44925.0)</f>
        <v>44925</v>
      </c>
      <c r="L4764" s="1">
        <v>0.0</v>
      </c>
      <c r="M4764" s="1" t="s">
        <v>1929</v>
      </c>
      <c r="N4764" s="1"/>
      <c r="O4764" s="1" t="s">
        <v>30</v>
      </c>
      <c r="P4764" s="1" t="s">
        <v>31</v>
      </c>
      <c r="Q4764" s="1" t="s">
        <v>95</v>
      </c>
      <c r="R4764" s="1" t="s">
        <v>95</v>
      </c>
      <c r="S4764" s="1" t="s">
        <v>96</v>
      </c>
      <c r="U4764" s="1">
        <v>1.00631642E8</v>
      </c>
      <c r="X4764" s="1" t="s">
        <v>88</v>
      </c>
      <c r="Y4764" s="1" t="s">
        <v>350</v>
      </c>
      <c r="Z4764" s="1" t="s">
        <v>37</v>
      </c>
    </row>
    <row r="4765" hidden="1">
      <c r="A4765" s="1" t="s">
        <v>13411</v>
      </c>
      <c r="B4765" s="1" t="s">
        <v>2642</v>
      </c>
      <c r="C4765" s="1" t="s">
        <v>13412</v>
      </c>
      <c r="D4765" s="1" t="s">
        <v>78</v>
      </c>
      <c r="E4765" s="1" t="s">
        <v>28</v>
      </c>
      <c r="F4765" s="2">
        <v>100000.0</v>
      </c>
      <c r="G4765" s="1" t="s">
        <v>1806</v>
      </c>
      <c r="H4765" s="4">
        <f>IFERROR(__xludf.DUMMYFUNCTION("DATE(INDEX(SPLIT(G4765,""/""),,3),INDEX(SPLIT(G4765,""/""),,2),INDEX(SPLIT(G4765,""/""),,1))"),44694.0)</f>
        <v>44694</v>
      </c>
      <c r="I4765" s="1" t="s">
        <v>130</v>
      </c>
      <c r="J4765" s="4">
        <f>IFERROR(__xludf.DUMMYFUNCTION("DATE(INDEX(SPLIT(I4765,""/""),,3),INDEX(SPLIT(I4765,""/""),,2),INDEX(SPLIT(I4765,""/""),,1))"),44804.0)</f>
        <v>44804</v>
      </c>
      <c r="L4765" s="1">
        <v>0.0</v>
      </c>
      <c r="M4765" s="1" t="s">
        <v>211</v>
      </c>
      <c r="N4765" s="1"/>
      <c r="O4765" s="1" t="s">
        <v>30</v>
      </c>
      <c r="P4765" s="1" t="s">
        <v>31</v>
      </c>
      <c r="Q4765" s="1" t="s">
        <v>71</v>
      </c>
      <c r="R4765" s="1" t="s">
        <v>71</v>
      </c>
      <c r="S4765" s="1" t="s">
        <v>72</v>
      </c>
      <c r="T4765" s="1" t="s">
        <v>136</v>
      </c>
      <c r="U4765" s="1">
        <v>1.00590896E8</v>
      </c>
      <c r="X4765" s="1" t="s">
        <v>74</v>
      </c>
      <c r="Y4765" s="1" t="s">
        <v>2072</v>
      </c>
      <c r="Z4765" s="1" t="s">
        <v>37</v>
      </c>
    </row>
    <row r="4766">
      <c r="A4766" s="1" t="s">
        <v>13413</v>
      </c>
      <c r="B4766" s="1" t="s">
        <v>501</v>
      </c>
      <c r="C4766" s="1" t="s">
        <v>13414</v>
      </c>
      <c r="D4766" s="1" t="s">
        <v>27</v>
      </c>
      <c r="E4766" s="1" t="s">
        <v>28</v>
      </c>
      <c r="F4766" s="2">
        <v>100000.0</v>
      </c>
      <c r="G4766" s="4">
        <v>44052.0</v>
      </c>
      <c r="H4766" s="4">
        <f>IFERROR(__xludf.DUMMYFUNCTION("DATE(INDEX(SPLIT(G4766,""/""),,3),INDEX(SPLIT(G4766,""/""),,2),INDEX(SPLIT(G4766,""/""),,1))"),44082.0)</f>
        <v>44082</v>
      </c>
      <c r="I4766" s="1" t="s">
        <v>1244</v>
      </c>
      <c r="J4766" s="4">
        <f>IFERROR(__xludf.DUMMYFUNCTION("DATE(INDEX(SPLIT(I4766,""/""),,3),INDEX(SPLIT(I4766,""/""),,2),INDEX(SPLIT(I4766,""/""),,1))"),44742.0)</f>
        <v>44742</v>
      </c>
      <c r="L4766" s="1">
        <v>0.0</v>
      </c>
      <c r="M4766" s="1" t="s">
        <v>3717</v>
      </c>
      <c r="N4766" s="1"/>
      <c r="O4766" s="1" t="s">
        <v>30</v>
      </c>
      <c r="P4766" s="1" t="s">
        <v>31</v>
      </c>
      <c r="Q4766" s="1" t="s">
        <v>32</v>
      </c>
      <c r="R4766" s="1" t="s">
        <v>32</v>
      </c>
      <c r="S4766" s="1" t="s">
        <v>33</v>
      </c>
      <c r="T4766" s="1" t="s">
        <v>55</v>
      </c>
      <c r="U4766" s="1">
        <v>1.00651946E8</v>
      </c>
      <c r="X4766" s="1" t="s">
        <v>410</v>
      </c>
      <c r="Y4766" s="1" t="s">
        <v>7327</v>
      </c>
      <c r="Z4766" s="1" t="s">
        <v>37</v>
      </c>
    </row>
    <row r="4767" hidden="1">
      <c r="A4767" s="1" t="s">
        <v>13415</v>
      </c>
      <c r="B4767" s="1" t="s">
        <v>617</v>
      </c>
      <c r="C4767" s="1" t="s">
        <v>13416</v>
      </c>
      <c r="D4767" s="1" t="s">
        <v>27</v>
      </c>
      <c r="E4767" s="1" t="s">
        <v>28</v>
      </c>
      <c r="F4767" s="2">
        <v>100000.0</v>
      </c>
      <c r="G4767" s="1" t="s">
        <v>867</v>
      </c>
      <c r="H4767" s="4">
        <f>IFERROR(__xludf.DUMMYFUNCTION("DATE(INDEX(SPLIT(G4767,""/""),,3),INDEX(SPLIT(G4767,""/""),,2),INDEX(SPLIT(G4767,""/""),,1))"),44363.0)</f>
        <v>44363</v>
      </c>
      <c r="I4767" s="1" t="s">
        <v>3797</v>
      </c>
      <c r="J4767" s="4">
        <f>IFERROR(__xludf.DUMMYFUNCTION("DATE(INDEX(SPLIT(I4767,""/""),,3),INDEX(SPLIT(I4767,""/""),,2),INDEX(SPLIT(I4767,""/""),,1))"),44858.0)</f>
        <v>44858</v>
      </c>
      <c r="L4767" s="1">
        <v>0.0</v>
      </c>
      <c r="M4767" s="1" t="s">
        <v>1925</v>
      </c>
      <c r="N4767" s="1"/>
      <c r="O4767" s="1" t="s">
        <v>30</v>
      </c>
      <c r="P4767" s="1" t="s">
        <v>31</v>
      </c>
      <c r="Q4767" s="1" t="s">
        <v>32</v>
      </c>
      <c r="R4767" s="1" t="s">
        <v>32</v>
      </c>
      <c r="S4767" s="1" t="s">
        <v>33</v>
      </c>
      <c r="U4767" s="1">
        <v>1.00626539E8</v>
      </c>
      <c r="X4767" s="1" t="s">
        <v>81</v>
      </c>
      <c r="Y4767" s="1" t="s">
        <v>1925</v>
      </c>
      <c r="Z4767" s="1" t="s">
        <v>527</v>
      </c>
    </row>
    <row r="4768" hidden="1">
      <c r="A4768" s="1" t="s">
        <v>13417</v>
      </c>
      <c r="B4768" s="1" t="s">
        <v>13418</v>
      </c>
      <c r="C4768" s="1" t="s">
        <v>13419</v>
      </c>
      <c r="D4768" s="1" t="s">
        <v>78</v>
      </c>
      <c r="E4768" s="1" t="s">
        <v>28</v>
      </c>
      <c r="F4768" s="2">
        <v>100000.0</v>
      </c>
      <c r="G4768" s="1" t="s">
        <v>13420</v>
      </c>
      <c r="H4768" s="4">
        <f>IFERROR(__xludf.DUMMYFUNCTION("DATE(INDEX(SPLIT(G4768,""/""),,3),INDEX(SPLIT(G4768,""/""),,2),INDEX(SPLIT(G4768,""/""),,1))"),42115.0)</f>
        <v>42115</v>
      </c>
      <c r="I4768" s="1" t="s">
        <v>42</v>
      </c>
      <c r="J4768" s="4">
        <f>IFERROR(__xludf.DUMMYFUNCTION("DATE(INDEX(SPLIT(I4768,""/""),,3),INDEX(SPLIT(I4768,""/""),,2),INDEX(SPLIT(I4768,""/""),,1))"),44926.0)</f>
        <v>44926</v>
      </c>
      <c r="L4768" s="1">
        <v>0.0</v>
      </c>
      <c r="M4768" s="1" t="s">
        <v>11533</v>
      </c>
      <c r="N4768" s="1"/>
      <c r="O4768" s="1" t="s">
        <v>30</v>
      </c>
      <c r="P4768" s="1" t="s">
        <v>31</v>
      </c>
      <c r="Q4768" s="1" t="s">
        <v>235</v>
      </c>
      <c r="R4768" s="1" t="s">
        <v>235</v>
      </c>
      <c r="S4768" s="1" t="s">
        <v>236</v>
      </c>
      <c r="T4768" s="1" t="s">
        <v>13242</v>
      </c>
      <c r="U4768" s="1">
        <v>1.00608282E8</v>
      </c>
      <c r="W4768" s="1" t="s">
        <v>717</v>
      </c>
      <c r="X4768" s="1" t="s">
        <v>239</v>
      </c>
      <c r="Y4768" s="1" t="s">
        <v>13243</v>
      </c>
      <c r="Z4768" s="1" t="s">
        <v>37</v>
      </c>
    </row>
    <row r="4769">
      <c r="A4769" s="1" t="s">
        <v>13421</v>
      </c>
      <c r="B4769" s="1" t="s">
        <v>784</v>
      </c>
      <c r="C4769" s="1" t="s">
        <v>13422</v>
      </c>
      <c r="D4769" s="1" t="s">
        <v>78</v>
      </c>
      <c r="E4769" s="1" t="s">
        <v>28</v>
      </c>
      <c r="F4769" s="2">
        <v>100000.0</v>
      </c>
      <c r="G4769" s="4">
        <v>44564.0</v>
      </c>
      <c r="H4769" s="4">
        <f>IFERROR(__xludf.DUMMYFUNCTION("DATE(INDEX(SPLIT(G4769,""/""),,3),INDEX(SPLIT(G4769,""/""),,2),INDEX(SPLIT(G4769,""/""),,1))"),44621.0)</f>
        <v>44621</v>
      </c>
      <c r="I4769" s="1" t="s">
        <v>414</v>
      </c>
      <c r="J4769" s="4">
        <f>IFERROR(__xludf.DUMMYFUNCTION("DATE(INDEX(SPLIT(I4769,""/""),,3),INDEX(SPLIT(I4769,""/""),,2),INDEX(SPLIT(I4769,""/""),,1))"),44772.0)</f>
        <v>44772</v>
      </c>
      <c r="L4769" s="1">
        <v>0.0</v>
      </c>
      <c r="M4769" s="1" t="s">
        <v>2828</v>
      </c>
      <c r="N4769" s="1"/>
      <c r="O4769" s="1" t="s">
        <v>30</v>
      </c>
      <c r="P4769" s="1" t="s">
        <v>31</v>
      </c>
      <c r="Q4769" s="1" t="s">
        <v>228</v>
      </c>
      <c r="R4769" s="1" t="s">
        <v>228</v>
      </c>
      <c r="S4769" s="1" t="s">
        <v>229</v>
      </c>
      <c r="U4769" s="1">
        <v>1.00630147E8</v>
      </c>
      <c r="X4769" s="1" t="s">
        <v>63</v>
      </c>
      <c r="Y4769" s="1" t="s">
        <v>2828</v>
      </c>
      <c r="Z4769" s="1" t="s">
        <v>527</v>
      </c>
    </row>
    <row r="4770" hidden="1">
      <c r="A4770" s="1" t="s">
        <v>13423</v>
      </c>
      <c r="B4770" s="1" t="s">
        <v>392</v>
      </c>
      <c r="C4770" s="1" t="s">
        <v>13424</v>
      </c>
      <c r="D4770" s="1" t="s">
        <v>27</v>
      </c>
      <c r="E4770" s="1" t="s">
        <v>28</v>
      </c>
      <c r="F4770" s="2">
        <v>100000.0</v>
      </c>
      <c r="G4770" s="1" t="s">
        <v>225</v>
      </c>
      <c r="H4770" s="4">
        <f>IFERROR(__xludf.DUMMYFUNCTION("DATE(INDEX(SPLIT(G4770,""/""),,3),INDEX(SPLIT(G4770,""/""),,2),INDEX(SPLIT(G4770,""/""),,1))"),44518.0)</f>
        <v>44518</v>
      </c>
      <c r="I4770" s="1" t="s">
        <v>109</v>
      </c>
      <c r="J4770" s="4">
        <f>IFERROR(__xludf.DUMMYFUNCTION("DATE(INDEX(SPLIT(I4770,""/""),,3),INDEX(SPLIT(I4770,""/""),,2),INDEX(SPLIT(I4770,""/""),,1))"),44834.0)</f>
        <v>44834</v>
      </c>
      <c r="L4770" s="1">
        <v>0.0</v>
      </c>
      <c r="M4770" s="1" t="s">
        <v>9372</v>
      </c>
      <c r="N4770" s="1"/>
      <c r="O4770" s="1" t="s">
        <v>30</v>
      </c>
      <c r="P4770" s="1" t="s">
        <v>31</v>
      </c>
      <c r="Q4770" s="1" t="s">
        <v>1320</v>
      </c>
      <c r="R4770" s="1" t="s">
        <v>1320</v>
      </c>
      <c r="S4770" s="1" t="s">
        <v>236</v>
      </c>
      <c r="U4770" s="1">
        <v>1.01146755E8</v>
      </c>
      <c r="X4770" s="1" t="s">
        <v>239</v>
      </c>
      <c r="Y4770" s="1" t="s">
        <v>9372</v>
      </c>
      <c r="Z4770" s="1" t="s">
        <v>206</v>
      </c>
    </row>
    <row r="4771">
      <c r="A4771" s="1" t="s">
        <v>13425</v>
      </c>
      <c r="B4771" s="1" t="s">
        <v>13426</v>
      </c>
      <c r="C4771" s="1" t="s">
        <v>13427</v>
      </c>
      <c r="D4771" s="1" t="s">
        <v>68</v>
      </c>
      <c r="E4771" s="1" t="s">
        <v>28</v>
      </c>
      <c r="F4771" s="2">
        <v>100000.0</v>
      </c>
      <c r="G4771" s="1" t="s">
        <v>3853</v>
      </c>
      <c r="H4771" s="4">
        <f>IFERROR(__xludf.DUMMYFUNCTION("DATE(INDEX(SPLIT(G4771,""/""),,3),INDEX(SPLIT(G4771,""/""),,2),INDEX(SPLIT(G4771,""/""),,1))"),44679.0)</f>
        <v>44679</v>
      </c>
      <c r="I4771" s="1" t="s">
        <v>69</v>
      </c>
      <c r="J4771" s="4">
        <f>IFERROR(__xludf.DUMMYFUNCTION("DATE(INDEX(SPLIT(I4771,""/""),,3),INDEX(SPLIT(I4771,""/""),,2),INDEX(SPLIT(I4771,""/""),,1))"),44773.0)</f>
        <v>44773</v>
      </c>
      <c r="L4771" s="1">
        <v>0.0</v>
      </c>
      <c r="M4771" s="1" t="s">
        <v>3133</v>
      </c>
      <c r="N4771" s="1"/>
      <c r="O4771" s="1" t="s">
        <v>30</v>
      </c>
      <c r="P4771" s="1" t="s">
        <v>31</v>
      </c>
      <c r="Q4771" s="1" t="s">
        <v>228</v>
      </c>
      <c r="R4771" s="1" t="s">
        <v>228</v>
      </c>
      <c r="S4771" s="1" t="s">
        <v>229</v>
      </c>
      <c r="U4771" s="1">
        <v>1.00611158E8</v>
      </c>
      <c r="X4771" s="1" t="s">
        <v>74</v>
      </c>
      <c r="Y4771" s="1" t="s">
        <v>13428</v>
      </c>
      <c r="Z4771" s="1" t="s">
        <v>37</v>
      </c>
    </row>
    <row r="4772">
      <c r="A4772" s="1" t="s">
        <v>13429</v>
      </c>
      <c r="B4772" s="1" t="s">
        <v>341</v>
      </c>
      <c r="C4772" s="1" t="s">
        <v>13430</v>
      </c>
      <c r="D4772" s="1" t="s">
        <v>27</v>
      </c>
      <c r="E4772" s="1" t="s">
        <v>28</v>
      </c>
      <c r="F4772" s="2">
        <v>100000.0</v>
      </c>
      <c r="G4772" s="4">
        <v>44594.0</v>
      </c>
      <c r="H4772" s="4">
        <f>IFERROR(__xludf.DUMMYFUNCTION("DATE(INDEX(SPLIT(G4772,""/""),,3),INDEX(SPLIT(G4772,""/""),,2),INDEX(SPLIT(G4772,""/""),,1))"),44594.0)</f>
        <v>44594</v>
      </c>
      <c r="I4772" s="1" t="s">
        <v>607</v>
      </c>
      <c r="J4772" s="4">
        <f>IFERROR(__xludf.DUMMYFUNCTION("DATE(INDEX(SPLIT(I4772,""/""),,3),INDEX(SPLIT(I4772,""/""),,2),INDEX(SPLIT(I4772,""/""),,1))"),44770.0)</f>
        <v>44770</v>
      </c>
      <c r="L4772" s="1">
        <v>0.0</v>
      </c>
      <c r="M4772" s="1" t="s">
        <v>3580</v>
      </c>
      <c r="N4772" s="1"/>
      <c r="O4772" s="1" t="s">
        <v>30</v>
      </c>
      <c r="P4772" s="1" t="s">
        <v>31</v>
      </c>
      <c r="Q4772" s="1" t="s">
        <v>157</v>
      </c>
      <c r="R4772" s="1" t="s">
        <v>157</v>
      </c>
      <c r="S4772" s="1" t="s">
        <v>158</v>
      </c>
      <c r="U4772" s="1">
        <v>1.00956516E8</v>
      </c>
      <c r="X4772" s="1" t="s">
        <v>239</v>
      </c>
      <c r="Y4772" s="1" t="s">
        <v>2373</v>
      </c>
      <c r="Z4772" s="1" t="s">
        <v>37</v>
      </c>
    </row>
    <row r="4773" hidden="1">
      <c r="A4773" s="1" t="s">
        <v>13431</v>
      </c>
      <c r="B4773" s="1" t="s">
        <v>2620</v>
      </c>
      <c r="C4773" s="1" t="s">
        <v>13432</v>
      </c>
      <c r="D4773" s="1" t="s">
        <v>27</v>
      </c>
      <c r="E4773" s="1" t="s">
        <v>28</v>
      </c>
      <c r="F4773" s="2">
        <v>100000.0</v>
      </c>
      <c r="G4773" s="1" t="s">
        <v>836</v>
      </c>
      <c r="H4773" s="4">
        <f>IFERROR(__xludf.DUMMYFUNCTION("DATE(INDEX(SPLIT(G4773,""/""),,3),INDEX(SPLIT(G4773,""/""),,2),INDEX(SPLIT(G4773,""/""),,1))"),44610.0)</f>
        <v>44610</v>
      </c>
      <c r="I4773" s="1" t="s">
        <v>872</v>
      </c>
      <c r="J4773" s="4">
        <f>IFERROR(__xludf.DUMMYFUNCTION("DATE(INDEX(SPLIT(I4773,""/""),,3),INDEX(SPLIT(I4773,""/""),,2),INDEX(SPLIT(I4773,""/""),,1))"),44820.0)</f>
        <v>44820</v>
      </c>
      <c r="L4773" s="1">
        <v>0.0</v>
      </c>
      <c r="M4773" s="1" t="s">
        <v>1137</v>
      </c>
      <c r="N4773" s="1"/>
      <c r="O4773" s="1" t="s">
        <v>30</v>
      </c>
      <c r="P4773" s="1" t="s">
        <v>31</v>
      </c>
      <c r="Q4773" s="1" t="s">
        <v>71</v>
      </c>
      <c r="R4773" s="1" t="s">
        <v>71</v>
      </c>
      <c r="S4773" s="1" t="s">
        <v>72</v>
      </c>
      <c r="T4773" s="1" t="s">
        <v>73</v>
      </c>
      <c r="U4773" s="1">
        <v>1.00589728E8</v>
      </c>
      <c r="X4773" s="1" t="s">
        <v>74</v>
      </c>
      <c r="Y4773" s="1" t="s">
        <v>2623</v>
      </c>
      <c r="Z4773" s="1" t="s">
        <v>37</v>
      </c>
    </row>
    <row r="4774" hidden="1">
      <c r="A4774" s="1" t="s">
        <v>13433</v>
      </c>
      <c r="B4774" s="1" t="s">
        <v>1730</v>
      </c>
      <c r="C4774" s="1" t="s">
        <v>13434</v>
      </c>
      <c r="D4774" s="1" t="s">
        <v>27</v>
      </c>
      <c r="E4774" s="1" t="s">
        <v>28</v>
      </c>
      <c r="F4774" s="2">
        <v>100000.0</v>
      </c>
      <c r="G4774" s="1" t="s">
        <v>3853</v>
      </c>
      <c r="H4774" s="4">
        <f>IFERROR(__xludf.DUMMYFUNCTION("DATE(INDEX(SPLIT(G4774,""/""),,3),INDEX(SPLIT(G4774,""/""),,2),INDEX(SPLIT(G4774,""/""),,1))"),44679.0)</f>
        <v>44679</v>
      </c>
      <c r="I4774" s="1" t="s">
        <v>1361</v>
      </c>
      <c r="J4774" s="4">
        <f>IFERROR(__xludf.DUMMYFUNCTION("DATE(INDEX(SPLIT(I4774,""/""),,3),INDEX(SPLIT(I4774,""/""),,2),INDEX(SPLIT(I4774,""/""),,1))"),44827.0)</f>
        <v>44827</v>
      </c>
      <c r="L4774" s="1">
        <v>0.0</v>
      </c>
      <c r="M4774" s="1" t="s">
        <v>2096</v>
      </c>
      <c r="N4774" s="1"/>
      <c r="O4774" s="1" t="s">
        <v>30</v>
      </c>
      <c r="P4774" s="1" t="s">
        <v>31</v>
      </c>
      <c r="Q4774" s="1" t="s">
        <v>228</v>
      </c>
      <c r="R4774" s="1" t="s">
        <v>228</v>
      </c>
      <c r="S4774" s="1" t="s">
        <v>229</v>
      </c>
      <c r="T4774" s="1" t="s">
        <v>640</v>
      </c>
      <c r="U4774" s="1">
        <v>1.00619128E8</v>
      </c>
      <c r="X4774" s="1" t="s">
        <v>125</v>
      </c>
      <c r="Y4774" s="1" t="s">
        <v>2576</v>
      </c>
      <c r="Z4774" s="1" t="s">
        <v>37</v>
      </c>
    </row>
    <row r="4775">
      <c r="A4775" s="1" t="s">
        <v>13435</v>
      </c>
      <c r="B4775" s="1" t="s">
        <v>13436</v>
      </c>
      <c r="C4775" s="1" t="s">
        <v>13437</v>
      </c>
      <c r="D4775" s="1" t="s">
        <v>122</v>
      </c>
      <c r="E4775" s="1" t="s">
        <v>28</v>
      </c>
      <c r="F4775" s="2">
        <v>100000.0</v>
      </c>
      <c r="G4775" s="1" t="s">
        <v>271</v>
      </c>
      <c r="H4775" s="4">
        <f>IFERROR(__xludf.DUMMYFUNCTION("DATE(INDEX(SPLIT(G4775,""/""),,3),INDEX(SPLIT(G4775,""/""),,2),INDEX(SPLIT(G4775,""/""),,1))"),44680.0)</f>
        <v>44680</v>
      </c>
      <c r="I4775" s="1" t="s">
        <v>1244</v>
      </c>
      <c r="J4775" s="4">
        <f>IFERROR(__xludf.DUMMYFUNCTION("DATE(INDEX(SPLIT(I4775,""/""),,3),INDEX(SPLIT(I4775,""/""),,2),INDEX(SPLIT(I4775,""/""),,1))"),44742.0)</f>
        <v>44742</v>
      </c>
      <c r="L4775" s="1">
        <v>0.0</v>
      </c>
      <c r="M4775" s="1" t="s">
        <v>2207</v>
      </c>
      <c r="N4775" s="1"/>
      <c r="O4775" s="1" t="s">
        <v>30</v>
      </c>
      <c r="P4775" s="1" t="s">
        <v>31</v>
      </c>
      <c r="Q4775" s="1" t="s">
        <v>228</v>
      </c>
      <c r="R4775" s="1" t="s">
        <v>228</v>
      </c>
      <c r="S4775" s="1" t="s">
        <v>229</v>
      </c>
      <c r="T4775" s="1" t="s">
        <v>513</v>
      </c>
      <c r="U4775" s="1">
        <v>1.00596618E8</v>
      </c>
      <c r="X4775" s="1" t="s">
        <v>117</v>
      </c>
      <c r="Y4775" s="1" t="s">
        <v>9697</v>
      </c>
      <c r="Z4775" s="1" t="s">
        <v>37</v>
      </c>
    </row>
    <row r="4776">
      <c r="A4776" s="1" t="s">
        <v>13438</v>
      </c>
      <c r="B4776" s="1" t="s">
        <v>566</v>
      </c>
      <c r="C4776" s="1" t="s">
        <v>13439</v>
      </c>
      <c r="D4776" s="1" t="s">
        <v>27</v>
      </c>
      <c r="E4776" s="1" t="s">
        <v>28</v>
      </c>
      <c r="F4776" s="2">
        <v>100000.0</v>
      </c>
      <c r="G4776" s="4">
        <v>44839.0</v>
      </c>
      <c r="H4776" s="4">
        <f>IFERROR(__xludf.DUMMYFUNCTION("DATE(INDEX(SPLIT(G4776,""/""),,3),INDEX(SPLIT(G4776,""/""),,2),INDEX(SPLIT(G4776,""/""),,1))"),44691.0)</f>
        <v>44691</v>
      </c>
      <c r="I4776" s="1" t="s">
        <v>1244</v>
      </c>
      <c r="J4776" s="4">
        <f>IFERROR(__xludf.DUMMYFUNCTION("DATE(INDEX(SPLIT(I4776,""/""),,3),INDEX(SPLIT(I4776,""/""),,2),INDEX(SPLIT(I4776,""/""),,1))"),44742.0)</f>
        <v>44742</v>
      </c>
      <c r="L4776" s="1">
        <v>0.0</v>
      </c>
      <c r="M4776" s="1" t="s">
        <v>5974</v>
      </c>
      <c r="N4776" s="1"/>
      <c r="O4776" s="1" t="s">
        <v>30</v>
      </c>
      <c r="P4776" s="1" t="s">
        <v>31</v>
      </c>
      <c r="Q4776" s="1" t="s">
        <v>235</v>
      </c>
      <c r="R4776" s="1" t="s">
        <v>235</v>
      </c>
      <c r="S4776" s="1" t="s">
        <v>236</v>
      </c>
      <c r="U4776" s="1">
        <v>1.00637651E8</v>
      </c>
      <c r="X4776" s="1" t="s">
        <v>63</v>
      </c>
      <c r="Y4776" s="1" t="s">
        <v>767</v>
      </c>
      <c r="Z4776" s="1" t="s">
        <v>206</v>
      </c>
    </row>
    <row r="4777" hidden="1">
      <c r="A4777" s="1" t="s">
        <v>13440</v>
      </c>
      <c r="B4777" s="1" t="s">
        <v>4938</v>
      </c>
      <c r="C4777" s="1" t="s">
        <v>13441</v>
      </c>
      <c r="D4777" s="1" t="s">
        <v>122</v>
      </c>
      <c r="E4777" s="1" t="s">
        <v>28</v>
      </c>
      <c r="F4777" s="2">
        <v>100000.0</v>
      </c>
      <c r="G4777" s="1" t="s">
        <v>1381</v>
      </c>
      <c r="H4777" s="4">
        <f>IFERROR(__xludf.DUMMYFUNCTION("DATE(INDEX(SPLIT(G4777,""/""),,3),INDEX(SPLIT(G4777,""/""),,2),INDEX(SPLIT(G4777,""/""),,1))"),44643.0)</f>
        <v>44643</v>
      </c>
      <c r="I4777" s="1" t="s">
        <v>42</v>
      </c>
      <c r="J4777" s="4">
        <f>IFERROR(__xludf.DUMMYFUNCTION("DATE(INDEX(SPLIT(I4777,""/""),,3),INDEX(SPLIT(I4777,""/""),,2),INDEX(SPLIT(I4777,""/""),,1))"),44926.0)</f>
        <v>44926</v>
      </c>
      <c r="L4777" s="1">
        <v>0.0</v>
      </c>
      <c r="M4777" s="1" t="s">
        <v>4477</v>
      </c>
      <c r="N4777" s="1"/>
      <c r="O4777" s="1" t="s">
        <v>30</v>
      </c>
      <c r="P4777" s="1" t="s">
        <v>31</v>
      </c>
      <c r="Q4777" s="1" t="s">
        <v>228</v>
      </c>
      <c r="R4777" s="1" t="s">
        <v>228</v>
      </c>
      <c r="S4777" s="1" t="s">
        <v>229</v>
      </c>
      <c r="T4777" s="1" t="s">
        <v>513</v>
      </c>
      <c r="U4777" s="1">
        <v>1.00592715E8</v>
      </c>
      <c r="X4777" s="1" t="s">
        <v>98</v>
      </c>
      <c r="Y4777" s="1" t="s">
        <v>13107</v>
      </c>
      <c r="Z4777" s="1" t="s">
        <v>37</v>
      </c>
    </row>
    <row r="4778" hidden="1">
      <c r="A4778" s="1" t="s">
        <v>13442</v>
      </c>
      <c r="B4778" s="1" t="s">
        <v>9442</v>
      </c>
      <c r="C4778" s="1" t="s">
        <v>13443</v>
      </c>
      <c r="D4778" s="1" t="s">
        <v>78</v>
      </c>
      <c r="E4778" s="1" t="s">
        <v>28</v>
      </c>
      <c r="F4778" s="2">
        <v>100000.0</v>
      </c>
      <c r="G4778" s="4">
        <v>44055.0</v>
      </c>
      <c r="H4778" s="4">
        <f>IFERROR(__xludf.DUMMYFUNCTION("DATE(INDEX(SPLIT(G4778,""/""),,3),INDEX(SPLIT(G4778,""/""),,2),INDEX(SPLIT(G4778,""/""),,1))"),44173.0)</f>
        <v>44173</v>
      </c>
      <c r="I4778" s="1" t="s">
        <v>203</v>
      </c>
      <c r="J4778" s="4">
        <f>IFERROR(__xludf.DUMMYFUNCTION("DATE(INDEX(SPLIT(I4778,""/""),,3),INDEX(SPLIT(I4778,""/""),,2),INDEX(SPLIT(I4778,""/""),,1))"),44925.0)</f>
        <v>44925</v>
      </c>
      <c r="L4778" s="1">
        <v>0.0</v>
      </c>
      <c r="M4778" s="1" t="s">
        <v>1376</v>
      </c>
      <c r="N4778" s="1"/>
      <c r="O4778" s="1" t="s">
        <v>30</v>
      </c>
      <c r="P4778" s="1" t="s">
        <v>31</v>
      </c>
      <c r="Q4778" s="1" t="s">
        <v>32</v>
      </c>
      <c r="R4778" s="1" t="s">
        <v>32</v>
      </c>
      <c r="S4778" s="1" t="s">
        <v>33</v>
      </c>
      <c r="T4778" s="1" t="s">
        <v>1195</v>
      </c>
      <c r="U4778" s="1">
        <v>1.006096E8</v>
      </c>
      <c r="X4778" s="1" t="s">
        <v>490</v>
      </c>
      <c r="Y4778" s="1" t="s">
        <v>7653</v>
      </c>
      <c r="Z4778" s="1" t="s">
        <v>37</v>
      </c>
    </row>
    <row r="4779" hidden="1">
      <c r="A4779" s="1" t="s">
        <v>13444</v>
      </c>
      <c r="B4779" s="1" t="s">
        <v>13445</v>
      </c>
      <c r="C4779" s="1" t="s">
        <v>13446</v>
      </c>
      <c r="D4779" s="1" t="s">
        <v>122</v>
      </c>
      <c r="E4779" s="1" t="s">
        <v>28</v>
      </c>
      <c r="F4779" s="2">
        <v>100000.0</v>
      </c>
      <c r="G4779" s="4">
        <v>43835.0</v>
      </c>
      <c r="H4779" s="4">
        <f>IFERROR(__xludf.DUMMYFUNCTION("DATE(INDEX(SPLIT(G4779,""/""),,3),INDEX(SPLIT(G4779,""/""),,2),INDEX(SPLIT(G4779,""/""),,1))"),43952.0)</f>
        <v>43952</v>
      </c>
      <c r="I4779" s="1" t="s">
        <v>42</v>
      </c>
      <c r="J4779" s="4">
        <f>IFERROR(__xludf.DUMMYFUNCTION("DATE(INDEX(SPLIT(I4779,""/""),,3),INDEX(SPLIT(I4779,""/""),,2),INDEX(SPLIT(I4779,""/""),,1))"),44926.0)</f>
        <v>44926</v>
      </c>
      <c r="L4779" s="1">
        <v>0.0</v>
      </c>
      <c r="M4779" s="1" t="s">
        <v>4477</v>
      </c>
      <c r="N4779" s="1"/>
      <c r="O4779" s="1" t="s">
        <v>30</v>
      </c>
      <c r="P4779" s="1" t="s">
        <v>31</v>
      </c>
      <c r="Q4779" s="1" t="s">
        <v>228</v>
      </c>
      <c r="R4779" s="1" t="s">
        <v>228</v>
      </c>
      <c r="S4779" s="1" t="s">
        <v>229</v>
      </c>
      <c r="T4779" s="1" t="s">
        <v>513</v>
      </c>
      <c r="U4779" s="1">
        <v>1.00592715E8</v>
      </c>
      <c r="X4779" s="1" t="s">
        <v>98</v>
      </c>
      <c r="Y4779" s="1" t="s">
        <v>4477</v>
      </c>
      <c r="Z4779" s="1" t="s">
        <v>37</v>
      </c>
    </row>
    <row r="4780">
      <c r="A4780" s="1" t="s">
        <v>13447</v>
      </c>
      <c r="B4780" s="1" t="s">
        <v>1838</v>
      </c>
      <c r="C4780" s="1" t="s">
        <v>13448</v>
      </c>
      <c r="D4780" s="1" t="s">
        <v>78</v>
      </c>
      <c r="E4780" s="1" t="s">
        <v>28</v>
      </c>
      <c r="F4780" s="2">
        <v>100000.0</v>
      </c>
      <c r="G4780" s="1" t="s">
        <v>1004</v>
      </c>
      <c r="H4780" s="4">
        <f>IFERROR(__xludf.DUMMYFUNCTION("DATE(INDEX(SPLIT(G4780,""/""),,3),INDEX(SPLIT(G4780,""/""),,2),INDEX(SPLIT(G4780,""/""),,1))"),44582.0)</f>
        <v>44582</v>
      </c>
      <c r="I4780" s="4">
        <v>44568.0</v>
      </c>
      <c r="J4780" s="4">
        <f>IFERROR(__xludf.DUMMYFUNCTION("DATE(INDEX(SPLIT(I4780,""/""),,3),INDEX(SPLIT(I4780,""/""),,2),INDEX(SPLIT(I4780,""/""),,1))"),44743.0)</f>
        <v>44743</v>
      </c>
      <c r="L4780" s="1">
        <v>0.0</v>
      </c>
      <c r="M4780" s="1" t="s">
        <v>1840</v>
      </c>
      <c r="N4780" s="1"/>
      <c r="O4780" s="1" t="s">
        <v>30</v>
      </c>
      <c r="P4780" s="1" t="s">
        <v>31</v>
      </c>
      <c r="Q4780" s="1" t="s">
        <v>71</v>
      </c>
      <c r="R4780" s="1" t="s">
        <v>71</v>
      </c>
      <c r="S4780" s="1" t="s">
        <v>72</v>
      </c>
      <c r="T4780" s="1" t="s">
        <v>615</v>
      </c>
      <c r="U4780" s="1">
        <v>1.00617113E8</v>
      </c>
      <c r="V4780" s="1" t="s">
        <v>7844</v>
      </c>
      <c r="W4780" s="1" t="s">
        <v>199</v>
      </c>
      <c r="X4780" s="1" t="s">
        <v>490</v>
      </c>
      <c r="Y4780" s="1" t="s">
        <v>13449</v>
      </c>
      <c r="Z4780" s="1" t="s">
        <v>37</v>
      </c>
    </row>
    <row r="4781">
      <c r="A4781" s="1" t="s">
        <v>13450</v>
      </c>
      <c r="B4781" s="1" t="s">
        <v>13451</v>
      </c>
      <c r="C4781" s="1" t="s">
        <v>13452</v>
      </c>
      <c r="D4781" s="1" t="s">
        <v>27</v>
      </c>
      <c r="E4781" s="1" t="s">
        <v>28</v>
      </c>
      <c r="F4781" s="2">
        <v>100000.0</v>
      </c>
      <c r="G4781" s="4">
        <v>44902.0</v>
      </c>
      <c r="H4781" s="4">
        <f>IFERROR(__xludf.DUMMYFUNCTION("DATE(INDEX(SPLIT(G4781,""/""),,3),INDEX(SPLIT(G4781,""/""),,2),INDEX(SPLIT(G4781,""/""),,1))"),44754.0)</f>
        <v>44754</v>
      </c>
      <c r="I4781" s="1" t="s">
        <v>518</v>
      </c>
      <c r="J4781" s="4">
        <f>IFERROR(__xludf.DUMMYFUNCTION("DATE(INDEX(SPLIT(I4781,""/""),,3),INDEX(SPLIT(I4781,""/""),,2),INDEX(SPLIT(I4781,""/""),,1))"),44757.0)</f>
        <v>44757</v>
      </c>
      <c r="L4781" s="1">
        <v>0.0</v>
      </c>
      <c r="M4781" s="1" t="s">
        <v>1689</v>
      </c>
      <c r="N4781" s="1"/>
      <c r="O4781" s="1" t="s">
        <v>30</v>
      </c>
      <c r="P4781" s="1" t="s">
        <v>31</v>
      </c>
      <c r="Q4781" s="1" t="s">
        <v>53</v>
      </c>
      <c r="R4781" s="1" t="s">
        <v>53</v>
      </c>
      <c r="S4781" s="1" t="s">
        <v>54</v>
      </c>
      <c r="U4781" s="1">
        <v>1.00650657E8</v>
      </c>
      <c r="X4781" s="1" t="s">
        <v>312</v>
      </c>
      <c r="Y4781" s="1" t="s">
        <v>13453</v>
      </c>
      <c r="Z4781" s="1" t="s">
        <v>37</v>
      </c>
    </row>
    <row r="4782" hidden="1">
      <c r="A4782" s="1" t="s">
        <v>13454</v>
      </c>
      <c r="B4782" s="1" t="s">
        <v>1838</v>
      </c>
      <c r="C4782" s="1" t="s">
        <v>13455</v>
      </c>
      <c r="D4782" s="1" t="s">
        <v>27</v>
      </c>
      <c r="E4782" s="1" t="s">
        <v>28</v>
      </c>
      <c r="F4782" s="2">
        <v>100000.0</v>
      </c>
      <c r="G4782" s="1" t="s">
        <v>1004</v>
      </c>
      <c r="H4782" s="4">
        <f>IFERROR(__xludf.DUMMYFUNCTION("DATE(INDEX(SPLIT(G4782,""/""),,3),INDEX(SPLIT(G4782,""/""),,2),INDEX(SPLIT(G4782,""/""),,1))"),44582.0)</f>
        <v>44582</v>
      </c>
      <c r="I4782" s="1" t="s">
        <v>425</v>
      </c>
      <c r="J4782" s="4">
        <f>IFERROR(__xludf.DUMMYFUNCTION("DATE(INDEX(SPLIT(I4782,""/""),,3),INDEX(SPLIT(I4782,""/""),,2),INDEX(SPLIT(I4782,""/""),,1))"),44911.0)</f>
        <v>44911</v>
      </c>
      <c r="L4782" s="1">
        <v>0.0</v>
      </c>
      <c r="M4782" s="1" t="s">
        <v>1840</v>
      </c>
      <c r="N4782" s="1"/>
      <c r="O4782" s="1" t="s">
        <v>30</v>
      </c>
      <c r="P4782" s="1" t="s">
        <v>31</v>
      </c>
      <c r="Q4782" s="1" t="s">
        <v>71</v>
      </c>
      <c r="R4782" s="1" t="s">
        <v>71</v>
      </c>
      <c r="S4782" s="1" t="s">
        <v>72</v>
      </c>
      <c r="T4782" s="1" t="s">
        <v>615</v>
      </c>
      <c r="U4782" s="1">
        <v>1.00617113E8</v>
      </c>
      <c r="V4782" s="1" t="s">
        <v>7844</v>
      </c>
      <c r="W4782" s="1" t="s">
        <v>199</v>
      </c>
      <c r="X4782" s="1" t="s">
        <v>490</v>
      </c>
      <c r="Y4782" s="1" t="s">
        <v>13449</v>
      </c>
      <c r="Z4782" s="1" t="s">
        <v>37</v>
      </c>
    </row>
    <row r="4783">
      <c r="A4783" s="1" t="s">
        <v>13456</v>
      </c>
      <c r="B4783" s="1" t="s">
        <v>1838</v>
      </c>
      <c r="C4783" s="1" t="s">
        <v>13457</v>
      </c>
      <c r="D4783" s="1" t="s">
        <v>27</v>
      </c>
      <c r="E4783" s="1" t="s">
        <v>28</v>
      </c>
      <c r="F4783" s="2">
        <v>100000.0</v>
      </c>
      <c r="G4783" s="1" t="s">
        <v>1004</v>
      </c>
      <c r="H4783" s="4">
        <f>IFERROR(__xludf.DUMMYFUNCTION("DATE(INDEX(SPLIT(G4783,""/""),,3),INDEX(SPLIT(G4783,""/""),,2),INDEX(SPLIT(G4783,""/""),,1))"),44582.0)</f>
        <v>44582</v>
      </c>
      <c r="I4783" s="4">
        <v>44568.0</v>
      </c>
      <c r="J4783" s="4">
        <f>IFERROR(__xludf.DUMMYFUNCTION("DATE(INDEX(SPLIT(I4783,""/""),,3),INDEX(SPLIT(I4783,""/""),,2),INDEX(SPLIT(I4783,""/""),,1))"),44743.0)</f>
        <v>44743</v>
      </c>
      <c r="L4783" s="1">
        <v>0.0</v>
      </c>
      <c r="M4783" s="1" t="s">
        <v>1840</v>
      </c>
      <c r="N4783" s="1"/>
      <c r="O4783" s="1" t="s">
        <v>30</v>
      </c>
      <c r="P4783" s="1" t="s">
        <v>31</v>
      </c>
      <c r="Q4783" s="1" t="s">
        <v>71</v>
      </c>
      <c r="R4783" s="1" t="s">
        <v>71</v>
      </c>
      <c r="S4783" s="1" t="s">
        <v>72</v>
      </c>
      <c r="T4783" s="1" t="s">
        <v>615</v>
      </c>
      <c r="U4783" s="1">
        <v>1.00617113E8</v>
      </c>
      <c r="V4783" s="1" t="s">
        <v>7844</v>
      </c>
      <c r="W4783" s="1" t="s">
        <v>45</v>
      </c>
      <c r="X4783" s="1" t="s">
        <v>490</v>
      </c>
      <c r="Y4783" s="1" t="s">
        <v>13449</v>
      </c>
      <c r="Z4783" s="1" t="s">
        <v>37</v>
      </c>
    </row>
    <row r="4784" hidden="1">
      <c r="A4784" s="1" t="s">
        <v>13458</v>
      </c>
      <c r="B4784" s="1" t="s">
        <v>532</v>
      </c>
      <c r="C4784" s="1" t="s">
        <v>13459</v>
      </c>
      <c r="D4784" s="1" t="s">
        <v>78</v>
      </c>
      <c r="E4784" s="1" t="s">
        <v>28</v>
      </c>
      <c r="F4784" s="2">
        <v>100000.0</v>
      </c>
      <c r="G4784" s="1" t="s">
        <v>523</v>
      </c>
      <c r="H4784" s="4">
        <f>IFERROR(__xludf.DUMMYFUNCTION("DATE(INDEX(SPLIT(G4784,""/""),,3),INDEX(SPLIT(G4784,""/""),,2),INDEX(SPLIT(G4784,""/""),,1))"),44517.0)</f>
        <v>44517</v>
      </c>
      <c r="I4784" s="1" t="s">
        <v>109</v>
      </c>
      <c r="J4784" s="4">
        <f>IFERROR(__xludf.DUMMYFUNCTION("DATE(INDEX(SPLIT(I4784,""/""),,3),INDEX(SPLIT(I4784,""/""),,2),INDEX(SPLIT(I4784,""/""),,1))"),44834.0)</f>
        <v>44834</v>
      </c>
      <c r="L4784" s="1">
        <v>0.0</v>
      </c>
      <c r="M4784" s="1" t="s">
        <v>6060</v>
      </c>
      <c r="N4784" s="1"/>
      <c r="O4784" s="1" t="s">
        <v>30</v>
      </c>
      <c r="P4784" s="1" t="s">
        <v>31</v>
      </c>
      <c r="Q4784" s="1" t="s">
        <v>32</v>
      </c>
      <c r="R4784" s="1" t="s">
        <v>32</v>
      </c>
      <c r="S4784" s="1" t="s">
        <v>33</v>
      </c>
      <c r="T4784" s="1" t="s">
        <v>1195</v>
      </c>
      <c r="U4784" s="1">
        <v>1.00610875E8</v>
      </c>
      <c r="X4784" s="1" t="s">
        <v>490</v>
      </c>
      <c r="Y4784" s="1" t="s">
        <v>13460</v>
      </c>
      <c r="Z4784" s="1" t="s">
        <v>37</v>
      </c>
    </row>
    <row r="4785" hidden="1">
      <c r="A4785" s="1" t="s">
        <v>13461</v>
      </c>
      <c r="B4785" s="1" t="s">
        <v>12480</v>
      </c>
      <c r="C4785" s="1" t="s">
        <v>13462</v>
      </c>
      <c r="D4785" s="1" t="s">
        <v>27</v>
      </c>
      <c r="E4785" s="1" t="s">
        <v>28</v>
      </c>
      <c r="F4785" s="2">
        <v>100000.0</v>
      </c>
      <c r="G4785" s="1" t="s">
        <v>862</v>
      </c>
      <c r="H4785" s="4">
        <f>IFERROR(__xludf.DUMMYFUNCTION("DATE(INDEX(SPLIT(G4785,""/""),,3),INDEX(SPLIT(G4785,""/""),,2),INDEX(SPLIT(G4785,""/""),,1))"),44699.0)</f>
        <v>44699</v>
      </c>
      <c r="I4785" s="1" t="s">
        <v>130</v>
      </c>
      <c r="J4785" s="4">
        <f>IFERROR(__xludf.DUMMYFUNCTION("DATE(INDEX(SPLIT(I4785,""/""),,3),INDEX(SPLIT(I4785,""/""),,2),INDEX(SPLIT(I4785,""/""),,1))"),44804.0)</f>
        <v>44804</v>
      </c>
      <c r="L4785" s="1">
        <v>0.0</v>
      </c>
      <c r="M4785" s="1" t="s">
        <v>11206</v>
      </c>
      <c r="N4785" s="1"/>
      <c r="O4785" s="1" t="s">
        <v>30</v>
      </c>
      <c r="P4785" s="1" t="s">
        <v>31</v>
      </c>
      <c r="Q4785" s="1" t="s">
        <v>228</v>
      </c>
      <c r="R4785" s="1" t="s">
        <v>228</v>
      </c>
      <c r="S4785" s="1" t="s">
        <v>229</v>
      </c>
      <c r="T4785" s="1" t="s">
        <v>640</v>
      </c>
      <c r="U4785" s="1">
        <v>1.01147686E8</v>
      </c>
      <c r="X4785" s="1" t="s">
        <v>88</v>
      </c>
      <c r="Y4785" s="1" t="s">
        <v>13463</v>
      </c>
      <c r="Z4785" s="1" t="s">
        <v>37</v>
      </c>
    </row>
    <row r="4786" hidden="1">
      <c r="A4786" s="1" t="s">
        <v>13464</v>
      </c>
      <c r="B4786" s="1" t="s">
        <v>7618</v>
      </c>
      <c r="C4786" s="1" t="s">
        <v>13465</v>
      </c>
      <c r="D4786" s="1" t="s">
        <v>27</v>
      </c>
      <c r="E4786" s="1" t="s">
        <v>28</v>
      </c>
      <c r="F4786" s="2">
        <v>100000.0</v>
      </c>
      <c r="G4786" s="4">
        <v>44481.0</v>
      </c>
      <c r="H4786" s="4">
        <f>IFERROR(__xludf.DUMMYFUNCTION("DATE(INDEX(SPLIT(G4786,""/""),,3),INDEX(SPLIT(G4786,""/""),,2),INDEX(SPLIT(G4786,""/""),,1))"),44540.0)</f>
        <v>44540</v>
      </c>
      <c r="I4786" s="1" t="s">
        <v>1909</v>
      </c>
      <c r="J4786" s="4">
        <f>IFERROR(__xludf.DUMMYFUNCTION("DATE(INDEX(SPLIT(I4786,""/""),,3),INDEX(SPLIT(I4786,""/""),,2),INDEX(SPLIT(I4786,""/""),,1))"),44883.0)</f>
        <v>44883</v>
      </c>
      <c r="L4786" s="1">
        <v>0.0</v>
      </c>
      <c r="M4786" s="1" t="s">
        <v>318</v>
      </c>
      <c r="N4786" s="1"/>
      <c r="O4786" s="1" t="s">
        <v>30</v>
      </c>
      <c r="P4786" s="1" t="s">
        <v>31</v>
      </c>
      <c r="Q4786" s="1" t="s">
        <v>71</v>
      </c>
      <c r="R4786" s="1" t="s">
        <v>71</v>
      </c>
      <c r="S4786" s="1" t="s">
        <v>72</v>
      </c>
      <c r="T4786" s="1" t="s">
        <v>159</v>
      </c>
      <c r="U4786" s="1">
        <v>1.00654705E8</v>
      </c>
      <c r="X4786" s="1" t="s">
        <v>74</v>
      </c>
      <c r="Y4786" s="1" t="s">
        <v>318</v>
      </c>
      <c r="Z4786" s="1" t="s">
        <v>37</v>
      </c>
    </row>
    <row r="4787">
      <c r="A4787" s="1" t="s">
        <v>13466</v>
      </c>
      <c r="B4787" s="1" t="s">
        <v>4055</v>
      </c>
      <c r="C4787" s="1" t="s">
        <v>13467</v>
      </c>
      <c r="D4787" s="1" t="s">
        <v>27</v>
      </c>
      <c r="E4787" s="1" t="s">
        <v>28</v>
      </c>
      <c r="F4787" s="2">
        <v>100000.0</v>
      </c>
      <c r="G4787" s="1" t="s">
        <v>1004</v>
      </c>
      <c r="H4787" s="4">
        <f>IFERROR(__xludf.DUMMYFUNCTION("DATE(INDEX(SPLIT(G4787,""/""),,3),INDEX(SPLIT(G4787,""/""),,2),INDEX(SPLIT(G4787,""/""),,1))"),44582.0)</f>
        <v>44582</v>
      </c>
      <c r="I4787" s="1" t="s">
        <v>1244</v>
      </c>
      <c r="J4787" s="4">
        <f>IFERROR(__xludf.DUMMYFUNCTION("DATE(INDEX(SPLIT(I4787,""/""),,3),INDEX(SPLIT(I4787,""/""),,2),INDEX(SPLIT(I4787,""/""),,1))"),44742.0)</f>
        <v>44742</v>
      </c>
      <c r="L4787" s="1">
        <v>0.0</v>
      </c>
      <c r="M4787" s="1" t="s">
        <v>2067</v>
      </c>
      <c r="N4787" s="1"/>
      <c r="O4787" s="1" t="s">
        <v>30</v>
      </c>
      <c r="P4787" s="1" t="s">
        <v>31</v>
      </c>
      <c r="Q4787" s="1" t="s">
        <v>95</v>
      </c>
      <c r="R4787" s="1" t="s">
        <v>95</v>
      </c>
      <c r="S4787" s="1" t="s">
        <v>96</v>
      </c>
      <c r="T4787" s="1" t="s">
        <v>111</v>
      </c>
      <c r="U4787" s="1">
        <v>1.00631322E8</v>
      </c>
      <c r="X4787" s="1" t="s">
        <v>63</v>
      </c>
      <c r="Y4787" s="1" t="s">
        <v>2552</v>
      </c>
      <c r="Z4787" s="1" t="s">
        <v>37</v>
      </c>
    </row>
    <row r="4788" hidden="1">
      <c r="A4788" s="1" t="s">
        <v>13468</v>
      </c>
      <c r="B4788" s="1" t="s">
        <v>3820</v>
      </c>
      <c r="C4788" s="1" t="s">
        <v>13469</v>
      </c>
      <c r="D4788" s="1" t="s">
        <v>27</v>
      </c>
      <c r="E4788" s="1" t="s">
        <v>28</v>
      </c>
      <c r="F4788" s="2">
        <v>100000.0</v>
      </c>
      <c r="G4788" s="1" t="s">
        <v>7582</v>
      </c>
      <c r="H4788" s="4">
        <f>IFERROR(__xludf.DUMMYFUNCTION("DATE(INDEX(SPLIT(G4788,""/""),,3),INDEX(SPLIT(G4788,""/""),,2),INDEX(SPLIT(G4788,""/""),,1))"),44667.0)</f>
        <v>44667</v>
      </c>
      <c r="I4788" s="1" t="s">
        <v>1678</v>
      </c>
      <c r="J4788" s="4">
        <f>IFERROR(__xludf.DUMMYFUNCTION("DATE(INDEX(SPLIT(I4788,""/""),,3),INDEX(SPLIT(I4788,""/""),,2),INDEX(SPLIT(I4788,""/""),,1))"),44819.0)</f>
        <v>44819</v>
      </c>
      <c r="L4788" s="1">
        <v>0.0</v>
      </c>
      <c r="M4788" s="1" t="s">
        <v>1303</v>
      </c>
      <c r="N4788" s="1"/>
      <c r="O4788" s="1" t="s">
        <v>30</v>
      </c>
      <c r="P4788" s="1" t="s">
        <v>31</v>
      </c>
      <c r="Q4788" s="1" t="s">
        <v>235</v>
      </c>
      <c r="R4788" s="1" t="s">
        <v>235</v>
      </c>
      <c r="S4788" s="1" t="s">
        <v>236</v>
      </c>
      <c r="U4788" s="1">
        <v>1.00609073E8</v>
      </c>
      <c r="X4788" s="1" t="s">
        <v>88</v>
      </c>
      <c r="Y4788" s="1" t="s">
        <v>1303</v>
      </c>
      <c r="Z4788" s="1" t="s">
        <v>37</v>
      </c>
    </row>
    <row r="4789">
      <c r="A4789" s="1" t="s">
        <v>13470</v>
      </c>
      <c r="B4789" s="1" t="s">
        <v>1371</v>
      </c>
      <c r="C4789" s="1" t="s">
        <v>13471</v>
      </c>
      <c r="D4789" s="1" t="s">
        <v>68</v>
      </c>
      <c r="E4789" s="1" t="s">
        <v>28</v>
      </c>
      <c r="F4789" s="2">
        <v>100000.0</v>
      </c>
      <c r="G4789" s="1" t="s">
        <v>557</v>
      </c>
      <c r="H4789" s="4">
        <f>IFERROR(__xludf.DUMMYFUNCTION("DATE(INDEX(SPLIT(G4789,""/""),,3),INDEX(SPLIT(G4789,""/""),,2),INDEX(SPLIT(G4789,""/""),,1))"),44439.0)</f>
        <v>44439</v>
      </c>
      <c r="I4789" s="1" t="s">
        <v>472</v>
      </c>
      <c r="J4789" s="4">
        <f>IFERROR(__xludf.DUMMYFUNCTION("DATE(INDEX(SPLIT(I4789,""/""),,3),INDEX(SPLIT(I4789,""/""),,2),INDEX(SPLIT(I4789,""/""),,1))"),44760.0)</f>
        <v>44760</v>
      </c>
      <c r="L4789" s="1">
        <v>0.0</v>
      </c>
      <c r="M4789" s="1" t="s">
        <v>1484</v>
      </c>
      <c r="N4789" s="1"/>
      <c r="O4789" s="1" t="s">
        <v>30</v>
      </c>
      <c r="P4789" s="1" t="s">
        <v>31</v>
      </c>
      <c r="Q4789" s="1" t="s">
        <v>95</v>
      </c>
      <c r="R4789" s="1" t="s">
        <v>95</v>
      </c>
      <c r="S4789" s="1" t="s">
        <v>96</v>
      </c>
      <c r="T4789" s="1" t="s">
        <v>111</v>
      </c>
      <c r="U4789" s="1">
        <v>1.00585718E8</v>
      </c>
      <c r="X4789" s="1" t="s">
        <v>63</v>
      </c>
      <c r="Y4789" s="1" t="s">
        <v>13472</v>
      </c>
      <c r="Z4789" s="1" t="s">
        <v>37</v>
      </c>
    </row>
    <row r="4790">
      <c r="A4790" s="1" t="s">
        <v>13473</v>
      </c>
      <c r="B4790" s="1" t="s">
        <v>658</v>
      </c>
      <c r="C4790" s="1" t="s">
        <v>13474</v>
      </c>
      <c r="D4790" s="1" t="s">
        <v>78</v>
      </c>
      <c r="E4790" s="1" t="s">
        <v>28</v>
      </c>
      <c r="F4790" s="2">
        <v>100000.0</v>
      </c>
      <c r="G4790" s="4">
        <v>44810.0</v>
      </c>
      <c r="H4790" s="4">
        <f>IFERROR(__xludf.DUMMYFUNCTION("DATE(INDEX(SPLIT(G4790,""/""),,3),INDEX(SPLIT(G4790,""/""),,2),INDEX(SPLIT(G4790,""/""),,1))"),44721.0)</f>
        <v>44721</v>
      </c>
      <c r="I4790" s="1" t="s">
        <v>226</v>
      </c>
      <c r="J4790" s="4">
        <f>IFERROR(__xludf.DUMMYFUNCTION("DATE(INDEX(SPLIT(I4790,""/""),,3),INDEX(SPLIT(I4790,""/""),,2),INDEX(SPLIT(I4790,""/""),,1))"),44771.0)</f>
        <v>44771</v>
      </c>
      <c r="L4790" s="1">
        <v>0.0</v>
      </c>
      <c r="M4790" s="1" t="s">
        <v>211</v>
      </c>
      <c r="N4790" s="1"/>
      <c r="O4790" s="1" t="s">
        <v>30</v>
      </c>
      <c r="P4790" s="1" t="s">
        <v>31</v>
      </c>
      <c r="Q4790" s="1" t="s">
        <v>71</v>
      </c>
      <c r="R4790" s="1" t="s">
        <v>71</v>
      </c>
      <c r="S4790" s="1" t="s">
        <v>72</v>
      </c>
      <c r="T4790" s="1" t="s">
        <v>136</v>
      </c>
      <c r="U4790" s="1">
        <v>1.00590896E8</v>
      </c>
      <c r="X4790" s="1" t="s">
        <v>74</v>
      </c>
      <c r="Y4790" s="1" t="s">
        <v>2036</v>
      </c>
      <c r="Z4790" s="1" t="s">
        <v>37</v>
      </c>
    </row>
    <row r="4791" hidden="1">
      <c r="A4791" s="1" t="s">
        <v>13475</v>
      </c>
      <c r="B4791" s="1" t="s">
        <v>1144</v>
      </c>
      <c r="C4791" s="1" t="s">
        <v>13476</v>
      </c>
      <c r="D4791" s="1" t="s">
        <v>78</v>
      </c>
      <c r="E4791" s="1" t="s">
        <v>28</v>
      </c>
      <c r="F4791" s="2">
        <v>100000.0</v>
      </c>
      <c r="G4791" s="1" t="s">
        <v>1058</v>
      </c>
      <c r="H4791" s="4">
        <f>IFERROR(__xludf.DUMMYFUNCTION("DATE(INDEX(SPLIT(G4791,""/""),,3),INDEX(SPLIT(G4791,""/""),,2),INDEX(SPLIT(G4791,""/""),,1))"),44733.0)</f>
        <v>44733</v>
      </c>
      <c r="I4791" s="1" t="s">
        <v>130</v>
      </c>
      <c r="J4791" s="4">
        <f>IFERROR(__xludf.DUMMYFUNCTION("DATE(INDEX(SPLIT(I4791,""/""),,3),INDEX(SPLIT(I4791,""/""),,2),INDEX(SPLIT(I4791,""/""),,1))"),44804.0)</f>
        <v>44804</v>
      </c>
      <c r="L4791" s="1">
        <v>0.0</v>
      </c>
      <c r="M4791" s="1" t="s">
        <v>653</v>
      </c>
      <c r="N4791" s="1"/>
      <c r="O4791" s="1" t="s">
        <v>30</v>
      </c>
      <c r="P4791" s="1" t="s">
        <v>31</v>
      </c>
      <c r="Q4791" s="1" t="s">
        <v>157</v>
      </c>
      <c r="R4791" s="1" t="s">
        <v>157</v>
      </c>
      <c r="S4791" s="1" t="s">
        <v>158</v>
      </c>
      <c r="U4791" s="1">
        <v>1.00591141E8</v>
      </c>
      <c r="X4791" s="1" t="s">
        <v>63</v>
      </c>
      <c r="Y4791" s="1" t="s">
        <v>6229</v>
      </c>
      <c r="Z4791" s="1" t="s">
        <v>37</v>
      </c>
    </row>
    <row r="4792" hidden="1">
      <c r="A4792" s="1" t="s">
        <v>13477</v>
      </c>
      <c r="B4792" s="1" t="s">
        <v>1743</v>
      </c>
      <c r="C4792" s="1" t="s">
        <v>13478</v>
      </c>
      <c r="D4792" s="1" t="s">
        <v>27</v>
      </c>
      <c r="E4792" s="1" t="s">
        <v>28</v>
      </c>
      <c r="F4792" s="2">
        <v>100000.0</v>
      </c>
      <c r="G4792" s="1" t="s">
        <v>1092</v>
      </c>
      <c r="H4792" s="4">
        <f>IFERROR(__xludf.DUMMYFUNCTION("DATE(INDEX(SPLIT(G4792,""/""),,3),INDEX(SPLIT(G4792,""/""),,2),INDEX(SPLIT(G4792,""/""),,1))"),44489.0)</f>
        <v>44489</v>
      </c>
      <c r="I4792" s="1" t="s">
        <v>130</v>
      </c>
      <c r="J4792" s="4">
        <f>IFERROR(__xludf.DUMMYFUNCTION("DATE(INDEX(SPLIT(I4792,""/""),,3),INDEX(SPLIT(I4792,""/""),,2),INDEX(SPLIT(I4792,""/""),,1))"),44804.0)</f>
        <v>44804</v>
      </c>
      <c r="L4792" s="1">
        <v>0.0</v>
      </c>
      <c r="M4792" s="1" t="s">
        <v>10848</v>
      </c>
      <c r="N4792" s="1"/>
      <c r="O4792" s="1" t="s">
        <v>30</v>
      </c>
      <c r="P4792" s="1" t="s">
        <v>31</v>
      </c>
      <c r="Q4792" s="1" t="s">
        <v>53</v>
      </c>
      <c r="R4792" s="1" t="s">
        <v>53</v>
      </c>
      <c r="S4792" s="1" t="s">
        <v>54</v>
      </c>
      <c r="T4792" s="1" t="s">
        <v>136</v>
      </c>
      <c r="U4792" s="1">
        <v>1.00649481E8</v>
      </c>
      <c r="X4792" s="1" t="s">
        <v>74</v>
      </c>
      <c r="Y4792" s="1" t="s">
        <v>1746</v>
      </c>
      <c r="Z4792" s="1" t="s">
        <v>37</v>
      </c>
    </row>
    <row r="4793" hidden="1">
      <c r="A4793" s="1" t="s">
        <v>13479</v>
      </c>
      <c r="B4793" s="1" t="s">
        <v>59</v>
      </c>
      <c r="C4793" s="1" t="s">
        <v>13480</v>
      </c>
      <c r="D4793" s="1" t="s">
        <v>78</v>
      </c>
      <c r="E4793" s="1" t="s">
        <v>28</v>
      </c>
      <c r="F4793" s="2">
        <v>100000.0</v>
      </c>
      <c r="G4793" s="1" t="s">
        <v>3295</v>
      </c>
      <c r="H4793" s="4">
        <f>IFERROR(__xludf.DUMMYFUNCTION("DATE(INDEX(SPLIT(G4793,""/""),,3),INDEX(SPLIT(G4793,""/""),,2),INDEX(SPLIT(G4793,""/""),,1))"),44575.0)</f>
        <v>44575</v>
      </c>
      <c r="I4793" s="1" t="s">
        <v>5970</v>
      </c>
      <c r="J4793" s="4">
        <f>IFERROR(__xludf.DUMMYFUNCTION("DATE(INDEX(SPLIT(I4793,""/""),,3),INDEX(SPLIT(I4793,""/""),,2),INDEX(SPLIT(I4793,""/""),,1))"),44800.0)</f>
        <v>44800</v>
      </c>
      <c r="L4793" s="1">
        <v>0.0</v>
      </c>
      <c r="M4793" s="1" t="s">
        <v>61</v>
      </c>
      <c r="N4793" s="1"/>
      <c r="O4793" s="1" t="s">
        <v>30</v>
      </c>
      <c r="P4793" s="1" t="s">
        <v>31</v>
      </c>
      <c r="Q4793" s="1" t="s">
        <v>32</v>
      </c>
      <c r="R4793" s="1" t="s">
        <v>32</v>
      </c>
      <c r="S4793" s="1" t="s">
        <v>33</v>
      </c>
      <c r="T4793" s="1" t="s">
        <v>103</v>
      </c>
      <c r="U4793" s="1">
        <v>1.0060843E8</v>
      </c>
      <c r="X4793" s="1" t="s">
        <v>63</v>
      </c>
      <c r="Y4793" s="1" t="s">
        <v>61</v>
      </c>
      <c r="Z4793" s="1" t="s">
        <v>37</v>
      </c>
    </row>
    <row r="4794">
      <c r="A4794" s="1" t="s">
        <v>13481</v>
      </c>
      <c r="B4794" s="1" t="s">
        <v>484</v>
      </c>
      <c r="C4794" s="1" t="s">
        <v>13482</v>
      </c>
      <c r="D4794" s="1" t="s">
        <v>78</v>
      </c>
      <c r="E4794" s="1" t="s">
        <v>28</v>
      </c>
      <c r="F4794" s="2">
        <v>100000.0</v>
      </c>
      <c r="G4794" s="4">
        <v>44810.0</v>
      </c>
      <c r="H4794" s="4">
        <f>IFERROR(__xludf.DUMMYFUNCTION("DATE(INDEX(SPLIT(G4794,""/""),,3),INDEX(SPLIT(G4794,""/""),,2),INDEX(SPLIT(G4794,""/""),,1))"),44721.0)</f>
        <v>44721</v>
      </c>
      <c r="I4794" s="1" t="s">
        <v>935</v>
      </c>
      <c r="J4794" s="4">
        <f>IFERROR(__xludf.DUMMYFUNCTION("DATE(INDEX(SPLIT(I4794,""/""),,3),INDEX(SPLIT(I4794,""/""),,2),INDEX(SPLIT(I4794,""/""),,1))"),44764.0)</f>
        <v>44764</v>
      </c>
      <c r="L4794" s="1">
        <v>0.0</v>
      </c>
      <c r="M4794" s="1" t="s">
        <v>2214</v>
      </c>
      <c r="N4794" s="1"/>
      <c r="O4794" s="1" t="s">
        <v>30</v>
      </c>
      <c r="P4794" s="1" t="s">
        <v>31</v>
      </c>
      <c r="Q4794" s="1" t="s">
        <v>95</v>
      </c>
      <c r="R4794" s="1" t="s">
        <v>95</v>
      </c>
      <c r="S4794" s="1" t="s">
        <v>96</v>
      </c>
      <c r="T4794" s="1" t="s">
        <v>489</v>
      </c>
      <c r="U4794" s="1">
        <v>1.00580065E8</v>
      </c>
      <c r="X4794" s="1" t="s">
        <v>490</v>
      </c>
      <c r="Y4794" s="1" t="s">
        <v>1013</v>
      </c>
      <c r="Z4794" s="1" t="s">
        <v>37</v>
      </c>
    </row>
    <row r="4795" hidden="1">
      <c r="A4795" s="1" t="s">
        <v>13483</v>
      </c>
      <c r="B4795" s="1" t="s">
        <v>1152</v>
      </c>
      <c r="C4795" s="1" t="s">
        <v>13484</v>
      </c>
      <c r="D4795" s="1" t="s">
        <v>27</v>
      </c>
      <c r="E4795" s="1" t="s">
        <v>28</v>
      </c>
      <c r="F4795" s="2">
        <v>100000.0</v>
      </c>
      <c r="G4795" s="1" t="s">
        <v>576</v>
      </c>
      <c r="H4795" s="4">
        <f>IFERROR(__xludf.DUMMYFUNCTION("DATE(INDEX(SPLIT(G4795,""/""),,3),INDEX(SPLIT(G4795,""/""),,2),INDEX(SPLIT(G4795,""/""),,1))"),44614.0)</f>
        <v>44614</v>
      </c>
      <c r="I4795" s="1" t="s">
        <v>281</v>
      </c>
      <c r="J4795" s="4">
        <f>IFERROR(__xludf.DUMMYFUNCTION("DATE(INDEX(SPLIT(I4795,""/""),,3),INDEX(SPLIT(I4795,""/""),,2),INDEX(SPLIT(I4795,""/""),,1))"),44865.0)</f>
        <v>44865</v>
      </c>
      <c r="L4795" s="1">
        <v>0.0</v>
      </c>
      <c r="M4795" s="1" t="s">
        <v>401</v>
      </c>
      <c r="N4795" s="1"/>
      <c r="O4795" s="1" t="s">
        <v>30</v>
      </c>
      <c r="P4795" s="1" t="s">
        <v>31</v>
      </c>
      <c r="Q4795" s="1" t="s">
        <v>32</v>
      </c>
      <c r="R4795" s="1" t="s">
        <v>32</v>
      </c>
      <c r="S4795" s="1" t="s">
        <v>33</v>
      </c>
      <c r="U4795" s="1">
        <v>1.0059112E8</v>
      </c>
      <c r="X4795" s="1" t="s">
        <v>125</v>
      </c>
      <c r="Y4795" s="1" t="s">
        <v>5485</v>
      </c>
      <c r="Z4795" s="1" t="s">
        <v>37</v>
      </c>
    </row>
    <row r="4796">
      <c r="A4796" s="1" t="s">
        <v>13485</v>
      </c>
      <c r="B4796" s="1" t="s">
        <v>13486</v>
      </c>
      <c r="C4796" s="1" t="s">
        <v>13487</v>
      </c>
      <c r="D4796" s="1" t="s">
        <v>27</v>
      </c>
      <c r="E4796" s="1" t="s">
        <v>28</v>
      </c>
      <c r="F4796" s="2">
        <v>100000.0</v>
      </c>
      <c r="G4796" s="4">
        <v>44204.0</v>
      </c>
      <c r="H4796" s="4">
        <f>IFERROR(__xludf.DUMMYFUNCTION("DATE(INDEX(SPLIT(G4796,""/""),,3),INDEX(SPLIT(G4796,""/""),,2),INDEX(SPLIT(G4796,""/""),,1))"),44409.0)</f>
        <v>44409</v>
      </c>
      <c r="I4796" s="1" t="s">
        <v>69</v>
      </c>
      <c r="J4796" s="4">
        <f>IFERROR(__xludf.DUMMYFUNCTION("DATE(INDEX(SPLIT(I4796,""/""),,3),INDEX(SPLIT(I4796,""/""),,2),INDEX(SPLIT(I4796,""/""),,1))"),44773.0)</f>
        <v>44773</v>
      </c>
      <c r="L4796" s="1">
        <v>0.0</v>
      </c>
      <c r="M4796" s="1" t="s">
        <v>11190</v>
      </c>
      <c r="N4796" s="1"/>
      <c r="O4796" s="1" t="s">
        <v>30</v>
      </c>
      <c r="P4796" s="1" t="s">
        <v>31</v>
      </c>
      <c r="Q4796" s="1" t="s">
        <v>228</v>
      </c>
      <c r="R4796" s="1" t="s">
        <v>228</v>
      </c>
      <c r="S4796" s="1" t="s">
        <v>229</v>
      </c>
      <c r="T4796" s="1" t="s">
        <v>513</v>
      </c>
      <c r="U4796" s="1">
        <v>1.00608136E8</v>
      </c>
      <c r="X4796" s="1" t="s">
        <v>63</v>
      </c>
      <c r="Y4796" s="1" t="s">
        <v>13488</v>
      </c>
      <c r="Z4796" s="1" t="s">
        <v>37</v>
      </c>
    </row>
    <row r="4797" hidden="1">
      <c r="A4797" s="1" t="s">
        <v>13489</v>
      </c>
      <c r="B4797" s="1" t="s">
        <v>13490</v>
      </c>
      <c r="C4797" s="1" t="s">
        <v>11861</v>
      </c>
      <c r="D4797" s="1" t="s">
        <v>78</v>
      </c>
      <c r="E4797" s="1" t="s">
        <v>28</v>
      </c>
      <c r="F4797" s="2">
        <v>100000.0</v>
      </c>
      <c r="G4797" s="1" t="s">
        <v>354</v>
      </c>
      <c r="H4797" s="4">
        <f>IFERROR(__xludf.DUMMYFUNCTION("DATE(INDEX(SPLIT(G4797,""/""),,3),INDEX(SPLIT(G4797,""/""),,2),INDEX(SPLIT(G4797,""/""),,1))"),44673.0)</f>
        <v>44673</v>
      </c>
      <c r="I4797" s="1" t="s">
        <v>130</v>
      </c>
      <c r="J4797" s="4">
        <f>IFERROR(__xludf.DUMMYFUNCTION("DATE(INDEX(SPLIT(I4797,""/""),,3),INDEX(SPLIT(I4797,""/""),,2),INDEX(SPLIT(I4797,""/""),,1))"),44804.0)</f>
        <v>44804</v>
      </c>
      <c r="L4797" s="1">
        <v>0.0</v>
      </c>
      <c r="M4797" s="1" t="s">
        <v>10697</v>
      </c>
      <c r="N4797" s="1"/>
      <c r="O4797" s="1" t="s">
        <v>30</v>
      </c>
      <c r="P4797" s="1" t="s">
        <v>31</v>
      </c>
      <c r="Q4797" s="1" t="s">
        <v>228</v>
      </c>
      <c r="R4797" s="1" t="s">
        <v>228</v>
      </c>
      <c r="S4797" s="1" t="s">
        <v>229</v>
      </c>
      <c r="T4797" s="1" t="s">
        <v>513</v>
      </c>
      <c r="U4797" s="1">
        <v>1.00612201E8</v>
      </c>
      <c r="X4797" s="1" t="s">
        <v>239</v>
      </c>
      <c r="Y4797" s="1" t="s">
        <v>13491</v>
      </c>
      <c r="Z4797" s="1" t="s">
        <v>37</v>
      </c>
    </row>
    <row r="4798" hidden="1">
      <c r="A4798" s="1" t="s">
        <v>13492</v>
      </c>
      <c r="B4798" s="1" t="s">
        <v>13493</v>
      </c>
      <c r="C4798" s="1" t="s">
        <v>13494</v>
      </c>
      <c r="D4798" s="1" t="s">
        <v>27</v>
      </c>
      <c r="E4798" s="1" t="s">
        <v>28</v>
      </c>
      <c r="F4798" s="2">
        <v>100000.0</v>
      </c>
      <c r="G4798" s="1" t="s">
        <v>1513</v>
      </c>
      <c r="H4798" s="4">
        <f>IFERROR(__xludf.DUMMYFUNCTION("DATE(INDEX(SPLIT(G4798,""/""),,3),INDEX(SPLIT(G4798,""/""),,2),INDEX(SPLIT(G4798,""/""),,1))"),44183.0)</f>
        <v>44183</v>
      </c>
      <c r="I4798" s="1" t="s">
        <v>109</v>
      </c>
      <c r="J4798" s="4">
        <f>IFERROR(__xludf.DUMMYFUNCTION("DATE(INDEX(SPLIT(I4798,""/""),,3),INDEX(SPLIT(I4798,""/""),,2),INDEX(SPLIT(I4798,""/""),,1))"),44834.0)</f>
        <v>44834</v>
      </c>
      <c r="L4798" s="1">
        <v>0.0</v>
      </c>
      <c r="M4798" s="1" t="s">
        <v>2107</v>
      </c>
      <c r="N4798" s="1"/>
      <c r="O4798" s="1" t="s">
        <v>30</v>
      </c>
      <c r="P4798" s="1" t="s">
        <v>31</v>
      </c>
      <c r="Q4798" s="1" t="s">
        <v>71</v>
      </c>
      <c r="R4798" s="1" t="s">
        <v>71</v>
      </c>
      <c r="S4798" s="1" t="s">
        <v>72</v>
      </c>
      <c r="T4798" s="1" t="s">
        <v>13495</v>
      </c>
      <c r="U4798" s="1">
        <v>1.0061233E8</v>
      </c>
      <c r="X4798" s="1" t="s">
        <v>74</v>
      </c>
      <c r="Y4798" s="1" t="s">
        <v>2107</v>
      </c>
      <c r="Z4798" s="1" t="s">
        <v>37</v>
      </c>
    </row>
    <row r="4799" hidden="1">
      <c r="A4799" s="1" t="s">
        <v>13496</v>
      </c>
      <c r="B4799" s="1" t="s">
        <v>806</v>
      </c>
      <c r="C4799" s="1" t="s">
        <v>13497</v>
      </c>
      <c r="D4799" s="1" t="s">
        <v>27</v>
      </c>
      <c r="E4799" s="1" t="s">
        <v>28</v>
      </c>
      <c r="F4799" s="2">
        <v>100000.0</v>
      </c>
      <c r="G4799" s="4">
        <v>44450.0</v>
      </c>
      <c r="H4799" s="4">
        <f>IFERROR(__xludf.DUMMYFUNCTION("DATE(INDEX(SPLIT(G4799,""/""),,3),INDEX(SPLIT(G4799,""/""),,2),INDEX(SPLIT(G4799,""/""),,1))"),44509.0)</f>
        <v>44509</v>
      </c>
      <c r="I4799" s="1" t="s">
        <v>85</v>
      </c>
      <c r="J4799" s="4">
        <f>IFERROR(__xludf.DUMMYFUNCTION("DATE(INDEX(SPLIT(I4799,""/""),,3),INDEX(SPLIT(I4799,""/""),,2),INDEX(SPLIT(I4799,""/""),,1))"),44799.0)</f>
        <v>44799</v>
      </c>
      <c r="L4799" s="1">
        <v>0.0</v>
      </c>
      <c r="M4799" s="1" t="s">
        <v>2600</v>
      </c>
      <c r="N4799" s="1"/>
      <c r="O4799" s="1" t="s">
        <v>30</v>
      </c>
      <c r="P4799" s="1" t="s">
        <v>31</v>
      </c>
      <c r="Q4799" s="1" t="s">
        <v>32</v>
      </c>
      <c r="R4799" s="1" t="s">
        <v>32</v>
      </c>
      <c r="S4799" s="1" t="s">
        <v>33</v>
      </c>
      <c r="T4799" s="1" t="s">
        <v>402</v>
      </c>
      <c r="U4799" s="1">
        <v>1.00642238E8</v>
      </c>
      <c r="X4799" s="1" t="s">
        <v>117</v>
      </c>
      <c r="Y4799" s="1" t="s">
        <v>2188</v>
      </c>
      <c r="Z4799" s="1" t="s">
        <v>37</v>
      </c>
    </row>
    <row r="4800" hidden="1">
      <c r="A4800" s="1" t="s">
        <v>13498</v>
      </c>
      <c r="B4800" s="1" t="s">
        <v>13499</v>
      </c>
      <c r="C4800" s="1" t="s">
        <v>13500</v>
      </c>
      <c r="D4800" s="1" t="s">
        <v>27</v>
      </c>
      <c r="E4800" s="1" t="s">
        <v>28</v>
      </c>
      <c r="F4800" s="2">
        <v>100000.0</v>
      </c>
      <c r="G4800" s="1" t="s">
        <v>1494</v>
      </c>
      <c r="H4800" s="4">
        <f>IFERROR(__xludf.DUMMYFUNCTION("DATE(INDEX(SPLIT(G4800,""/""),,3),INDEX(SPLIT(G4800,""/""),,2),INDEX(SPLIT(G4800,""/""),,1))"),44463.0)</f>
        <v>44463</v>
      </c>
      <c r="I4800" s="1" t="s">
        <v>130</v>
      </c>
      <c r="J4800" s="4">
        <f>IFERROR(__xludf.DUMMYFUNCTION("DATE(INDEX(SPLIT(I4800,""/""),,3),INDEX(SPLIT(I4800,""/""),,2),INDEX(SPLIT(I4800,""/""),,1))"),44804.0)</f>
        <v>44804</v>
      </c>
      <c r="L4800" s="1">
        <v>0.0</v>
      </c>
      <c r="M4800" s="1" t="s">
        <v>1929</v>
      </c>
      <c r="N4800" s="1"/>
      <c r="O4800" s="1" t="s">
        <v>30</v>
      </c>
      <c r="P4800" s="1" t="s">
        <v>31</v>
      </c>
      <c r="Q4800" s="1" t="s">
        <v>95</v>
      </c>
      <c r="R4800" s="1" t="s">
        <v>95</v>
      </c>
      <c r="S4800" s="1" t="s">
        <v>96</v>
      </c>
      <c r="U4800" s="1">
        <v>1.00631642E8</v>
      </c>
      <c r="Y4800" s="1" t="s">
        <v>350</v>
      </c>
      <c r="Z4800" s="1" t="s">
        <v>37</v>
      </c>
    </row>
    <row r="4801" hidden="1">
      <c r="A4801" s="1" t="s">
        <v>13501</v>
      </c>
      <c r="B4801" s="1" t="s">
        <v>532</v>
      </c>
      <c r="C4801" s="1" t="s">
        <v>13502</v>
      </c>
      <c r="D4801" s="1" t="s">
        <v>27</v>
      </c>
      <c r="E4801" s="1" t="s">
        <v>28</v>
      </c>
      <c r="F4801" s="2">
        <v>100000.0</v>
      </c>
      <c r="G4801" s="1" t="s">
        <v>13503</v>
      </c>
      <c r="H4801" s="4">
        <f>IFERROR(__xludf.DUMMYFUNCTION("DATE(INDEX(SPLIT(G4801,""/""),,3),INDEX(SPLIT(G4801,""/""),,2),INDEX(SPLIT(G4801,""/""),,1))"),44224.0)</f>
        <v>44224</v>
      </c>
      <c r="I4801" s="1" t="s">
        <v>130</v>
      </c>
      <c r="J4801" s="4">
        <f>IFERROR(__xludf.DUMMYFUNCTION("DATE(INDEX(SPLIT(I4801,""/""),,3),INDEX(SPLIT(I4801,""/""),,2),INDEX(SPLIT(I4801,""/""),,1))"),44804.0)</f>
        <v>44804</v>
      </c>
      <c r="L4801" s="1">
        <v>0.0</v>
      </c>
      <c r="M4801" s="1" t="s">
        <v>1376</v>
      </c>
      <c r="N4801" s="1"/>
      <c r="O4801" s="1" t="s">
        <v>30</v>
      </c>
      <c r="P4801" s="1" t="s">
        <v>31</v>
      </c>
      <c r="Q4801" s="1" t="s">
        <v>32</v>
      </c>
      <c r="R4801" s="1" t="s">
        <v>32</v>
      </c>
      <c r="S4801" s="1" t="s">
        <v>33</v>
      </c>
      <c r="T4801" s="1" t="s">
        <v>1195</v>
      </c>
      <c r="U4801" s="1">
        <v>1.006096E8</v>
      </c>
      <c r="X4801" s="1" t="s">
        <v>490</v>
      </c>
      <c r="Y4801" s="1" t="s">
        <v>1376</v>
      </c>
      <c r="Z4801" s="1" t="s">
        <v>37</v>
      </c>
    </row>
    <row r="4802">
      <c r="A4802" s="1" t="s">
        <v>13504</v>
      </c>
      <c r="B4802" s="1" t="s">
        <v>13505</v>
      </c>
      <c r="C4802" s="1" t="s">
        <v>13506</v>
      </c>
      <c r="D4802" s="1" t="s">
        <v>78</v>
      </c>
      <c r="E4802" s="1" t="s">
        <v>28</v>
      </c>
      <c r="F4802" s="2">
        <v>100000.0</v>
      </c>
      <c r="G4802" s="1" t="s">
        <v>1767</v>
      </c>
      <c r="H4802" s="4">
        <f>IFERROR(__xludf.DUMMYFUNCTION("DATE(INDEX(SPLIT(G4802,""/""),,3),INDEX(SPLIT(G4802,""/""),,2),INDEX(SPLIT(G4802,""/""),,1))"),44698.0)</f>
        <v>44698</v>
      </c>
      <c r="I4802" s="1" t="s">
        <v>226</v>
      </c>
      <c r="J4802" s="4">
        <f>IFERROR(__xludf.DUMMYFUNCTION("DATE(INDEX(SPLIT(I4802,""/""),,3),INDEX(SPLIT(I4802,""/""),,2),INDEX(SPLIT(I4802,""/""),,1))"),44771.0)</f>
        <v>44771</v>
      </c>
      <c r="L4802" s="1">
        <v>0.0</v>
      </c>
      <c r="M4802" s="1" t="s">
        <v>7830</v>
      </c>
      <c r="N4802" s="1"/>
      <c r="O4802" s="1" t="s">
        <v>30</v>
      </c>
      <c r="P4802" s="1" t="s">
        <v>31</v>
      </c>
      <c r="Q4802" s="1" t="s">
        <v>235</v>
      </c>
      <c r="R4802" s="1" t="s">
        <v>235</v>
      </c>
      <c r="S4802" s="1" t="s">
        <v>236</v>
      </c>
      <c r="T4802" s="1" t="s">
        <v>438</v>
      </c>
      <c r="U4802" s="1">
        <v>1.00658814E8</v>
      </c>
      <c r="X4802" s="1" t="s">
        <v>88</v>
      </c>
      <c r="Y4802" s="1" t="s">
        <v>7830</v>
      </c>
      <c r="Z4802" s="1" t="s">
        <v>37</v>
      </c>
    </row>
    <row r="4803" hidden="1">
      <c r="A4803" s="1" t="s">
        <v>13507</v>
      </c>
      <c r="B4803" s="1" t="s">
        <v>7868</v>
      </c>
      <c r="C4803" s="1" t="s">
        <v>13508</v>
      </c>
      <c r="D4803" s="1" t="s">
        <v>27</v>
      </c>
      <c r="E4803" s="1" t="s">
        <v>28</v>
      </c>
      <c r="F4803" s="2">
        <v>100000.0</v>
      </c>
      <c r="G4803" s="1" t="s">
        <v>7870</v>
      </c>
      <c r="H4803" s="4">
        <f>IFERROR(__xludf.DUMMYFUNCTION("DATE(INDEX(SPLIT(G4803,""/""),,3),INDEX(SPLIT(G4803,""/""),,2),INDEX(SPLIT(G4803,""/""),,1))"),44499.0)</f>
        <v>44499</v>
      </c>
      <c r="I4803" s="1" t="s">
        <v>130</v>
      </c>
      <c r="J4803" s="4">
        <f>IFERROR(__xludf.DUMMYFUNCTION("DATE(INDEX(SPLIT(I4803,""/""),,3),INDEX(SPLIT(I4803,""/""),,2),INDEX(SPLIT(I4803,""/""),,1))"),44804.0)</f>
        <v>44804</v>
      </c>
      <c r="L4803" s="1">
        <v>0.0</v>
      </c>
      <c r="M4803" s="1" t="s">
        <v>1398</v>
      </c>
      <c r="N4803" s="1"/>
      <c r="O4803" s="1" t="s">
        <v>30</v>
      </c>
      <c r="P4803" s="1" t="s">
        <v>31</v>
      </c>
      <c r="Q4803" s="1" t="s">
        <v>95</v>
      </c>
      <c r="R4803" s="1" t="s">
        <v>95</v>
      </c>
      <c r="S4803" s="1" t="s">
        <v>96</v>
      </c>
      <c r="T4803" s="1" t="s">
        <v>111</v>
      </c>
      <c r="U4803" s="1">
        <v>1.0061941E8</v>
      </c>
      <c r="X4803" s="1" t="s">
        <v>63</v>
      </c>
      <c r="Y4803" s="1" t="s">
        <v>7871</v>
      </c>
      <c r="Z4803" s="1" t="s">
        <v>37</v>
      </c>
    </row>
    <row r="4804" hidden="1">
      <c r="A4804" s="1" t="s">
        <v>13509</v>
      </c>
      <c r="B4804" s="1" t="s">
        <v>5851</v>
      </c>
      <c r="C4804" s="1" t="s">
        <v>8515</v>
      </c>
      <c r="D4804" s="1" t="s">
        <v>27</v>
      </c>
      <c r="E4804" s="1" t="s">
        <v>28</v>
      </c>
      <c r="F4804" s="2">
        <v>100000.0</v>
      </c>
      <c r="G4804" s="4">
        <v>44538.0</v>
      </c>
      <c r="H4804" s="4">
        <f>IFERROR(__xludf.DUMMYFUNCTION("DATE(INDEX(SPLIT(G4804,""/""),,3),INDEX(SPLIT(G4804,""/""),,2),INDEX(SPLIT(G4804,""/""),,1))"),44420.0)</f>
        <v>44420</v>
      </c>
      <c r="I4804" s="1" t="s">
        <v>109</v>
      </c>
      <c r="J4804" s="4">
        <f>IFERROR(__xludf.DUMMYFUNCTION("DATE(INDEX(SPLIT(I4804,""/""),,3),INDEX(SPLIT(I4804,""/""),,2),INDEX(SPLIT(I4804,""/""),,1))"),44834.0)</f>
        <v>44834</v>
      </c>
      <c r="L4804" s="1">
        <v>0.0</v>
      </c>
      <c r="M4804" s="1" t="s">
        <v>913</v>
      </c>
      <c r="N4804" s="1"/>
      <c r="O4804" s="1" t="s">
        <v>30</v>
      </c>
      <c r="P4804" s="1" t="s">
        <v>31</v>
      </c>
      <c r="Q4804" s="1" t="s">
        <v>71</v>
      </c>
      <c r="R4804" s="1" t="s">
        <v>71</v>
      </c>
      <c r="S4804" s="1" t="s">
        <v>72</v>
      </c>
      <c r="T4804" s="1" t="s">
        <v>136</v>
      </c>
      <c r="U4804" s="1">
        <v>1.0112897E8</v>
      </c>
      <c r="X4804" s="1" t="s">
        <v>74</v>
      </c>
      <c r="Y4804" s="1" t="s">
        <v>4444</v>
      </c>
      <c r="Z4804" s="1" t="s">
        <v>37</v>
      </c>
    </row>
    <row r="4805" hidden="1">
      <c r="A4805" s="1" t="s">
        <v>13510</v>
      </c>
      <c r="B4805" s="1" t="s">
        <v>906</v>
      </c>
      <c r="C4805" s="1" t="s">
        <v>13511</v>
      </c>
      <c r="D4805" s="1" t="s">
        <v>78</v>
      </c>
      <c r="E4805" s="1" t="s">
        <v>28</v>
      </c>
      <c r="F4805" s="2">
        <v>100000.0</v>
      </c>
      <c r="G4805" s="1" t="s">
        <v>93</v>
      </c>
      <c r="H4805" s="4">
        <f>IFERROR(__xludf.DUMMYFUNCTION("DATE(INDEX(SPLIT(G4805,""/""),,3),INDEX(SPLIT(G4805,""/""),,2),INDEX(SPLIT(G4805,""/""),,1))"),44671.0)</f>
        <v>44671</v>
      </c>
      <c r="I4805" s="1" t="s">
        <v>109</v>
      </c>
      <c r="J4805" s="4">
        <f>IFERROR(__xludf.DUMMYFUNCTION("DATE(INDEX(SPLIT(I4805,""/""),,3),INDEX(SPLIT(I4805,""/""),,2),INDEX(SPLIT(I4805,""/""),,1))"),44834.0)</f>
        <v>44834</v>
      </c>
      <c r="L4805" s="1">
        <v>0.0</v>
      </c>
      <c r="M4805" s="1" t="s">
        <v>2072</v>
      </c>
      <c r="N4805" s="1"/>
      <c r="O4805" s="1" t="s">
        <v>30</v>
      </c>
      <c r="P4805" s="1" t="s">
        <v>31</v>
      </c>
      <c r="Q4805" s="1" t="s">
        <v>71</v>
      </c>
      <c r="R4805" s="1" t="s">
        <v>71</v>
      </c>
      <c r="S4805" s="1" t="s">
        <v>72</v>
      </c>
      <c r="T4805" s="1" t="s">
        <v>136</v>
      </c>
      <c r="U4805" s="1">
        <v>1.00628181E8</v>
      </c>
      <c r="X4805" s="1" t="s">
        <v>74</v>
      </c>
      <c r="Y4805" s="1" t="s">
        <v>2072</v>
      </c>
      <c r="Z4805" s="1" t="s">
        <v>37</v>
      </c>
    </row>
    <row r="4806">
      <c r="A4806" s="1" t="s">
        <v>13512</v>
      </c>
      <c r="B4806" s="1" t="s">
        <v>7868</v>
      </c>
      <c r="C4806" s="1" t="s">
        <v>13513</v>
      </c>
      <c r="D4806" s="1" t="s">
        <v>27</v>
      </c>
      <c r="E4806" s="1" t="s">
        <v>28</v>
      </c>
      <c r="F4806" s="2">
        <v>100000.0</v>
      </c>
      <c r="G4806" s="1" t="s">
        <v>7870</v>
      </c>
      <c r="H4806" s="4">
        <f>IFERROR(__xludf.DUMMYFUNCTION("DATE(INDEX(SPLIT(G4806,""/""),,3),INDEX(SPLIT(G4806,""/""),,2),INDEX(SPLIT(G4806,""/""),,1))"),44499.0)</f>
        <v>44499</v>
      </c>
      <c r="I4806" s="1" t="s">
        <v>414</v>
      </c>
      <c r="J4806" s="4">
        <f>IFERROR(__xludf.DUMMYFUNCTION("DATE(INDEX(SPLIT(I4806,""/""),,3),INDEX(SPLIT(I4806,""/""),,2),INDEX(SPLIT(I4806,""/""),,1))"),44772.0)</f>
        <v>44772</v>
      </c>
      <c r="L4806" s="1">
        <v>0.0</v>
      </c>
      <c r="M4806" s="1" t="s">
        <v>1398</v>
      </c>
      <c r="N4806" s="1"/>
      <c r="O4806" s="1" t="s">
        <v>30</v>
      </c>
      <c r="P4806" s="1" t="s">
        <v>31</v>
      </c>
      <c r="Q4806" s="1" t="s">
        <v>95</v>
      </c>
      <c r="R4806" s="1" t="s">
        <v>95</v>
      </c>
      <c r="S4806" s="1" t="s">
        <v>96</v>
      </c>
      <c r="T4806" s="1" t="s">
        <v>111</v>
      </c>
      <c r="U4806" s="1">
        <v>1.0061941E8</v>
      </c>
      <c r="X4806" s="1" t="s">
        <v>63</v>
      </c>
      <c r="Y4806" s="1" t="s">
        <v>7871</v>
      </c>
      <c r="Z4806" s="1" t="s">
        <v>37</v>
      </c>
    </row>
    <row r="4807" hidden="1">
      <c r="A4807" s="1" t="s">
        <v>13514</v>
      </c>
      <c r="B4807" s="1" t="s">
        <v>1113</v>
      </c>
      <c r="C4807" s="1" t="s">
        <v>13515</v>
      </c>
      <c r="D4807" s="1" t="s">
        <v>27</v>
      </c>
      <c r="E4807" s="1" t="s">
        <v>28</v>
      </c>
      <c r="F4807" s="2">
        <v>100000.0</v>
      </c>
      <c r="G4807" s="4">
        <v>44872.0</v>
      </c>
      <c r="H4807" s="4">
        <f>IFERROR(__xludf.DUMMYFUNCTION("DATE(INDEX(SPLIT(G4807,""/""),,3),INDEX(SPLIT(G4807,""/""),,2),INDEX(SPLIT(G4807,""/""),,1))"),44753.0)</f>
        <v>44753</v>
      </c>
      <c r="I4807" s="4">
        <v>44630.0</v>
      </c>
      <c r="J4807" s="4">
        <f>IFERROR(__xludf.DUMMYFUNCTION("DATE(INDEX(SPLIT(I4807,""/""),,3),INDEX(SPLIT(I4807,""/""),,2),INDEX(SPLIT(I4807,""/""),,1))"),44837.0)</f>
        <v>44837</v>
      </c>
      <c r="L4807" s="1">
        <v>0.0</v>
      </c>
      <c r="M4807" s="1" t="s">
        <v>929</v>
      </c>
      <c r="N4807" s="1"/>
      <c r="O4807" s="1" t="s">
        <v>30</v>
      </c>
      <c r="P4807" s="1" t="s">
        <v>31</v>
      </c>
      <c r="Q4807" s="1" t="s">
        <v>71</v>
      </c>
      <c r="R4807" s="1" t="s">
        <v>71</v>
      </c>
      <c r="S4807" s="1" t="s">
        <v>72</v>
      </c>
      <c r="T4807" s="1" t="s">
        <v>1195</v>
      </c>
      <c r="U4807" s="1">
        <v>1.00649698E8</v>
      </c>
      <c r="X4807" s="1" t="s">
        <v>490</v>
      </c>
      <c r="Y4807" s="1" t="s">
        <v>13077</v>
      </c>
      <c r="Z4807" s="1" t="s">
        <v>37</v>
      </c>
    </row>
    <row r="4808" hidden="1">
      <c r="A4808" s="1" t="s">
        <v>13516</v>
      </c>
      <c r="B4808" s="1" t="s">
        <v>11023</v>
      </c>
      <c r="C4808" s="1" t="s">
        <v>13517</v>
      </c>
      <c r="D4808" s="1" t="s">
        <v>27</v>
      </c>
      <c r="E4808" s="1" t="s">
        <v>28</v>
      </c>
      <c r="F4808" s="2">
        <v>100000.0</v>
      </c>
      <c r="G4808" s="1" t="s">
        <v>13518</v>
      </c>
      <c r="H4808" s="4">
        <f>IFERROR(__xludf.DUMMYFUNCTION("DATE(INDEX(SPLIT(G4808,""/""),,3),INDEX(SPLIT(G4808,""/""),,2),INDEX(SPLIT(G4808,""/""),,1))"),43391.0)</f>
        <v>43391</v>
      </c>
      <c r="I4808" s="1" t="s">
        <v>625</v>
      </c>
      <c r="J4808" s="4">
        <f>IFERROR(__xludf.DUMMYFUNCTION("DATE(INDEX(SPLIT(I4808,""/""),,3),INDEX(SPLIT(I4808,""/""),,2),INDEX(SPLIT(I4808,""/""),,1))"),44848.0)</f>
        <v>44848</v>
      </c>
      <c r="L4808" s="1">
        <v>0.0</v>
      </c>
      <c r="M4808" s="1" t="s">
        <v>2336</v>
      </c>
      <c r="N4808" s="1"/>
      <c r="O4808" s="1" t="s">
        <v>30</v>
      </c>
      <c r="P4808" s="1" t="s">
        <v>31</v>
      </c>
      <c r="Q4808" s="1" t="s">
        <v>235</v>
      </c>
      <c r="R4808" s="1" t="s">
        <v>235</v>
      </c>
      <c r="S4808" s="1" t="s">
        <v>236</v>
      </c>
      <c r="T4808" s="1" t="s">
        <v>13242</v>
      </c>
      <c r="U4808" s="1">
        <v>1.00608366E8</v>
      </c>
      <c r="X4808" s="1" t="s">
        <v>239</v>
      </c>
      <c r="Y4808" s="1" t="s">
        <v>13519</v>
      </c>
      <c r="Z4808" s="1" t="s">
        <v>37</v>
      </c>
    </row>
    <row r="4809" hidden="1">
      <c r="A4809" s="1" t="s">
        <v>13520</v>
      </c>
      <c r="B4809" s="1" t="s">
        <v>1971</v>
      </c>
      <c r="C4809" s="1" t="s">
        <v>13521</v>
      </c>
      <c r="D4809" s="1" t="s">
        <v>78</v>
      </c>
      <c r="E4809" s="1" t="s">
        <v>28</v>
      </c>
      <c r="F4809" s="2">
        <v>100000.0</v>
      </c>
      <c r="G4809" s="1" t="s">
        <v>13522</v>
      </c>
      <c r="H4809" s="4">
        <f>IFERROR(__xludf.DUMMYFUNCTION("DATE(INDEX(SPLIT(G4809,""/""),,3),INDEX(SPLIT(G4809,""/""),,2),INDEX(SPLIT(G4809,""/""),,1))"),43300.0)</f>
        <v>43300</v>
      </c>
      <c r="I4809" s="1" t="s">
        <v>130</v>
      </c>
      <c r="J4809" s="4">
        <f>IFERROR(__xludf.DUMMYFUNCTION("DATE(INDEX(SPLIT(I4809,""/""),,3),INDEX(SPLIT(I4809,""/""),,2),INDEX(SPLIT(I4809,""/""),,1))"),44804.0)</f>
        <v>44804</v>
      </c>
      <c r="L4809" s="1">
        <v>0.0</v>
      </c>
      <c r="M4809" s="1" t="s">
        <v>13523</v>
      </c>
      <c r="N4809" s="1"/>
      <c r="O4809" s="1" t="s">
        <v>30</v>
      </c>
      <c r="P4809" s="1" t="s">
        <v>31</v>
      </c>
      <c r="Q4809" s="1" t="s">
        <v>157</v>
      </c>
      <c r="R4809" s="1" t="s">
        <v>157</v>
      </c>
      <c r="S4809" s="1" t="s">
        <v>158</v>
      </c>
      <c r="T4809" s="1" t="s">
        <v>13524</v>
      </c>
      <c r="U4809" s="1">
        <v>1.00640093E8</v>
      </c>
      <c r="X4809" s="1" t="s">
        <v>35</v>
      </c>
      <c r="Y4809" s="1" t="s">
        <v>2481</v>
      </c>
      <c r="Z4809" s="1" t="s">
        <v>37</v>
      </c>
    </row>
    <row r="4810" hidden="1">
      <c r="A4810" s="1" t="s">
        <v>13525</v>
      </c>
      <c r="B4810" s="1" t="s">
        <v>546</v>
      </c>
      <c r="C4810" s="1" t="s">
        <v>13526</v>
      </c>
      <c r="D4810" s="1" t="s">
        <v>122</v>
      </c>
      <c r="E4810" s="1" t="s">
        <v>28</v>
      </c>
      <c r="F4810" s="2">
        <v>100000.0</v>
      </c>
      <c r="G4810" s="1" t="s">
        <v>2329</v>
      </c>
      <c r="H4810" s="4">
        <f>IFERROR(__xludf.DUMMYFUNCTION("DATE(INDEX(SPLIT(G4810,""/""),,3),INDEX(SPLIT(G4810,""/""),,2),INDEX(SPLIT(G4810,""/""),,1))"),44732.0)</f>
        <v>44732</v>
      </c>
      <c r="I4810" s="4">
        <v>44689.0</v>
      </c>
      <c r="J4810" s="4">
        <f>IFERROR(__xludf.DUMMYFUNCTION("DATE(INDEX(SPLIT(I4810,""/""),,3),INDEX(SPLIT(I4810,""/""),,2),INDEX(SPLIT(I4810,""/""),,1))"),44778.0)</f>
        <v>44778</v>
      </c>
      <c r="L4810" s="1">
        <v>0.0</v>
      </c>
      <c r="M4810" s="1" t="s">
        <v>318</v>
      </c>
      <c r="N4810" s="1"/>
      <c r="O4810" s="1" t="s">
        <v>30</v>
      </c>
      <c r="P4810" s="1" t="s">
        <v>31</v>
      </c>
      <c r="Q4810" s="1" t="s">
        <v>71</v>
      </c>
      <c r="R4810" s="1" t="s">
        <v>71</v>
      </c>
      <c r="S4810" s="1" t="s">
        <v>72</v>
      </c>
      <c r="T4810" s="1" t="s">
        <v>73</v>
      </c>
      <c r="U4810" s="1">
        <v>1.00654705E8</v>
      </c>
      <c r="X4810" s="1" t="s">
        <v>74</v>
      </c>
      <c r="Y4810" s="1" t="s">
        <v>318</v>
      </c>
      <c r="Z4810" s="1" t="s">
        <v>37</v>
      </c>
    </row>
    <row r="4811" hidden="1">
      <c r="A4811" s="1" t="s">
        <v>13527</v>
      </c>
      <c r="B4811" s="1" t="s">
        <v>12264</v>
      </c>
      <c r="C4811" s="1" t="s">
        <v>13528</v>
      </c>
      <c r="D4811" s="1" t="s">
        <v>122</v>
      </c>
      <c r="E4811" s="1" t="s">
        <v>28</v>
      </c>
      <c r="F4811" s="2">
        <v>100000.0</v>
      </c>
      <c r="G4811" s="4">
        <v>44780.0</v>
      </c>
      <c r="H4811" s="4">
        <f>IFERROR(__xludf.DUMMYFUNCTION("DATE(INDEX(SPLIT(G4811,""/""),,3),INDEX(SPLIT(G4811,""/""),,2),INDEX(SPLIT(G4811,""/""),,1))"),44750.0)</f>
        <v>44750</v>
      </c>
      <c r="I4811" s="1" t="s">
        <v>42</v>
      </c>
      <c r="J4811" s="4">
        <f>IFERROR(__xludf.DUMMYFUNCTION("DATE(INDEX(SPLIT(I4811,""/""),,3),INDEX(SPLIT(I4811,""/""),,2),INDEX(SPLIT(I4811,""/""),,1))"),44926.0)</f>
        <v>44926</v>
      </c>
      <c r="L4811" s="1">
        <v>0.0</v>
      </c>
      <c r="M4811" s="1" t="s">
        <v>2568</v>
      </c>
      <c r="N4811" s="1"/>
      <c r="O4811" s="1" t="s">
        <v>30</v>
      </c>
      <c r="P4811" s="1" t="s">
        <v>31</v>
      </c>
      <c r="Q4811" s="1" t="s">
        <v>228</v>
      </c>
      <c r="R4811" s="1" t="s">
        <v>228</v>
      </c>
      <c r="S4811" s="1" t="s">
        <v>229</v>
      </c>
      <c r="T4811" s="1" t="s">
        <v>513</v>
      </c>
      <c r="U4811" s="1">
        <v>1.00659458E8</v>
      </c>
      <c r="X4811" s="1" t="s">
        <v>46</v>
      </c>
      <c r="Y4811" s="1" t="s">
        <v>2568</v>
      </c>
      <c r="Z4811" s="1" t="s">
        <v>37</v>
      </c>
    </row>
    <row r="4812" hidden="1">
      <c r="A4812" s="1" t="s">
        <v>13529</v>
      </c>
      <c r="B4812" s="1" t="s">
        <v>1393</v>
      </c>
      <c r="C4812" s="1" t="s">
        <v>13530</v>
      </c>
      <c r="D4812" s="1" t="s">
        <v>27</v>
      </c>
      <c r="E4812" s="1" t="s">
        <v>28</v>
      </c>
      <c r="F4812" s="2">
        <v>100000.0</v>
      </c>
      <c r="G4812" s="4">
        <v>44897.0</v>
      </c>
      <c r="H4812" s="4">
        <f>IFERROR(__xludf.DUMMYFUNCTION("DATE(INDEX(SPLIT(G4812,""/""),,3),INDEX(SPLIT(G4812,""/""),,2),INDEX(SPLIT(G4812,""/""),,1))"),44604.0)</f>
        <v>44604</v>
      </c>
      <c r="I4812" s="1" t="s">
        <v>109</v>
      </c>
      <c r="J4812" s="4">
        <f>IFERROR(__xludf.DUMMYFUNCTION("DATE(INDEX(SPLIT(I4812,""/""),,3),INDEX(SPLIT(I4812,""/""),,2),INDEX(SPLIT(I4812,""/""),,1))"),44834.0)</f>
        <v>44834</v>
      </c>
      <c r="L4812" s="1">
        <v>0.0</v>
      </c>
      <c r="M4812" s="1" t="s">
        <v>3123</v>
      </c>
      <c r="N4812" s="1"/>
      <c r="O4812" s="1" t="s">
        <v>30</v>
      </c>
      <c r="P4812" s="1" t="s">
        <v>31</v>
      </c>
      <c r="Q4812" s="1" t="s">
        <v>157</v>
      </c>
      <c r="R4812" s="1" t="s">
        <v>157</v>
      </c>
      <c r="S4812" s="1" t="s">
        <v>158</v>
      </c>
      <c r="T4812" s="1" t="s">
        <v>442</v>
      </c>
      <c r="U4812" s="1">
        <v>1.00875111E8</v>
      </c>
      <c r="X4812" s="1" t="s">
        <v>88</v>
      </c>
      <c r="Y4812" s="1" t="s">
        <v>4960</v>
      </c>
      <c r="Z4812" s="1" t="s">
        <v>37</v>
      </c>
    </row>
    <row r="4813" hidden="1">
      <c r="A4813" s="1" t="s">
        <v>13531</v>
      </c>
      <c r="B4813" s="1" t="s">
        <v>2128</v>
      </c>
      <c r="C4813" s="1" t="s">
        <v>13530</v>
      </c>
      <c r="D4813" s="1" t="s">
        <v>27</v>
      </c>
      <c r="E4813" s="1" t="s">
        <v>28</v>
      </c>
      <c r="F4813" s="2">
        <v>100000.0</v>
      </c>
      <c r="G4813" s="4">
        <v>44897.0</v>
      </c>
      <c r="H4813" s="4">
        <f>IFERROR(__xludf.DUMMYFUNCTION("DATE(INDEX(SPLIT(G4813,""/""),,3),INDEX(SPLIT(G4813,""/""),,2),INDEX(SPLIT(G4813,""/""),,1))"),44604.0)</f>
        <v>44604</v>
      </c>
      <c r="I4813" s="1" t="s">
        <v>109</v>
      </c>
      <c r="J4813" s="4">
        <f>IFERROR(__xludf.DUMMYFUNCTION("DATE(INDEX(SPLIT(I4813,""/""),,3),INDEX(SPLIT(I4813,""/""),,2),INDEX(SPLIT(I4813,""/""),,1))"),44834.0)</f>
        <v>44834</v>
      </c>
      <c r="L4813" s="1">
        <v>0.0</v>
      </c>
      <c r="M4813" s="1" t="s">
        <v>3123</v>
      </c>
      <c r="N4813" s="1"/>
      <c r="O4813" s="1" t="s">
        <v>30</v>
      </c>
      <c r="P4813" s="1" t="s">
        <v>31</v>
      </c>
      <c r="Q4813" s="1" t="s">
        <v>157</v>
      </c>
      <c r="R4813" s="1" t="s">
        <v>157</v>
      </c>
      <c r="S4813" s="1" t="s">
        <v>158</v>
      </c>
      <c r="T4813" s="1" t="s">
        <v>442</v>
      </c>
      <c r="U4813" s="1">
        <v>1.00875111E8</v>
      </c>
      <c r="X4813" s="1" t="s">
        <v>88</v>
      </c>
      <c r="Y4813" s="1" t="s">
        <v>4960</v>
      </c>
      <c r="Z4813" s="1" t="s">
        <v>37</v>
      </c>
    </row>
    <row r="4814" hidden="1">
      <c r="A4814" s="1" t="s">
        <v>13532</v>
      </c>
      <c r="B4814" s="1" t="s">
        <v>1790</v>
      </c>
      <c r="C4814" s="1" t="s">
        <v>13530</v>
      </c>
      <c r="D4814" s="1" t="s">
        <v>27</v>
      </c>
      <c r="E4814" s="1" t="s">
        <v>28</v>
      </c>
      <c r="F4814" s="2">
        <v>100000.0</v>
      </c>
      <c r="G4814" s="4">
        <v>44897.0</v>
      </c>
      <c r="H4814" s="4">
        <f>IFERROR(__xludf.DUMMYFUNCTION("DATE(INDEX(SPLIT(G4814,""/""),,3),INDEX(SPLIT(G4814,""/""),,2),INDEX(SPLIT(G4814,""/""),,1))"),44604.0)</f>
        <v>44604</v>
      </c>
      <c r="I4814" s="1" t="s">
        <v>109</v>
      </c>
      <c r="J4814" s="4">
        <f>IFERROR(__xludf.DUMMYFUNCTION("DATE(INDEX(SPLIT(I4814,""/""),,3),INDEX(SPLIT(I4814,""/""),,2),INDEX(SPLIT(I4814,""/""),,1))"),44834.0)</f>
        <v>44834</v>
      </c>
      <c r="L4814" s="1">
        <v>0.0</v>
      </c>
      <c r="M4814" s="1" t="s">
        <v>3123</v>
      </c>
      <c r="N4814" s="1"/>
      <c r="O4814" s="1" t="s">
        <v>30</v>
      </c>
      <c r="P4814" s="1" t="s">
        <v>31</v>
      </c>
      <c r="Q4814" s="1" t="s">
        <v>157</v>
      </c>
      <c r="R4814" s="1" t="s">
        <v>157</v>
      </c>
      <c r="S4814" s="1" t="s">
        <v>158</v>
      </c>
      <c r="T4814" s="1" t="s">
        <v>442</v>
      </c>
      <c r="U4814" s="1">
        <v>1.00875111E8</v>
      </c>
      <c r="X4814" s="1" t="s">
        <v>88</v>
      </c>
      <c r="Y4814" s="1" t="s">
        <v>4960</v>
      </c>
      <c r="Z4814" s="1" t="s">
        <v>37</v>
      </c>
    </row>
    <row r="4815" hidden="1">
      <c r="A4815" s="1" t="s">
        <v>13533</v>
      </c>
      <c r="B4815" s="1" t="s">
        <v>938</v>
      </c>
      <c r="C4815" s="1" t="s">
        <v>13530</v>
      </c>
      <c r="D4815" s="1" t="s">
        <v>27</v>
      </c>
      <c r="E4815" s="1" t="s">
        <v>28</v>
      </c>
      <c r="F4815" s="2">
        <v>100000.0</v>
      </c>
      <c r="G4815" s="4">
        <v>44897.0</v>
      </c>
      <c r="H4815" s="4">
        <f>IFERROR(__xludf.DUMMYFUNCTION("DATE(INDEX(SPLIT(G4815,""/""),,3),INDEX(SPLIT(G4815,""/""),,2),INDEX(SPLIT(G4815,""/""),,1))"),44604.0)</f>
        <v>44604</v>
      </c>
      <c r="I4815" s="1" t="s">
        <v>109</v>
      </c>
      <c r="J4815" s="4">
        <f>IFERROR(__xludf.DUMMYFUNCTION("DATE(INDEX(SPLIT(I4815,""/""),,3),INDEX(SPLIT(I4815,""/""),,2),INDEX(SPLIT(I4815,""/""),,1))"),44834.0)</f>
        <v>44834</v>
      </c>
      <c r="L4815" s="1">
        <v>0.0</v>
      </c>
      <c r="M4815" s="1" t="s">
        <v>3123</v>
      </c>
      <c r="N4815" s="1"/>
      <c r="O4815" s="1" t="s">
        <v>30</v>
      </c>
      <c r="P4815" s="1" t="s">
        <v>31</v>
      </c>
      <c r="Q4815" s="1" t="s">
        <v>157</v>
      </c>
      <c r="R4815" s="1" t="s">
        <v>157</v>
      </c>
      <c r="S4815" s="1" t="s">
        <v>158</v>
      </c>
      <c r="T4815" s="1" t="s">
        <v>442</v>
      </c>
      <c r="U4815" s="1">
        <v>1.00875111E8</v>
      </c>
      <c r="X4815" s="1" t="s">
        <v>88</v>
      </c>
      <c r="Y4815" s="1" t="s">
        <v>4960</v>
      </c>
      <c r="Z4815" s="1" t="s">
        <v>37</v>
      </c>
    </row>
    <row r="4816" hidden="1">
      <c r="A4816" s="1" t="s">
        <v>13534</v>
      </c>
      <c r="B4816" s="1" t="s">
        <v>6402</v>
      </c>
      <c r="C4816" s="1" t="s">
        <v>13530</v>
      </c>
      <c r="D4816" s="1" t="s">
        <v>27</v>
      </c>
      <c r="E4816" s="1" t="s">
        <v>28</v>
      </c>
      <c r="F4816" s="2">
        <v>100000.0</v>
      </c>
      <c r="G4816" s="4">
        <v>44897.0</v>
      </c>
      <c r="H4816" s="4">
        <f>IFERROR(__xludf.DUMMYFUNCTION("DATE(INDEX(SPLIT(G4816,""/""),,3),INDEX(SPLIT(G4816,""/""),,2),INDEX(SPLIT(G4816,""/""),,1))"),44604.0)</f>
        <v>44604</v>
      </c>
      <c r="I4816" s="1" t="s">
        <v>569</v>
      </c>
      <c r="J4816" s="4">
        <f>IFERROR(__xludf.DUMMYFUNCTION("DATE(INDEX(SPLIT(I4816,""/""),,3),INDEX(SPLIT(I4816,""/""),,2),INDEX(SPLIT(I4816,""/""),,1))"),45016.0)</f>
        <v>45016</v>
      </c>
      <c r="L4816" s="1">
        <v>0.0</v>
      </c>
      <c r="M4816" s="1" t="s">
        <v>3123</v>
      </c>
      <c r="N4816" s="1"/>
      <c r="O4816" s="1" t="s">
        <v>30</v>
      </c>
      <c r="P4816" s="1" t="s">
        <v>31</v>
      </c>
      <c r="Q4816" s="1" t="s">
        <v>157</v>
      </c>
      <c r="R4816" s="1" t="s">
        <v>157</v>
      </c>
      <c r="S4816" s="1" t="s">
        <v>158</v>
      </c>
      <c r="T4816" s="1" t="s">
        <v>442</v>
      </c>
      <c r="U4816" s="1">
        <v>1.00875111E8</v>
      </c>
      <c r="X4816" s="1" t="s">
        <v>239</v>
      </c>
      <c r="Y4816" s="1" t="s">
        <v>4960</v>
      </c>
      <c r="Z4816" s="1" t="s">
        <v>37</v>
      </c>
    </row>
    <row r="4817" hidden="1">
      <c r="A4817" s="1" t="s">
        <v>13535</v>
      </c>
      <c r="B4817" s="1" t="s">
        <v>5054</v>
      </c>
      <c r="C4817" s="1" t="s">
        <v>13530</v>
      </c>
      <c r="D4817" s="1" t="s">
        <v>27</v>
      </c>
      <c r="E4817" s="1" t="s">
        <v>28</v>
      </c>
      <c r="F4817" s="2">
        <v>100000.0</v>
      </c>
      <c r="G4817" s="4">
        <v>44897.0</v>
      </c>
      <c r="H4817" s="4">
        <f>IFERROR(__xludf.DUMMYFUNCTION("DATE(INDEX(SPLIT(G4817,""/""),,3),INDEX(SPLIT(G4817,""/""),,2),INDEX(SPLIT(G4817,""/""),,1))"),44604.0)</f>
        <v>44604</v>
      </c>
      <c r="I4817" s="1" t="s">
        <v>109</v>
      </c>
      <c r="J4817" s="4">
        <f>IFERROR(__xludf.DUMMYFUNCTION("DATE(INDEX(SPLIT(I4817,""/""),,3),INDEX(SPLIT(I4817,""/""),,2),INDEX(SPLIT(I4817,""/""),,1))"),44834.0)</f>
        <v>44834</v>
      </c>
      <c r="L4817" s="1">
        <v>0.0</v>
      </c>
      <c r="M4817" s="1" t="s">
        <v>3123</v>
      </c>
      <c r="N4817" s="1"/>
      <c r="O4817" s="1" t="s">
        <v>30</v>
      </c>
      <c r="P4817" s="1" t="s">
        <v>31</v>
      </c>
      <c r="Q4817" s="1" t="s">
        <v>157</v>
      </c>
      <c r="R4817" s="1" t="s">
        <v>157</v>
      </c>
      <c r="S4817" s="1" t="s">
        <v>158</v>
      </c>
      <c r="T4817" s="1" t="s">
        <v>442</v>
      </c>
      <c r="U4817" s="1">
        <v>1.00875111E8</v>
      </c>
      <c r="X4817" s="1" t="s">
        <v>88</v>
      </c>
      <c r="Y4817" s="1" t="s">
        <v>4960</v>
      </c>
      <c r="Z4817" s="1" t="s">
        <v>37</v>
      </c>
    </row>
    <row r="4818" hidden="1">
      <c r="A4818" s="1" t="s">
        <v>13536</v>
      </c>
      <c r="B4818" s="1" t="s">
        <v>4496</v>
      </c>
      <c r="C4818" s="1" t="s">
        <v>13530</v>
      </c>
      <c r="D4818" s="1" t="s">
        <v>27</v>
      </c>
      <c r="E4818" s="1" t="s">
        <v>28</v>
      </c>
      <c r="F4818" s="2">
        <v>100000.0</v>
      </c>
      <c r="G4818" s="4">
        <v>44897.0</v>
      </c>
      <c r="H4818" s="4">
        <f>IFERROR(__xludf.DUMMYFUNCTION("DATE(INDEX(SPLIT(G4818,""/""),,3),INDEX(SPLIT(G4818,""/""),,2),INDEX(SPLIT(G4818,""/""),,1))"),44604.0)</f>
        <v>44604</v>
      </c>
      <c r="I4818" s="1" t="s">
        <v>109</v>
      </c>
      <c r="J4818" s="4">
        <f>IFERROR(__xludf.DUMMYFUNCTION("DATE(INDEX(SPLIT(I4818,""/""),,3),INDEX(SPLIT(I4818,""/""),,2),INDEX(SPLIT(I4818,""/""),,1))"),44834.0)</f>
        <v>44834</v>
      </c>
      <c r="L4818" s="1">
        <v>0.0</v>
      </c>
      <c r="M4818" s="1" t="s">
        <v>3123</v>
      </c>
      <c r="N4818" s="1"/>
      <c r="O4818" s="1" t="s">
        <v>30</v>
      </c>
      <c r="P4818" s="1" t="s">
        <v>31</v>
      </c>
      <c r="Q4818" s="1" t="s">
        <v>157</v>
      </c>
      <c r="R4818" s="1" t="s">
        <v>157</v>
      </c>
      <c r="S4818" s="1" t="s">
        <v>158</v>
      </c>
      <c r="T4818" s="1" t="s">
        <v>442</v>
      </c>
      <c r="U4818" s="1">
        <v>1.00875111E8</v>
      </c>
      <c r="X4818" s="1" t="s">
        <v>88</v>
      </c>
      <c r="Y4818" s="1" t="s">
        <v>4960</v>
      </c>
      <c r="Z4818" s="1" t="s">
        <v>37</v>
      </c>
    </row>
    <row r="4819" hidden="1">
      <c r="A4819" s="1" t="s">
        <v>13537</v>
      </c>
      <c r="B4819" s="1" t="s">
        <v>13538</v>
      </c>
      <c r="C4819" s="1" t="s">
        <v>13530</v>
      </c>
      <c r="D4819" s="1" t="s">
        <v>27</v>
      </c>
      <c r="E4819" s="1" t="s">
        <v>28</v>
      </c>
      <c r="F4819" s="2">
        <v>100000.0</v>
      </c>
      <c r="G4819" s="4">
        <v>44897.0</v>
      </c>
      <c r="H4819" s="4">
        <f>IFERROR(__xludf.DUMMYFUNCTION("DATE(INDEX(SPLIT(G4819,""/""),,3),INDEX(SPLIT(G4819,""/""),,2),INDEX(SPLIT(G4819,""/""),,1))"),44604.0)</f>
        <v>44604</v>
      </c>
      <c r="I4819" s="1" t="s">
        <v>109</v>
      </c>
      <c r="J4819" s="4">
        <f>IFERROR(__xludf.DUMMYFUNCTION("DATE(INDEX(SPLIT(I4819,""/""),,3),INDEX(SPLIT(I4819,""/""),,2),INDEX(SPLIT(I4819,""/""),,1))"),44834.0)</f>
        <v>44834</v>
      </c>
      <c r="L4819" s="1">
        <v>0.0</v>
      </c>
      <c r="M4819" s="1" t="s">
        <v>3123</v>
      </c>
      <c r="N4819" s="1"/>
      <c r="O4819" s="1" t="s">
        <v>30</v>
      </c>
      <c r="P4819" s="1" t="s">
        <v>31</v>
      </c>
      <c r="Q4819" s="1" t="s">
        <v>157</v>
      </c>
      <c r="R4819" s="1" t="s">
        <v>157</v>
      </c>
      <c r="S4819" s="1" t="s">
        <v>158</v>
      </c>
      <c r="T4819" s="1" t="s">
        <v>442</v>
      </c>
      <c r="U4819" s="1">
        <v>1.00875111E8</v>
      </c>
      <c r="X4819" s="1" t="s">
        <v>88</v>
      </c>
      <c r="Y4819" s="1" t="s">
        <v>4960</v>
      </c>
      <c r="Z4819" s="1" t="s">
        <v>37</v>
      </c>
    </row>
    <row r="4820" hidden="1">
      <c r="A4820" s="1" t="s">
        <v>13539</v>
      </c>
      <c r="B4820" s="1" t="s">
        <v>13540</v>
      </c>
      <c r="C4820" s="1" t="s">
        <v>13530</v>
      </c>
      <c r="D4820" s="1" t="s">
        <v>27</v>
      </c>
      <c r="E4820" s="1" t="s">
        <v>28</v>
      </c>
      <c r="F4820" s="2">
        <v>100000.0</v>
      </c>
      <c r="G4820" s="4">
        <v>44897.0</v>
      </c>
      <c r="H4820" s="4">
        <f>IFERROR(__xludf.DUMMYFUNCTION("DATE(INDEX(SPLIT(G4820,""/""),,3),INDEX(SPLIT(G4820,""/""),,2),INDEX(SPLIT(G4820,""/""),,1))"),44604.0)</f>
        <v>44604</v>
      </c>
      <c r="I4820" s="1" t="s">
        <v>109</v>
      </c>
      <c r="J4820" s="4">
        <f>IFERROR(__xludf.DUMMYFUNCTION("DATE(INDEX(SPLIT(I4820,""/""),,3),INDEX(SPLIT(I4820,""/""),,2),INDEX(SPLIT(I4820,""/""),,1))"),44834.0)</f>
        <v>44834</v>
      </c>
      <c r="L4820" s="1">
        <v>0.0</v>
      </c>
      <c r="M4820" s="1" t="s">
        <v>3123</v>
      </c>
      <c r="N4820" s="1"/>
      <c r="O4820" s="1" t="s">
        <v>30</v>
      </c>
      <c r="P4820" s="1" t="s">
        <v>31</v>
      </c>
      <c r="Q4820" s="1" t="s">
        <v>157</v>
      </c>
      <c r="R4820" s="1" t="s">
        <v>157</v>
      </c>
      <c r="S4820" s="1" t="s">
        <v>158</v>
      </c>
      <c r="T4820" s="1" t="s">
        <v>442</v>
      </c>
      <c r="U4820" s="1">
        <v>1.00875111E8</v>
      </c>
      <c r="X4820" s="1" t="s">
        <v>88</v>
      </c>
      <c r="Y4820" s="1" t="s">
        <v>4960</v>
      </c>
      <c r="Z4820" s="1" t="s">
        <v>37</v>
      </c>
    </row>
    <row r="4821" hidden="1">
      <c r="A4821" s="1" t="s">
        <v>13541</v>
      </c>
      <c r="B4821" s="1" t="s">
        <v>9950</v>
      </c>
      <c r="C4821" s="1" t="s">
        <v>13530</v>
      </c>
      <c r="D4821" s="1" t="s">
        <v>27</v>
      </c>
      <c r="E4821" s="1" t="s">
        <v>28</v>
      </c>
      <c r="F4821" s="2">
        <v>100000.0</v>
      </c>
      <c r="G4821" s="4">
        <v>44897.0</v>
      </c>
      <c r="H4821" s="4">
        <f>IFERROR(__xludf.DUMMYFUNCTION("DATE(INDEX(SPLIT(G4821,""/""),,3),INDEX(SPLIT(G4821,""/""),,2),INDEX(SPLIT(G4821,""/""),,1))"),44604.0)</f>
        <v>44604</v>
      </c>
      <c r="I4821" s="1" t="s">
        <v>317</v>
      </c>
      <c r="J4821" s="4">
        <f>IFERROR(__xludf.DUMMYFUNCTION("DATE(INDEX(SPLIT(I4821,""/""),,3),INDEX(SPLIT(I4821,""/""),,2),INDEX(SPLIT(I4821,""/""),,1))"),44862.0)</f>
        <v>44862</v>
      </c>
      <c r="L4821" s="1">
        <v>0.0</v>
      </c>
      <c r="M4821" s="1" t="s">
        <v>3123</v>
      </c>
      <c r="N4821" s="1"/>
      <c r="O4821" s="1" t="s">
        <v>30</v>
      </c>
      <c r="P4821" s="1" t="s">
        <v>31</v>
      </c>
      <c r="Q4821" s="1" t="s">
        <v>157</v>
      </c>
      <c r="R4821" s="1" t="s">
        <v>157</v>
      </c>
      <c r="S4821" s="1" t="s">
        <v>158</v>
      </c>
      <c r="T4821" s="1" t="s">
        <v>442</v>
      </c>
      <c r="U4821" s="1">
        <v>1.00875111E8</v>
      </c>
      <c r="X4821" s="1" t="s">
        <v>239</v>
      </c>
      <c r="Y4821" s="1" t="s">
        <v>4960</v>
      </c>
      <c r="Z4821" s="1" t="s">
        <v>37</v>
      </c>
    </row>
    <row r="4822" hidden="1">
      <c r="A4822" s="1" t="s">
        <v>13542</v>
      </c>
      <c r="B4822" s="1" t="s">
        <v>7912</v>
      </c>
      <c r="C4822" s="1" t="s">
        <v>13530</v>
      </c>
      <c r="D4822" s="1" t="s">
        <v>27</v>
      </c>
      <c r="E4822" s="1" t="s">
        <v>28</v>
      </c>
      <c r="F4822" s="2">
        <v>100000.0</v>
      </c>
      <c r="G4822" s="4">
        <v>44897.0</v>
      </c>
      <c r="H4822" s="4">
        <f>IFERROR(__xludf.DUMMYFUNCTION("DATE(INDEX(SPLIT(G4822,""/""),,3),INDEX(SPLIT(G4822,""/""),,2),INDEX(SPLIT(G4822,""/""),,1))"),44604.0)</f>
        <v>44604</v>
      </c>
      <c r="I4822" s="1" t="s">
        <v>109</v>
      </c>
      <c r="J4822" s="4">
        <f>IFERROR(__xludf.DUMMYFUNCTION("DATE(INDEX(SPLIT(I4822,""/""),,3),INDEX(SPLIT(I4822,""/""),,2),INDEX(SPLIT(I4822,""/""),,1))"),44834.0)</f>
        <v>44834</v>
      </c>
      <c r="L4822" s="1">
        <v>0.0</v>
      </c>
      <c r="M4822" s="1" t="s">
        <v>3123</v>
      </c>
      <c r="N4822" s="1"/>
      <c r="O4822" s="1" t="s">
        <v>30</v>
      </c>
      <c r="P4822" s="1" t="s">
        <v>31</v>
      </c>
      <c r="Q4822" s="1" t="s">
        <v>157</v>
      </c>
      <c r="R4822" s="1" t="s">
        <v>157</v>
      </c>
      <c r="S4822" s="1" t="s">
        <v>158</v>
      </c>
      <c r="T4822" s="1" t="s">
        <v>442</v>
      </c>
      <c r="U4822" s="1">
        <v>1.00875111E8</v>
      </c>
      <c r="X4822" s="1" t="s">
        <v>88</v>
      </c>
      <c r="Y4822" s="1" t="s">
        <v>4960</v>
      </c>
      <c r="Z4822" s="1" t="s">
        <v>37</v>
      </c>
    </row>
    <row r="4823" hidden="1">
      <c r="A4823" s="1" t="s">
        <v>13543</v>
      </c>
      <c r="B4823" s="1" t="s">
        <v>5165</v>
      </c>
      <c r="C4823" s="1" t="s">
        <v>13530</v>
      </c>
      <c r="D4823" s="1" t="s">
        <v>27</v>
      </c>
      <c r="E4823" s="1" t="s">
        <v>28</v>
      </c>
      <c r="F4823" s="2">
        <v>100000.0</v>
      </c>
      <c r="G4823" s="4">
        <v>44897.0</v>
      </c>
      <c r="H4823" s="4">
        <f>IFERROR(__xludf.DUMMYFUNCTION("DATE(INDEX(SPLIT(G4823,""/""),,3),INDEX(SPLIT(G4823,""/""),,2),INDEX(SPLIT(G4823,""/""),,1))"),44604.0)</f>
        <v>44604</v>
      </c>
      <c r="I4823" s="1" t="s">
        <v>109</v>
      </c>
      <c r="J4823" s="4">
        <f>IFERROR(__xludf.DUMMYFUNCTION("DATE(INDEX(SPLIT(I4823,""/""),,3),INDEX(SPLIT(I4823,""/""),,2),INDEX(SPLIT(I4823,""/""),,1))"),44834.0)</f>
        <v>44834</v>
      </c>
      <c r="L4823" s="1">
        <v>0.0</v>
      </c>
      <c r="M4823" s="1" t="s">
        <v>3123</v>
      </c>
      <c r="N4823" s="1"/>
      <c r="O4823" s="1" t="s">
        <v>30</v>
      </c>
      <c r="P4823" s="1" t="s">
        <v>31</v>
      </c>
      <c r="Q4823" s="1" t="s">
        <v>157</v>
      </c>
      <c r="R4823" s="1" t="s">
        <v>157</v>
      </c>
      <c r="S4823" s="1" t="s">
        <v>158</v>
      </c>
      <c r="T4823" s="1" t="s">
        <v>442</v>
      </c>
      <c r="U4823" s="1">
        <v>1.00875111E8</v>
      </c>
      <c r="X4823" s="1" t="s">
        <v>88</v>
      </c>
      <c r="Y4823" s="1" t="s">
        <v>4960</v>
      </c>
      <c r="Z4823" s="1" t="s">
        <v>37</v>
      </c>
    </row>
    <row r="4824" hidden="1">
      <c r="A4824" s="1" t="s">
        <v>13544</v>
      </c>
      <c r="B4824" s="1" t="s">
        <v>434</v>
      </c>
      <c r="C4824" s="1" t="s">
        <v>13530</v>
      </c>
      <c r="D4824" s="1" t="s">
        <v>27</v>
      </c>
      <c r="E4824" s="1" t="s">
        <v>28</v>
      </c>
      <c r="F4824" s="2">
        <v>100000.0</v>
      </c>
      <c r="G4824" s="4">
        <v>44897.0</v>
      </c>
      <c r="H4824" s="4">
        <f>IFERROR(__xludf.DUMMYFUNCTION("DATE(INDEX(SPLIT(G4824,""/""),,3),INDEX(SPLIT(G4824,""/""),,2),INDEX(SPLIT(G4824,""/""),,1))"),44604.0)</f>
        <v>44604</v>
      </c>
      <c r="I4824" s="1" t="s">
        <v>109</v>
      </c>
      <c r="J4824" s="4">
        <f>IFERROR(__xludf.DUMMYFUNCTION("DATE(INDEX(SPLIT(I4824,""/""),,3),INDEX(SPLIT(I4824,""/""),,2),INDEX(SPLIT(I4824,""/""),,1))"),44834.0)</f>
        <v>44834</v>
      </c>
      <c r="L4824" s="1">
        <v>0.0</v>
      </c>
      <c r="M4824" s="1" t="s">
        <v>3123</v>
      </c>
      <c r="N4824" s="1"/>
      <c r="O4824" s="1" t="s">
        <v>30</v>
      </c>
      <c r="P4824" s="1" t="s">
        <v>31</v>
      </c>
      <c r="Q4824" s="1" t="s">
        <v>157</v>
      </c>
      <c r="R4824" s="1" t="s">
        <v>157</v>
      </c>
      <c r="S4824" s="1" t="s">
        <v>158</v>
      </c>
      <c r="T4824" s="1" t="s">
        <v>442</v>
      </c>
      <c r="U4824" s="1">
        <v>1.00875111E8</v>
      </c>
      <c r="X4824" s="1" t="s">
        <v>88</v>
      </c>
      <c r="Y4824" s="1" t="s">
        <v>4960</v>
      </c>
      <c r="Z4824" s="1" t="s">
        <v>37</v>
      </c>
    </row>
    <row r="4825" hidden="1">
      <c r="A4825" s="1" t="s">
        <v>13545</v>
      </c>
      <c r="B4825" s="1" t="s">
        <v>6955</v>
      </c>
      <c r="C4825" s="1" t="s">
        <v>13530</v>
      </c>
      <c r="D4825" s="1" t="s">
        <v>27</v>
      </c>
      <c r="E4825" s="1" t="s">
        <v>28</v>
      </c>
      <c r="F4825" s="2">
        <v>100000.0</v>
      </c>
      <c r="G4825" s="4">
        <v>44897.0</v>
      </c>
      <c r="H4825" s="4">
        <f>IFERROR(__xludf.DUMMYFUNCTION("DATE(INDEX(SPLIT(G4825,""/""),,3),INDEX(SPLIT(G4825,""/""),,2),INDEX(SPLIT(G4825,""/""),,1))"),44604.0)</f>
        <v>44604</v>
      </c>
      <c r="I4825" s="1" t="s">
        <v>109</v>
      </c>
      <c r="J4825" s="4">
        <f>IFERROR(__xludf.DUMMYFUNCTION("DATE(INDEX(SPLIT(I4825,""/""),,3),INDEX(SPLIT(I4825,""/""),,2),INDEX(SPLIT(I4825,""/""),,1))"),44834.0)</f>
        <v>44834</v>
      </c>
      <c r="L4825" s="1">
        <v>0.0</v>
      </c>
      <c r="M4825" s="1" t="s">
        <v>3123</v>
      </c>
      <c r="N4825" s="1"/>
      <c r="O4825" s="1" t="s">
        <v>30</v>
      </c>
      <c r="P4825" s="1" t="s">
        <v>31</v>
      </c>
      <c r="Q4825" s="1" t="s">
        <v>157</v>
      </c>
      <c r="R4825" s="1" t="s">
        <v>157</v>
      </c>
      <c r="S4825" s="1" t="s">
        <v>158</v>
      </c>
      <c r="T4825" s="1" t="s">
        <v>442</v>
      </c>
      <c r="U4825" s="1">
        <v>1.00875111E8</v>
      </c>
      <c r="X4825" s="1" t="s">
        <v>239</v>
      </c>
      <c r="Y4825" s="1" t="s">
        <v>4960</v>
      </c>
      <c r="Z4825" s="1" t="s">
        <v>37</v>
      </c>
    </row>
    <row r="4826" hidden="1">
      <c r="A4826" s="1" t="s">
        <v>13546</v>
      </c>
      <c r="B4826" s="1" t="s">
        <v>4213</v>
      </c>
      <c r="C4826" s="1" t="s">
        <v>13530</v>
      </c>
      <c r="D4826" s="1" t="s">
        <v>27</v>
      </c>
      <c r="E4826" s="1" t="s">
        <v>28</v>
      </c>
      <c r="F4826" s="2">
        <v>100000.0</v>
      </c>
      <c r="G4826" s="4">
        <v>44897.0</v>
      </c>
      <c r="H4826" s="4">
        <f>IFERROR(__xludf.DUMMYFUNCTION("DATE(INDEX(SPLIT(G4826,""/""),,3),INDEX(SPLIT(G4826,""/""),,2),INDEX(SPLIT(G4826,""/""),,1))"),44604.0)</f>
        <v>44604</v>
      </c>
      <c r="I4826" s="1" t="s">
        <v>109</v>
      </c>
      <c r="J4826" s="4">
        <f>IFERROR(__xludf.DUMMYFUNCTION("DATE(INDEX(SPLIT(I4826,""/""),,3),INDEX(SPLIT(I4826,""/""),,2),INDEX(SPLIT(I4826,""/""),,1))"),44834.0)</f>
        <v>44834</v>
      </c>
      <c r="L4826" s="1">
        <v>0.0</v>
      </c>
      <c r="M4826" s="1" t="s">
        <v>3123</v>
      </c>
      <c r="N4826" s="1"/>
      <c r="O4826" s="1" t="s">
        <v>30</v>
      </c>
      <c r="P4826" s="1" t="s">
        <v>31</v>
      </c>
      <c r="Q4826" s="1" t="s">
        <v>157</v>
      </c>
      <c r="R4826" s="1" t="s">
        <v>157</v>
      </c>
      <c r="S4826" s="1" t="s">
        <v>158</v>
      </c>
      <c r="T4826" s="1" t="s">
        <v>442</v>
      </c>
      <c r="U4826" s="1">
        <v>1.00875111E8</v>
      </c>
      <c r="X4826" s="1" t="s">
        <v>88</v>
      </c>
      <c r="Y4826" s="1" t="s">
        <v>4960</v>
      </c>
      <c r="Z4826" s="1" t="s">
        <v>37</v>
      </c>
    </row>
    <row r="4827" hidden="1">
      <c r="A4827" s="1" t="s">
        <v>13547</v>
      </c>
      <c r="B4827" s="1" t="s">
        <v>2986</v>
      </c>
      <c r="C4827" s="1" t="s">
        <v>13530</v>
      </c>
      <c r="D4827" s="1" t="s">
        <v>27</v>
      </c>
      <c r="E4827" s="1" t="s">
        <v>28</v>
      </c>
      <c r="F4827" s="2">
        <v>100000.0</v>
      </c>
      <c r="G4827" s="4">
        <v>44897.0</v>
      </c>
      <c r="H4827" s="4">
        <f>IFERROR(__xludf.DUMMYFUNCTION("DATE(INDEX(SPLIT(G4827,""/""),,3),INDEX(SPLIT(G4827,""/""),,2),INDEX(SPLIT(G4827,""/""),,1))"),44604.0)</f>
        <v>44604</v>
      </c>
      <c r="I4827" s="1" t="s">
        <v>109</v>
      </c>
      <c r="J4827" s="4">
        <f>IFERROR(__xludf.DUMMYFUNCTION("DATE(INDEX(SPLIT(I4827,""/""),,3),INDEX(SPLIT(I4827,""/""),,2),INDEX(SPLIT(I4827,""/""),,1))"),44834.0)</f>
        <v>44834</v>
      </c>
      <c r="L4827" s="1">
        <v>0.0</v>
      </c>
      <c r="M4827" s="1" t="s">
        <v>3123</v>
      </c>
      <c r="N4827" s="1"/>
      <c r="O4827" s="1" t="s">
        <v>30</v>
      </c>
      <c r="P4827" s="1" t="s">
        <v>31</v>
      </c>
      <c r="Q4827" s="1" t="s">
        <v>157</v>
      </c>
      <c r="R4827" s="1" t="s">
        <v>157</v>
      </c>
      <c r="S4827" s="1" t="s">
        <v>158</v>
      </c>
      <c r="T4827" s="1" t="s">
        <v>442</v>
      </c>
      <c r="U4827" s="1">
        <v>1.00875111E8</v>
      </c>
      <c r="X4827" s="1" t="s">
        <v>88</v>
      </c>
      <c r="Y4827" s="1" t="s">
        <v>4960</v>
      </c>
      <c r="Z4827" s="1" t="s">
        <v>37</v>
      </c>
    </row>
    <row r="4828" hidden="1">
      <c r="A4828" s="1" t="s">
        <v>13548</v>
      </c>
      <c r="B4828" s="1" t="s">
        <v>690</v>
      </c>
      <c r="C4828" s="1" t="s">
        <v>13530</v>
      </c>
      <c r="D4828" s="1" t="s">
        <v>27</v>
      </c>
      <c r="E4828" s="1" t="s">
        <v>28</v>
      </c>
      <c r="F4828" s="2">
        <v>100000.0</v>
      </c>
      <c r="G4828" s="4">
        <v>44897.0</v>
      </c>
      <c r="H4828" s="4">
        <f>IFERROR(__xludf.DUMMYFUNCTION("DATE(INDEX(SPLIT(G4828,""/""),,3),INDEX(SPLIT(G4828,""/""),,2),INDEX(SPLIT(G4828,""/""),,1))"),44604.0)</f>
        <v>44604</v>
      </c>
      <c r="I4828" s="1" t="s">
        <v>109</v>
      </c>
      <c r="J4828" s="4">
        <f>IFERROR(__xludf.DUMMYFUNCTION("DATE(INDEX(SPLIT(I4828,""/""),,3),INDEX(SPLIT(I4828,""/""),,2),INDEX(SPLIT(I4828,""/""),,1))"),44834.0)</f>
        <v>44834</v>
      </c>
      <c r="L4828" s="1">
        <v>0.0</v>
      </c>
      <c r="M4828" s="1" t="s">
        <v>3123</v>
      </c>
      <c r="N4828" s="1"/>
      <c r="O4828" s="1" t="s">
        <v>30</v>
      </c>
      <c r="P4828" s="1" t="s">
        <v>31</v>
      </c>
      <c r="Q4828" s="1" t="s">
        <v>157</v>
      </c>
      <c r="R4828" s="1" t="s">
        <v>157</v>
      </c>
      <c r="S4828" s="1" t="s">
        <v>158</v>
      </c>
      <c r="T4828" s="1" t="s">
        <v>442</v>
      </c>
      <c r="U4828" s="1">
        <v>1.00875111E8</v>
      </c>
      <c r="X4828" s="1" t="s">
        <v>88</v>
      </c>
      <c r="Y4828" s="1" t="s">
        <v>4960</v>
      </c>
      <c r="Z4828" s="1" t="s">
        <v>37</v>
      </c>
    </row>
    <row r="4829" hidden="1">
      <c r="A4829" s="1" t="s">
        <v>13549</v>
      </c>
      <c r="B4829" s="1" t="s">
        <v>3655</v>
      </c>
      <c r="C4829" s="1" t="s">
        <v>13530</v>
      </c>
      <c r="D4829" s="1" t="s">
        <v>27</v>
      </c>
      <c r="E4829" s="1" t="s">
        <v>28</v>
      </c>
      <c r="F4829" s="2">
        <v>100000.0</v>
      </c>
      <c r="G4829" s="4">
        <v>44897.0</v>
      </c>
      <c r="H4829" s="4">
        <f>IFERROR(__xludf.DUMMYFUNCTION("DATE(INDEX(SPLIT(G4829,""/""),,3),INDEX(SPLIT(G4829,""/""),,2),INDEX(SPLIT(G4829,""/""),,1))"),44604.0)</f>
        <v>44604</v>
      </c>
      <c r="I4829" s="1" t="s">
        <v>109</v>
      </c>
      <c r="J4829" s="4">
        <f>IFERROR(__xludf.DUMMYFUNCTION("DATE(INDEX(SPLIT(I4829,""/""),,3),INDEX(SPLIT(I4829,""/""),,2),INDEX(SPLIT(I4829,""/""),,1))"),44834.0)</f>
        <v>44834</v>
      </c>
      <c r="L4829" s="1">
        <v>0.0</v>
      </c>
      <c r="M4829" s="1" t="s">
        <v>3123</v>
      </c>
      <c r="N4829" s="1"/>
      <c r="O4829" s="1" t="s">
        <v>30</v>
      </c>
      <c r="P4829" s="1" t="s">
        <v>31</v>
      </c>
      <c r="Q4829" s="1" t="s">
        <v>157</v>
      </c>
      <c r="R4829" s="1" t="s">
        <v>157</v>
      </c>
      <c r="S4829" s="1" t="s">
        <v>158</v>
      </c>
      <c r="T4829" s="1" t="s">
        <v>442</v>
      </c>
      <c r="U4829" s="1">
        <v>1.00875111E8</v>
      </c>
      <c r="X4829" s="1" t="s">
        <v>88</v>
      </c>
      <c r="Y4829" s="1" t="s">
        <v>4960</v>
      </c>
      <c r="Z4829" s="1" t="s">
        <v>37</v>
      </c>
    </row>
    <row r="4830" hidden="1">
      <c r="A4830" s="1" t="s">
        <v>13550</v>
      </c>
      <c r="B4830" s="1" t="s">
        <v>954</v>
      </c>
      <c r="C4830" s="1" t="s">
        <v>13551</v>
      </c>
      <c r="D4830" s="1" t="s">
        <v>27</v>
      </c>
      <c r="E4830" s="1" t="s">
        <v>28</v>
      </c>
      <c r="F4830" s="2">
        <v>100000.0</v>
      </c>
      <c r="G4830" s="1" t="s">
        <v>862</v>
      </c>
      <c r="H4830" s="4">
        <f>IFERROR(__xludf.DUMMYFUNCTION("DATE(INDEX(SPLIT(G4830,""/""),,3),INDEX(SPLIT(G4830,""/""),,2),INDEX(SPLIT(G4830,""/""),,1))"),44699.0)</f>
        <v>44699</v>
      </c>
      <c r="I4830" s="1" t="s">
        <v>3202</v>
      </c>
      <c r="J4830" s="4">
        <f>IFERROR(__xludf.DUMMYFUNCTION("DATE(INDEX(SPLIT(I4830,""/""),,3),INDEX(SPLIT(I4830,""/""),,2),INDEX(SPLIT(I4830,""/""),,1))"),44830.0)</f>
        <v>44830</v>
      </c>
      <c r="L4830" s="1">
        <v>0.0</v>
      </c>
      <c r="M4830" s="1" t="s">
        <v>1822</v>
      </c>
      <c r="N4830" s="1"/>
      <c r="O4830" s="1" t="s">
        <v>30</v>
      </c>
      <c r="P4830" s="1" t="s">
        <v>31</v>
      </c>
      <c r="Q4830" s="1" t="s">
        <v>71</v>
      </c>
      <c r="R4830" s="1" t="s">
        <v>71</v>
      </c>
      <c r="S4830" s="1" t="s">
        <v>72</v>
      </c>
      <c r="U4830" s="1">
        <v>1.006563E8</v>
      </c>
      <c r="X4830" s="1" t="s">
        <v>74</v>
      </c>
      <c r="Y4830" s="1" t="s">
        <v>957</v>
      </c>
      <c r="Z4830" s="1" t="s">
        <v>527</v>
      </c>
    </row>
    <row r="4831" hidden="1">
      <c r="A4831" s="1" t="s">
        <v>13552</v>
      </c>
      <c r="B4831" s="1" t="s">
        <v>13553</v>
      </c>
      <c r="C4831" s="1" t="s">
        <v>13530</v>
      </c>
      <c r="D4831" s="1" t="s">
        <v>27</v>
      </c>
      <c r="E4831" s="1" t="s">
        <v>28</v>
      </c>
      <c r="F4831" s="2">
        <v>100000.0</v>
      </c>
      <c r="G4831" s="4">
        <v>44897.0</v>
      </c>
      <c r="H4831" s="4">
        <f>IFERROR(__xludf.DUMMYFUNCTION("DATE(INDEX(SPLIT(G4831,""/""),,3),INDEX(SPLIT(G4831,""/""),,2),INDEX(SPLIT(G4831,""/""),,1))"),44604.0)</f>
        <v>44604</v>
      </c>
      <c r="I4831" s="1" t="s">
        <v>109</v>
      </c>
      <c r="J4831" s="4">
        <f>IFERROR(__xludf.DUMMYFUNCTION("DATE(INDEX(SPLIT(I4831,""/""),,3),INDEX(SPLIT(I4831,""/""),,2),INDEX(SPLIT(I4831,""/""),,1))"),44834.0)</f>
        <v>44834</v>
      </c>
      <c r="L4831" s="1">
        <v>0.0</v>
      </c>
      <c r="M4831" s="1" t="s">
        <v>3123</v>
      </c>
      <c r="N4831" s="1"/>
      <c r="O4831" s="1" t="s">
        <v>30</v>
      </c>
      <c r="P4831" s="1" t="s">
        <v>31</v>
      </c>
      <c r="Q4831" s="1" t="s">
        <v>157</v>
      </c>
      <c r="R4831" s="1" t="s">
        <v>157</v>
      </c>
      <c r="S4831" s="1" t="s">
        <v>158</v>
      </c>
      <c r="T4831" s="1" t="s">
        <v>442</v>
      </c>
      <c r="U4831" s="1">
        <v>1.00875111E8</v>
      </c>
      <c r="X4831" s="1" t="s">
        <v>239</v>
      </c>
      <c r="Y4831" s="1" t="s">
        <v>4960</v>
      </c>
      <c r="Z4831" s="1" t="s">
        <v>37</v>
      </c>
    </row>
    <row r="4832" hidden="1">
      <c r="A4832" s="1" t="s">
        <v>13554</v>
      </c>
      <c r="B4832" s="1" t="s">
        <v>11023</v>
      </c>
      <c r="C4832" s="1" t="s">
        <v>13530</v>
      </c>
      <c r="D4832" s="1" t="s">
        <v>27</v>
      </c>
      <c r="E4832" s="1" t="s">
        <v>28</v>
      </c>
      <c r="F4832" s="2">
        <v>100000.0</v>
      </c>
      <c r="G4832" s="4">
        <v>44897.0</v>
      </c>
      <c r="H4832" s="4">
        <f>IFERROR(__xludf.DUMMYFUNCTION("DATE(INDEX(SPLIT(G4832,""/""),,3),INDEX(SPLIT(G4832,""/""),,2),INDEX(SPLIT(G4832,""/""),,1))"),44604.0)</f>
        <v>44604</v>
      </c>
      <c r="I4832" s="1" t="s">
        <v>109</v>
      </c>
      <c r="J4832" s="4">
        <f>IFERROR(__xludf.DUMMYFUNCTION("DATE(INDEX(SPLIT(I4832,""/""),,3),INDEX(SPLIT(I4832,""/""),,2),INDEX(SPLIT(I4832,""/""),,1))"),44834.0)</f>
        <v>44834</v>
      </c>
      <c r="L4832" s="1">
        <v>0.0</v>
      </c>
      <c r="M4832" s="1" t="s">
        <v>3123</v>
      </c>
      <c r="N4832" s="1"/>
      <c r="O4832" s="1" t="s">
        <v>30</v>
      </c>
      <c r="P4832" s="1" t="s">
        <v>31</v>
      </c>
      <c r="Q4832" s="1" t="s">
        <v>157</v>
      </c>
      <c r="R4832" s="1" t="s">
        <v>157</v>
      </c>
      <c r="S4832" s="1" t="s">
        <v>158</v>
      </c>
      <c r="T4832" s="1" t="s">
        <v>442</v>
      </c>
      <c r="U4832" s="1">
        <v>1.00875111E8</v>
      </c>
      <c r="X4832" s="1" t="s">
        <v>239</v>
      </c>
      <c r="Y4832" s="1" t="s">
        <v>4960</v>
      </c>
      <c r="Z4832" s="1" t="s">
        <v>37</v>
      </c>
    </row>
    <row r="4833" hidden="1">
      <c r="A4833" s="1" t="s">
        <v>13555</v>
      </c>
      <c r="B4833" s="1" t="s">
        <v>377</v>
      </c>
      <c r="C4833" s="1" t="s">
        <v>13530</v>
      </c>
      <c r="D4833" s="1" t="s">
        <v>27</v>
      </c>
      <c r="E4833" s="1" t="s">
        <v>28</v>
      </c>
      <c r="F4833" s="2">
        <v>100000.0</v>
      </c>
      <c r="G4833" s="4">
        <v>44897.0</v>
      </c>
      <c r="H4833" s="4">
        <f>IFERROR(__xludf.DUMMYFUNCTION("DATE(INDEX(SPLIT(G4833,""/""),,3),INDEX(SPLIT(G4833,""/""),,2),INDEX(SPLIT(G4833,""/""),,1))"),44604.0)</f>
        <v>44604</v>
      </c>
      <c r="I4833" s="1" t="s">
        <v>109</v>
      </c>
      <c r="J4833" s="4">
        <f>IFERROR(__xludf.DUMMYFUNCTION("DATE(INDEX(SPLIT(I4833,""/""),,3),INDEX(SPLIT(I4833,""/""),,2),INDEX(SPLIT(I4833,""/""),,1))"),44834.0)</f>
        <v>44834</v>
      </c>
      <c r="L4833" s="1">
        <v>0.0</v>
      </c>
      <c r="M4833" s="1" t="s">
        <v>3123</v>
      </c>
      <c r="N4833" s="1"/>
      <c r="O4833" s="1" t="s">
        <v>30</v>
      </c>
      <c r="P4833" s="1" t="s">
        <v>31</v>
      </c>
      <c r="Q4833" s="1" t="s">
        <v>157</v>
      </c>
      <c r="R4833" s="1" t="s">
        <v>157</v>
      </c>
      <c r="S4833" s="1" t="s">
        <v>158</v>
      </c>
      <c r="T4833" s="1" t="s">
        <v>442</v>
      </c>
      <c r="U4833" s="1">
        <v>1.00875111E8</v>
      </c>
      <c r="X4833" s="1" t="s">
        <v>239</v>
      </c>
      <c r="Y4833" s="1" t="s">
        <v>4960</v>
      </c>
      <c r="Z4833" s="1" t="s">
        <v>37</v>
      </c>
    </row>
    <row r="4834" hidden="1">
      <c r="A4834" s="1" t="s">
        <v>13556</v>
      </c>
      <c r="B4834" s="1" t="s">
        <v>13557</v>
      </c>
      <c r="C4834" s="1" t="s">
        <v>13558</v>
      </c>
      <c r="D4834" s="1" t="s">
        <v>27</v>
      </c>
      <c r="E4834" s="1" t="s">
        <v>28</v>
      </c>
      <c r="F4834" s="2">
        <v>100000.0</v>
      </c>
      <c r="G4834" s="1" t="s">
        <v>13559</v>
      </c>
      <c r="H4834" s="4">
        <f>IFERROR(__xludf.DUMMYFUNCTION("DATE(INDEX(SPLIT(G4834,""/""),,3),INDEX(SPLIT(G4834,""/""),,2),INDEX(SPLIT(G4834,""/""),,1))"),43734.0)</f>
        <v>43734</v>
      </c>
      <c r="I4834" s="4">
        <v>44601.0</v>
      </c>
      <c r="J4834" s="4">
        <f>IFERROR(__xludf.DUMMYFUNCTION("DATE(INDEX(SPLIT(I4834,""/""),,3),INDEX(SPLIT(I4834,""/""),,2),INDEX(SPLIT(I4834,""/""),,1))"),44806.0)</f>
        <v>44806</v>
      </c>
      <c r="L4834" s="1">
        <v>0.0</v>
      </c>
      <c r="M4834" s="1" t="s">
        <v>4111</v>
      </c>
      <c r="N4834" s="1"/>
      <c r="O4834" s="1" t="s">
        <v>30</v>
      </c>
      <c r="P4834" s="1" t="s">
        <v>31</v>
      </c>
      <c r="Q4834" s="1" t="s">
        <v>32</v>
      </c>
      <c r="R4834" s="1" t="s">
        <v>32</v>
      </c>
      <c r="S4834" s="1" t="s">
        <v>33</v>
      </c>
      <c r="T4834" s="1" t="s">
        <v>402</v>
      </c>
      <c r="U4834" s="1">
        <v>1.00586786E8</v>
      </c>
      <c r="X4834" s="1" t="s">
        <v>781</v>
      </c>
      <c r="Y4834" s="1" t="s">
        <v>401</v>
      </c>
      <c r="Z4834" s="1" t="s">
        <v>37</v>
      </c>
    </row>
    <row r="4835" hidden="1">
      <c r="A4835" s="1" t="s">
        <v>13560</v>
      </c>
      <c r="B4835" s="1" t="s">
        <v>13561</v>
      </c>
      <c r="C4835" s="1" t="s">
        <v>13530</v>
      </c>
      <c r="D4835" s="1" t="s">
        <v>27</v>
      </c>
      <c r="E4835" s="1" t="s">
        <v>28</v>
      </c>
      <c r="F4835" s="2">
        <v>100000.0</v>
      </c>
      <c r="G4835" s="4">
        <v>44897.0</v>
      </c>
      <c r="H4835" s="4">
        <f>IFERROR(__xludf.DUMMYFUNCTION("DATE(INDEX(SPLIT(G4835,""/""),,3),INDEX(SPLIT(G4835,""/""),,2),INDEX(SPLIT(G4835,""/""),,1))"),44604.0)</f>
        <v>44604</v>
      </c>
      <c r="I4835" s="4">
        <v>44690.0</v>
      </c>
      <c r="J4835" s="4">
        <f>IFERROR(__xludf.DUMMYFUNCTION("DATE(INDEX(SPLIT(I4835,""/""),,3),INDEX(SPLIT(I4835,""/""),,2),INDEX(SPLIT(I4835,""/""),,1))"),44809.0)</f>
        <v>44809</v>
      </c>
      <c r="L4835" s="1">
        <v>0.0</v>
      </c>
      <c r="M4835" s="1" t="s">
        <v>3123</v>
      </c>
      <c r="N4835" s="1"/>
      <c r="O4835" s="1" t="s">
        <v>30</v>
      </c>
      <c r="P4835" s="1" t="s">
        <v>31</v>
      </c>
      <c r="Q4835" s="1" t="s">
        <v>157</v>
      </c>
      <c r="R4835" s="1" t="s">
        <v>157</v>
      </c>
      <c r="S4835" s="1" t="s">
        <v>158</v>
      </c>
      <c r="T4835" s="1" t="s">
        <v>442</v>
      </c>
      <c r="U4835" s="1">
        <v>1.00875111E8</v>
      </c>
      <c r="X4835" s="1" t="s">
        <v>239</v>
      </c>
      <c r="Y4835" s="1" t="s">
        <v>4960</v>
      </c>
      <c r="Z4835" s="1" t="s">
        <v>37</v>
      </c>
    </row>
    <row r="4836" hidden="1">
      <c r="A4836" s="1" t="s">
        <v>13562</v>
      </c>
      <c r="B4836" s="1" t="s">
        <v>954</v>
      </c>
      <c r="C4836" s="1" t="s">
        <v>13563</v>
      </c>
      <c r="D4836" s="1" t="s">
        <v>27</v>
      </c>
      <c r="E4836" s="1" t="s">
        <v>28</v>
      </c>
      <c r="F4836" s="2">
        <v>100000.0</v>
      </c>
      <c r="G4836" s="1" t="s">
        <v>862</v>
      </c>
      <c r="H4836" s="4">
        <f>IFERROR(__xludf.DUMMYFUNCTION("DATE(INDEX(SPLIT(G4836,""/""),,3),INDEX(SPLIT(G4836,""/""),,2),INDEX(SPLIT(G4836,""/""),,1))"),44699.0)</f>
        <v>44699</v>
      </c>
      <c r="I4836" s="1" t="s">
        <v>3202</v>
      </c>
      <c r="J4836" s="4">
        <f>IFERROR(__xludf.DUMMYFUNCTION("DATE(INDEX(SPLIT(I4836,""/""),,3),INDEX(SPLIT(I4836,""/""),,2),INDEX(SPLIT(I4836,""/""),,1))"),44830.0)</f>
        <v>44830</v>
      </c>
      <c r="L4836" s="1">
        <v>0.0</v>
      </c>
      <c r="M4836" s="1" t="s">
        <v>1009</v>
      </c>
      <c r="N4836" s="1"/>
      <c r="O4836" s="1" t="s">
        <v>30</v>
      </c>
      <c r="P4836" s="1" t="s">
        <v>31</v>
      </c>
      <c r="Q4836" s="1" t="s">
        <v>95</v>
      </c>
      <c r="R4836" s="1" t="s">
        <v>95</v>
      </c>
      <c r="S4836" s="1" t="s">
        <v>96</v>
      </c>
      <c r="T4836" s="1" t="s">
        <v>73</v>
      </c>
      <c r="U4836" s="1">
        <v>1.00592304E8</v>
      </c>
      <c r="X4836" s="1" t="s">
        <v>74</v>
      </c>
      <c r="Y4836" s="1" t="s">
        <v>957</v>
      </c>
      <c r="Z4836" s="1" t="s">
        <v>37</v>
      </c>
    </row>
    <row r="4837" hidden="1">
      <c r="A4837" s="1" t="s">
        <v>13564</v>
      </c>
      <c r="B4837" s="1" t="s">
        <v>954</v>
      </c>
      <c r="C4837" s="1" t="s">
        <v>13565</v>
      </c>
      <c r="D4837" s="1" t="s">
        <v>27</v>
      </c>
      <c r="E4837" s="1" t="s">
        <v>28</v>
      </c>
      <c r="F4837" s="2">
        <v>100000.0</v>
      </c>
      <c r="G4837" s="1" t="s">
        <v>862</v>
      </c>
      <c r="H4837" s="4">
        <f>IFERROR(__xludf.DUMMYFUNCTION("DATE(INDEX(SPLIT(G4837,""/""),,3),INDEX(SPLIT(G4837,""/""),,2),INDEX(SPLIT(G4837,""/""),,1))"),44699.0)</f>
        <v>44699</v>
      </c>
      <c r="I4837" s="1" t="s">
        <v>3202</v>
      </c>
      <c r="J4837" s="4">
        <f>IFERROR(__xludf.DUMMYFUNCTION("DATE(INDEX(SPLIT(I4837,""/""),,3),INDEX(SPLIT(I4837,""/""),,2),INDEX(SPLIT(I4837,""/""),,1))"),44830.0)</f>
        <v>44830</v>
      </c>
      <c r="L4837" s="1">
        <v>0.0</v>
      </c>
      <c r="M4837" s="1" t="s">
        <v>1009</v>
      </c>
      <c r="N4837" s="1"/>
      <c r="O4837" s="1" t="s">
        <v>30</v>
      </c>
      <c r="P4837" s="1" t="s">
        <v>31</v>
      </c>
      <c r="Q4837" s="1" t="s">
        <v>95</v>
      </c>
      <c r="R4837" s="1" t="s">
        <v>95</v>
      </c>
      <c r="S4837" s="1" t="s">
        <v>96</v>
      </c>
      <c r="T4837" s="1" t="s">
        <v>489</v>
      </c>
      <c r="U4837" s="1">
        <v>1.00592304E8</v>
      </c>
      <c r="X4837" s="1" t="s">
        <v>74</v>
      </c>
      <c r="Y4837" s="1" t="s">
        <v>957</v>
      </c>
      <c r="Z4837" s="1" t="s">
        <v>37</v>
      </c>
    </row>
    <row r="4838" hidden="1">
      <c r="A4838" s="1" t="s">
        <v>13566</v>
      </c>
      <c r="B4838" s="1" t="s">
        <v>954</v>
      </c>
      <c r="C4838" s="1" t="s">
        <v>13567</v>
      </c>
      <c r="D4838" s="1" t="s">
        <v>27</v>
      </c>
      <c r="E4838" s="1" t="s">
        <v>28</v>
      </c>
      <c r="F4838" s="2">
        <v>100000.0</v>
      </c>
      <c r="G4838" s="1" t="s">
        <v>862</v>
      </c>
      <c r="H4838" s="4">
        <f>IFERROR(__xludf.DUMMYFUNCTION("DATE(INDEX(SPLIT(G4838,""/""),,3),INDEX(SPLIT(G4838,""/""),,2),INDEX(SPLIT(G4838,""/""),,1))"),44699.0)</f>
        <v>44699</v>
      </c>
      <c r="I4838" s="1" t="s">
        <v>3202</v>
      </c>
      <c r="J4838" s="4">
        <f>IFERROR(__xludf.DUMMYFUNCTION("DATE(INDEX(SPLIT(I4838,""/""),,3),INDEX(SPLIT(I4838,""/""),,2),INDEX(SPLIT(I4838,""/""),,1))"),44830.0)</f>
        <v>44830</v>
      </c>
      <c r="L4838" s="1">
        <v>0.0</v>
      </c>
      <c r="M4838" s="1" t="s">
        <v>1009</v>
      </c>
      <c r="N4838" s="1"/>
      <c r="O4838" s="1" t="s">
        <v>30</v>
      </c>
      <c r="P4838" s="1" t="s">
        <v>31</v>
      </c>
      <c r="Q4838" s="1" t="s">
        <v>95</v>
      </c>
      <c r="R4838" s="1" t="s">
        <v>95</v>
      </c>
      <c r="S4838" s="1" t="s">
        <v>96</v>
      </c>
      <c r="T4838" s="1" t="s">
        <v>489</v>
      </c>
      <c r="U4838" s="1">
        <v>1.00592304E8</v>
      </c>
      <c r="X4838" s="1" t="s">
        <v>74</v>
      </c>
      <c r="Y4838" s="1" t="s">
        <v>957</v>
      </c>
      <c r="Z4838" s="1" t="s">
        <v>37</v>
      </c>
    </row>
    <row r="4839" hidden="1">
      <c r="A4839" s="1" t="s">
        <v>13568</v>
      </c>
      <c r="B4839" s="1" t="s">
        <v>954</v>
      </c>
      <c r="C4839" s="1" t="s">
        <v>13569</v>
      </c>
      <c r="D4839" s="1" t="s">
        <v>27</v>
      </c>
      <c r="E4839" s="1" t="s">
        <v>28</v>
      </c>
      <c r="F4839" s="2">
        <v>100000.0</v>
      </c>
      <c r="G4839" s="1" t="s">
        <v>862</v>
      </c>
      <c r="H4839" s="4">
        <f>IFERROR(__xludf.DUMMYFUNCTION("DATE(INDEX(SPLIT(G4839,""/""),,3),INDEX(SPLIT(G4839,""/""),,2),INDEX(SPLIT(G4839,""/""),,1))"),44699.0)</f>
        <v>44699</v>
      </c>
      <c r="I4839" s="1" t="s">
        <v>3202</v>
      </c>
      <c r="J4839" s="4">
        <f>IFERROR(__xludf.DUMMYFUNCTION("DATE(INDEX(SPLIT(I4839,""/""),,3),INDEX(SPLIT(I4839,""/""),,2),INDEX(SPLIT(I4839,""/""),,1))"),44830.0)</f>
        <v>44830</v>
      </c>
      <c r="L4839" s="1">
        <v>0.0</v>
      </c>
      <c r="M4839" s="1" t="s">
        <v>1009</v>
      </c>
      <c r="N4839" s="1"/>
      <c r="O4839" s="1" t="s">
        <v>30</v>
      </c>
      <c r="P4839" s="1" t="s">
        <v>31</v>
      </c>
      <c r="Q4839" s="1" t="s">
        <v>95</v>
      </c>
      <c r="R4839" s="1" t="s">
        <v>95</v>
      </c>
      <c r="S4839" s="1" t="s">
        <v>96</v>
      </c>
      <c r="T4839" s="1" t="s">
        <v>73</v>
      </c>
      <c r="U4839" s="1">
        <v>1.00592304E8</v>
      </c>
      <c r="X4839" s="1" t="s">
        <v>74</v>
      </c>
      <c r="Y4839" s="1" t="s">
        <v>957</v>
      </c>
      <c r="Z4839" s="1" t="s">
        <v>37</v>
      </c>
    </row>
    <row r="4840" hidden="1">
      <c r="A4840" s="1" t="s">
        <v>13570</v>
      </c>
      <c r="B4840" s="1" t="s">
        <v>13571</v>
      </c>
      <c r="C4840" s="1" t="s">
        <v>13572</v>
      </c>
      <c r="D4840" s="1" t="s">
        <v>78</v>
      </c>
      <c r="E4840" s="1" t="s">
        <v>28</v>
      </c>
      <c r="F4840" s="2">
        <v>100000.0</v>
      </c>
      <c r="G4840" s="1" t="s">
        <v>2791</v>
      </c>
      <c r="H4840" s="4">
        <f>IFERROR(__xludf.DUMMYFUNCTION("DATE(INDEX(SPLIT(G4840,""/""),,3),INDEX(SPLIT(G4840,""/""),,2),INDEX(SPLIT(G4840,""/""),,1))"),44494.0)</f>
        <v>44494</v>
      </c>
      <c r="I4840" s="1" t="s">
        <v>317</v>
      </c>
      <c r="J4840" s="4">
        <f>IFERROR(__xludf.DUMMYFUNCTION("DATE(INDEX(SPLIT(I4840,""/""),,3),INDEX(SPLIT(I4840,""/""),,2),INDEX(SPLIT(I4840,""/""),,1))"),44862.0)</f>
        <v>44862</v>
      </c>
      <c r="L4840" s="1">
        <v>0.0</v>
      </c>
      <c r="M4840" s="1" t="s">
        <v>8088</v>
      </c>
      <c r="N4840" s="1"/>
      <c r="O4840" s="1" t="s">
        <v>30</v>
      </c>
      <c r="P4840" s="1" t="s">
        <v>31</v>
      </c>
      <c r="Q4840" s="1" t="s">
        <v>228</v>
      </c>
      <c r="R4840" s="1" t="s">
        <v>228</v>
      </c>
      <c r="S4840" s="1" t="s">
        <v>229</v>
      </c>
      <c r="T4840" s="1" t="s">
        <v>640</v>
      </c>
      <c r="U4840" s="1">
        <v>1.00882877E8</v>
      </c>
      <c r="X4840" s="1" t="s">
        <v>98</v>
      </c>
      <c r="Y4840" s="1" t="s">
        <v>8088</v>
      </c>
      <c r="Z4840" s="1" t="s">
        <v>206</v>
      </c>
    </row>
    <row r="4841" hidden="1">
      <c r="A4841" s="1" t="s">
        <v>13573</v>
      </c>
      <c r="B4841" s="1" t="s">
        <v>13574</v>
      </c>
      <c r="C4841" s="1" t="s">
        <v>13575</v>
      </c>
      <c r="D4841" s="1" t="s">
        <v>27</v>
      </c>
      <c r="E4841" s="1" t="s">
        <v>28</v>
      </c>
      <c r="F4841" s="2">
        <v>100000.0</v>
      </c>
      <c r="G4841" s="1" t="s">
        <v>3883</v>
      </c>
      <c r="H4841" s="4">
        <f>IFERROR(__xludf.DUMMYFUNCTION("DATE(INDEX(SPLIT(G4841,""/""),,3),INDEX(SPLIT(G4841,""/""),,2),INDEX(SPLIT(G4841,""/""),,1))"),44666.0)</f>
        <v>44666</v>
      </c>
      <c r="I4841" s="1" t="s">
        <v>1799</v>
      </c>
      <c r="J4841" s="4">
        <f>IFERROR(__xludf.DUMMYFUNCTION("DATE(INDEX(SPLIT(I4841,""/""),,3),INDEX(SPLIT(I4841,""/""),,2),INDEX(SPLIT(I4841,""/""),,1))"),44788.0)</f>
        <v>44788</v>
      </c>
      <c r="L4841" s="1">
        <v>0.0</v>
      </c>
      <c r="M4841" s="1" t="s">
        <v>4574</v>
      </c>
      <c r="N4841" s="1"/>
      <c r="O4841" s="1" t="s">
        <v>30</v>
      </c>
      <c r="P4841" s="1" t="s">
        <v>31</v>
      </c>
      <c r="Q4841" s="1" t="s">
        <v>235</v>
      </c>
      <c r="R4841" s="1" t="s">
        <v>235</v>
      </c>
      <c r="S4841" s="1" t="s">
        <v>236</v>
      </c>
      <c r="U4841" s="1">
        <v>1.00625459E8</v>
      </c>
      <c r="X4841" s="1" t="s">
        <v>88</v>
      </c>
      <c r="Y4841" s="1" t="s">
        <v>13576</v>
      </c>
      <c r="Z4841" s="1" t="s">
        <v>37</v>
      </c>
    </row>
    <row r="4842">
      <c r="A4842" s="1" t="s">
        <v>13577</v>
      </c>
      <c r="B4842" s="1" t="s">
        <v>1854</v>
      </c>
      <c r="C4842" s="1" t="s">
        <v>13578</v>
      </c>
      <c r="D4842" s="1" t="s">
        <v>78</v>
      </c>
      <c r="E4842" s="1" t="s">
        <v>28</v>
      </c>
      <c r="F4842" s="2">
        <v>100000.0</v>
      </c>
      <c r="G4842" s="1" t="s">
        <v>1438</v>
      </c>
      <c r="H4842" s="4">
        <f>IFERROR(__xludf.DUMMYFUNCTION("DATE(INDEX(SPLIT(G4842,""/""),,3),INDEX(SPLIT(G4842,""/""),,2),INDEX(SPLIT(G4842,""/""),,1))"),44708.0)</f>
        <v>44708</v>
      </c>
      <c r="I4842" s="1" t="s">
        <v>1244</v>
      </c>
      <c r="J4842" s="4">
        <f>IFERROR(__xludf.DUMMYFUNCTION("DATE(INDEX(SPLIT(I4842,""/""),,3),INDEX(SPLIT(I4842,""/""),,2),INDEX(SPLIT(I4842,""/""),,1))"),44742.0)</f>
        <v>44742</v>
      </c>
      <c r="L4842" s="1">
        <v>0.0</v>
      </c>
      <c r="M4842" s="1" t="s">
        <v>2448</v>
      </c>
      <c r="N4842" s="1"/>
      <c r="O4842" s="1" t="s">
        <v>30</v>
      </c>
      <c r="P4842" s="1" t="s">
        <v>31</v>
      </c>
      <c r="Q4842" s="1" t="s">
        <v>53</v>
      </c>
      <c r="R4842" s="1" t="s">
        <v>53</v>
      </c>
      <c r="S4842" s="1" t="s">
        <v>54</v>
      </c>
      <c r="U4842" s="1">
        <v>1.00584032E8</v>
      </c>
      <c r="X4842" s="1" t="s">
        <v>63</v>
      </c>
      <c r="Y4842" s="1" t="s">
        <v>1857</v>
      </c>
      <c r="Z4842" s="1" t="s">
        <v>37</v>
      </c>
    </row>
    <row r="4843">
      <c r="A4843" s="1" t="s">
        <v>13579</v>
      </c>
      <c r="B4843" s="1" t="s">
        <v>13580</v>
      </c>
      <c r="C4843" s="1" t="s">
        <v>13581</v>
      </c>
      <c r="D4843" s="1" t="s">
        <v>78</v>
      </c>
      <c r="E4843" s="1" t="s">
        <v>28</v>
      </c>
      <c r="F4843" s="2">
        <v>100000.0</v>
      </c>
      <c r="G4843" s="1" t="s">
        <v>4943</v>
      </c>
      <c r="H4843" s="4">
        <f>IFERROR(__xludf.DUMMYFUNCTION("DATE(INDEX(SPLIT(G4843,""/""),,3),INDEX(SPLIT(G4843,""/""),,2),INDEX(SPLIT(G4843,""/""),,1))"),44212.0)</f>
        <v>44212</v>
      </c>
      <c r="I4843" s="1" t="s">
        <v>69</v>
      </c>
      <c r="J4843" s="4">
        <f>IFERROR(__xludf.DUMMYFUNCTION("DATE(INDEX(SPLIT(I4843,""/""),,3),INDEX(SPLIT(I4843,""/""),,2),INDEX(SPLIT(I4843,""/""),,1))"),44773.0)</f>
        <v>44773</v>
      </c>
      <c r="L4843" s="1">
        <v>0.0</v>
      </c>
      <c r="M4843" s="1" t="s">
        <v>11638</v>
      </c>
      <c r="N4843" s="1"/>
      <c r="O4843" s="1" t="s">
        <v>30</v>
      </c>
      <c r="P4843" s="1" t="s">
        <v>31</v>
      </c>
      <c r="Q4843" s="1" t="s">
        <v>228</v>
      </c>
      <c r="R4843" s="1" t="s">
        <v>228</v>
      </c>
      <c r="S4843" s="1" t="s">
        <v>229</v>
      </c>
      <c r="T4843" s="1" t="s">
        <v>513</v>
      </c>
      <c r="U4843" s="1">
        <v>1.00592873E8</v>
      </c>
      <c r="X4843" s="1" t="s">
        <v>289</v>
      </c>
      <c r="Y4843" s="1" t="s">
        <v>11638</v>
      </c>
      <c r="Z4843" s="1" t="s">
        <v>206</v>
      </c>
    </row>
    <row r="4844" hidden="1">
      <c r="A4844" s="1" t="s">
        <v>13582</v>
      </c>
      <c r="B4844" s="1" t="s">
        <v>4511</v>
      </c>
      <c r="C4844" s="1" t="s">
        <v>13583</v>
      </c>
      <c r="D4844" s="1" t="s">
        <v>78</v>
      </c>
      <c r="E4844" s="1" t="s">
        <v>28</v>
      </c>
      <c r="F4844" s="2">
        <v>100000.0</v>
      </c>
      <c r="G4844" s="1" t="s">
        <v>1521</v>
      </c>
      <c r="H4844" s="4">
        <f>IFERROR(__xludf.DUMMYFUNCTION("DATE(INDEX(SPLIT(G4844,""/""),,3),INDEX(SPLIT(G4844,""/""),,2),INDEX(SPLIT(G4844,""/""),,1))"),44756.0)</f>
        <v>44756</v>
      </c>
      <c r="I4844" s="1" t="s">
        <v>10026</v>
      </c>
      <c r="J4844" s="4">
        <f>IFERROR(__xludf.DUMMYFUNCTION("DATE(INDEX(SPLIT(I4844,""/""),,3),INDEX(SPLIT(I4844,""/""),,2),INDEX(SPLIT(I4844,""/""),,1))"),44790.0)</f>
        <v>44790</v>
      </c>
      <c r="L4844" s="1">
        <v>0.0</v>
      </c>
      <c r="M4844" s="1" t="s">
        <v>1552</v>
      </c>
      <c r="N4844" s="1"/>
      <c r="O4844" s="1" t="s">
        <v>30</v>
      </c>
      <c r="P4844" s="1" t="s">
        <v>31</v>
      </c>
      <c r="Q4844" s="1" t="s">
        <v>32</v>
      </c>
      <c r="R4844" s="1" t="s">
        <v>32</v>
      </c>
      <c r="S4844" s="1" t="s">
        <v>33</v>
      </c>
      <c r="T4844" s="1" t="s">
        <v>1195</v>
      </c>
      <c r="U4844" s="1">
        <v>1.00637597E8</v>
      </c>
      <c r="V4844" s="1" t="s">
        <v>13584</v>
      </c>
      <c r="W4844" s="1" t="s">
        <v>717</v>
      </c>
      <c r="X4844" s="1" t="s">
        <v>490</v>
      </c>
      <c r="Y4844" s="1" t="s">
        <v>1552</v>
      </c>
      <c r="Z4844" s="1" t="s">
        <v>37</v>
      </c>
    </row>
    <row r="4845" hidden="1">
      <c r="A4845" s="1" t="s">
        <v>13585</v>
      </c>
      <c r="B4845" s="1" t="s">
        <v>1070</v>
      </c>
      <c r="C4845" s="1" t="s">
        <v>13586</v>
      </c>
      <c r="D4845" s="1" t="s">
        <v>27</v>
      </c>
      <c r="E4845" s="1" t="s">
        <v>28</v>
      </c>
      <c r="F4845" s="2">
        <v>100000.0</v>
      </c>
      <c r="G4845" s="1" t="s">
        <v>10049</v>
      </c>
      <c r="H4845" s="4">
        <f>IFERROR(__xludf.DUMMYFUNCTION("DATE(INDEX(SPLIT(G4845,""/""),,3),INDEX(SPLIT(G4845,""/""),,2),INDEX(SPLIT(G4845,""/""),,1))"),44245.0)</f>
        <v>44245</v>
      </c>
      <c r="I4845" s="4">
        <v>44569.0</v>
      </c>
      <c r="J4845" s="4">
        <f>IFERROR(__xludf.DUMMYFUNCTION("DATE(INDEX(SPLIT(I4845,""/""),,3),INDEX(SPLIT(I4845,""/""),,2),INDEX(SPLIT(I4845,""/""),,1))"),44774.0)</f>
        <v>44774</v>
      </c>
      <c r="L4845" s="1">
        <v>0.0</v>
      </c>
      <c r="M4845" s="1" t="s">
        <v>5205</v>
      </c>
      <c r="N4845" s="1"/>
      <c r="O4845" s="1" t="s">
        <v>30</v>
      </c>
      <c r="P4845" s="1" t="s">
        <v>31</v>
      </c>
      <c r="Q4845" s="1" t="s">
        <v>32</v>
      </c>
      <c r="R4845" s="1" t="s">
        <v>32</v>
      </c>
      <c r="S4845" s="1" t="s">
        <v>33</v>
      </c>
      <c r="T4845" s="1" t="s">
        <v>197</v>
      </c>
      <c r="U4845" s="1">
        <v>1.00587881E8</v>
      </c>
      <c r="X4845" s="1" t="s">
        <v>305</v>
      </c>
      <c r="Y4845" s="1" t="s">
        <v>5205</v>
      </c>
      <c r="Z4845" s="1" t="s">
        <v>37</v>
      </c>
    </row>
    <row r="4846" hidden="1">
      <c r="A4846" s="1" t="s">
        <v>13587</v>
      </c>
      <c r="B4846" s="1" t="s">
        <v>1144</v>
      </c>
      <c r="C4846" s="1" t="s">
        <v>13588</v>
      </c>
      <c r="D4846" s="1" t="s">
        <v>27</v>
      </c>
      <c r="E4846" s="1" t="s">
        <v>28</v>
      </c>
      <c r="F4846" s="2">
        <v>100000.0</v>
      </c>
      <c r="G4846" s="1" t="s">
        <v>2309</v>
      </c>
      <c r="H4846" s="4">
        <f>IFERROR(__xludf.DUMMYFUNCTION("DATE(INDEX(SPLIT(G4846,""/""),,3),INDEX(SPLIT(G4846,""/""),,2),INDEX(SPLIT(G4846,""/""),,1))"),44672.0)</f>
        <v>44672</v>
      </c>
      <c r="I4846" s="1" t="s">
        <v>130</v>
      </c>
      <c r="J4846" s="4">
        <f>IFERROR(__xludf.DUMMYFUNCTION("DATE(INDEX(SPLIT(I4846,""/""),,3),INDEX(SPLIT(I4846,""/""),,2),INDEX(SPLIT(I4846,""/""),,1))"),44804.0)</f>
        <v>44804</v>
      </c>
      <c r="L4846" s="1">
        <v>0.0</v>
      </c>
      <c r="M4846" s="1" t="s">
        <v>1146</v>
      </c>
      <c r="N4846" s="1"/>
      <c r="O4846" s="1" t="s">
        <v>30</v>
      </c>
      <c r="P4846" s="1" t="s">
        <v>31</v>
      </c>
      <c r="Q4846" s="1" t="s">
        <v>228</v>
      </c>
      <c r="R4846" s="1" t="s">
        <v>228</v>
      </c>
      <c r="S4846" s="1" t="s">
        <v>229</v>
      </c>
      <c r="T4846" s="1" t="s">
        <v>640</v>
      </c>
      <c r="U4846" s="1">
        <v>1.0061139E8</v>
      </c>
      <c r="X4846" s="1" t="s">
        <v>63</v>
      </c>
      <c r="Y4846" s="1" t="s">
        <v>1147</v>
      </c>
      <c r="Z4846" s="1" t="s">
        <v>37</v>
      </c>
    </row>
    <row r="4847">
      <c r="A4847" s="1" t="s">
        <v>13589</v>
      </c>
      <c r="B4847" s="1" t="s">
        <v>1854</v>
      </c>
      <c r="C4847" s="1" t="s">
        <v>13590</v>
      </c>
      <c r="D4847" s="1" t="s">
        <v>122</v>
      </c>
      <c r="E4847" s="1" t="s">
        <v>28</v>
      </c>
      <c r="F4847" s="2">
        <v>100000.0</v>
      </c>
      <c r="G4847" s="1" t="s">
        <v>1521</v>
      </c>
      <c r="H4847" s="4">
        <f>IFERROR(__xludf.DUMMYFUNCTION("DATE(INDEX(SPLIT(G4847,""/""),,3),INDEX(SPLIT(G4847,""/""),,2),INDEX(SPLIT(G4847,""/""),,1))"),44756.0)</f>
        <v>44756</v>
      </c>
      <c r="I4847" s="1" t="s">
        <v>343</v>
      </c>
      <c r="J4847" s="4">
        <f>IFERROR(__xludf.DUMMYFUNCTION("DATE(INDEX(SPLIT(I4847,""/""),,3),INDEX(SPLIT(I4847,""/""),,2),INDEX(SPLIT(I4847,""/""),,1))"),44761.0)</f>
        <v>44761</v>
      </c>
      <c r="L4847" s="1">
        <v>0.0</v>
      </c>
      <c r="M4847" s="1" t="s">
        <v>3236</v>
      </c>
      <c r="N4847" s="1"/>
      <c r="O4847" s="1" t="s">
        <v>30</v>
      </c>
      <c r="P4847" s="1" t="s">
        <v>31</v>
      </c>
      <c r="Q4847" s="1" t="s">
        <v>53</v>
      </c>
      <c r="R4847" s="1" t="s">
        <v>53</v>
      </c>
      <c r="S4847" s="1" t="s">
        <v>54</v>
      </c>
      <c r="U4847" s="1">
        <v>1.00650453E8</v>
      </c>
      <c r="X4847" s="1" t="s">
        <v>63</v>
      </c>
      <c r="Y4847" s="1" t="s">
        <v>3236</v>
      </c>
      <c r="Z4847" s="1" t="s">
        <v>37</v>
      </c>
    </row>
    <row r="4848">
      <c r="A4848" s="1" t="s">
        <v>13591</v>
      </c>
      <c r="B4848" s="1" t="s">
        <v>2000</v>
      </c>
      <c r="C4848" s="1" t="s">
        <v>13592</v>
      </c>
      <c r="D4848" s="1" t="s">
        <v>78</v>
      </c>
      <c r="E4848" s="1" t="s">
        <v>28</v>
      </c>
      <c r="F4848" s="2">
        <v>100000.0</v>
      </c>
      <c r="G4848" s="1" t="s">
        <v>3349</v>
      </c>
      <c r="H4848" s="4">
        <f>IFERROR(__xludf.DUMMYFUNCTION("DATE(INDEX(SPLIT(G4848,""/""),,3),INDEX(SPLIT(G4848,""/""),,2),INDEX(SPLIT(G4848,""/""),,1))"),44648.0)</f>
        <v>44648</v>
      </c>
      <c r="I4848" s="1" t="s">
        <v>2300</v>
      </c>
      <c r="J4848" s="4">
        <f>IFERROR(__xludf.DUMMYFUNCTION("DATE(INDEX(SPLIT(I4848,""/""),,3),INDEX(SPLIT(I4848,""/""),,2),INDEX(SPLIT(I4848,""/""),,1))"),44712.0)</f>
        <v>44712</v>
      </c>
      <c r="L4848" s="1">
        <v>0.0</v>
      </c>
      <c r="M4848" s="1" t="s">
        <v>2472</v>
      </c>
      <c r="N4848" s="1"/>
      <c r="O4848" s="1" t="s">
        <v>30</v>
      </c>
      <c r="P4848" s="1" t="s">
        <v>31</v>
      </c>
      <c r="Q4848" s="1" t="s">
        <v>228</v>
      </c>
      <c r="R4848" s="1" t="s">
        <v>228</v>
      </c>
      <c r="S4848" s="1" t="s">
        <v>229</v>
      </c>
      <c r="T4848" s="1" t="s">
        <v>505</v>
      </c>
      <c r="U4848" s="1">
        <v>1.00645232E8</v>
      </c>
      <c r="X4848" s="1" t="s">
        <v>239</v>
      </c>
      <c r="Y4848" s="1" t="s">
        <v>10415</v>
      </c>
      <c r="Z4848" s="1" t="s">
        <v>37</v>
      </c>
    </row>
    <row r="4849" hidden="1">
      <c r="A4849" s="1" t="s">
        <v>13593</v>
      </c>
      <c r="B4849" s="1" t="s">
        <v>13445</v>
      </c>
      <c r="C4849" s="1" t="s">
        <v>13594</v>
      </c>
      <c r="D4849" s="1" t="s">
        <v>78</v>
      </c>
      <c r="E4849" s="1" t="s">
        <v>28</v>
      </c>
      <c r="F4849" s="2">
        <v>100000.0</v>
      </c>
      <c r="G4849" s="1" t="s">
        <v>10216</v>
      </c>
      <c r="H4849" s="4">
        <f>IFERROR(__xludf.DUMMYFUNCTION("DATE(INDEX(SPLIT(G4849,""/""),,3),INDEX(SPLIT(G4849,""/""),,2),INDEX(SPLIT(G4849,""/""),,1))"),43861.0)</f>
        <v>43861</v>
      </c>
      <c r="I4849" s="1" t="s">
        <v>109</v>
      </c>
      <c r="J4849" s="4">
        <f>IFERROR(__xludf.DUMMYFUNCTION("DATE(INDEX(SPLIT(I4849,""/""),,3),INDEX(SPLIT(I4849,""/""),,2),INDEX(SPLIT(I4849,""/""),,1))"),44834.0)</f>
        <v>44834</v>
      </c>
      <c r="L4849" s="1">
        <v>0.0</v>
      </c>
      <c r="M4849" s="1" t="s">
        <v>4477</v>
      </c>
      <c r="N4849" s="1"/>
      <c r="O4849" s="1" t="s">
        <v>30</v>
      </c>
      <c r="P4849" s="1" t="s">
        <v>31</v>
      </c>
      <c r="Q4849" s="1" t="s">
        <v>228</v>
      </c>
      <c r="R4849" s="1" t="s">
        <v>228</v>
      </c>
      <c r="S4849" s="1" t="s">
        <v>229</v>
      </c>
      <c r="T4849" s="1" t="s">
        <v>513</v>
      </c>
      <c r="U4849" s="1">
        <v>1.00592715E8</v>
      </c>
      <c r="X4849" s="1" t="s">
        <v>98</v>
      </c>
      <c r="Y4849" s="1" t="s">
        <v>13595</v>
      </c>
      <c r="Z4849" s="1" t="s">
        <v>37</v>
      </c>
    </row>
    <row r="4850" hidden="1">
      <c r="A4850" s="1" t="s">
        <v>13596</v>
      </c>
      <c r="B4850" s="1" t="s">
        <v>12576</v>
      </c>
      <c r="C4850" s="1" t="s">
        <v>13597</v>
      </c>
      <c r="D4850" s="1" t="s">
        <v>122</v>
      </c>
      <c r="E4850" s="1" t="s">
        <v>28</v>
      </c>
      <c r="F4850" s="2">
        <v>100000.0</v>
      </c>
      <c r="G4850" s="4">
        <v>44599.0</v>
      </c>
      <c r="H4850" s="4">
        <f>IFERROR(__xludf.DUMMYFUNCTION("DATE(INDEX(SPLIT(G4850,""/""),,3),INDEX(SPLIT(G4850,""/""),,2),INDEX(SPLIT(G4850,""/""),,1))"),44744.0)</f>
        <v>44744</v>
      </c>
      <c r="I4850" s="1" t="s">
        <v>42</v>
      </c>
      <c r="J4850" s="4">
        <f>IFERROR(__xludf.DUMMYFUNCTION("DATE(INDEX(SPLIT(I4850,""/""),,3),INDEX(SPLIT(I4850,""/""),,2),INDEX(SPLIT(I4850,""/""),,1))"),44926.0)</f>
        <v>44926</v>
      </c>
      <c r="L4850" s="1">
        <v>0.0</v>
      </c>
      <c r="M4850" s="1" t="s">
        <v>2568</v>
      </c>
      <c r="N4850" s="1"/>
      <c r="O4850" s="1" t="s">
        <v>30</v>
      </c>
      <c r="P4850" s="1" t="s">
        <v>31</v>
      </c>
      <c r="Q4850" s="1" t="s">
        <v>228</v>
      </c>
      <c r="R4850" s="1" t="s">
        <v>228</v>
      </c>
      <c r="S4850" s="1" t="s">
        <v>229</v>
      </c>
      <c r="T4850" s="1" t="s">
        <v>513</v>
      </c>
      <c r="U4850" s="1">
        <v>1.00659458E8</v>
      </c>
      <c r="X4850" s="1" t="s">
        <v>98</v>
      </c>
      <c r="Y4850" s="1" t="s">
        <v>2568</v>
      </c>
      <c r="Z4850" s="1" t="s">
        <v>37</v>
      </c>
    </row>
    <row r="4851">
      <c r="A4851" s="1" t="s">
        <v>13598</v>
      </c>
      <c r="B4851" s="1" t="s">
        <v>906</v>
      </c>
      <c r="C4851" s="1" t="s">
        <v>13599</v>
      </c>
      <c r="D4851" s="1" t="s">
        <v>27</v>
      </c>
      <c r="E4851" s="1" t="s">
        <v>28</v>
      </c>
      <c r="F4851" s="2">
        <v>100000.0</v>
      </c>
      <c r="G4851" s="1" t="s">
        <v>1136</v>
      </c>
      <c r="H4851" s="4">
        <f>IFERROR(__xludf.DUMMYFUNCTION("DATE(INDEX(SPLIT(G4851,""/""),,3),INDEX(SPLIT(G4851,""/""),,2),INDEX(SPLIT(G4851,""/""),,1))"),44608.0)</f>
        <v>44608</v>
      </c>
      <c r="I4851" s="1" t="s">
        <v>226</v>
      </c>
      <c r="J4851" s="4">
        <f>IFERROR(__xludf.DUMMYFUNCTION("DATE(INDEX(SPLIT(I4851,""/""),,3),INDEX(SPLIT(I4851,""/""),,2),INDEX(SPLIT(I4851,""/""),,1))"),44771.0)</f>
        <v>44771</v>
      </c>
      <c r="L4851" s="1">
        <v>0.0</v>
      </c>
      <c r="M4851" s="1" t="s">
        <v>1723</v>
      </c>
      <c r="N4851" s="1"/>
      <c r="O4851" s="1" t="s">
        <v>30</v>
      </c>
      <c r="P4851" s="1" t="s">
        <v>31</v>
      </c>
      <c r="Q4851" s="1" t="s">
        <v>157</v>
      </c>
      <c r="R4851" s="1" t="s">
        <v>157</v>
      </c>
      <c r="S4851" s="1" t="s">
        <v>158</v>
      </c>
      <c r="U4851" s="1">
        <v>1.00654085E8</v>
      </c>
      <c r="X4851" s="1" t="s">
        <v>74</v>
      </c>
      <c r="Y4851" s="1" t="s">
        <v>6982</v>
      </c>
      <c r="Z4851" s="1" t="s">
        <v>37</v>
      </c>
    </row>
    <row r="4852" hidden="1">
      <c r="A4852" s="1" t="s">
        <v>13600</v>
      </c>
      <c r="B4852" s="1" t="s">
        <v>13601</v>
      </c>
      <c r="C4852" s="1" t="s">
        <v>13602</v>
      </c>
      <c r="D4852" s="1" t="s">
        <v>27</v>
      </c>
      <c r="E4852" s="1" t="s">
        <v>28</v>
      </c>
      <c r="F4852" s="2">
        <v>100000.0</v>
      </c>
      <c r="G4852" s="1" t="s">
        <v>3972</v>
      </c>
      <c r="H4852" s="4">
        <f>IFERROR(__xludf.DUMMYFUNCTION("DATE(INDEX(SPLIT(G4852,""/""),,3),INDEX(SPLIT(G4852,""/""),,2),INDEX(SPLIT(G4852,""/""),,1))"),44637.0)</f>
        <v>44637</v>
      </c>
      <c r="I4852" s="1" t="s">
        <v>109</v>
      </c>
      <c r="J4852" s="4">
        <f>IFERROR(__xludf.DUMMYFUNCTION("DATE(INDEX(SPLIT(I4852,""/""),,3),INDEX(SPLIT(I4852,""/""),,2),INDEX(SPLIT(I4852,""/""),,1))"),44834.0)</f>
        <v>44834</v>
      </c>
      <c r="L4852" s="1">
        <v>0.0</v>
      </c>
      <c r="M4852" s="1" t="s">
        <v>2600</v>
      </c>
      <c r="N4852" s="1"/>
      <c r="O4852" s="1" t="s">
        <v>30</v>
      </c>
      <c r="P4852" s="1" t="s">
        <v>31</v>
      </c>
      <c r="Q4852" s="1" t="s">
        <v>32</v>
      </c>
      <c r="R4852" s="1" t="s">
        <v>32</v>
      </c>
      <c r="S4852" s="1" t="s">
        <v>33</v>
      </c>
      <c r="U4852" s="1">
        <v>1.00642238E8</v>
      </c>
      <c r="X4852" s="1" t="s">
        <v>63</v>
      </c>
      <c r="Y4852" s="1" t="s">
        <v>7107</v>
      </c>
      <c r="Z4852" s="1" t="s">
        <v>37</v>
      </c>
    </row>
    <row r="4853" hidden="1">
      <c r="A4853" s="1" t="s">
        <v>13603</v>
      </c>
      <c r="B4853" s="1" t="s">
        <v>4683</v>
      </c>
      <c r="C4853" s="1" t="s">
        <v>13604</v>
      </c>
      <c r="D4853" s="1" t="s">
        <v>122</v>
      </c>
      <c r="E4853" s="1" t="s">
        <v>28</v>
      </c>
      <c r="F4853" s="2">
        <v>100000.0</v>
      </c>
      <c r="G4853" s="1" t="s">
        <v>3972</v>
      </c>
      <c r="H4853" s="4">
        <f>IFERROR(__xludf.DUMMYFUNCTION("DATE(INDEX(SPLIT(G4853,""/""),,3),INDEX(SPLIT(G4853,""/""),,2),INDEX(SPLIT(G4853,""/""),,1))"),44637.0)</f>
        <v>44637</v>
      </c>
      <c r="I4853" s="1" t="s">
        <v>42</v>
      </c>
      <c r="J4853" s="4">
        <f>IFERROR(__xludf.DUMMYFUNCTION("DATE(INDEX(SPLIT(I4853,""/""),,3),INDEX(SPLIT(I4853,""/""),,2),INDEX(SPLIT(I4853,""/""),,1))"),44926.0)</f>
        <v>44926</v>
      </c>
      <c r="L4853" s="1">
        <v>0.0</v>
      </c>
      <c r="M4853" s="1" t="s">
        <v>10627</v>
      </c>
      <c r="N4853" s="1"/>
      <c r="O4853" s="1" t="s">
        <v>30</v>
      </c>
      <c r="P4853" s="1" t="s">
        <v>31</v>
      </c>
      <c r="Q4853" s="1" t="s">
        <v>228</v>
      </c>
      <c r="R4853" s="1" t="s">
        <v>228</v>
      </c>
      <c r="S4853" s="1" t="s">
        <v>229</v>
      </c>
      <c r="T4853" s="1" t="s">
        <v>513</v>
      </c>
      <c r="U4853" s="1">
        <v>1.00614969E8</v>
      </c>
      <c r="X4853" s="1" t="s">
        <v>74</v>
      </c>
      <c r="Y4853" s="1" t="s">
        <v>12700</v>
      </c>
      <c r="Z4853" s="1" t="s">
        <v>37</v>
      </c>
    </row>
    <row r="4854" hidden="1">
      <c r="A4854" s="1" t="s">
        <v>13605</v>
      </c>
      <c r="B4854" s="1" t="s">
        <v>8254</v>
      </c>
      <c r="C4854" s="1" t="s">
        <v>13606</v>
      </c>
      <c r="D4854" s="1" t="s">
        <v>78</v>
      </c>
      <c r="E4854" s="1" t="s">
        <v>28</v>
      </c>
      <c r="F4854" s="2">
        <v>100000.0</v>
      </c>
      <c r="G4854" s="1" t="s">
        <v>1136</v>
      </c>
      <c r="H4854" s="4">
        <f>IFERROR(__xludf.DUMMYFUNCTION("DATE(INDEX(SPLIT(G4854,""/""),,3),INDEX(SPLIT(G4854,""/""),,2),INDEX(SPLIT(G4854,""/""),,1))"),44608.0)</f>
        <v>44608</v>
      </c>
      <c r="I4854" s="1" t="s">
        <v>7837</v>
      </c>
      <c r="J4854" s="4">
        <f>IFERROR(__xludf.DUMMYFUNCTION("DATE(INDEX(SPLIT(I4854,""/""),,3),INDEX(SPLIT(I4854,""/""),,2),INDEX(SPLIT(I4854,""/""),,1))"),44825.0)</f>
        <v>44825</v>
      </c>
      <c r="L4854" s="1">
        <v>0.0</v>
      </c>
      <c r="M4854" s="1" t="s">
        <v>1098</v>
      </c>
      <c r="N4854" s="1"/>
      <c r="O4854" s="1" t="s">
        <v>30</v>
      </c>
      <c r="P4854" s="1" t="s">
        <v>31</v>
      </c>
      <c r="Q4854" s="1" t="s">
        <v>95</v>
      </c>
      <c r="R4854" s="1" t="s">
        <v>95</v>
      </c>
      <c r="S4854" s="1" t="s">
        <v>96</v>
      </c>
      <c r="T4854" s="1" t="s">
        <v>311</v>
      </c>
      <c r="U4854" s="1">
        <v>1.00634994E8</v>
      </c>
      <c r="X4854" s="1" t="s">
        <v>468</v>
      </c>
      <c r="Y4854" s="1" t="s">
        <v>3631</v>
      </c>
      <c r="Z4854" s="1" t="s">
        <v>37</v>
      </c>
    </row>
    <row r="4855">
      <c r="A4855" s="1" t="s">
        <v>13607</v>
      </c>
      <c r="B4855" s="1" t="s">
        <v>3957</v>
      </c>
      <c r="C4855" s="1" t="s">
        <v>13608</v>
      </c>
      <c r="D4855" s="1" t="s">
        <v>27</v>
      </c>
      <c r="E4855" s="1" t="s">
        <v>28</v>
      </c>
      <c r="F4855" s="2">
        <v>100000.0</v>
      </c>
      <c r="G4855" s="1" t="s">
        <v>93</v>
      </c>
      <c r="H4855" s="4">
        <f>IFERROR(__xludf.DUMMYFUNCTION("DATE(INDEX(SPLIT(G4855,""/""),,3),INDEX(SPLIT(G4855,""/""),,2),INDEX(SPLIT(G4855,""/""),,1))"),44671.0)</f>
        <v>44671</v>
      </c>
      <c r="I4855" s="1" t="s">
        <v>69</v>
      </c>
      <c r="J4855" s="4">
        <f>IFERROR(__xludf.DUMMYFUNCTION("DATE(INDEX(SPLIT(I4855,""/""),,3),INDEX(SPLIT(I4855,""/""),,2),INDEX(SPLIT(I4855,""/""),,1))"),44773.0)</f>
        <v>44773</v>
      </c>
      <c r="L4855" s="1">
        <v>0.0</v>
      </c>
      <c r="M4855" s="1" t="s">
        <v>5493</v>
      </c>
      <c r="N4855" s="1"/>
      <c r="O4855" s="1" t="s">
        <v>30</v>
      </c>
      <c r="P4855" s="1" t="s">
        <v>31</v>
      </c>
      <c r="Q4855" s="1" t="s">
        <v>95</v>
      </c>
      <c r="R4855" s="1" t="s">
        <v>95</v>
      </c>
      <c r="S4855" s="1" t="s">
        <v>96</v>
      </c>
      <c r="T4855" s="1" t="s">
        <v>97</v>
      </c>
      <c r="U4855" s="1">
        <v>1.00591654E8</v>
      </c>
      <c r="X4855" s="1" t="s">
        <v>117</v>
      </c>
      <c r="Y4855" s="1" t="s">
        <v>3459</v>
      </c>
      <c r="Z4855" s="1" t="s">
        <v>37</v>
      </c>
    </row>
    <row r="4856">
      <c r="A4856" s="1" t="s">
        <v>13609</v>
      </c>
      <c r="B4856" s="1" t="s">
        <v>144</v>
      </c>
      <c r="C4856" s="1" t="s">
        <v>13610</v>
      </c>
      <c r="D4856" s="1" t="s">
        <v>78</v>
      </c>
      <c r="E4856" s="1" t="s">
        <v>28</v>
      </c>
      <c r="F4856" s="2">
        <v>100000.0</v>
      </c>
      <c r="G4856" s="1" t="s">
        <v>233</v>
      </c>
      <c r="H4856" s="4">
        <f>IFERROR(__xludf.DUMMYFUNCTION("DATE(INDEX(SPLIT(G4856,""/""),,3),INDEX(SPLIT(G4856,""/""),,2),INDEX(SPLIT(G4856,""/""),,1))"),44729.0)</f>
        <v>44729</v>
      </c>
      <c r="I4856" s="1" t="s">
        <v>233</v>
      </c>
      <c r="J4856" s="4">
        <f>IFERROR(__xludf.DUMMYFUNCTION("DATE(INDEX(SPLIT(I4856,""/""),,3),INDEX(SPLIT(I4856,""/""),,2),INDEX(SPLIT(I4856,""/""),,1))"),44729.0)</f>
        <v>44729</v>
      </c>
      <c r="L4856" s="1">
        <v>0.0</v>
      </c>
      <c r="M4856" s="1" t="s">
        <v>146</v>
      </c>
      <c r="N4856" s="1"/>
      <c r="O4856" s="1" t="s">
        <v>30</v>
      </c>
      <c r="P4856" s="1" t="s">
        <v>31</v>
      </c>
      <c r="Q4856" s="1" t="s">
        <v>53</v>
      </c>
      <c r="R4856" s="1" t="s">
        <v>53</v>
      </c>
      <c r="S4856" s="1" t="s">
        <v>54</v>
      </c>
      <c r="U4856" s="1">
        <v>1.00652489E8</v>
      </c>
      <c r="X4856" s="1" t="s">
        <v>88</v>
      </c>
      <c r="Y4856" s="1" t="s">
        <v>13611</v>
      </c>
      <c r="Z4856" s="1" t="s">
        <v>37</v>
      </c>
    </row>
    <row r="4857" hidden="1">
      <c r="A4857" s="1" t="s">
        <v>13612</v>
      </c>
      <c r="B4857" s="1" t="s">
        <v>1131</v>
      </c>
      <c r="C4857" s="1" t="s">
        <v>13613</v>
      </c>
      <c r="D4857" s="1" t="s">
        <v>27</v>
      </c>
      <c r="E4857" s="1" t="s">
        <v>28</v>
      </c>
      <c r="F4857" s="2">
        <v>100000.0</v>
      </c>
      <c r="G4857" s="1" t="s">
        <v>298</v>
      </c>
      <c r="H4857" s="4">
        <f>IFERROR(__xludf.DUMMYFUNCTION("DATE(INDEX(SPLIT(G4857,""/""),,3),INDEX(SPLIT(G4857,""/""),,2),INDEX(SPLIT(G4857,""/""),,1))"),44762.0)</f>
        <v>44762</v>
      </c>
      <c r="I4857" s="1" t="s">
        <v>109</v>
      </c>
      <c r="J4857" s="4">
        <f>IFERROR(__xludf.DUMMYFUNCTION("DATE(INDEX(SPLIT(I4857,""/""),,3),INDEX(SPLIT(I4857,""/""),,2),INDEX(SPLIT(I4857,""/""),,1))"),44834.0)</f>
        <v>44834</v>
      </c>
      <c r="L4857" s="1">
        <v>0.0</v>
      </c>
      <c r="M4857" s="1" t="s">
        <v>10627</v>
      </c>
      <c r="N4857" s="1"/>
      <c r="O4857" s="1" t="s">
        <v>30</v>
      </c>
      <c r="P4857" s="1" t="s">
        <v>31</v>
      </c>
      <c r="Q4857" s="1" t="s">
        <v>228</v>
      </c>
      <c r="R4857" s="1" t="s">
        <v>228</v>
      </c>
      <c r="S4857" s="1" t="s">
        <v>229</v>
      </c>
      <c r="T4857" s="1" t="s">
        <v>513</v>
      </c>
      <c r="U4857" s="1">
        <v>1.00614969E8</v>
      </c>
      <c r="X4857" s="1" t="s">
        <v>74</v>
      </c>
      <c r="Y4857" s="1" t="s">
        <v>11973</v>
      </c>
      <c r="Z4857" s="1" t="s">
        <v>37</v>
      </c>
    </row>
    <row r="4858" hidden="1">
      <c r="A4858" s="1" t="s">
        <v>13614</v>
      </c>
      <c r="B4858" s="1" t="s">
        <v>3988</v>
      </c>
      <c r="C4858" s="1" t="s">
        <v>13615</v>
      </c>
      <c r="D4858" s="1" t="s">
        <v>27</v>
      </c>
      <c r="E4858" s="1" t="s">
        <v>28</v>
      </c>
      <c r="F4858" s="2">
        <v>100000.0</v>
      </c>
      <c r="G4858" s="1" t="s">
        <v>1039</v>
      </c>
      <c r="H4858" s="4">
        <f>IFERROR(__xludf.DUMMYFUNCTION("DATE(INDEX(SPLIT(G4858,""/""),,3),INDEX(SPLIT(G4858,""/""),,2),INDEX(SPLIT(G4858,""/""),,1))"),44155.0)</f>
        <v>44155</v>
      </c>
      <c r="I4858" s="1" t="s">
        <v>109</v>
      </c>
      <c r="J4858" s="4">
        <f>IFERROR(__xludf.DUMMYFUNCTION("DATE(INDEX(SPLIT(I4858,""/""),,3),INDEX(SPLIT(I4858,""/""),,2),INDEX(SPLIT(I4858,""/""),,1))"),44834.0)</f>
        <v>44834</v>
      </c>
      <c r="L4858" s="1">
        <v>0.0</v>
      </c>
      <c r="M4858" s="1" t="s">
        <v>3990</v>
      </c>
      <c r="N4858" s="1"/>
      <c r="O4858" s="1" t="s">
        <v>30</v>
      </c>
      <c r="P4858" s="1" t="s">
        <v>31</v>
      </c>
      <c r="Q4858" s="1" t="s">
        <v>95</v>
      </c>
      <c r="R4858" s="1" t="s">
        <v>95</v>
      </c>
      <c r="S4858" s="1" t="s">
        <v>96</v>
      </c>
      <c r="U4858" s="1">
        <v>1.00618416E8</v>
      </c>
      <c r="X4858" s="1" t="s">
        <v>117</v>
      </c>
      <c r="Y4858" s="1" t="s">
        <v>3990</v>
      </c>
      <c r="Z4858" s="1" t="s">
        <v>527</v>
      </c>
    </row>
    <row r="4859" hidden="1">
      <c r="A4859" s="1" t="s">
        <v>13616</v>
      </c>
      <c r="B4859" s="1" t="s">
        <v>4929</v>
      </c>
      <c r="C4859" s="1" t="s">
        <v>13617</v>
      </c>
      <c r="D4859" s="1" t="s">
        <v>27</v>
      </c>
      <c r="E4859" s="1" t="s">
        <v>28</v>
      </c>
      <c r="F4859" s="2">
        <v>100000.0</v>
      </c>
      <c r="G4859" s="1" t="s">
        <v>534</v>
      </c>
      <c r="H4859" s="4">
        <f>IFERROR(__xludf.DUMMYFUNCTION("DATE(INDEX(SPLIT(G4859,""/""),,3),INDEX(SPLIT(G4859,""/""),,2),INDEX(SPLIT(G4859,""/""),,1))"),44704.0)</f>
        <v>44704</v>
      </c>
      <c r="I4859" s="1" t="s">
        <v>109</v>
      </c>
      <c r="J4859" s="4">
        <f>IFERROR(__xludf.DUMMYFUNCTION("DATE(INDEX(SPLIT(I4859,""/""),,3),INDEX(SPLIT(I4859,""/""),,2),INDEX(SPLIT(I4859,""/""),,1))"),44834.0)</f>
        <v>44834</v>
      </c>
      <c r="L4859" s="1">
        <v>0.0</v>
      </c>
      <c r="M4859" s="1" t="s">
        <v>1552</v>
      </c>
      <c r="N4859" s="1"/>
      <c r="O4859" s="1" t="s">
        <v>30</v>
      </c>
      <c r="P4859" s="1" t="s">
        <v>31</v>
      </c>
      <c r="Q4859" s="1" t="s">
        <v>32</v>
      </c>
      <c r="R4859" s="1" t="s">
        <v>32</v>
      </c>
      <c r="S4859" s="1" t="s">
        <v>33</v>
      </c>
      <c r="T4859" s="1" t="s">
        <v>1195</v>
      </c>
      <c r="U4859" s="1">
        <v>1.00637597E8</v>
      </c>
      <c r="V4859" s="1" t="s">
        <v>4931</v>
      </c>
      <c r="W4859" s="1" t="s">
        <v>45</v>
      </c>
      <c r="X4859" s="1" t="s">
        <v>74</v>
      </c>
      <c r="Y4859" s="1" t="s">
        <v>1552</v>
      </c>
      <c r="Z4859" s="1" t="s">
        <v>37</v>
      </c>
    </row>
    <row r="4860">
      <c r="A4860" s="1" t="s">
        <v>13618</v>
      </c>
      <c r="B4860" s="1" t="s">
        <v>1748</v>
      </c>
      <c r="C4860" s="1" t="s">
        <v>13619</v>
      </c>
      <c r="D4860" s="1" t="s">
        <v>27</v>
      </c>
      <c r="E4860" s="1" t="s">
        <v>28</v>
      </c>
      <c r="F4860" s="2">
        <v>100000.0</v>
      </c>
      <c r="G4860" s="1" t="s">
        <v>6746</v>
      </c>
      <c r="H4860" s="4">
        <f>IFERROR(__xludf.DUMMYFUNCTION("DATE(INDEX(SPLIT(G4860,""/""),,3),INDEX(SPLIT(G4860,""/""),,2),INDEX(SPLIT(G4860,""/""),,1))"),44309.0)</f>
        <v>44309</v>
      </c>
      <c r="I4860" s="1" t="s">
        <v>472</v>
      </c>
      <c r="J4860" s="4">
        <f>IFERROR(__xludf.DUMMYFUNCTION("DATE(INDEX(SPLIT(I4860,""/""),,3),INDEX(SPLIT(I4860,""/""),,2),INDEX(SPLIT(I4860,""/""),,1))"),44760.0)</f>
        <v>44760</v>
      </c>
      <c r="L4860" s="1">
        <v>0.0</v>
      </c>
      <c r="M4860" s="1" t="s">
        <v>3860</v>
      </c>
      <c r="N4860" s="1"/>
      <c r="O4860" s="1" t="s">
        <v>30</v>
      </c>
      <c r="P4860" s="1" t="s">
        <v>31</v>
      </c>
      <c r="Q4860" s="1" t="s">
        <v>235</v>
      </c>
      <c r="R4860" s="1" t="s">
        <v>235</v>
      </c>
      <c r="S4860" s="1" t="s">
        <v>236</v>
      </c>
      <c r="T4860" s="1" t="s">
        <v>753</v>
      </c>
      <c r="U4860" s="1">
        <v>1.00636461E8</v>
      </c>
      <c r="X4860" s="1" t="s">
        <v>88</v>
      </c>
      <c r="Y4860" s="1" t="s">
        <v>3860</v>
      </c>
      <c r="Z4860" s="1" t="s">
        <v>37</v>
      </c>
    </row>
    <row r="4861" hidden="1">
      <c r="A4861" s="1" t="s">
        <v>13620</v>
      </c>
      <c r="B4861" s="1" t="s">
        <v>756</v>
      </c>
      <c r="C4861" s="1" t="s">
        <v>13621</v>
      </c>
      <c r="D4861" s="1" t="s">
        <v>27</v>
      </c>
      <c r="E4861" s="1" t="s">
        <v>28</v>
      </c>
      <c r="F4861" s="2">
        <v>100000.0</v>
      </c>
      <c r="G4861" s="1" t="s">
        <v>324</v>
      </c>
      <c r="H4861" s="4">
        <f>IFERROR(__xludf.DUMMYFUNCTION("DATE(INDEX(SPLIT(G4861,""/""),,3),INDEX(SPLIT(G4861,""/""),,2),INDEX(SPLIT(G4861,""/""),,1))"),44636.0)</f>
        <v>44636</v>
      </c>
      <c r="I4861" s="1" t="s">
        <v>130</v>
      </c>
      <c r="J4861" s="4">
        <f>IFERROR(__xludf.DUMMYFUNCTION("DATE(INDEX(SPLIT(I4861,""/""),,3),INDEX(SPLIT(I4861,""/""),,2),INDEX(SPLIT(I4861,""/""),,1))"),44804.0)</f>
        <v>44804</v>
      </c>
      <c r="L4861" s="1">
        <v>0.0</v>
      </c>
      <c r="M4861" s="1" t="s">
        <v>1828</v>
      </c>
      <c r="N4861" s="1"/>
      <c r="O4861" s="1" t="s">
        <v>30</v>
      </c>
      <c r="P4861" s="1" t="s">
        <v>31</v>
      </c>
      <c r="Q4861" s="1" t="s">
        <v>235</v>
      </c>
      <c r="R4861" s="1" t="s">
        <v>235</v>
      </c>
      <c r="S4861" s="1" t="s">
        <v>236</v>
      </c>
      <c r="T4861" s="1" t="s">
        <v>1349</v>
      </c>
      <c r="U4861" s="1">
        <v>1.00593918E8</v>
      </c>
      <c r="X4861" s="1" t="s">
        <v>609</v>
      </c>
      <c r="Y4861" s="1" t="s">
        <v>1350</v>
      </c>
      <c r="Z4861" s="1" t="s">
        <v>37</v>
      </c>
    </row>
    <row r="4862" hidden="1">
      <c r="A4862" s="1" t="s">
        <v>13622</v>
      </c>
      <c r="B4862" s="1" t="s">
        <v>7161</v>
      </c>
      <c r="C4862" s="1" t="s">
        <v>13623</v>
      </c>
      <c r="D4862" s="1" t="s">
        <v>78</v>
      </c>
      <c r="E4862" s="1" t="s">
        <v>28</v>
      </c>
      <c r="F4862" s="2">
        <v>100000.0</v>
      </c>
      <c r="G4862" s="1" t="s">
        <v>3083</v>
      </c>
      <c r="H4862" s="4">
        <f>IFERROR(__xludf.DUMMYFUNCTION("DATE(INDEX(SPLIT(G4862,""/""),,3),INDEX(SPLIT(G4862,""/""),,2),INDEX(SPLIT(G4862,""/""),,1))"),44225.0)</f>
        <v>44225</v>
      </c>
      <c r="I4862" s="1" t="s">
        <v>109</v>
      </c>
      <c r="J4862" s="4">
        <f>IFERROR(__xludf.DUMMYFUNCTION("DATE(INDEX(SPLIT(I4862,""/""),,3),INDEX(SPLIT(I4862,""/""),,2),INDEX(SPLIT(I4862,""/""),,1))"),44834.0)</f>
        <v>44834</v>
      </c>
      <c r="L4862" s="1">
        <v>0.0</v>
      </c>
      <c r="M4862" s="1" t="s">
        <v>2107</v>
      </c>
      <c r="N4862" s="1"/>
      <c r="O4862" s="1" t="s">
        <v>30</v>
      </c>
      <c r="P4862" s="1" t="s">
        <v>31</v>
      </c>
      <c r="Q4862" s="1" t="s">
        <v>71</v>
      </c>
      <c r="R4862" s="1" t="s">
        <v>71</v>
      </c>
      <c r="S4862" s="1" t="s">
        <v>72</v>
      </c>
      <c r="T4862" s="1" t="s">
        <v>159</v>
      </c>
      <c r="U4862" s="1">
        <v>1.0061233E8</v>
      </c>
      <c r="X4862" s="1" t="s">
        <v>74</v>
      </c>
      <c r="Y4862" s="1" t="s">
        <v>2107</v>
      </c>
      <c r="Z4862" s="1" t="s">
        <v>37</v>
      </c>
    </row>
    <row r="4863" hidden="1">
      <c r="A4863" s="1" t="s">
        <v>13624</v>
      </c>
      <c r="B4863" s="1" t="s">
        <v>2587</v>
      </c>
      <c r="C4863" s="1" t="s">
        <v>13625</v>
      </c>
      <c r="D4863" s="1" t="s">
        <v>27</v>
      </c>
      <c r="E4863" s="1" t="s">
        <v>28</v>
      </c>
      <c r="F4863" s="2">
        <v>100000.0</v>
      </c>
      <c r="G4863" s="1" t="s">
        <v>2324</v>
      </c>
      <c r="H4863" s="4">
        <f>IFERROR(__xludf.DUMMYFUNCTION("DATE(INDEX(SPLIT(G4863,""/""),,3),INDEX(SPLIT(G4863,""/""),,2),INDEX(SPLIT(G4863,""/""),,1))"),44705.0)</f>
        <v>44705</v>
      </c>
      <c r="I4863" s="1" t="s">
        <v>109</v>
      </c>
      <c r="J4863" s="4">
        <f>IFERROR(__xludf.DUMMYFUNCTION("DATE(INDEX(SPLIT(I4863,""/""),,3),INDEX(SPLIT(I4863,""/""),,2),INDEX(SPLIT(I4863,""/""),,1))"),44834.0)</f>
        <v>44834</v>
      </c>
      <c r="L4863" s="1">
        <v>0.0</v>
      </c>
      <c r="M4863" s="1" t="s">
        <v>4493</v>
      </c>
      <c r="N4863" s="1"/>
      <c r="O4863" s="1" t="s">
        <v>30</v>
      </c>
      <c r="P4863" s="1" t="s">
        <v>31</v>
      </c>
      <c r="Q4863" s="1" t="s">
        <v>188</v>
      </c>
      <c r="R4863" s="1" t="s">
        <v>188</v>
      </c>
      <c r="S4863" s="1" t="s">
        <v>189</v>
      </c>
      <c r="U4863" s="1">
        <v>1.00647536E8</v>
      </c>
      <c r="X4863" s="1" t="s">
        <v>88</v>
      </c>
      <c r="Y4863" s="1" t="s">
        <v>13626</v>
      </c>
      <c r="Z4863" s="1" t="s">
        <v>37</v>
      </c>
    </row>
    <row r="4864" hidden="1">
      <c r="A4864" s="1" t="s">
        <v>13627</v>
      </c>
      <c r="B4864" s="1" t="s">
        <v>6131</v>
      </c>
      <c r="C4864" s="1" t="s">
        <v>13628</v>
      </c>
      <c r="D4864" s="1" t="s">
        <v>27</v>
      </c>
      <c r="E4864" s="1" t="s">
        <v>28</v>
      </c>
      <c r="F4864" s="2">
        <v>100000.0</v>
      </c>
      <c r="G4864" s="4">
        <v>44896.0</v>
      </c>
      <c r="H4864" s="4">
        <f>IFERROR(__xludf.DUMMYFUNCTION("DATE(INDEX(SPLIT(G4864,""/""),,3),INDEX(SPLIT(G4864,""/""),,2),INDEX(SPLIT(G4864,""/""),,1))"),44573.0)</f>
        <v>44573</v>
      </c>
      <c r="I4864" s="1" t="s">
        <v>42</v>
      </c>
      <c r="J4864" s="4">
        <f>IFERROR(__xludf.DUMMYFUNCTION("DATE(INDEX(SPLIT(I4864,""/""),,3),INDEX(SPLIT(I4864,""/""),,2),INDEX(SPLIT(I4864,""/""),,1))"),44926.0)</f>
        <v>44926</v>
      </c>
      <c r="L4864" s="1">
        <v>0.0</v>
      </c>
      <c r="M4864" s="1" t="s">
        <v>1918</v>
      </c>
      <c r="N4864" s="1"/>
      <c r="O4864" s="1" t="s">
        <v>30</v>
      </c>
      <c r="P4864" s="1" t="s">
        <v>31</v>
      </c>
      <c r="Q4864" s="1" t="s">
        <v>53</v>
      </c>
      <c r="R4864" s="1" t="s">
        <v>53</v>
      </c>
      <c r="S4864" s="1" t="s">
        <v>54</v>
      </c>
      <c r="T4864" s="1" t="s">
        <v>1386</v>
      </c>
      <c r="U4864" s="1">
        <v>1.00638639E8</v>
      </c>
      <c r="X4864" s="1" t="s">
        <v>375</v>
      </c>
      <c r="Y4864" s="1" t="s">
        <v>2752</v>
      </c>
      <c r="Z4864" s="1" t="s">
        <v>206</v>
      </c>
    </row>
    <row r="4865" hidden="1">
      <c r="A4865" s="1" t="s">
        <v>13629</v>
      </c>
      <c r="B4865" s="1" t="s">
        <v>1743</v>
      </c>
      <c r="C4865" s="1" t="s">
        <v>4443</v>
      </c>
      <c r="D4865" s="1" t="s">
        <v>27</v>
      </c>
      <c r="E4865" s="1" t="s">
        <v>28</v>
      </c>
      <c r="F4865" s="2">
        <v>100000.0</v>
      </c>
      <c r="G4865" s="1" t="s">
        <v>3349</v>
      </c>
      <c r="H4865" s="4">
        <f>IFERROR(__xludf.DUMMYFUNCTION("DATE(INDEX(SPLIT(G4865,""/""),,3),INDEX(SPLIT(G4865,""/""),,2),INDEX(SPLIT(G4865,""/""),,1))"),44648.0)</f>
        <v>44648</v>
      </c>
      <c r="I4865" s="1" t="s">
        <v>109</v>
      </c>
      <c r="J4865" s="4">
        <f>IFERROR(__xludf.DUMMYFUNCTION("DATE(INDEX(SPLIT(I4865,""/""),,3),INDEX(SPLIT(I4865,""/""),,2),INDEX(SPLIT(I4865,""/""),,1))"),44834.0)</f>
        <v>44834</v>
      </c>
      <c r="L4865" s="1">
        <v>0.0</v>
      </c>
      <c r="M4865" s="1" t="s">
        <v>1088</v>
      </c>
      <c r="N4865" s="1"/>
      <c r="O4865" s="1" t="s">
        <v>30</v>
      </c>
      <c r="P4865" s="1" t="s">
        <v>31</v>
      </c>
      <c r="Q4865" s="1" t="s">
        <v>71</v>
      </c>
      <c r="R4865" s="1" t="s">
        <v>71</v>
      </c>
      <c r="S4865" s="1" t="s">
        <v>72</v>
      </c>
      <c r="T4865" s="1" t="s">
        <v>136</v>
      </c>
      <c r="U4865" s="1">
        <v>1.0090037E8</v>
      </c>
      <c r="X4865" s="1" t="s">
        <v>74</v>
      </c>
      <c r="Y4865" s="1" t="s">
        <v>4444</v>
      </c>
      <c r="Z4865" s="1" t="s">
        <v>37</v>
      </c>
    </row>
    <row r="4866">
      <c r="A4866" s="1" t="s">
        <v>13630</v>
      </c>
      <c r="B4866" s="1" t="s">
        <v>6474</v>
      </c>
      <c r="C4866" s="1" t="s">
        <v>13631</v>
      </c>
      <c r="D4866" s="1" t="s">
        <v>27</v>
      </c>
      <c r="E4866" s="1" t="s">
        <v>28</v>
      </c>
      <c r="F4866" s="2">
        <v>100000.0</v>
      </c>
      <c r="G4866" s="1" t="s">
        <v>4047</v>
      </c>
      <c r="H4866" s="4">
        <f>IFERROR(__xludf.DUMMYFUNCTION("DATE(INDEX(SPLIT(G4866,""/""),,3),INDEX(SPLIT(G4866,""/""),,2),INDEX(SPLIT(G4866,""/""),,1))"),44580.0)</f>
        <v>44580</v>
      </c>
      <c r="I4866" s="1" t="s">
        <v>607</v>
      </c>
      <c r="J4866" s="4">
        <f>IFERROR(__xludf.DUMMYFUNCTION("DATE(INDEX(SPLIT(I4866,""/""),,3),INDEX(SPLIT(I4866,""/""),,2),INDEX(SPLIT(I4866,""/""),,1))"),44770.0)</f>
        <v>44770</v>
      </c>
      <c r="L4866" s="1">
        <v>0.0</v>
      </c>
      <c r="M4866" s="1" t="s">
        <v>303</v>
      </c>
      <c r="N4866" s="1"/>
      <c r="O4866" s="1" t="s">
        <v>30</v>
      </c>
      <c r="P4866" s="1" t="s">
        <v>31</v>
      </c>
      <c r="Q4866" s="1" t="s">
        <v>95</v>
      </c>
      <c r="R4866" s="1" t="s">
        <v>95</v>
      </c>
      <c r="S4866" s="1" t="s">
        <v>96</v>
      </c>
      <c r="T4866" s="1" t="s">
        <v>304</v>
      </c>
      <c r="U4866" s="1">
        <v>1.00623914E8</v>
      </c>
      <c r="X4866" s="1" t="s">
        <v>98</v>
      </c>
      <c r="Y4866" s="1" t="s">
        <v>8032</v>
      </c>
      <c r="Z4866" s="1" t="s">
        <v>37</v>
      </c>
    </row>
    <row r="4867" hidden="1">
      <c r="A4867" s="1" t="s">
        <v>13632</v>
      </c>
      <c r="B4867" s="1" t="s">
        <v>6474</v>
      </c>
      <c r="C4867" s="1" t="s">
        <v>13633</v>
      </c>
      <c r="D4867" s="1" t="s">
        <v>78</v>
      </c>
      <c r="E4867" s="1" t="s">
        <v>28</v>
      </c>
      <c r="F4867" s="2">
        <v>100000.0</v>
      </c>
      <c r="G4867" s="1" t="s">
        <v>4047</v>
      </c>
      <c r="H4867" s="4">
        <f>IFERROR(__xludf.DUMMYFUNCTION("DATE(INDEX(SPLIT(G4867,""/""),,3),INDEX(SPLIT(G4867,""/""),,2),INDEX(SPLIT(G4867,""/""),,1))"),44580.0)</f>
        <v>44580</v>
      </c>
      <c r="I4867" s="1" t="s">
        <v>10026</v>
      </c>
      <c r="J4867" s="4">
        <f>IFERROR(__xludf.DUMMYFUNCTION("DATE(INDEX(SPLIT(I4867,""/""),,3),INDEX(SPLIT(I4867,""/""),,2),INDEX(SPLIT(I4867,""/""),,1))"),44790.0)</f>
        <v>44790</v>
      </c>
      <c r="L4867" s="1">
        <v>0.0</v>
      </c>
      <c r="M4867" s="1" t="s">
        <v>303</v>
      </c>
      <c r="N4867" s="1"/>
      <c r="O4867" s="1" t="s">
        <v>30</v>
      </c>
      <c r="P4867" s="1" t="s">
        <v>31</v>
      </c>
      <c r="Q4867" s="1" t="s">
        <v>95</v>
      </c>
      <c r="R4867" s="1" t="s">
        <v>95</v>
      </c>
      <c r="S4867" s="1" t="s">
        <v>96</v>
      </c>
      <c r="T4867" s="1" t="s">
        <v>304</v>
      </c>
      <c r="U4867" s="1">
        <v>1.00623914E8</v>
      </c>
      <c r="X4867" s="1" t="s">
        <v>98</v>
      </c>
      <c r="Y4867" s="1" t="s">
        <v>8032</v>
      </c>
      <c r="Z4867" s="1" t="s">
        <v>37</v>
      </c>
    </row>
    <row r="4868" hidden="1">
      <c r="A4868" s="1" t="s">
        <v>13634</v>
      </c>
      <c r="B4868" s="1" t="s">
        <v>4929</v>
      </c>
      <c r="C4868" s="1" t="s">
        <v>13635</v>
      </c>
      <c r="D4868" s="1" t="s">
        <v>78</v>
      </c>
      <c r="E4868" s="1" t="s">
        <v>28</v>
      </c>
      <c r="F4868" s="2">
        <v>100000.0</v>
      </c>
      <c r="G4868" s="4">
        <v>44568.0</v>
      </c>
      <c r="H4868" s="4">
        <f>IFERROR(__xludf.DUMMYFUNCTION("DATE(INDEX(SPLIT(G4868,""/""),,3),INDEX(SPLIT(G4868,""/""),,2),INDEX(SPLIT(G4868,""/""),,1))"),44743.0)</f>
        <v>44743</v>
      </c>
      <c r="I4868" s="1" t="s">
        <v>42</v>
      </c>
      <c r="J4868" s="4">
        <f>IFERROR(__xludf.DUMMYFUNCTION("DATE(INDEX(SPLIT(I4868,""/""),,3),INDEX(SPLIT(I4868,""/""),,2),INDEX(SPLIT(I4868,""/""),,1))"),44926.0)</f>
        <v>44926</v>
      </c>
      <c r="L4868" s="1">
        <v>0.0</v>
      </c>
      <c r="M4868" s="1" t="s">
        <v>2568</v>
      </c>
      <c r="N4868" s="1"/>
      <c r="O4868" s="1" t="s">
        <v>30</v>
      </c>
      <c r="P4868" s="1" t="s">
        <v>31</v>
      </c>
      <c r="Q4868" s="1" t="s">
        <v>228</v>
      </c>
      <c r="R4868" s="1" t="s">
        <v>228</v>
      </c>
      <c r="S4868" s="1" t="s">
        <v>229</v>
      </c>
      <c r="T4868" s="1" t="s">
        <v>513</v>
      </c>
      <c r="U4868" s="1">
        <v>1.00659458E8</v>
      </c>
      <c r="X4868" s="1" t="s">
        <v>609</v>
      </c>
      <c r="Y4868" s="1" t="s">
        <v>2568</v>
      </c>
      <c r="Z4868" s="1" t="s">
        <v>37</v>
      </c>
    </row>
    <row r="4869" hidden="1">
      <c r="A4869" s="1" t="s">
        <v>13636</v>
      </c>
      <c r="B4869" s="1" t="s">
        <v>981</v>
      </c>
      <c r="C4869" s="1" t="s">
        <v>13637</v>
      </c>
      <c r="D4869" s="1" t="s">
        <v>27</v>
      </c>
      <c r="E4869" s="1" t="s">
        <v>28</v>
      </c>
      <c r="F4869" s="2">
        <v>100000.0</v>
      </c>
      <c r="G4869" s="4">
        <v>44351.0</v>
      </c>
      <c r="H4869" s="4">
        <f>IFERROR(__xludf.DUMMYFUNCTION("DATE(INDEX(SPLIT(G4869,""/""),,3),INDEX(SPLIT(G4869,""/""),,2),INDEX(SPLIT(G4869,""/""),,1))"),44292.0)</f>
        <v>44292</v>
      </c>
      <c r="I4869" s="1" t="s">
        <v>155</v>
      </c>
      <c r="J4869" s="4">
        <f>IFERROR(__xludf.DUMMYFUNCTION("DATE(INDEX(SPLIT(I4869,""/""),,3),INDEX(SPLIT(I4869,""/""),,2),INDEX(SPLIT(I4869,""/""),,1))"),45473.0)</f>
        <v>45473</v>
      </c>
      <c r="L4869" s="1">
        <v>0.0</v>
      </c>
      <c r="M4869" s="1" t="s">
        <v>1685</v>
      </c>
      <c r="N4869" s="1"/>
      <c r="O4869" s="1" t="s">
        <v>30</v>
      </c>
      <c r="P4869" s="1" t="s">
        <v>31</v>
      </c>
      <c r="Q4869" s="1" t="s">
        <v>228</v>
      </c>
      <c r="R4869" s="1" t="s">
        <v>228</v>
      </c>
      <c r="S4869" s="1" t="s">
        <v>229</v>
      </c>
      <c r="T4869" s="1" t="s">
        <v>513</v>
      </c>
      <c r="U4869" s="1">
        <v>1.00612055E8</v>
      </c>
      <c r="X4869" s="1" t="s">
        <v>490</v>
      </c>
      <c r="Y4869" s="1" t="s">
        <v>13638</v>
      </c>
      <c r="Z4869" s="1" t="s">
        <v>37</v>
      </c>
    </row>
    <row r="4870">
      <c r="A4870" s="1" t="s">
        <v>13639</v>
      </c>
      <c r="B4870" s="1" t="s">
        <v>6955</v>
      </c>
      <c r="C4870" s="1" t="s">
        <v>13640</v>
      </c>
      <c r="D4870" s="1" t="s">
        <v>78</v>
      </c>
      <c r="E4870" s="1" t="s">
        <v>28</v>
      </c>
      <c r="F4870" s="2">
        <v>100000.0</v>
      </c>
      <c r="G4870" s="4">
        <v>43748.0</v>
      </c>
      <c r="H4870" s="4">
        <f>IFERROR(__xludf.DUMMYFUNCTION("DATE(INDEX(SPLIT(G4870,""/""),,3),INDEX(SPLIT(G4870,""/""),,2),INDEX(SPLIT(G4870,""/""),,1))"),43748.0)</f>
        <v>43748</v>
      </c>
      <c r="I4870" s="1" t="s">
        <v>226</v>
      </c>
      <c r="J4870" s="4">
        <f>IFERROR(__xludf.DUMMYFUNCTION("DATE(INDEX(SPLIT(I4870,""/""),,3),INDEX(SPLIT(I4870,""/""),,2),INDEX(SPLIT(I4870,""/""),,1))"),44771.0)</f>
        <v>44771</v>
      </c>
      <c r="L4870" s="1">
        <v>0.0</v>
      </c>
      <c r="M4870" s="1" t="s">
        <v>12669</v>
      </c>
      <c r="N4870" s="1"/>
      <c r="O4870" s="1" t="s">
        <v>30</v>
      </c>
      <c r="P4870" s="1" t="s">
        <v>31</v>
      </c>
      <c r="Q4870" s="1" t="s">
        <v>228</v>
      </c>
      <c r="R4870" s="1" t="s">
        <v>228</v>
      </c>
      <c r="S4870" s="1" t="s">
        <v>229</v>
      </c>
      <c r="T4870" s="1" t="s">
        <v>640</v>
      </c>
      <c r="U4870" s="1">
        <v>1.00605616E8</v>
      </c>
      <c r="X4870" s="1" t="s">
        <v>239</v>
      </c>
      <c r="Y4870" s="1" t="s">
        <v>12669</v>
      </c>
      <c r="Z4870" s="1" t="s">
        <v>37</v>
      </c>
    </row>
    <row r="4871" hidden="1">
      <c r="A4871" s="1" t="s">
        <v>13641</v>
      </c>
      <c r="B4871" s="1" t="s">
        <v>923</v>
      </c>
      <c r="C4871" s="1" t="s">
        <v>13642</v>
      </c>
      <c r="D4871" s="1" t="s">
        <v>78</v>
      </c>
      <c r="E4871" s="1" t="s">
        <v>28</v>
      </c>
      <c r="F4871" s="2">
        <v>100000.0</v>
      </c>
      <c r="G4871" s="4">
        <v>44420.0</v>
      </c>
      <c r="H4871" s="4">
        <f>IFERROR(__xludf.DUMMYFUNCTION("DATE(INDEX(SPLIT(G4871,""/""),,3),INDEX(SPLIT(G4871,""/""),,2),INDEX(SPLIT(G4871,""/""),,1))"),44538.0)</f>
        <v>44538</v>
      </c>
      <c r="I4871" s="1" t="s">
        <v>7507</v>
      </c>
      <c r="J4871" s="4">
        <f>IFERROR(__xludf.DUMMYFUNCTION("DATE(INDEX(SPLIT(I4871,""/""),,3),INDEX(SPLIT(I4871,""/""),,2),INDEX(SPLIT(I4871,""/""),,1))"),44821.0)</f>
        <v>44821</v>
      </c>
      <c r="L4871" s="1">
        <v>0.0</v>
      </c>
      <c r="M4871" s="1" t="s">
        <v>3133</v>
      </c>
      <c r="N4871" s="1"/>
      <c r="O4871" s="1" t="s">
        <v>30</v>
      </c>
      <c r="P4871" s="1" t="s">
        <v>31</v>
      </c>
      <c r="Q4871" s="1" t="s">
        <v>228</v>
      </c>
      <c r="R4871" s="1" t="s">
        <v>228</v>
      </c>
      <c r="S4871" s="1" t="s">
        <v>229</v>
      </c>
      <c r="T4871" s="1" t="s">
        <v>513</v>
      </c>
      <c r="U4871" s="1">
        <v>1.00611158E8</v>
      </c>
      <c r="X4871" s="1" t="s">
        <v>74</v>
      </c>
      <c r="Y4871" s="1" t="s">
        <v>3133</v>
      </c>
      <c r="Z4871" s="1" t="s">
        <v>37</v>
      </c>
    </row>
    <row r="4872">
      <c r="A4872" s="1" t="s">
        <v>13643</v>
      </c>
      <c r="B4872" s="1" t="s">
        <v>4352</v>
      </c>
      <c r="C4872" s="1" t="s">
        <v>13644</v>
      </c>
      <c r="D4872" s="1" t="s">
        <v>27</v>
      </c>
      <c r="E4872" s="1" t="s">
        <v>28</v>
      </c>
      <c r="F4872" s="2">
        <v>100000.0</v>
      </c>
      <c r="G4872" s="4">
        <v>44420.0</v>
      </c>
      <c r="H4872" s="4">
        <f>IFERROR(__xludf.DUMMYFUNCTION("DATE(INDEX(SPLIT(G4872,""/""),,3),INDEX(SPLIT(G4872,""/""),,2),INDEX(SPLIT(G4872,""/""),,1))"),44538.0)</f>
        <v>44538</v>
      </c>
      <c r="I4872" s="4">
        <v>44568.0</v>
      </c>
      <c r="J4872" s="4">
        <f>IFERROR(__xludf.DUMMYFUNCTION("DATE(INDEX(SPLIT(I4872,""/""),,3),INDEX(SPLIT(I4872,""/""),,2),INDEX(SPLIT(I4872,""/""),,1))"),44743.0)</f>
        <v>44743</v>
      </c>
      <c r="L4872" s="1">
        <v>0.0</v>
      </c>
      <c r="M4872" s="1" t="s">
        <v>1552</v>
      </c>
      <c r="N4872" s="1"/>
      <c r="O4872" s="1" t="s">
        <v>30</v>
      </c>
      <c r="P4872" s="1" t="s">
        <v>31</v>
      </c>
      <c r="Q4872" s="1" t="s">
        <v>32</v>
      </c>
      <c r="R4872" s="1" t="s">
        <v>32</v>
      </c>
      <c r="S4872" s="1" t="s">
        <v>33</v>
      </c>
      <c r="T4872" s="1" t="s">
        <v>1195</v>
      </c>
      <c r="U4872" s="1">
        <v>1.00637597E8</v>
      </c>
      <c r="V4872" s="1" t="s">
        <v>13645</v>
      </c>
      <c r="W4872" s="1" t="s">
        <v>45</v>
      </c>
      <c r="X4872" s="1" t="s">
        <v>490</v>
      </c>
      <c r="Y4872" s="1" t="s">
        <v>1552</v>
      </c>
      <c r="Z4872" s="1" t="s">
        <v>37</v>
      </c>
    </row>
    <row r="4873" hidden="1">
      <c r="A4873" s="1" t="s">
        <v>13646</v>
      </c>
      <c r="B4873" s="1" t="s">
        <v>1916</v>
      </c>
      <c r="C4873" s="1" t="s">
        <v>11861</v>
      </c>
      <c r="D4873" s="1" t="s">
        <v>122</v>
      </c>
      <c r="E4873" s="1" t="s">
        <v>28</v>
      </c>
      <c r="F4873" s="2">
        <v>100000.0</v>
      </c>
      <c r="G4873" s="1" t="s">
        <v>343</v>
      </c>
      <c r="H4873" s="4">
        <f>IFERROR(__xludf.DUMMYFUNCTION("DATE(INDEX(SPLIT(G4873,""/""),,3),INDEX(SPLIT(G4873,""/""),,2),INDEX(SPLIT(G4873,""/""),,1))"),44761.0)</f>
        <v>44761</v>
      </c>
      <c r="I4873" s="1" t="s">
        <v>130</v>
      </c>
      <c r="J4873" s="4">
        <f>IFERROR(__xludf.DUMMYFUNCTION("DATE(INDEX(SPLIT(I4873,""/""),,3),INDEX(SPLIT(I4873,""/""),,2),INDEX(SPLIT(I4873,""/""),,1))"),44804.0)</f>
        <v>44804</v>
      </c>
      <c r="L4873" s="1">
        <v>0.0</v>
      </c>
      <c r="M4873" s="1" t="s">
        <v>11190</v>
      </c>
      <c r="N4873" s="1"/>
      <c r="O4873" s="1" t="s">
        <v>30</v>
      </c>
      <c r="P4873" s="1" t="s">
        <v>31</v>
      </c>
      <c r="Q4873" s="1" t="s">
        <v>228</v>
      </c>
      <c r="R4873" s="1" t="s">
        <v>228</v>
      </c>
      <c r="S4873" s="1" t="s">
        <v>229</v>
      </c>
      <c r="T4873" s="1" t="s">
        <v>513</v>
      </c>
      <c r="U4873" s="1">
        <v>1.00608136E8</v>
      </c>
      <c r="X4873" s="1" t="s">
        <v>98</v>
      </c>
      <c r="Y4873" s="1" t="s">
        <v>13647</v>
      </c>
      <c r="Z4873" s="1" t="s">
        <v>37</v>
      </c>
    </row>
    <row r="4874" hidden="1">
      <c r="A4874" s="1" t="s">
        <v>13648</v>
      </c>
      <c r="B4874" s="1" t="s">
        <v>4013</v>
      </c>
      <c r="C4874" s="1" t="s">
        <v>13649</v>
      </c>
      <c r="D4874" s="1" t="s">
        <v>27</v>
      </c>
      <c r="E4874" s="1" t="s">
        <v>28</v>
      </c>
      <c r="F4874" s="2">
        <v>100000.0</v>
      </c>
      <c r="G4874" s="4">
        <v>44626.0</v>
      </c>
      <c r="H4874" s="4">
        <f>IFERROR(__xludf.DUMMYFUNCTION("DATE(INDEX(SPLIT(G4874,""/""),,3),INDEX(SPLIT(G4874,""/""),,2),INDEX(SPLIT(G4874,""/""),,1))"),44715.0)</f>
        <v>44715</v>
      </c>
      <c r="I4874" s="1" t="s">
        <v>6544</v>
      </c>
      <c r="J4874" s="4">
        <f>IFERROR(__xludf.DUMMYFUNCTION("DATE(INDEX(SPLIT(I4874,""/""),,3),INDEX(SPLIT(I4874,""/""),,2),INDEX(SPLIT(I4874,""/""),,1))"),44939.0)</f>
        <v>44939</v>
      </c>
      <c r="L4874" s="1">
        <v>0.0</v>
      </c>
      <c r="M4874" s="1" t="s">
        <v>3794</v>
      </c>
      <c r="N4874" s="1"/>
      <c r="O4874" s="1" t="s">
        <v>30</v>
      </c>
      <c r="P4874" s="1" t="s">
        <v>31</v>
      </c>
      <c r="Q4874" s="1" t="s">
        <v>32</v>
      </c>
      <c r="R4874" s="1" t="s">
        <v>32</v>
      </c>
      <c r="S4874" s="1" t="s">
        <v>33</v>
      </c>
      <c r="U4874" s="1">
        <v>1.00658994E8</v>
      </c>
      <c r="X4874" s="1" t="s">
        <v>190</v>
      </c>
      <c r="Y4874" s="1" t="s">
        <v>3794</v>
      </c>
      <c r="Z4874" s="1" t="s">
        <v>206</v>
      </c>
    </row>
    <row r="4875" hidden="1">
      <c r="A4875" s="1" t="s">
        <v>13650</v>
      </c>
      <c r="B4875" s="1" t="s">
        <v>4013</v>
      </c>
      <c r="C4875" s="1" t="s">
        <v>13651</v>
      </c>
      <c r="D4875" s="1" t="s">
        <v>27</v>
      </c>
      <c r="E4875" s="1" t="s">
        <v>28</v>
      </c>
      <c r="F4875" s="2">
        <v>100000.0</v>
      </c>
      <c r="G4875" s="4">
        <v>44626.0</v>
      </c>
      <c r="H4875" s="4">
        <f>IFERROR(__xludf.DUMMYFUNCTION("DATE(INDEX(SPLIT(G4875,""/""),,3),INDEX(SPLIT(G4875,""/""),,2),INDEX(SPLIT(G4875,""/""),,1))"),44715.0)</f>
        <v>44715</v>
      </c>
      <c r="I4875" s="1" t="s">
        <v>6544</v>
      </c>
      <c r="J4875" s="4">
        <f>IFERROR(__xludf.DUMMYFUNCTION("DATE(INDEX(SPLIT(I4875,""/""),,3),INDEX(SPLIT(I4875,""/""),,2),INDEX(SPLIT(I4875,""/""),,1))"),44939.0)</f>
        <v>44939</v>
      </c>
      <c r="L4875" s="1">
        <v>0.0</v>
      </c>
      <c r="M4875" s="1" t="s">
        <v>3794</v>
      </c>
      <c r="N4875" s="1"/>
      <c r="O4875" s="1" t="s">
        <v>30</v>
      </c>
      <c r="P4875" s="1" t="s">
        <v>31</v>
      </c>
      <c r="Q4875" s="1" t="s">
        <v>32</v>
      </c>
      <c r="R4875" s="1" t="s">
        <v>32</v>
      </c>
      <c r="S4875" s="1" t="s">
        <v>33</v>
      </c>
      <c r="U4875" s="1">
        <v>1.00658994E8</v>
      </c>
      <c r="X4875" s="1" t="s">
        <v>190</v>
      </c>
      <c r="Y4875" s="1" t="s">
        <v>3794</v>
      </c>
      <c r="Z4875" s="1" t="s">
        <v>206</v>
      </c>
    </row>
    <row r="4876" hidden="1">
      <c r="A4876" s="1" t="s">
        <v>13652</v>
      </c>
      <c r="B4876" s="1" t="s">
        <v>7557</v>
      </c>
      <c r="C4876" s="1" t="s">
        <v>4443</v>
      </c>
      <c r="D4876" s="1" t="s">
        <v>27</v>
      </c>
      <c r="E4876" s="1" t="s">
        <v>28</v>
      </c>
      <c r="F4876" s="2">
        <v>100000.0</v>
      </c>
      <c r="G4876" s="1" t="s">
        <v>458</v>
      </c>
      <c r="H4876" s="4">
        <f>IFERROR(__xludf.DUMMYFUNCTION("DATE(INDEX(SPLIT(G4876,""/""),,3),INDEX(SPLIT(G4876,""/""),,2),INDEX(SPLIT(G4876,""/""),,1))"),44649.0)</f>
        <v>44649</v>
      </c>
      <c r="I4876" s="1" t="s">
        <v>109</v>
      </c>
      <c r="J4876" s="4">
        <f>IFERROR(__xludf.DUMMYFUNCTION("DATE(INDEX(SPLIT(I4876,""/""),,3),INDEX(SPLIT(I4876,""/""),,2),INDEX(SPLIT(I4876,""/""),,1))"),44834.0)</f>
        <v>44834</v>
      </c>
      <c r="L4876" s="1">
        <v>0.0</v>
      </c>
      <c r="M4876" s="1" t="s">
        <v>1088</v>
      </c>
      <c r="N4876" s="1"/>
      <c r="O4876" s="1" t="s">
        <v>30</v>
      </c>
      <c r="P4876" s="1" t="s">
        <v>31</v>
      </c>
      <c r="Q4876" s="1" t="s">
        <v>71</v>
      </c>
      <c r="R4876" s="1" t="s">
        <v>71</v>
      </c>
      <c r="S4876" s="1" t="s">
        <v>72</v>
      </c>
      <c r="T4876" s="1" t="s">
        <v>136</v>
      </c>
      <c r="U4876" s="1">
        <v>1.0090037E8</v>
      </c>
      <c r="X4876" s="1" t="s">
        <v>74</v>
      </c>
      <c r="Y4876" s="1" t="s">
        <v>4444</v>
      </c>
      <c r="Z4876" s="1" t="s">
        <v>37</v>
      </c>
    </row>
    <row r="4877" hidden="1">
      <c r="A4877" s="1" t="s">
        <v>13653</v>
      </c>
      <c r="B4877" s="1" t="s">
        <v>948</v>
      </c>
      <c r="C4877" s="1" t="s">
        <v>13654</v>
      </c>
      <c r="D4877" s="1" t="s">
        <v>78</v>
      </c>
      <c r="E4877" s="1" t="s">
        <v>28</v>
      </c>
      <c r="F4877" s="2">
        <v>100000.0</v>
      </c>
      <c r="G4877" s="1" t="s">
        <v>10406</v>
      </c>
      <c r="H4877" s="4">
        <f>IFERROR(__xludf.DUMMYFUNCTION("DATE(INDEX(SPLIT(G4877,""/""),,3),INDEX(SPLIT(G4877,""/""),,2),INDEX(SPLIT(G4877,""/""),,1))"),44300.0)</f>
        <v>44300</v>
      </c>
      <c r="I4877" s="1" t="s">
        <v>130</v>
      </c>
      <c r="J4877" s="4">
        <f>IFERROR(__xludf.DUMMYFUNCTION("DATE(INDEX(SPLIT(I4877,""/""),,3),INDEX(SPLIT(I4877,""/""),,2),INDEX(SPLIT(I4877,""/""),,1))"),44804.0)</f>
        <v>44804</v>
      </c>
      <c r="L4877" s="1">
        <v>0.0</v>
      </c>
      <c r="M4877" s="1" t="s">
        <v>5020</v>
      </c>
      <c r="N4877" s="1"/>
      <c r="O4877" s="1" t="s">
        <v>30</v>
      </c>
      <c r="P4877" s="1" t="s">
        <v>31</v>
      </c>
      <c r="Q4877" s="1" t="s">
        <v>157</v>
      </c>
      <c r="R4877" s="1" t="s">
        <v>157</v>
      </c>
      <c r="S4877" s="1" t="s">
        <v>158</v>
      </c>
      <c r="T4877" s="1" t="s">
        <v>159</v>
      </c>
      <c r="U4877" s="1">
        <v>1.0064746E8</v>
      </c>
      <c r="X4877" s="1" t="s">
        <v>74</v>
      </c>
      <c r="Y4877" s="1" t="s">
        <v>5020</v>
      </c>
      <c r="Z4877" s="1" t="s">
        <v>37</v>
      </c>
    </row>
    <row r="4878" hidden="1">
      <c r="A4878" s="1" t="s">
        <v>13655</v>
      </c>
      <c r="B4878" s="1" t="s">
        <v>4988</v>
      </c>
      <c r="C4878" s="1" t="s">
        <v>13656</v>
      </c>
      <c r="D4878" s="1" t="s">
        <v>27</v>
      </c>
      <c r="E4878" s="1" t="s">
        <v>28</v>
      </c>
      <c r="F4878" s="2">
        <v>100000.0</v>
      </c>
      <c r="G4878" s="1" t="s">
        <v>13657</v>
      </c>
      <c r="H4878" s="4">
        <f>IFERROR(__xludf.DUMMYFUNCTION("DATE(INDEX(SPLIT(G4878,""/""),,3),INDEX(SPLIT(G4878,""/""),,2),INDEX(SPLIT(G4878,""/""),,1))"),44091.0)</f>
        <v>44091</v>
      </c>
      <c r="I4878" s="1" t="s">
        <v>85</v>
      </c>
      <c r="J4878" s="4">
        <f>IFERROR(__xludf.DUMMYFUNCTION("DATE(INDEX(SPLIT(I4878,""/""),,3),INDEX(SPLIT(I4878,""/""),,2),INDEX(SPLIT(I4878,""/""),,1))"),44799.0)</f>
        <v>44799</v>
      </c>
      <c r="L4878" s="1">
        <v>0.0</v>
      </c>
      <c r="M4878" s="1" t="s">
        <v>1904</v>
      </c>
      <c r="N4878" s="1"/>
      <c r="O4878" s="1" t="s">
        <v>30</v>
      </c>
      <c r="P4878" s="1" t="s">
        <v>31</v>
      </c>
      <c r="Q4878" s="1" t="s">
        <v>95</v>
      </c>
      <c r="R4878" s="1" t="s">
        <v>95</v>
      </c>
      <c r="S4878" s="1" t="s">
        <v>96</v>
      </c>
      <c r="T4878" s="1" t="s">
        <v>55</v>
      </c>
      <c r="U4878" s="1">
        <v>1.0059365E8</v>
      </c>
      <c r="X4878" s="1" t="s">
        <v>410</v>
      </c>
      <c r="Y4878" s="1" t="s">
        <v>13658</v>
      </c>
      <c r="Z4878" s="1" t="s">
        <v>37</v>
      </c>
    </row>
    <row r="4879" hidden="1">
      <c r="A4879" s="1" t="s">
        <v>13659</v>
      </c>
      <c r="B4879" s="1" t="s">
        <v>2070</v>
      </c>
      <c r="C4879" s="1" t="s">
        <v>4443</v>
      </c>
      <c r="D4879" s="1" t="s">
        <v>27</v>
      </c>
      <c r="E4879" s="1" t="s">
        <v>28</v>
      </c>
      <c r="F4879" s="2">
        <v>100000.0</v>
      </c>
      <c r="G4879" s="1" t="s">
        <v>458</v>
      </c>
      <c r="H4879" s="4">
        <f>IFERROR(__xludf.DUMMYFUNCTION("DATE(INDEX(SPLIT(G4879,""/""),,3),INDEX(SPLIT(G4879,""/""),,2),INDEX(SPLIT(G4879,""/""),,1))"),44649.0)</f>
        <v>44649</v>
      </c>
      <c r="I4879" s="1" t="s">
        <v>109</v>
      </c>
      <c r="J4879" s="4">
        <f>IFERROR(__xludf.DUMMYFUNCTION("DATE(INDEX(SPLIT(I4879,""/""),,3),INDEX(SPLIT(I4879,""/""),,2),INDEX(SPLIT(I4879,""/""),,1))"),44834.0)</f>
        <v>44834</v>
      </c>
      <c r="L4879" s="1">
        <v>0.0</v>
      </c>
      <c r="M4879" s="1" t="s">
        <v>1088</v>
      </c>
      <c r="N4879" s="1"/>
      <c r="O4879" s="1" t="s">
        <v>30</v>
      </c>
      <c r="P4879" s="1" t="s">
        <v>31</v>
      </c>
      <c r="Q4879" s="1" t="s">
        <v>71</v>
      </c>
      <c r="R4879" s="1" t="s">
        <v>71</v>
      </c>
      <c r="S4879" s="1" t="s">
        <v>72</v>
      </c>
      <c r="T4879" s="1" t="s">
        <v>136</v>
      </c>
      <c r="U4879" s="1">
        <v>1.0090037E8</v>
      </c>
      <c r="X4879" s="1" t="s">
        <v>74</v>
      </c>
      <c r="Y4879" s="1" t="s">
        <v>4444</v>
      </c>
      <c r="Z4879" s="1" t="s">
        <v>37</v>
      </c>
    </row>
    <row r="4880" hidden="1">
      <c r="A4880" s="1" t="s">
        <v>13660</v>
      </c>
      <c r="B4880" s="1" t="s">
        <v>981</v>
      </c>
      <c r="C4880" s="1" t="s">
        <v>13661</v>
      </c>
      <c r="D4880" s="1" t="s">
        <v>27</v>
      </c>
      <c r="E4880" s="1" t="s">
        <v>28</v>
      </c>
      <c r="F4880" s="2">
        <v>100000.0</v>
      </c>
      <c r="G4880" s="4">
        <v>44717.0</v>
      </c>
      <c r="H4880" s="4">
        <f>IFERROR(__xludf.DUMMYFUNCTION("DATE(INDEX(SPLIT(G4880,""/""),,3),INDEX(SPLIT(G4880,""/""),,2),INDEX(SPLIT(G4880,""/""),,1))"),44687.0)</f>
        <v>44687</v>
      </c>
      <c r="I4880" s="1" t="s">
        <v>171</v>
      </c>
      <c r="J4880" s="4">
        <f>IFERROR(__xludf.DUMMYFUNCTION("DATE(INDEX(SPLIT(I4880,""/""),,3),INDEX(SPLIT(I4880,""/""),,2),INDEX(SPLIT(I4880,""/""),,1))"),45077.0)</f>
        <v>45077</v>
      </c>
      <c r="L4880" s="1">
        <v>0.0</v>
      </c>
      <c r="M4880" s="1" t="s">
        <v>984</v>
      </c>
      <c r="N4880" s="1"/>
      <c r="O4880" s="1" t="s">
        <v>30</v>
      </c>
      <c r="P4880" s="1" t="s">
        <v>31</v>
      </c>
      <c r="Q4880" s="1" t="s">
        <v>157</v>
      </c>
      <c r="R4880" s="1" t="s">
        <v>157</v>
      </c>
      <c r="S4880" s="1" t="s">
        <v>158</v>
      </c>
      <c r="U4880" s="1">
        <v>1.00611358E8</v>
      </c>
      <c r="X4880" s="1" t="s">
        <v>490</v>
      </c>
      <c r="Y4880" s="1" t="s">
        <v>985</v>
      </c>
      <c r="Z4880" s="1" t="s">
        <v>37</v>
      </c>
    </row>
    <row r="4881" hidden="1">
      <c r="A4881" s="1" t="s">
        <v>13662</v>
      </c>
      <c r="B4881" s="1" t="s">
        <v>8788</v>
      </c>
      <c r="C4881" s="1" t="s">
        <v>13663</v>
      </c>
      <c r="D4881" s="1" t="s">
        <v>27</v>
      </c>
      <c r="E4881" s="1" t="s">
        <v>28</v>
      </c>
      <c r="F4881" s="2">
        <v>100000.0</v>
      </c>
      <c r="G4881" s="1" t="s">
        <v>523</v>
      </c>
      <c r="H4881" s="4">
        <f>IFERROR(__xludf.DUMMYFUNCTION("DATE(INDEX(SPLIT(G4881,""/""),,3),INDEX(SPLIT(G4881,""/""),,2),INDEX(SPLIT(G4881,""/""),,1))"),44517.0)</f>
        <v>44517</v>
      </c>
      <c r="I4881" s="1" t="s">
        <v>1097</v>
      </c>
      <c r="J4881" s="4">
        <f>IFERROR(__xludf.DUMMYFUNCTION("DATE(INDEX(SPLIT(I4881,""/""),,3),INDEX(SPLIT(I4881,""/""),,2),INDEX(SPLIT(I4881,""/""),,1))"),45107.0)</f>
        <v>45107</v>
      </c>
      <c r="L4881" s="1">
        <v>0.0</v>
      </c>
      <c r="M4881" s="1" t="s">
        <v>2072</v>
      </c>
      <c r="N4881" s="1"/>
      <c r="O4881" s="1" t="s">
        <v>30</v>
      </c>
      <c r="P4881" s="1" t="s">
        <v>31</v>
      </c>
      <c r="Q4881" s="1" t="s">
        <v>71</v>
      </c>
      <c r="R4881" s="1" t="s">
        <v>71</v>
      </c>
      <c r="S4881" s="1" t="s">
        <v>72</v>
      </c>
      <c r="T4881" s="1" t="s">
        <v>136</v>
      </c>
      <c r="U4881" s="1">
        <v>1.00628181E8</v>
      </c>
      <c r="X4881" s="1" t="s">
        <v>74</v>
      </c>
      <c r="Y4881" s="1" t="s">
        <v>2072</v>
      </c>
      <c r="Z4881" s="1" t="s">
        <v>37</v>
      </c>
    </row>
    <row r="4882" hidden="1">
      <c r="A4882" s="1" t="s">
        <v>13664</v>
      </c>
      <c r="B4882" s="1" t="s">
        <v>1606</v>
      </c>
      <c r="C4882" s="1" t="s">
        <v>13665</v>
      </c>
      <c r="D4882" s="1" t="s">
        <v>27</v>
      </c>
      <c r="E4882" s="1" t="s">
        <v>28</v>
      </c>
      <c r="F4882" s="2">
        <v>100000.0</v>
      </c>
      <c r="G4882" s="1" t="s">
        <v>523</v>
      </c>
      <c r="H4882" s="4">
        <f>IFERROR(__xludf.DUMMYFUNCTION("DATE(INDEX(SPLIT(G4882,""/""),,3),INDEX(SPLIT(G4882,""/""),,2),INDEX(SPLIT(G4882,""/""),,1))"),44517.0)</f>
        <v>44517</v>
      </c>
      <c r="I4882" s="1" t="s">
        <v>203</v>
      </c>
      <c r="J4882" s="4">
        <f>IFERROR(__xludf.DUMMYFUNCTION("DATE(INDEX(SPLIT(I4882,""/""),,3),INDEX(SPLIT(I4882,""/""),,2),INDEX(SPLIT(I4882,""/""),,1))"),44925.0)</f>
        <v>44925</v>
      </c>
      <c r="L4882" s="1">
        <v>0.0</v>
      </c>
      <c r="M4882" s="1" t="s">
        <v>2072</v>
      </c>
      <c r="N4882" s="1"/>
      <c r="O4882" s="1" t="s">
        <v>30</v>
      </c>
      <c r="P4882" s="1" t="s">
        <v>31</v>
      </c>
      <c r="Q4882" s="1" t="s">
        <v>71</v>
      </c>
      <c r="R4882" s="1" t="s">
        <v>71</v>
      </c>
      <c r="S4882" s="1" t="s">
        <v>72</v>
      </c>
      <c r="T4882" s="1" t="s">
        <v>136</v>
      </c>
      <c r="U4882" s="1">
        <v>1.00628181E8</v>
      </c>
      <c r="X4882" s="1" t="s">
        <v>74</v>
      </c>
      <c r="Y4882" s="1" t="s">
        <v>2072</v>
      </c>
      <c r="Z4882" s="1" t="s">
        <v>37</v>
      </c>
    </row>
    <row r="4883">
      <c r="A4883" s="1" t="s">
        <v>13666</v>
      </c>
      <c r="B4883" s="1" t="s">
        <v>13667</v>
      </c>
      <c r="C4883" s="1" t="s">
        <v>13668</v>
      </c>
      <c r="D4883" s="1" t="s">
        <v>78</v>
      </c>
      <c r="E4883" s="1" t="s">
        <v>28</v>
      </c>
      <c r="F4883" s="2">
        <v>100000.0</v>
      </c>
      <c r="G4883" s="1" t="s">
        <v>458</v>
      </c>
      <c r="H4883" s="4">
        <f>IFERROR(__xludf.DUMMYFUNCTION("DATE(INDEX(SPLIT(G4883,""/""),,3),INDEX(SPLIT(G4883,""/""),,2),INDEX(SPLIT(G4883,""/""),,1))"),44649.0)</f>
        <v>44649</v>
      </c>
      <c r="I4883" s="1" t="s">
        <v>414</v>
      </c>
      <c r="J4883" s="4">
        <f>IFERROR(__xludf.DUMMYFUNCTION("DATE(INDEX(SPLIT(I4883,""/""),,3),INDEX(SPLIT(I4883,""/""),,2),INDEX(SPLIT(I4883,""/""),,1))"),44772.0)</f>
        <v>44772</v>
      </c>
      <c r="L4883" s="1">
        <v>0.0</v>
      </c>
      <c r="M4883" s="1" t="s">
        <v>5017</v>
      </c>
      <c r="N4883" s="1"/>
      <c r="O4883" s="1" t="s">
        <v>30</v>
      </c>
      <c r="P4883" s="1" t="s">
        <v>31</v>
      </c>
      <c r="Q4883" s="1" t="s">
        <v>228</v>
      </c>
      <c r="R4883" s="1" t="s">
        <v>228</v>
      </c>
      <c r="S4883" s="1" t="s">
        <v>229</v>
      </c>
      <c r="T4883" s="1" t="s">
        <v>513</v>
      </c>
      <c r="U4883" s="1">
        <v>1.00620023E8</v>
      </c>
      <c r="X4883" s="1" t="s">
        <v>2769</v>
      </c>
      <c r="Y4883" s="1" t="s">
        <v>11795</v>
      </c>
      <c r="Z4883" s="1" t="s">
        <v>37</v>
      </c>
    </row>
    <row r="4884" hidden="1">
      <c r="A4884" s="1" t="s">
        <v>13669</v>
      </c>
      <c r="B4884" s="1" t="s">
        <v>1042</v>
      </c>
      <c r="C4884" s="1" t="s">
        <v>13670</v>
      </c>
      <c r="D4884" s="1" t="s">
        <v>122</v>
      </c>
      <c r="E4884" s="1" t="s">
        <v>28</v>
      </c>
      <c r="F4884" s="2">
        <v>100000.0</v>
      </c>
      <c r="G4884" s="4">
        <v>44239.0</v>
      </c>
      <c r="H4884" s="4">
        <f>IFERROR(__xludf.DUMMYFUNCTION("DATE(INDEX(SPLIT(G4884,""/""),,3),INDEX(SPLIT(G4884,""/""),,2),INDEX(SPLIT(G4884,""/""),,1))"),44532.0)</f>
        <v>44532</v>
      </c>
      <c r="I4884" s="1" t="s">
        <v>360</v>
      </c>
      <c r="J4884" s="4">
        <f>IFERROR(__xludf.DUMMYFUNCTION("DATE(INDEX(SPLIT(I4884,""/""),,3),INDEX(SPLIT(I4884,""/""),,2),INDEX(SPLIT(I4884,""/""),,1))"),44895.0)</f>
        <v>44895</v>
      </c>
      <c r="L4884" s="1">
        <v>0.0</v>
      </c>
      <c r="M4884" s="1" t="s">
        <v>3123</v>
      </c>
      <c r="N4884" s="1"/>
      <c r="O4884" s="1" t="s">
        <v>30</v>
      </c>
      <c r="P4884" s="1" t="s">
        <v>31</v>
      </c>
      <c r="Q4884" s="1" t="s">
        <v>157</v>
      </c>
      <c r="R4884" s="1" t="s">
        <v>157</v>
      </c>
      <c r="S4884" s="1" t="s">
        <v>158</v>
      </c>
      <c r="U4884" s="1">
        <v>1.00875111E8</v>
      </c>
      <c r="X4884" s="1" t="s">
        <v>88</v>
      </c>
      <c r="Y4884" s="1" t="s">
        <v>13671</v>
      </c>
      <c r="Z4884" s="1" t="s">
        <v>37</v>
      </c>
    </row>
    <row r="4885" hidden="1">
      <c r="A4885" s="1" t="s">
        <v>13672</v>
      </c>
      <c r="B4885" s="1" t="s">
        <v>2012</v>
      </c>
      <c r="C4885" s="1" t="s">
        <v>13673</v>
      </c>
      <c r="D4885" s="1" t="s">
        <v>27</v>
      </c>
      <c r="E4885" s="1" t="s">
        <v>28</v>
      </c>
      <c r="F4885" s="2">
        <v>100000.0</v>
      </c>
      <c r="G4885" s="1" t="s">
        <v>523</v>
      </c>
      <c r="H4885" s="4">
        <f>IFERROR(__xludf.DUMMYFUNCTION("DATE(INDEX(SPLIT(G4885,""/""),,3),INDEX(SPLIT(G4885,""/""),,2),INDEX(SPLIT(G4885,""/""),,1))"),44517.0)</f>
        <v>44517</v>
      </c>
      <c r="I4885" s="1" t="s">
        <v>569</v>
      </c>
      <c r="J4885" s="4">
        <f>IFERROR(__xludf.DUMMYFUNCTION("DATE(INDEX(SPLIT(I4885,""/""),,3),INDEX(SPLIT(I4885,""/""),,2),INDEX(SPLIT(I4885,""/""),,1))"),45016.0)</f>
        <v>45016</v>
      </c>
      <c r="L4885" s="1">
        <v>0.0</v>
      </c>
      <c r="M4885" s="1" t="s">
        <v>2072</v>
      </c>
      <c r="N4885" s="1"/>
      <c r="O4885" s="1" t="s">
        <v>30</v>
      </c>
      <c r="P4885" s="1" t="s">
        <v>31</v>
      </c>
      <c r="Q4885" s="1" t="s">
        <v>71</v>
      </c>
      <c r="R4885" s="1" t="s">
        <v>71</v>
      </c>
      <c r="S4885" s="1" t="s">
        <v>72</v>
      </c>
      <c r="T4885" s="1" t="s">
        <v>136</v>
      </c>
      <c r="U4885" s="1">
        <v>1.00628181E8</v>
      </c>
      <c r="X4885" s="1" t="s">
        <v>74</v>
      </c>
      <c r="Y4885" s="1" t="s">
        <v>2072</v>
      </c>
      <c r="Z4885" s="1" t="s">
        <v>37</v>
      </c>
    </row>
    <row r="4886" hidden="1">
      <c r="A4886" s="1" t="s">
        <v>13674</v>
      </c>
      <c r="B4886" s="1" t="s">
        <v>12008</v>
      </c>
      <c r="C4886" s="1" t="s">
        <v>13675</v>
      </c>
      <c r="D4886" s="1" t="s">
        <v>27</v>
      </c>
      <c r="E4886" s="1" t="s">
        <v>28</v>
      </c>
      <c r="F4886" s="2">
        <v>100000.0</v>
      </c>
      <c r="G4886" s="1" t="s">
        <v>523</v>
      </c>
      <c r="H4886" s="4">
        <f>IFERROR(__xludf.DUMMYFUNCTION("DATE(INDEX(SPLIT(G4886,""/""),,3),INDEX(SPLIT(G4886,""/""),,2),INDEX(SPLIT(G4886,""/""),,1))"),44517.0)</f>
        <v>44517</v>
      </c>
      <c r="I4886" s="1" t="s">
        <v>109</v>
      </c>
      <c r="J4886" s="4">
        <f>IFERROR(__xludf.DUMMYFUNCTION("DATE(INDEX(SPLIT(I4886,""/""),,3),INDEX(SPLIT(I4886,""/""),,2),INDEX(SPLIT(I4886,""/""),,1))"),44834.0)</f>
        <v>44834</v>
      </c>
      <c r="L4886" s="1">
        <v>0.0</v>
      </c>
      <c r="M4886" s="1" t="s">
        <v>2072</v>
      </c>
      <c r="N4886" s="1"/>
      <c r="O4886" s="1" t="s">
        <v>30</v>
      </c>
      <c r="P4886" s="1" t="s">
        <v>31</v>
      </c>
      <c r="Q4886" s="1" t="s">
        <v>71</v>
      </c>
      <c r="R4886" s="1" t="s">
        <v>71</v>
      </c>
      <c r="S4886" s="1" t="s">
        <v>72</v>
      </c>
      <c r="T4886" s="1" t="s">
        <v>136</v>
      </c>
      <c r="U4886" s="1">
        <v>1.00628181E8</v>
      </c>
      <c r="X4886" s="1" t="s">
        <v>74</v>
      </c>
      <c r="Y4886" s="1" t="s">
        <v>2072</v>
      </c>
      <c r="Z4886" s="1" t="s">
        <v>37</v>
      </c>
    </row>
    <row r="4887" hidden="1">
      <c r="A4887" s="1" t="s">
        <v>13676</v>
      </c>
      <c r="B4887" s="1" t="s">
        <v>923</v>
      </c>
      <c r="C4887" s="1" t="s">
        <v>13677</v>
      </c>
      <c r="D4887" s="1" t="s">
        <v>122</v>
      </c>
      <c r="E4887" s="1" t="s">
        <v>28</v>
      </c>
      <c r="F4887" s="2">
        <v>100000.0</v>
      </c>
      <c r="G4887" s="4">
        <v>44744.0</v>
      </c>
      <c r="H4887" s="4">
        <f>IFERROR(__xludf.DUMMYFUNCTION("DATE(INDEX(SPLIT(G4887,""/""),,3),INDEX(SPLIT(G4887,""/""),,2),INDEX(SPLIT(G4887,""/""),,1))"),44599.0)</f>
        <v>44599</v>
      </c>
      <c r="I4887" s="1" t="s">
        <v>317</v>
      </c>
      <c r="J4887" s="4">
        <f>IFERROR(__xludf.DUMMYFUNCTION("DATE(INDEX(SPLIT(I4887,""/""),,3),INDEX(SPLIT(I4887,""/""),,2),INDEX(SPLIT(I4887,""/""),,1))"),44862.0)</f>
        <v>44862</v>
      </c>
      <c r="L4887" s="1">
        <v>0.0</v>
      </c>
      <c r="M4887" s="1" t="s">
        <v>5636</v>
      </c>
      <c r="N4887" s="1"/>
      <c r="O4887" s="1" t="s">
        <v>30</v>
      </c>
      <c r="P4887" s="1" t="s">
        <v>31</v>
      </c>
      <c r="Q4887" s="1" t="s">
        <v>228</v>
      </c>
      <c r="R4887" s="1" t="s">
        <v>228</v>
      </c>
      <c r="S4887" s="1" t="s">
        <v>229</v>
      </c>
      <c r="T4887" s="1" t="s">
        <v>513</v>
      </c>
      <c r="U4887" s="1">
        <v>1.00605581E8</v>
      </c>
      <c r="X4887" s="1" t="s">
        <v>74</v>
      </c>
      <c r="Y4887" s="1" t="s">
        <v>3133</v>
      </c>
      <c r="Z4887" s="1" t="s">
        <v>37</v>
      </c>
    </row>
    <row r="4888" hidden="1">
      <c r="A4888" s="1" t="s">
        <v>13678</v>
      </c>
      <c r="B4888" s="1" t="s">
        <v>2558</v>
      </c>
      <c r="C4888" s="1" t="s">
        <v>13679</v>
      </c>
      <c r="D4888" s="1" t="s">
        <v>27</v>
      </c>
      <c r="E4888" s="1" t="s">
        <v>28</v>
      </c>
      <c r="F4888" s="2">
        <v>100000.0</v>
      </c>
      <c r="G4888" s="1" t="s">
        <v>523</v>
      </c>
      <c r="H4888" s="4">
        <f>IFERROR(__xludf.DUMMYFUNCTION("DATE(INDEX(SPLIT(G4888,""/""),,3),INDEX(SPLIT(G4888,""/""),,2),INDEX(SPLIT(G4888,""/""),,1))"),44517.0)</f>
        <v>44517</v>
      </c>
      <c r="I4888" s="1" t="s">
        <v>203</v>
      </c>
      <c r="J4888" s="4">
        <f>IFERROR(__xludf.DUMMYFUNCTION("DATE(INDEX(SPLIT(I4888,""/""),,3),INDEX(SPLIT(I4888,""/""),,2),INDEX(SPLIT(I4888,""/""),,1))"),44925.0)</f>
        <v>44925</v>
      </c>
      <c r="L4888" s="1">
        <v>0.0</v>
      </c>
      <c r="M4888" s="1" t="s">
        <v>2072</v>
      </c>
      <c r="N4888" s="1"/>
      <c r="O4888" s="1" t="s">
        <v>30</v>
      </c>
      <c r="P4888" s="1" t="s">
        <v>31</v>
      </c>
      <c r="Q4888" s="1" t="s">
        <v>71</v>
      </c>
      <c r="R4888" s="1" t="s">
        <v>71</v>
      </c>
      <c r="S4888" s="1" t="s">
        <v>72</v>
      </c>
      <c r="T4888" s="1" t="s">
        <v>136</v>
      </c>
      <c r="U4888" s="1">
        <v>1.00628181E8</v>
      </c>
      <c r="X4888" s="1" t="s">
        <v>74</v>
      </c>
      <c r="Y4888" s="1" t="s">
        <v>2072</v>
      </c>
      <c r="Z4888" s="1" t="s">
        <v>37</v>
      </c>
    </row>
    <row r="4889" hidden="1">
      <c r="A4889" s="1" t="s">
        <v>13680</v>
      </c>
      <c r="B4889" s="1" t="s">
        <v>1168</v>
      </c>
      <c r="C4889" s="1" t="s">
        <v>13681</v>
      </c>
      <c r="D4889" s="1" t="s">
        <v>27</v>
      </c>
      <c r="E4889" s="1" t="s">
        <v>28</v>
      </c>
      <c r="F4889" s="2">
        <v>100000.0</v>
      </c>
      <c r="G4889" s="1" t="s">
        <v>523</v>
      </c>
      <c r="H4889" s="4">
        <f>IFERROR(__xludf.DUMMYFUNCTION("DATE(INDEX(SPLIT(G4889,""/""),,3),INDEX(SPLIT(G4889,""/""),,2),INDEX(SPLIT(G4889,""/""),,1))"),44517.0)</f>
        <v>44517</v>
      </c>
      <c r="I4889" s="1" t="s">
        <v>203</v>
      </c>
      <c r="J4889" s="4">
        <f>IFERROR(__xludf.DUMMYFUNCTION("DATE(INDEX(SPLIT(I4889,""/""),,3),INDEX(SPLIT(I4889,""/""),,2),INDEX(SPLIT(I4889,""/""),,1))"),44925.0)</f>
        <v>44925</v>
      </c>
      <c r="L4889" s="1">
        <v>0.0</v>
      </c>
      <c r="M4889" s="1" t="s">
        <v>2072</v>
      </c>
      <c r="N4889" s="1"/>
      <c r="O4889" s="1" t="s">
        <v>30</v>
      </c>
      <c r="P4889" s="1" t="s">
        <v>31</v>
      </c>
      <c r="Q4889" s="1" t="s">
        <v>71</v>
      </c>
      <c r="R4889" s="1" t="s">
        <v>71</v>
      </c>
      <c r="S4889" s="1" t="s">
        <v>72</v>
      </c>
      <c r="T4889" s="1" t="s">
        <v>136</v>
      </c>
      <c r="U4889" s="1">
        <v>1.00628181E8</v>
      </c>
      <c r="X4889" s="1" t="s">
        <v>74</v>
      </c>
      <c r="Y4889" s="1" t="s">
        <v>2072</v>
      </c>
      <c r="Z4889" s="1" t="s">
        <v>37</v>
      </c>
    </row>
    <row r="4890" hidden="1">
      <c r="A4890" s="1" t="s">
        <v>13682</v>
      </c>
      <c r="B4890" s="1" t="s">
        <v>695</v>
      </c>
      <c r="C4890" s="1" t="s">
        <v>13683</v>
      </c>
      <c r="D4890" s="1" t="s">
        <v>27</v>
      </c>
      <c r="E4890" s="1" t="s">
        <v>28</v>
      </c>
      <c r="F4890" s="2">
        <v>100000.0</v>
      </c>
      <c r="G4890" s="1" t="s">
        <v>523</v>
      </c>
      <c r="H4890" s="4">
        <f>IFERROR(__xludf.DUMMYFUNCTION("DATE(INDEX(SPLIT(G4890,""/""),,3),INDEX(SPLIT(G4890,""/""),,2),INDEX(SPLIT(G4890,""/""),,1))"),44517.0)</f>
        <v>44517</v>
      </c>
      <c r="I4890" s="1" t="s">
        <v>203</v>
      </c>
      <c r="J4890" s="4">
        <f>IFERROR(__xludf.DUMMYFUNCTION("DATE(INDEX(SPLIT(I4890,""/""),,3),INDEX(SPLIT(I4890,""/""),,2),INDEX(SPLIT(I4890,""/""),,1))"),44925.0)</f>
        <v>44925</v>
      </c>
      <c r="L4890" s="1">
        <v>0.0</v>
      </c>
      <c r="M4890" s="1" t="s">
        <v>2072</v>
      </c>
      <c r="N4890" s="1"/>
      <c r="O4890" s="1" t="s">
        <v>30</v>
      </c>
      <c r="P4890" s="1" t="s">
        <v>31</v>
      </c>
      <c r="Q4890" s="1" t="s">
        <v>71</v>
      </c>
      <c r="R4890" s="1" t="s">
        <v>71</v>
      </c>
      <c r="S4890" s="1" t="s">
        <v>72</v>
      </c>
      <c r="T4890" s="1" t="s">
        <v>136</v>
      </c>
      <c r="U4890" s="1">
        <v>1.00628181E8</v>
      </c>
      <c r="X4890" s="1" t="s">
        <v>74</v>
      </c>
      <c r="Y4890" s="1" t="s">
        <v>2072</v>
      </c>
      <c r="Z4890" s="1" t="s">
        <v>37</v>
      </c>
    </row>
    <row r="4891" hidden="1">
      <c r="A4891" s="1" t="s">
        <v>13684</v>
      </c>
      <c r="B4891" s="1" t="s">
        <v>5260</v>
      </c>
      <c r="C4891" s="1" t="s">
        <v>13685</v>
      </c>
      <c r="D4891" s="1" t="s">
        <v>78</v>
      </c>
      <c r="E4891" s="1" t="s">
        <v>28</v>
      </c>
      <c r="F4891" s="2">
        <v>100000.0</v>
      </c>
      <c r="G4891" s="1" t="s">
        <v>523</v>
      </c>
      <c r="H4891" s="4">
        <f>IFERROR(__xludf.DUMMYFUNCTION("DATE(INDEX(SPLIT(G4891,""/""),,3),INDEX(SPLIT(G4891,""/""),,2),INDEX(SPLIT(G4891,""/""),,1))"),44517.0)</f>
        <v>44517</v>
      </c>
      <c r="I4891" s="1" t="s">
        <v>130</v>
      </c>
      <c r="J4891" s="4">
        <f>IFERROR(__xludf.DUMMYFUNCTION("DATE(INDEX(SPLIT(I4891,""/""),,3),INDEX(SPLIT(I4891,""/""),,2),INDEX(SPLIT(I4891,""/""),,1))"),44804.0)</f>
        <v>44804</v>
      </c>
      <c r="L4891" s="1">
        <v>0.0</v>
      </c>
      <c r="M4891" s="1" t="s">
        <v>2072</v>
      </c>
      <c r="N4891" s="1"/>
      <c r="O4891" s="1" t="s">
        <v>30</v>
      </c>
      <c r="P4891" s="1" t="s">
        <v>31</v>
      </c>
      <c r="Q4891" s="1" t="s">
        <v>71</v>
      </c>
      <c r="R4891" s="1" t="s">
        <v>71</v>
      </c>
      <c r="S4891" s="1" t="s">
        <v>72</v>
      </c>
      <c r="T4891" s="1" t="s">
        <v>136</v>
      </c>
      <c r="U4891" s="1">
        <v>1.00628181E8</v>
      </c>
      <c r="X4891" s="1" t="s">
        <v>74</v>
      </c>
      <c r="Y4891" s="1" t="s">
        <v>2072</v>
      </c>
      <c r="Z4891" s="1" t="s">
        <v>37</v>
      </c>
    </row>
    <row r="4892" hidden="1">
      <c r="A4892" s="1" t="s">
        <v>13686</v>
      </c>
      <c r="B4892" s="1" t="s">
        <v>434</v>
      </c>
      <c r="C4892" s="1" t="s">
        <v>13687</v>
      </c>
      <c r="D4892" s="1" t="s">
        <v>122</v>
      </c>
      <c r="E4892" s="1" t="s">
        <v>28</v>
      </c>
      <c r="F4892" s="2">
        <v>100000.0</v>
      </c>
      <c r="G4892" s="4">
        <v>44775.0</v>
      </c>
      <c r="H4892" s="4">
        <f>IFERROR(__xludf.DUMMYFUNCTION("DATE(INDEX(SPLIT(G4892,""/""),,3),INDEX(SPLIT(G4892,""/""),,2),INDEX(SPLIT(G4892,""/""),,1))"),44600.0)</f>
        <v>44600</v>
      </c>
      <c r="I4892" s="1" t="s">
        <v>165</v>
      </c>
      <c r="J4892" s="4">
        <f>IFERROR(__xludf.DUMMYFUNCTION("DATE(INDEX(SPLIT(I4892,""/""),,3),INDEX(SPLIT(I4892,""/""),,2),INDEX(SPLIT(I4892,""/""),,1))"),44803.0)</f>
        <v>44803</v>
      </c>
      <c r="L4892" s="1">
        <v>0.0</v>
      </c>
      <c r="M4892" s="1" t="s">
        <v>1918</v>
      </c>
      <c r="N4892" s="1"/>
      <c r="O4892" s="1" t="s">
        <v>30</v>
      </c>
      <c r="P4892" s="1" t="s">
        <v>31</v>
      </c>
      <c r="Q4892" s="1" t="s">
        <v>53</v>
      </c>
      <c r="R4892" s="1" t="s">
        <v>53</v>
      </c>
      <c r="S4892" s="1" t="s">
        <v>54</v>
      </c>
      <c r="T4892" s="1" t="s">
        <v>1386</v>
      </c>
      <c r="U4892" s="1">
        <v>1.00638639E8</v>
      </c>
      <c r="X4892" s="1" t="s">
        <v>88</v>
      </c>
      <c r="Y4892" s="1" t="s">
        <v>13688</v>
      </c>
      <c r="Z4892" s="1" t="s">
        <v>206</v>
      </c>
    </row>
    <row r="4893" hidden="1">
      <c r="A4893" s="1" t="s">
        <v>13689</v>
      </c>
      <c r="B4893" s="1" t="s">
        <v>3957</v>
      </c>
      <c r="C4893" s="1" t="s">
        <v>13690</v>
      </c>
      <c r="D4893" s="1" t="s">
        <v>27</v>
      </c>
      <c r="E4893" s="1" t="s">
        <v>28</v>
      </c>
      <c r="F4893" s="2">
        <v>100000.0</v>
      </c>
      <c r="G4893" s="4">
        <v>44239.0</v>
      </c>
      <c r="H4893" s="4">
        <f>IFERROR(__xludf.DUMMYFUNCTION("DATE(INDEX(SPLIT(G4893,""/""),,3),INDEX(SPLIT(G4893,""/""),,2),INDEX(SPLIT(G4893,""/""),,1))"),44532.0)</f>
        <v>44532</v>
      </c>
      <c r="I4893" s="1" t="s">
        <v>130</v>
      </c>
      <c r="J4893" s="4">
        <f>IFERROR(__xludf.DUMMYFUNCTION("DATE(INDEX(SPLIT(I4893,""/""),,3),INDEX(SPLIT(I4893,""/""),,2),INDEX(SPLIT(I4893,""/""),,1))"),44804.0)</f>
        <v>44804</v>
      </c>
      <c r="L4893" s="1">
        <v>0.0</v>
      </c>
      <c r="M4893" s="1" t="s">
        <v>1150</v>
      </c>
      <c r="N4893" s="1"/>
      <c r="O4893" s="1" t="s">
        <v>30</v>
      </c>
      <c r="P4893" s="1" t="s">
        <v>31</v>
      </c>
      <c r="Q4893" s="1" t="s">
        <v>53</v>
      </c>
      <c r="R4893" s="1" t="s">
        <v>53</v>
      </c>
      <c r="S4893" s="1" t="s">
        <v>54</v>
      </c>
      <c r="T4893" s="1" t="s">
        <v>55</v>
      </c>
      <c r="U4893" s="1">
        <v>1.00651298E8</v>
      </c>
      <c r="X4893" s="1" t="s">
        <v>117</v>
      </c>
      <c r="Y4893" s="1" t="s">
        <v>3459</v>
      </c>
      <c r="Z4893" s="1" t="s">
        <v>37</v>
      </c>
    </row>
    <row r="4894" hidden="1">
      <c r="A4894" s="1" t="s">
        <v>13691</v>
      </c>
      <c r="B4894" s="1" t="s">
        <v>9442</v>
      </c>
      <c r="C4894" s="1" t="s">
        <v>13692</v>
      </c>
      <c r="D4894" s="1" t="s">
        <v>27</v>
      </c>
      <c r="E4894" s="1" t="s">
        <v>28</v>
      </c>
      <c r="F4894" s="2">
        <v>100000.0</v>
      </c>
      <c r="G4894" s="1" t="s">
        <v>5635</v>
      </c>
      <c r="H4894" s="4">
        <f>IFERROR(__xludf.DUMMYFUNCTION("DATE(INDEX(SPLIT(G4894,""/""),,3),INDEX(SPLIT(G4894,""/""),,2),INDEX(SPLIT(G4894,""/""),,1))"),44218.0)</f>
        <v>44218</v>
      </c>
      <c r="I4894" s="4">
        <v>44569.0</v>
      </c>
      <c r="J4894" s="4">
        <f>IFERROR(__xludf.DUMMYFUNCTION("DATE(INDEX(SPLIT(I4894,""/""),,3),INDEX(SPLIT(I4894,""/""),,2),INDEX(SPLIT(I4894,""/""),,1))"),44774.0)</f>
        <v>44774</v>
      </c>
      <c r="L4894" s="1">
        <v>0.0</v>
      </c>
      <c r="M4894" s="1" t="s">
        <v>1376</v>
      </c>
      <c r="N4894" s="1"/>
      <c r="O4894" s="1" t="s">
        <v>30</v>
      </c>
      <c r="P4894" s="1" t="s">
        <v>31</v>
      </c>
      <c r="Q4894" s="1" t="s">
        <v>32</v>
      </c>
      <c r="R4894" s="1" t="s">
        <v>32</v>
      </c>
      <c r="S4894" s="1" t="s">
        <v>33</v>
      </c>
      <c r="T4894" s="1" t="s">
        <v>1195</v>
      </c>
      <c r="U4894" s="1">
        <v>1.006096E8</v>
      </c>
      <c r="X4894" s="1" t="s">
        <v>490</v>
      </c>
      <c r="Y4894" s="1" t="s">
        <v>1194</v>
      </c>
      <c r="Z4894" s="1" t="s">
        <v>37</v>
      </c>
    </row>
    <row r="4895" hidden="1">
      <c r="A4895" s="1" t="s">
        <v>13693</v>
      </c>
      <c r="B4895" s="1" t="s">
        <v>392</v>
      </c>
      <c r="C4895" s="1" t="s">
        <v>13694</v>
      </c>
      <c r="D4895" s="1" t="s">
        <v>27</v>
      </c>
      <c r="E4895" s="1" t="s">
        <v>28</v>
      </c>
      <c r="F4895" s="2">
        <v>100000.0</v>
      </c>
      <c r="G4895" s="1" t="s">
        <v>3438</v>
      </c>
      <c r="H4895" s="4">
        <f>IFERROR(__xludf.DUMMYFUNCTION("DATE(INDEX(SPLIT(G4895,""/""),,3),INDEX(SPLIT(G4895,""/""),,2),INDEX(SPLIT(G4895,""/""),,1))"),44407.0)</f>
        <v>44407</v>
      </c>
      <c r="I4895" s="1" t="s">
        <v>130</v>
      </c>
      <c r="J4895" s="4">
        <f>IFERROR(__xludf.DUMMYFUNCTION("DATE(INDEX(SPLIT(I4895,""/""),,3),INDEX(SPLIT(I4895,""/""),,2),INDEX(SPLIT(I4895,""/""),,1))"),44804.0)</f>
        <v>44804</v>
      </c>
      <c r="L4895" s="1">
        <v>0.0</v>
      </c>
      <c r="M4895" s="1" t="s">
        <v>234</v>
      </c>
      <c r="N4895" s="1"/>
      <c r="O4895" s="1" t="s">
        <v>30</v>
      </c>
      <c r="P4895" s="1" t="s">
        <v>31</v>
      </c>
      <c r="Q4895" s="1" t="s">
        <v>235</v>
      </c>
      <c r="R4895" s="1" t="s">
        <v>235</v>
      </c>
      <c r="S4895" s="1" t="s">
        <v>236</v>
      </c>
      <c r="T4895" s="1" t="s">
        <v>237</v>
      </c>
      <c r="U4895" s="1">
        <v>1.00658132E8</v>
      </c>
      <c r="X4895" s="1" t="s">
        <v>239</v>
      </c>
      <c r="Y4895" s="1" t="s">
        <v>7047</v>
      </c>
      <c r="Z4895" s="1" t="s">
        <v>37</v>
      </c>
    </row>
    <row r="4896" hidden="1">
      <c r="A4896" s="1" t="s">
        <v>13695</v>
      </c>
      <c r="B4896" s="1" t="s">
        <v>666</v>
      </c>
      <c r="C4896" s="1" t="s">
        <v>13696</v>
      </c>
      <c r="D4896" s="1" t="s">
        <v>27</v>
      </c>
      <c r="E4896" s="1" t="s">
        <v>28</v>
      </c>
      <c r="F4896" s="2">
        <v>100000.0</v>
      </c>
      <c r="G4896" s="1" t="s">
        <v>779</v>
      </c>
      <c r="H4896" s="4">
        <f>IFERROR(__xludf.DUMMYFUNCTION("DATE(INDEX(SPLIT(G4896,""/""),,3),INDEX(SPLIT(G4896,""/""),,2),INDEX(SPLIT(G4896,""/""),,1))"),44734.0)</f>
        <v>44734</v>
      </c>
      <c r="I4896" s="1" t="s">
        <v>360</v>
      </c>
      <c r="J4896" s="4">
        <f>IFERROR(__xludf.DUMMYFUNCTION("DATE(INDEX(SPLIT(I4896,""/""),,3),INDEX(SPLIT(I4896,""/""),,2),INDEX(SPLIT(I4896,""/""),,1))"),44895.0)</f>
        <v>44895</v>
      </c>
      <c r="L4896" s="1">
        <v>0.0</v>
      </c>
      <c r="M4896" s="1" t="s">
        <v>1532</v>
      </c>
      <c r="N4896" s="1"/>
      <c r="O4896" s="1" t="s">
        <v>30</v>
      </c>
      <c r="P4896" s="1" t="s">
        <v>31</v>
      </c>
      <c r="Q4896" s="1" t="s">
        <v>228</v>
      </c>
      <c r="R4896" s="1" t="s">
        <v>228</v>
      </c>
      <c r="S4896" s="1" t="s">
        <v>229</v>
      </c>
      <c r="T4896" s="1" t="s">
        <v>640</v>
      </c>
      <c r="U4896" s="1">
        <v>1.00711752E8</v>
      </c>
      <c r="X4896" s="1" t="s">
        <v>35</v>
      </c>
      <c r="Y4896" s="1" t="s">
        <v>1533</v>
      </c>
      <c r="Z4896" s="1" t="s">
        <v>37</v>
      </c>
    </row>
    <row r="4897">
      <c r="A4897" s="1" t="s">
        <v>13697</v>
      </c>
      <c r="B4897" s="1" t="s">
        <v>6332</v>
      </c>
      <c r="C4897" s="1" t="s">
        <v>13698</v>
      </c>
      <c r="D4897" s="1" t="s">
        <v>68</v>
      </c>
      <c r="E4897" s="1" t="s">
        <v>28</v>
      </c>
      <c r="F4897" s="2">
        <v>100000.0</v>
      </c>
      <c r="G4897" s="1" t="s">
        <v>233</v>
      </c>
      <c r="H4897" s="4">
        <f>IFERROR(__xludf.DUMMYFUNCTION("DATE(INDEX(SPLIT(G4897,""/""),,3),INDEX(SPLIT(G4897,""/""),,2),INDEX(SPLIT(G4897,""/""),,1))"),44729.0)</f>
        <v>44729</v>
      </c>
      <c r="I4897" s="1" t="s">
        <v>1244</v>
      </c>
      <c r="J4897" s="4">
        <f>IFERROR(__xludf.DUMMYFUNCTION("DATE(INDEX(SPLIT(I4897,""/""),,3),INDEX(SPLIT(I4897,""/""),,2),INDEX(SPLIT(I4897,""/""),,1))"),44742.0)</f>
        <v>44742</v>
      </c>
      <c r="L4897" s="1">
        <v>0.0</v>
      </c>
      <c r="M4897" s="1" t="s">
        <v>11190</v>
      </c>
      <c r="N4897" s="1"/>
      <c r="O4897" s="1" t="s">
        <v>30</v>
      </c>
      <c r="P4897" s="1" t="s">
        <v>31</v>
      </c>
      <c r="Q4897" s="1" t="s">
        <v>228</v>
      </c>
      <c r="R4897" s="1" t="s">
        <v>228</v>
      </c>
      <c r="S4897" s="1" t="s">
        <v>229</v>
      </c>
      <c r="T4897" s="1" t="s">
        <v>513</v>
      </c>
      <c r="U4897" s="1">
        <v>1.00608136E8</v>
      </c>
      <c r="X4897" s="1" t="s">
        <v>46</v>
      </c>
      <c r="Y4897" s="1" t="s">
        <v>11862</v>
      </c>
      <c r="Z4897" s="1" t="s">
        <v>37</v>
      </c>
    </row>
    <row r="4898" hidden="1">
      <c r="A4898" s="1" t="s">
        <v>13699</v>
      </c>
      <c r="B4898" s="1" t="s">
        <v>13700</v>
      </c>
      <c r="C4898" s="1" t="s">
        <v>13701</v>
      </c>
      <c r="D4898" s="1" t="s">
        <v>27</v>
      </c>
      <c r="E4898" s="1" t="s">
        <v>28</v>
      </c>
      <c r="F4898" s="2">
        <v>100000.0</v>
      </c>
      <c r="G4898" s="4">
        <v>44481.0</v>
      </c>
      <c r="H4898" s="4">
        <f>IFERROR(__xludf.DUMMYFUNCTION("DATE(INDEX(SPLIT(G4898,""/""),,3),INDEX(SPLIT(G4898,""/""),,2),INDEX(SPLIT(G4898,""/""),,1))"),44540.0)</f>
        <v>44540</v>
      </c>
      <c r="I4898" s="1" t="s">
        <v>42</v>
      </c>
      <c r="J4898" s="4">
        <f>IFERROR(__xludf.DUMMYFUNCTION("DATE(INDEX(SPLIT(I4898,""/""),,3),INDEX(SPLIT(I4898,""/""),,2),INDEX(SPLIT(I4898,""/""),,1))"),44926.0)</f>
        <v>44926</v>
      </c>
      <c r="L4898" s="1">
        <v>0.0</v>
      </c>
      <c r="M4898" s="1" t="s">
        <v>141</v>
      </c>
      <c r="N4898" s="1"/>
      <c r="O4898" s="1" t="s">
        <v>30</v>
      </c>
      <c r="P4898" s="1" t="s">
        <v>31</v>
      </c>
      <c r="Q4898" s="1" t="s">
        <v>95</v>
      </c>
      <c r="R4898" s="1" t="s">
        <v>95</v>
      </c>
      <c r="S4898" s="1" t="s">
        <v>96</v>
      </c>
      <c r="T4898" s="1" t="s">
        <v>1386</v>
      </c>
      <c r="U4898" s="1">
        <v>1.00658522E8</v>
      </c>
      <c r="X4898" s="1" t="s">
        <v>81</v>
      </c>
      <c r="Y4898" s="1" t="s">
        <v>2339</v>
      </c>
      <c r="Z4898" s="1" t="s">
        <v>37</v>
      </c>
    </row>
    <row r="4899">
      <c r="A4899" s="1" t="s">
        <v>13702</v>
      </c>
      <c r="B4899" s="1" t="s">
        <v>1192</v>
      </c>
      <c r="C4899" s="1" t="s">
        <v>13703</v>
      </c>
      <c r="D4899" s="1" t="s">
        <v>27</v>
      </c>
      <c r="E4899" s="1" t="s">
        <v>28</v>
      </c>
      <c r="F4899" s="2">
        <v>100000.0</v>
      </c>
      <c r="G4899" s="4">
        <v>44565.0</v>
      </c>
      <c r="H4899" s="4">
        <f>IFERROR(__xludf.DUMMYFUNCTION("DATE(INDEX(SPLIT(G4899,""/""),,3),INDEX(SPLIT(G4899,""/""),,2),INDEX(SPLIT(G4899,""/""),,1))"),44652.0)</f>
        <v>44652</v>
      </c>
      <c r="I4899" s="1" t="s">
        <v>518</v>
      </c>
      <c r="J4899" s="4">
        <f>IFERROR(__xludf.DUMMYFUNCTION("DATE(INDEX(SPLIT(I4899,""/""),,3),INDEX(SPLIT(I4899,""/""),,2),INDEX(SPLIT(I4899,""/""),,1))"),44757.0)</f>
        <v>44757</v>
      </c>
      <c r="L4899" s="1">
        <v>0.0</v>
      </c>
      <c r="M4899" s="1" t="s">
        <v>3099</v>
      </c>
      <c r="N4899" s="1"/>
      <c r="O4899" s="1" t="s">
        <v>30</v>
      </c>
      <c r="P4899" s="1" t="s">
        <v>31</v>
      </c>
      <c r="Q4899" s="1" t="s">
        <v>95</v>
      </c>
      <c r="R4899" s="1" t="s">
        <v>95</v>
      </c>
      <c r="S4899" s="1" t="s">
        <v>96</v>
      </c>
      <c r="T4899" s="1" t="s">
        <v>97</v>
      </c>
      <c r="U4899" s="1">
        <v>1.00589299E8</v>
      </c>
      <c r="X4899" s="1" t="s">
        <v>125</v>
      </c>
      <c r="Y4899" s="1" t="s">
        <v>2576</v>
      </c>
      <c r="Z4899" s="1" t="s">
        <v>37</v>
      </c>
    </row>
    <row r="4900">
      <c r="A4900" s="1" t="s">
        <v>13704</v>
      </c>
      <c r="B4900" s="1" t="s">
        <v>896</v>
      </c>
      <c r="C4900" s="1" t="s">
        <v>13705</v>
      </c>
      <c r="D4900" s="1" t="s">
        <v>78</v>
      </c>
      <c r="E4900" s="1" t="s">
        <v>28</v>
      </c>
      <c r="F4900" s="2">
        <v>100000.0</v>
      </c>
      <c r="G4900" s="4">
        <v>44779.0</v>
      </c>
      <c r="H4900" s="4">
        <f>IFERROR(__xludf.DUMMYFUNCTION("DATE(INDEX(SPLIT(G4900,""/""),,3),INDEX(SPLIT(G4900,""/""),,2),INDEX(SPLIT(G4900,""/""),,1))"),44720.0)</f>
        <v>44720</v>
      </c>
      <c r="I4900" s="1" t="s">
        <v>108</v>
      </c>
      <c r="J4900" s="4">
        <f>IFERROR(__xludf.DUMMYFUNCTION("DATE(INDEX(SPLIT(I4900,""/""),,3),INDEX(SPLIT(I4900,""/""),,2),INDEX(SPLIT(I4900,""/""),,1))"),44725.0)</f>
        <v>44725</v>
      </c>
      <c r="L4900" s="1">
        <v>0.0</v>
      </c>
      <c r="M4900" s="1" t="s">
        <v>5366</v>
      </c>
      <c r="N4900" s="1"/>
      <c r="O4900" s="1" t="s">
        <v>30</v>
      </c>
      <c r="P4900" s="1" t="s">
        <v>31</v>
      </c>
      <c r="Q4900" s="1" t="s">
        <v>157</v>
      </c>
      <c r="R4900" s="1" t="s">
        <v>157</v>
      </c>
      <c r="S4900" s="1" t="s">
        <v>158</v>
      </c>
      <c r="T4900" s="1" t="s">
        <v>159</v>
      </c>
      <c r="U4900" s="1">
        <v>1.00609544E8</v>
      </c>
      <c r="X4900" s="1" t="s">
        <v>490</v>
      </c>
      <c r="Y4900" s="1" t="s">
        <v>13706</v>
      </c>
      <c r="Z4900" s="1" t="s">
        <v>37</v>
      </c>
    </row>
    <row r="4901">
      <c r="A4901" s="1" t="s">
        <v>13707</v>
      </c>
      <c r="B4901" s="1" t="s">
        <v>806</v>
      </c>
      <c r="C4901" s="1" t="s">
        <v>13708</v>
      </c>
      <c r="D4901" s="1" t="s">
        <v>122</v>
      </c>
      <c r="E4901" s="1" t="s">
        <v>28</v>
      </c>
      <c r="F4901" s="2">
        <v>100000.0</v>
      </c>
      <c r="G4901" s="1" t="s">
        <v>1288</v>
      </c>
      <c r="H4901" s="4">
        <f>IFERROR(__xludf.DUMMYFUNCTION("DATE(INDEX(SPLIT(G4901,""/""),,3),INDEX(SPLIT(G4901,""/""),,2),INDEX(SPLIT(G4901,""/""),,1))"),44707.0)</f>
        <v>44707</v>
      </c>
      <c r="I4901" s="4">
        <v>44872.0</v>
      </c>
      <c r="J4901" s="4">
        <f>IFERROR(__xludf.DUMMYFUNCTION("DATE(INDEX(SPLIT(I4901,""/""),,3),INDEX(SPLIT(I4901,""/""),,2),INDEX(SPLIT(I4901,""/""),,1))"),44753.0)</f>
        <v>44753</v>
      </c>
      <c r="L4901" s="1">
        <v>0.0</v>
      </c>
      <c r="M4901" s="1" t="s">
        <v>8719</v>
      </c>
      <c r="N4901" s="1"/>
      <c r="O4901" s="1" t="s">
        <v>30</v>
      </c>
      <c r="P4901" s="1" t="s">
        <v>31</v>
      </c>
      <c r="Q4901" s="1" t="s">
        <v>95</v>
      </c>
      <c r="R4901" s="1" t="s">
        <v>95</v>
      </c>
      <c r="S4901" s="1" t="s">
        <v>96</v>
      </c>
      <c r="T4901" s="1" t="s">
        <v>97</v>
      </c>
      <c r="U4901" s="1">
        <v>1.00620553E8</v>
      </c>
      <c r="X4901" s="1" t="s">
        <v>117</v>
      </c>
      <c r="Y4901" s="1" t="s">
        <v>8316</v>
      </c>
      <c r="Z4901" s="1" t="s">
        <v>37</v>
      </c>
    </row>
    <row r="4902" hidden="1">
      <c r="A4902" s="1" t="s">
        <v>13709</v>
      </c>
      <c r="B4902" s="1" t="s">
        <v>672</v>
      </c>
      <c r="C4902" s="1" t="s">
        <v>13710</v>
      </c>
      <c r="D4902" s="1" t="s">
        <v>27</v>
      </c>
      <c r="E4902" s="1" t="s">
        <v>28</v>
      </c>
      <c r="F4902" s="2">
        <v>100000.0</v>
      </c>
      <c r="G4902" s="1" t="s">
        <v>7237</v>
      </c>
      <c r="H4902" s="4">
        <f>IFERROR(__xludf.DUMMYFUNCTION("DATE(INDEX(SPLIT(G4902,""/""),,3),INDEX(SPLIT(G4902,""/""),,2),INDEX(SPLIT(G4902,""/""),,1))"),44127.0)</f>
        <v>44127</v>
      </c>
      <c r="I4902" s="1" t="s">
        <v>109</v>
      </c>
      <c r="J4902" s="4">
        <f>IFERROR(__xludf.DUMMYFUNCTION("DATE(INDEX(SPLIT(I4902,""/""),,3),INDEX(SPLIT(I4902,""/""),,2),INDEX(SPLIT(I4902,""/""),,1))"),44834.0)</f>
        <v>44834</v>
      </c>
      <c r="L4902" s="1">
        <v>0.0</v>
      </c>
      <c r="M4902" s="1" t="s">
        <v>5256</v>
      </c>
      <c r="N4902" s="1"/>
      <c r="O4902" s="1" t="s">
        <v>30</v>
      </c>
      <c r="P4902" s="1" t="s">
        <v>31</v>
      </c>
      <c r="Q4902" s="1" t="s">
        <v>235</v>
      </c>
      <c r="R4902" s="1" t="s">
        <v>235</v>
      </c>
      <c r="S4902" s="1" t="s">
        <v>236</v>
      </c>
      <c r="T4902" s="1" t="s">
        <v>1386</v>
      </c>
      <c r="U4902" s="1">
        <v>1.00634482E8</v>
      </c>
      <c r="X4902" s="1" t="s">
        <v>88</v>
      </c>
      <c r="Y4902" s="1" t="s">
        <v>4592</v>
      </c>
      <c r="Z4902" s="1" t="s">
        <v>37</v>
      </c>
    </row>
    <row r="4903" hidden="1">
      <c r="A4903" s="1" t="s">
        <v>13711</v>
      </c>
      <c r="B4903" s="1" t="s">
        <v>6955</v>
      </c>
      <c r="C4903" s="1" t="s">
        <v>13712</v>
      </c>
      <c r="D4903" s="1" t="s">
        <v>27</v>
      </c>
      <c r="E4903" s="1" t="s">
        <v>28</v>
      </c>
      <c r="F4903" s="2">
        <v>100000.0</v>
      </c>
      <c r="G4903" s="4">
        <v>44349.0</v>
      </c>
      <c r="H4903" s="4">
        <f>IFERROR(__xludf.DUMMYFUNCTION("DATE(INDEX(SPLIT(G4903,""/""),,3),INDEX(SPLIT(G4903,""/""),,2),INDEX(SPLIT(G4903,""/""),,1))"),44233.0)</f>
        <v>44233</v>
      </c>
      <c r="I4903" s="1" t="s">
        <v>1678</v>
      </c>
      <c r="J4903" s="4">
        <f>IFERROR(__xludf.DUMMYFUNCTION("DATE(INDEX(SPLIT(I4903,""/""),,3),INDEX(SPLIT(I4903,""/""),,2),INDEX(SPLIT(I4903,""/""),,1))"),44819.0)</f>
        <v>44819</v>
      </c>
      <c r="L4903" s="1">
        <v>0.0</v>
      </c>
      <c r="M4903" s="1" t="s">
        <v>13347</v>
      </c>
      <c r="N4903" s="1"/>
      <c r="O4903" s="1" t="s">
        <v>30</v>
      </c>
      <c r="P4903" s="1" t="s">
        <v>31</v>
      </c>
      <c r="Q4903" s="1" t="s">
        <v>235</v>
      </c>
      <c r="R4903" s="1" t="s">
        <v>235</v>
      </c>
      <c r="S4903" s="1" t="s">
        <v>236</v>
      </c>
      <c r="T4903" s="1" t="s">
        <v>237</v>
      </c>
      <c r="U4903" s="1">
        <v>1.00922604E8</v>
      </c>
      <c r="X4903" s="1" t="s">
        <v>239</v>
      </c>
      <c r="Y4903" s="1" t="s">
        <v>13347</v>
      </c>
      <c r="Z4903" s="1" t="s">
        <v>206</v>
      </c>
    </row>
    <row r="4904" hidden="1">
      <c r="A4904" s="1" t="s">
        <v>13713</v>
      </c>
      <c r="B4904" s="1" t="s">
        <v>3399</v>
      </c>
      <c r="C4904" s="1" t="s">
        <v>13714</v>
      </c>
      <c r="D4904" s="1" t="s">
        <v>78</v>
      </c>
      <c r="E4904" s="1" t="s">
        <v>28</v>
      </c>
      <c r="F4904" s="2">
        <v>100000.0</v>
      </c>
      <c r="G4904" s="4">
        <v>44654.0</v>
      </c>
      <c r="H4904" s="4">
        <f>IFERROR(__xludf.DUMMYFUNCTION("DATE(INDEX(SPLIT(G4904,""/""),,3),INDEX(SPLIT(G4904,""/""),,2),INDEX(SPLIT(G4904,""/""),,1))"),44624.0)</f>
        <v>44624</v>
      </c>
      <c r="I4904" s="1" t="s">
        <v>476</v>
      </c>
      <c r="J4904" s="4">
        <f>IFERROR(__xludf.DUMMYFUNCTION("DATE(INDEX(SPLIT(I4904,""/""),,3),INDEX(SPLIT(I4904,""/""),,2),INDEX(SPLIT(I4904,""/""),,1))"),44833.0)</f>
        <v>44833</v>
      </c>
      <c r="L4904" s="1">
        <v>0.0</v>
      </c>
      <c r="M4904" s="1" t="s">
        <v>7686</v>
      </c>
      <c r="N4904" s="1"/>
      <c r="O4904" s="1" t="s">
        <v>30</v>
      </c>
      <c r="P4904" s="1" t="s">
        <v>31</v>
      </c>
      <c r="Q4904" s="1" t="s">
        <v>188</v>
      </c>
      <c r="R4904" s="1" t="s">
        <v>188</v>
      </c>
      <c r="S4904" s="1" t="s">
        <v>189</v>
      </c>
      <c r="T4904" s="1" t="s">
        <v>1344</v>
      </c>
      <c r="U4904" s="1">
        <v>1.00623248E8</v>
      </c>
      <c r="X4904" s="1" t="s">
        <v>63</v>
      </c>
      <c r="Y4904" s="1" t="s">
        <v>7686</v>
      </c>
      <c r="Z4904" s="1" t="s">
        <v>206</v>
      </c>
    </row>
    <row r="4905">
      <c r="A4905" s="1" t="s">
        <v>13715</v>
      </c>
      <c r="B4905" s="1" t="s">
        <v>784</v>
      </c>
      <c r="C4905" s="1" t="s">
        <v>13716</v>
      </c>
      <c r="D4905" s="1" t="s">
        <v>27</v>
      </c>
      <c r="E4905" s="1" t="s">
        <v>28</v>
      </c>
      <c r="F4905" s="2">
        <v>100000.0</v>
      </c>
      <c r="G4905" s="1" t="s">
        <v>1136</v>
      </c>
      <c r="H4905" s="4">
        <f>IFERROR(__xludf.DUMMYFUNCTION("DATE(INDEX(SPLIT(G4905,""/""),,3),INDEX(SPLIT(G4905,""/""),,2),INDEX(SPLIT(G4905,""/""),,1))"),44608.0)</f>
        <v>44608</v>
      </c>
      <c r="I4905" s="1" t="s">
        <v>503</v>
      </c>
      <c r="J4905" s="4">
        <f>IFERROR(__xludf.DUMMYFUNCTION("DATE(INDEX(SPLIT(I4905,""/""),,3),INDEX(SPLIT(I4905,""/""),,2),INDEX(SPLIT(I4905,""/""),,1))"),44736.0)</f>
        <v>44736</v>
      </c>
      <c r="L4905" s="1">
        <v>0.0</v>
      </c>
      <c r="M4905" s="1" t="s">
        <v>4129</v>
      </c>
      <c r="N4905" s="1"/>
      <c r="O4905" s="1" t="s">
        <v>30</v>
      </c>
      <c r="P4905" s="1" t="s">
        <v>31</v>
      </c>
      <c r="Q4905" s="1" t="s">
        <v>228</v>
      </c>
      <c r="R4905" s="1" t="s">
        <v>228</v>
      </c>
      <c r="S4905" s="1" t="s">
        <v>229</v>
      </c>
      <c r="T4905" s="1" t="s">
        <v>640</v>
      </c>
      <c r="U4905" s="1">
        <v>1.00599268E8</v>
      </c>
      <c r="X4905" s="1" t="s">
        <v>63</v>
      </c>
      <c r="Y4905" s="1" t="s">
        <v>1398</v>
      </c>
      <c r="Z4905" s="1" t="s">
        <v>37</v>
      </c>
    </row>
    <row r="4906" hidden="1">
      <c r="A4906" s="1" t="s">
        <v>13717</v>
      </c>
      <c r="B4906" s="1" t="s">
        <v>2369</v>
      </c>
      <c r="C4906" s="1" t="s">
        <v>13718</v>
      </c>
      <c r="D4906" s="1" t="s">
        <v>27</v>
      </c>
      <c r="E4906" s="1" t="s">
        <v>28</v>
      </c>
      <c r="F4906" s="2">
        <v>100000.0</v>
      </c>
      <c r="G4906" s="1" t="s">
        <v>523</v>
      </c>
      <c r="H4906" s="4">
        <f>IFERROR(__xludf.DUMMYFUNCTION("DATE(INDEX(SPLIT(G4906,""/""),,3),INDEX(SPLIT(G4906,""/""),,2),INDEX(SPLIT(G4906,""/""),,1))"),44517.0)</f>
        <v>44517</v>
      </c>
      <c r="I4906" s="1" t="s">
        <v>85</v>
      </c>
      <c r="J4906" s="4">
        <f>IFERROR(__xludf.DUMMYFUNCTION("DATE(INDEX(SPLIT(I4906,""/""),,3),INDEX(SPLIT(I4906,""/""),,2),INDEX(SPLIT(I4906,""/""),,1))"),44799.0)</f>
        <v>44799</v>
      </c>
      <c r="L4906" s="1">
        <v>0.0</v>
      </c>
      <c r="M4906" s="1" t="s">
        <v>2600</v>
      </c>
      <c r="N4906" s="1"/>
      <c r="O4906" s="1" t="s">
        <v>30</v>
      </c>
      <c r="P4906" s="1" t="s">
        <v>31</v>
      </c>
      <c r="Q4906" s="1" t="s">
        <v>32</v>
      </c>
      <c r="R4906" s="1" t="s">
        <v>32</v>
      </c>
      <c r="S4906" s="1" t="s">
        <v>33</v>
      </c>
      <c r="U4906" s="1">
        <v>1.00642238E8</v>
      </c>
      <c r="X4906" s="1" t="s">
        <v>239</v>
      </c>
      <c r="Y4906" s="1" t="s">
        <v>2373</v>
      </c>
      <c r="Z4906" s="1" t="s">
        <v>37</v>
      </c>
    </row>
    <row r="4907">
      <c r="A4907" s="1" t="s">
        <v>13719</v>
      </c>
      <c r="B4907" s="1" t="s">
        <v>784</v>
      </c>
      <c r="C4907" s="1" t="s">
        <v>13720</v>
      </c>
      <c r="D4907" s="1" t="s">
        <v>27</v>
      </c>
      <c r="E4907" s="1" t="s">
        <v>28</v>
      </c>
      <c r="F4907" s="2">
        <v>100000.0</v>
      </c>
      <c r="G4907" s="1" t="s">
        <v>1136</v>
      </c>
      <c r="H4907" s="4">
        <f>IFERROR(__xludf.DUMMYFUNCTION("DATE(INDEX(SPLIT(G4907,""/""),,3),INDEX(SPLIT(G4907,""/""),,2),INDEX(SPLIT(G4907,""/""),,1))"),44608.0)</f>
        <v>44608</v>
      </c>
      <c r="I4907" s="1" t="s">
        <v>503</v>
      </c>
      <c r="J4907" s="4">
        <f>IFERROR(__xludf.DUMMYFUNCTION("DATE(INDEX(SPLIT(I4907,""/""),,3),INDEX(SPLIT(I4907,""/""),,2),INDEX(SPLIT(I4907,""/""),,1))"),44736.0)</f>
        <v>44736</v>
      </c>
      <c r="L4907" s="1">
        <v>0.0</v>
      </c>
      <c r="M4907" s="1" t="s">
        <v>4129</v>
      </c>
      <c r="N4907" s="1"/>
      <c r="O4907" s="1" t="s">
        <v>30</v>
      </c>
      <c r="P4907" s="1" t="s">
        <v>31</v>
      </c>
      <c r="Q4907" s="1" t="s">
        <v>228</v>
      </c>
      <c r="R4907" s="1" t="s">
        <v>228</v>
      </c>
      <c r="S4907" s="1" t="s">
        <v>229</v>
      </c>
      <c r="T4907" s="1" t="s">
        <v>640</v>
      </c>
      <c r="U4907" s="1">
        <v>1.00599268E8</v>
      </c>
      <c r="X4907" s="1" t="s">
        <v>63</v>
      </c>
      <c r="Y4907" s="1" t="s">
        <v>1398</v>
      </c>
      <c r="Z4907" s="1" t="s">
        <v>37</v>
      </c>
    </row>
    <row r="4908" hidden="1">
      <c r="A4908" s="1" t="s">
        <v>13721</v>
      </c>
      <c r="B4908" s="1" t="s">
        <v>13722</v>
      </c>
      <c r="C4908" s="1" t="s">
        <v>13723</v>
      </c>
      <c r="D4908" s="1" t="s">
        <v>27</v>
      </c>
      <c r="E4908" s="1" t="s">
        <v>28</v>
      </c>
      <c r="F4908" s="2">
        <v>100000.0</v>
      </c>
      <c r="G4908" s="1" t="s">
        <v>1537</v>
      </c>
      <c r="H4908" s="4">
        <f>IFERROR(__xludf.DUMMYFUNCTION("DATE(INDEX(SPLIT(G4908,""/""),,3),INDEX(SPLIT(G4908,""/""),,2),INDEX(SPLIT(G4908,""/""),,1))"),44154.0)</f>
        <v>44154</v>
      </c>
      <c r="I4908" s="1" t="s">
        <v>109</v>
      </c>
      <c r="J4908" s="4">
        <f>IFERROR(__xludf.DUMMYFUNCTION("DATE(INDEX(SPLIT(I4908,""/""),,3),INDEX(SPLIT(I4908,""/""),,2),INDEX(SPLIT(I4908,""/""),,1))"),44834.0)</f>
        <v>44834</v>
      </c>
      <c r="L4908" s="1">
        <v>0.0</v>
      </c>
      <c r="M4908" s="1" t="s">
        <v>1376</v>
      </c>
      <c r="N4908" s="1"/>
      <c r="O4908" s="1" t="s">
        <v>30</v>
      </c>
      <c r="P4908" s="1" t="s">
        <v>31</v>
      </c>
      <c r="Q4908" s="1" t="s">
        <v>32</v>
      </c>
      <c r="R4908" s="1" t="s">
        <v>32</v>
      </c>
      <c r="S4908" s="1" t="s">
        <v>33</v>
      </c>
      <c r="T4908" s="1" t="s">
        <v>1195</v>
      </c>
      <c r="U4908" s="1">
        <v>1.006096E8</v>
      </c>
      <c r="X4908" s="1" t="s">
        <v>490</v>
      </c>
      <c r="Y4908" s="1" t="s">
        <v>1376</v>
      </c>
      <c r="Z4908" s="1" t="s">
        <v>37</v>
      </c>
    </row>
    <row r="4909" hidden="1">
      <c r="A4909" s="1" t="s">
        <v>13724</v>
      </c>
      <c r="B4909" s="1" t="s">
        <v>13725</v>
      </c>
      <c r="C4909" s="1" t="s">
        <v>13726</v>
      </c>
      <c r="D4909" s="1" t="s">
        <v>27</v>
      </c>
      <c r="E4909" s="1" t="s">
        <v>28</v>
      </c>
      <c r="F4909" s="2">
        <v>100000.0</v>
      </c>
      <c r="G4909" s="1" t="s">
        <v>1551</v>
      </c>
      <c r="H4909" s="4">
        <f>IFERROR(__xludf.DUMMYFUNCTION("DATE(INDEX(SPLIT(G4909,""/""),,3),INDEX(SPLIT(G4909,""/""),,2),INDEX(SPLIT(G4909,""/""),,1))"),44618.0)</f>
        <v>44618</v>
      </c>
      <c r="I4909" s="1" t="s">
        <v>130</v>
      </c>
      <c r="J4909" s="4">
        <f>IFERROR(__xludf.DUMMYFUNCTION("DATE(INDEX(SPLIT(I4909,""/""),,3),INDEX(SPLIT(I4909,""/""),,2),INDEX(SPLIT(I4909,""/""),,1))"),44804.0)</f>
        <v>44804</v>
      </c>
      <c r="L4909" s="1">
        <v>0.0</v>
      </c>
      <c r="M4909" s="1" t="s">
        <v>79</v>
      </c>
      <c r="N4909" s="1"/>
      <c r="O4909" s="1" t="s">
        <v>30</v>
      </c>
      <c r="P4909" s="1" t="s">
        <v>31</v>
      </c>
      <c r="Q4909" s="1" t="s">
        <v>32</v>
      </c>
      <c r="R4909" s="1" t="s">
        <v>32</v>
      </c>
      <c r="S4909" s="1" t="s">
        <v>33</v>
      </c>
      <c r="U4909" s="1">
        <v>1.00609569E8</v>
      </c>
      <c r="Y4909" s="1" t="s">
        <v>79</v>
      </c>
      <c r="Z4909" s="1" t="s">
        <v>37</v>
      </c>
    </row>
    <row r="4910" hidden="1">
      <c r="A4910" s="1" t="s">
        <v>13727</v>
      </c>
      <c r="B4910" s="1" t="s">
        <v>784</v>
      </c>
      <c r="C4910" s="1" t="s">
        <v>13728</v>
      </c>
      <c r="D4910" s="1" t="s">
        <v>27</v>
      </c>
      <c r="E4910" s="1" t="s">
        <v>28</v>
      </c>
      <c r="F4910" s="2">
        <v>100000.0</v>
      </c>
      <c r="G4910" s="1" t="s">
        <v>394</v>
      </c>
      <c r="H4910" s="4">
        <f>IFERROR(__xludf.DUMMYFUNCTION("DATE(INDEX(SPLIT(G4910,""/""),,3),INDEX(SPLIT(G4910,""/""),,2),INDEX(SPLIT(G4910,""/""),,1))"),44677.0)</f>
        <v>44677</v>
      </c>
      <c r="I4910" s="4">
        <v>44569.0</v>
      </c>
      <c r="J4910" s="4">
        <f>IFERROR(__xludf.DUMMYFUNCTION("DATE(INDEX(SPLIT(I4910,""/""),,3),INDEX(SPLIT(I4910,""/""),,2),INDEX(SPLIT(I4910,""/""),,1))"),44774.0)</f>
        <v>44774</v>
      </c>
      <c r="L4910" s="1">
        <v>0.0</v>
      </c>
      <c r="M4910" s="1" t="s">
        <v>7252</v>
      </c>
      <c r="N4910" s="1"/>
      <c r="O4910" s="1" t="s">
        <v>30</v>
      </c>
      <c r="P4910" s="1" t="s">
        <v>31</v>
      </c>
      <c r="Q4910" s="1" t="s">
        <v>157</v>
      </c>
      <c r="R4910" s="1" t="s">
        <v>157</v>
      </c>
      <c r="S4910" s="1" t="s">
        <v>158</v>
      </c>
      <c r="U4910" s="1">
        <v>1.00599152E8</v>
      </c>
      <c r="X4910" s="1" t="s">
        <v>63</v>
      </c>
      <c r="Y4910" s="1" t="s">
        <v>7204</v>
      </c>
      <c r="Z4910" s="1" t="s">
        <v>37</v>
      </c>
    </row>
    <row r="4911" hidden="1">
      <c r="A4911" s="1" t="s">
        <v>13729</v>
      </c>
      <c r="B4911" s="1" t="s">
        <v>13730</v>
      </c>
      <c r="C4911" s="1" t="s">
        <v>13731</v>
      </c>
      <c r="D4911" s="1" t="s">
        <v>78</v>
      </c>
      <c r="E4911" s="1" t="s">
        <v>28</v>
      </c>
      <c r="F4911" s="2">
        <v>100000.0</v>
      </c>
      <c r="G4911" s="4">
        <v>44598.0</v>
      </c>
      <c r="H4911" s="4">
        <f>IFERROR(__xludf.DUMMYFUNCTION("DATE(INDEX(SPLIT(G4911,""/""),,3),INDEX(SPLIT(G4911,""/""),,2),INDEX(SPLIT(G4911,""/""),,1))"),44714.0)</f>
        <v>44714</v>
      </c>
      <c r="I4911" s="1" t="s">
        <v>42</v>
      </c>
      <c r="J4911" s="4">
        <f>IFERROR(__xludf.DUMMYFUNCTION("DATE(INDEX(SPLIT(I4911,""/""),,3),INDEX(SPLIT(I4911,""/""),,2),INDEX(SPLIT(I4911,""/""),,1))"),44926.0)</f>
        <v>44926</v>
      </c>
      <c r="L4911" s="1">
        <v>0.0</v>
      </c>
      <c r="M4911" s="1" t="s">
        <v>4477</v>
      </c>
      <c r="N4911" s="1"/>
      <c r="O4911" s="1" t="s">
        <v>30</v>
      </c>
      <c r="P4911" s="1" t="s">
        <v>31</v>
      </c>
      <c r="Q4911" s="1" t="s">
        <v>228</v>
      </c>
      <c r="R4911" s="1" t="s">
        <v>228</v>
      </c>
      <c r="S4911" s="1" t="s">
        <v>229</v>
      </c>
      <c r="T4911" s="1" t="s">
        <v>513</v>
      </c>
      <c r="U4911" s="1">
        <v>1.00592715E8</v>
      </c>
      <c r="X4911" s="1" t="s">
        <v>98</v>
      </c>
      <c r="Y4911" s="1" t="s">
        <v>4477</v>
      </c>
      <c r="Z4911" s="1" t="s">
        <v>37</v>
      </c>
    </row>
    <row r="4912">
      <c r="A4912" s="1" t="s">
        <v>13732</v>
      </c>
      <c r="B4912" s="1" t="s">
        <v>10360</v>
      </c>
      <c r="C4912" s="1" t="s">
        <v>13733</v>
      </c>
      <c r="D4912" s="1" t="s">
        <v>27</v>
      </c>
      <c r="E4912" s="1" t="s">
        <v>28</v>
      </c>
      <c r="F4912" s="2">
        <v>100000.0</v>
      </c>
      <c r="G4912" s="1" t="s">
        <v>1958</v>
      </c>
      <c r="H4912" s="4">
        <f>IFERROR(__xludf.DUMMYFUNCTION("DATE(INDEX(SPLIT(G4912,""/""),,3),INDEX(SPLIT(G4912,""/""),,2),INDEX(SPLIT(G4912,""/""),,1))"),44583.0)</f>
        <v>44583</v>
      </c>
      <c r="I4912" s="1" t="s">
        <v>226</v>
      </c>
      <c r="J4912" s="4">
        <f>IFERROR(__xludf.DUMMYFUNCTION("DATE(INDEX(SPLIT(I4912,""/""),,3),INDEX(SPLIT(I4912,""/""),,2),INDEX(SPLIT(I4912,""/""),,1))"),44771.0)</f>
        <v>44771</v>
      </c>
      <c r="L4912" s="1">
        <v>0.0</v>
      </c>
      <c r="M4912" s="1" t="s">
        <v>1959</v>
      </c>
      <c r="N4912" s="1"/>
      <c r="O4912" s="1" t="s">
        <v>30</v>
      </c>
      <c r="P4912" s="1" t="s">
        <v>31</v>
      </c>
      <c r="Q4912" s="1" t="s">
        <v>228</v>
      </c>
      <c r="R4912" s="1" t="s">
        <v>228</v>
      </c>
      <c r="S4912" s="1" t="s">
        <v>229</v>
      </c>
      <c r="T4912" s="1" t="s">
        <v>640</v>
      </c>
      <c r="U4912" s="1">
        <v>1.00955805E8</v>
      </c>
      <c r="X4912" s="1" t="s">
        <v>375</v>
      </c>
      <c r="Y4912" s="1" t="s">
        <v>1959</v>
      </c>
      <c r="Z4912" s="1" t="s">
        <v>37</v>
      </c>
    </row>
    <row r="4913" hidden="1">
      <c r="A4913" s="1" t="s">
        <v>13734</v>
      </c>
      <c r="B4913" s="1" t="s">
        <v>13735</v>
      </c>
      <c r="C4913" s="1" t="s">
        <v>4443</v>
      </c>
      <c r="D4913" s="1" t="s">
        <v>27</v>
      </c>
      <c r="E4913" s="1" t="s">
        <v>28</v>
      </c>
      <c r="F4913" s="2">
        <v>100000.0</v>
      </c>
      <c r="G4913" s="1" t="s">
        <v>1569</v>
      </c>
      <c r="H4913" s="4">
        <f>IFERROR(__xludf.DUMMYFUNCTION("DATE(INDEX(SPLIT(G4913,""/""),,3),INDEX(SPLIT(G4913,""/""),,2),INDEX(SPLIT(G4913,""/""),,1))"),44645.0)</f>
        <v>44645</v>
      </c>
      <c r="I4913" s="1" t="s">
        <v>109</v>
      </c>
      <c r="J4913" s="4">
        <f>IFERROR(__xludf.DUMMYFUNCTION("DATE(INDEX(SPLIT(I4913,""/""),,3),INDEX(SPLIT(I4913,""/""),,2),INDEX(SPLIT(I4913,""/""),,1))"),44834.0)</f>
        <v>44834</v>
      </c>
      <c r="L4913" s="1">
        <v>0.0</v>
      </c>
      <c r="M4913" s="1" t="s">
        <v>7573</v>
      </c>
      <c r="N4913" s="1"/>
      <c r="O4913" s="1" t="s">
        <v>30</v>
      </c>
      <c r="P4913" s="1" t="s">
        <v>31</v>
      </c>
      <c r="Q4913" s="1" t="s">
        <v>71</v>
      </c>
      <c r="R4913" s="1" t="s">
        <v>71</v>
      </c>
      <c r="S4913" s="1" t="s">
        <v>72</v>
      </c>
      <c r="T4913" s="1" t="s">
        <v>136</v>
      </c>
      <c r="U4913" s="1">
        <v>1.01152213E8</v>
      </c>
      <c r="X4913" s="1" t="s">
        <v>74</v>
      </c>
      <c r="Y4913" s="1" t="s">
        <v>4444</v>
      </c>
      <c r="Z4913" s="1" t="s">
        <v>206</v>
      </c>
    </row>
    <row r="4914" hidden="1">
      <c r="A4914" s="1" t="s">
        <v>13736</v>
      </c>
      <c r="B4914" s="1" t="s">
        <v>13737</v>
      </c>
      <c r="C4914" s="1" t="s">
        <v>13738</v>
      </c>
      <c r="D4914" s="1" t="s">
        <v>27</v>
      </c>
      <c r="E4914" s="1" t="s">
        <v>28</v>
      </c>
      <c r="F4914" s="2">
        <v>100000.0</v>
      </c>
      <c r="G4914" s="1" t="s">
        <v>8486</v>
      </c>
      <c r="H4914" s="4">
        <f>IFERROR(__xludf.DUMMYFUNCTION("DATE(INDEX(SPLIT(G4914,""/""),,3),INDEX(SPLIT(G4914,""/""),,2),INDEX(SPLIT(G4914,""/""),,1))"),44362.0)</f>
        <v>44362</v>
      </c>
      <c r="I4914" s="4">
        <v>44630.0</v>
      </c>
      <c r="J4914" s="4">
        <f>IFERROR(__xludf.DUMMYFUNCTION("DATE(INDEX(SPLIT(I4914,""/""),,3),INDEX(SPLIT(I4914,""/""),,2),INDEX(SPLIT(I4914,""/""),,1))"),44837.0)</f>
        <v>44837</v>
      </c>
      <c r="L4914" s="1">
        <v>0.0</v>
      </c>
      <c r="M4914" s="1" t="s">
        <v>841</v>
      </c>
      <c r="N4914" s="1"/>
      <c r="O4914" s="1" t="s">
        <v>30</v>
      </c>
      <c r="P4914" s="1" t="s">
        <v>31</v>
      </c>
      <c r="Q4914" s="1" t="s">
        <v>95</v>
      </c>
      <c r="R4914" s="1" t="s">
        <v>95</v>
      </c>
      <c r="S4914" s="1" t="s">
        <v>96</v>
      </c>
      <c r="T4914" s="1" t="s">
        <v>602</v>
      </c>
      <c r="U4914" s="1">
        <v>1.00621664E8</v>
      </c>
      <c r="X4914" s="1" t="s">
        <v>375</v>
      </c>
      <c r="Y4914" s="1" t="s">
        <v>3631</v>
      </c>
      <c r="Z4914" s="1" t="s">
        <v>37</v>
      </c>
    </row>
    <row r="4915" hidden="1">
      <c r="A4915" s="1" t="s">
        <v>13739</v>
      </c>
      <c r="B4915" s="1" t="s">
        <v>13740</v>
      </c>
      <c r="C4915" s="1" t="s">
        <v>13741</v>
      </c>
      <c r="D4915" s="1" t="s">
        <v>122</v>
      </c>
      <c r="E4915" s="1" t="s">
        <v>28</v>
      </c>
      <c r="F4915" s="2">
        <v>100000.0</v>
      </c>
      <c r="G4915" s="1" t="s">
        <v>935</v>
      </c>
      <c r="H4915" s="4">
        <f>IFERROR(__xludf.DUMMYFUNCTION("DATE(INDEX(SPLIT(G4915,""/""),,3),INDEX(SPLIT(G4915,""/""),,2),INDEX(SPLIT(G4915,""/""),,1))"),44764.0)</f>
        <v>44764</v>
      </c>
      <c r="I4915" s="4">
        <v>44689.0</v>
      </c>
      <c r="J4915" s="4">
        <f>IFERROR(__xludf.DUMMYFUNCTION("DATE(INDEX(SPLIT(I4915,""/""),,3),INDEX(SPLIT(I4915,""/""),,2),INDEX(SPLIT(I4915,""/""),,1))"),44778.0)</f>
        <v>44778</v>
      </c>
      <c r="L4915" s="1">
        <v>0.0</v>
      </c>
      <c r="M4915" s="1" t="s">
        <v>266</v>
      </c>
      <c r="N4915" s="1"/>
      <c r="O4915" s="1" t="s">
        <v>30</v>
      </c>
      <c r="P4915" s="1" t="s">
        <v>31</v>
      </c>
      <c r="Q4915" s="1" t="s">
        <v>32</v>
      </c>
      <c r="R4915" s="1" t="s">
        <v>32</v>
      </c>
      <c r="S4915" s="1" t="s">
        <v>33</v>
      </c>
      <c r="U4915" s="1">
        <v>1.00597826E8</v>
      </c>
      <c r="X4915" s="1" t="s">
        <v>117</v>
      </c>
      <c r="Y4915" s="1" t="s">
        <v>266</v>
      </c>
      <c r="Z4915" s="1" t="s">
        <v>37</v>
      </c>
    </row>
    <row r="4916" hidden="1">
      <c r="A4916" s="1" t="s">
        <v>13742</v>
      </c>
      <c r="B4916" s="1" t="s">
        <v>6293</v>
      </c>
      <c r="C4916" s="1" t="s">
        <v>13743</v>
      </c>
      <c r="D4916" s="1" t="s">
        <v>27</v>
      </c>
      <c r="E4916" s="1" t="s">
        <v>28</v>
      </c>
      <c r="F4916" s="2">
        <v>100000.0</v>
      </c>
      <c r="G4916" s="1" t="s">
        <v>248</v>
      </c>
      <c r="H4916" s="4">
        <f>IFERROR(__xludf.DUMMYFUNCTION("DATE(INDEX(SPLIT(G4916,""/""),,3),INDEX(SPLIT(G4916,""/""),,2),INDEX(SPLIT(G4916,""/""),,1))"),44483.0)</f>
        <v>44483</v>
      </c>
      <c r="I4916" s="1" t="s">
        <v>109</v>
      </c>
      <c r="J4916" s="4">
        <f>IFERROR(__xludf.DUMMYFUNCTION("DATE(INDEX(SPLIT(I4916,""/""),,3),INDEX(SPLIT(I4916,""/""),,2),INDEX(SPLIT(I4916,""/""),,1))"),44834.0)</f>
        <v>44834</v>
      </c>
      <c r="L4916" s="1">
        <v>0.0</v>
      </c>
      <c r="M4916" s="1" t="s">
        <v>1833</v>
      </c>
      <c r="N4916" s="1"/>
      <c r="O4916" s="1" t="s">
        <v>30</v>
      </c>
      <c r="P4916" s="1" t="s">
        <v>31</v>
      </c>
      <c r="Q4916" s="1" t="s">
        <v>53</v>
      </c>
      <c r="R4916" s="1" t="s">
        <v>53</v>
      </c>
      <c r="S4916" s="1" t="s">
        <v>54</v>
      </c>
      <c r="T4916" s="1" t="s">
        <v>634</v>
      </c>
      <c r="U4916" s="1">
        <v>1.0105484E8</v>
      </c>
      <c r="X4916" s="1" t="s">
        <v>490</v>
      </c>
      <c r="Y4916" s="1" t="s">
        <v>1013</v>
      </c>
      <c r="Z4916" s="1" t="s">
        <v>37</v>
      </c>
    </row>
    <row r="4917" hidden="1">
      <c r="A4917" s="1" t="s">
        <v>13744</v>
      </c>
      <c r="B4917" s="1" t="s">
        <v>13745</v>
      </c>
      <c r="C4917" s="1" t="s">
        <v>13530</v>
      </c>
      <c r="D4917" s="1" t="s">
        <v>27</v>
      </c>
      <c r="E4917" s="1" t="s">
        <v>28</v>
      </c>
      <c r="F4917" s="2">
        <v>100000.0</v>
      </c>
      <c r="G4917" s="1" t="s">
        <v>2572</v>
      </c>
      <c r="H4917" s="4">
        <f>IFERROR(__xludf.DUMMYFUNCTION("DATE(INDEX(SPLIT(G4917,""/""),,3),INDEX(SPLIT(G4917,""/""),,2),INDEX(SPLIT(G4917,""/""),,1))"),44581.0)</f>
        <v>44581</v>
      </c>
      <c r="I4917" s="1" t="s">
        <v>109</v>
      </c>
      <c r="J4917" s="4">
        <f>IFERROR(__xludf.DUMMYFUNCTION("DATE(INDEX(SPLIT(I4917,""/""),,3),INDEX(SPLIT(I4917,""/""),,2),INDEX(SPLIT(I4917,""/""),,1))"),44834.0)</f>
        <v>44834</v>
      </c>
      <c r="L4917" s="1">
        <v>0.0</v>
      </c>
      <c r="M4917" s="1" t="s">
        <v>3123</v>
      </c>
      <c r="N4917" s="1"/>
      <c r="O4917" s="1" t="s">
        <v>30</v>
      </c>
      <c r="P4917" s="1" t="s">
        <v>31</v>
      </c>
      <c r="Q4917" s="1" t="s">
        <v>157</v>
      </c>
      <c r="R4917" s="1" t="s">
        <v>157</v>
      </c>
      <c r="S4917" s="1" t="s">
        <v>158</v>
      </c>
      <c r="T4917" s="1" t="s">
        <v>442</v>
      </c>
      <c r="U4917" s="1">
        <v>1.00875111E8</v>
      </c>
      <c r="X4917" s="1" t="s">
        <v>88</v>
      </c>
      <c r="Y4917" s="1" t="s">
        <v>4960</v>
      </c>
      <c r="Z4917" s="1" t="s">
        <v>37</v>
      </c>
    </row>
    <row r="4918" hidden="1">
      <c r="A4918" s="1" t="s">
        <v>13746</v>
      </c>
      <c r="B4918" s="1" t="s">
        <v>9326</v>
      </c>
      <c r="C4918" s="1" t="s">
        <v>13530</v>
      </c>
      <c r="D4918" s="1" t="s">
        <v>27</v>
      </c>
      <c r="E4918" s="1" t="s">
        <v>28</v>
      </c>
      <c r="F4918" s="2">
        <v>100000.0</v>
      </c>
      <c r="G4918" s="1" t="s">
        <v>1004</v>
      </c>
      <c r="H4918" s="4">
        <f>IFERROR(__xludf.DUMMYFUNCTION("DATE(INDEX(SPLIT(G4918,""/""),,3),INDEX(SPLIT(G4918,""/""),,2),INDEX(SPLIT(G4918,""/""),,1))"),44582.0)</f>
        <v>44582</v>
      </c>
      <c r="I4918" s="1" t="s">
        <v>109</v>
      </c>
      <c r="J4918" s="4">
        <f>IFERROR(__xludf.DUMMYFUNCTION("DATE(INDEX(SPLIT(I4918,""/""),,3),INDEX(SPLIT(I4918,""/""),,2),INDEX(SPLIT(I4918,""/""),,1))"),44834.0)</f>
        <v>44834</v>
      </c>
      <c r="L4918" s="1">
        <v>0.0</v>
      </c>
      <c r="M4918" s="1" t="s">
        <v>3123</v>
      </c>
      <c r="N4918" s="1"/>
      <c r="O4918" s="1" t="s">
        <v>30</v>
      </c>
      <c r="P4918" s="1" t="s">
        <v>31</v>
      </c>
      <c r="Q4918" s="1" t="s">
        <v>157</v>
      </c>
      <c r="R4918" s="1" t="s">
        <v>157</v>
      </c>
      <c r="S4918" s="1" t="s">
        <v>158</v>
      </c>
      <c r="T4918" s="1" t="s">
        <v>442</v>
      </c>
      <c r="U4918" s="1">
        <v>1.00875111E8</v>
      </c>
      <c r="X4918" s="1" t="s">
        <v>88</v>
      </c>
      <c r="Y4918" s="1" t="s">
        <v>4960</v>
      </c>
      <c r="Z4918" s="1" t="s">
        <v>37</v>
      </c>
    </row>
    <row r="4919" hidden="1">
      <c r="A4919" s="1" t="s">
        <v>13747</v>
      </c>
      <c r="B4919" s="1" t="s">
        <v>13748</v>
      </c>
      <c r="C4919" s="1" t="s">
        <v>13530</v>
      </c>
      <c r="D4919" s="1" t="s">
        <v>27</v>
      </c>
      <c r="E4919" s="1" t="s">
        <v>28</v>
      </c>
      <c r="F4919" s="2">
        <v>100000.0</v>
      </c>
      <c r="G4919" s="1" t="s">
        <v>1004</v>
      </c>
      <c r="H4919" s="4">
        <f>IFERROR(__xludf.DUMMYFUNCTION("DATE(INDEX(SPLIT(G4919,""/""),,3),INDEX(SPLIT(G4919,""/""),,2),INDEX(SPLIT(G4919,""/""),,1))"),44582.0)</f>
        <v>44582</v>
      </c>
      <c r="I4919" s="1" t="s">
        <v>109</v>
      </c>
      <c r="J4919" s="4">
        <f>IFERROR(__xludf.DUMMYFUNCTION("DATE(INDEX(SPLIT(I4919,""/""),,3),INDEX(SPLIT(I4919,""/""),,2),INDEX(SPLIT(I4919,""/""),,1))"),44834.0)</f>
        <v>44834</v>
      </c>
      <c r="L4919" s="1">
        <v>0.0</v>
      </c>
      <c r="M4919" s="1" t="s">
        <v>3123</v>
      </c>
      <c r="N4919" s="1"/>
      <c r="O4919" s="1" t="s">
        <v>30</v>
      </c>
      <c r="P4919" s="1" t="s">
        <v>31</v>
      </c>
      <c r="Q4919" s="1" t="s">
        <v>157</v>
      </c>
      <c r="R4919" s="1" t="s">
        <v>157</v>
      </c>
      <c r="S4919" s="1" t="s">
        <v>158</v>
      </c>
      <c r="T4919" s="1" t="s">
        <v>442</v>
      </c>
      <c r="U4919" s="1">
        <v>1.00875111E8</v>
      </c>
      <c r="X4919" s="1" t="s">
        <v>88</v>
      </c>
      <c r="Y4919" s="1" t="s">
        <v>4960</v>
      </c>
      <c r="Z4919" s="1" t="s">
        <v>37</v>
      </c>
    </row>
    <row r="4920" hidden="1">
      <c r="A4920" s="1" t="s">
        <v>13749</v>
      </c>
      <c r="B4920" s="1" t="s">
        <v>13750</v>
      </c>
      <c r="C4920" s="1" t="s">
        <v>13530</v>
      </c>
      <c r="D4920" s="1" t="s">
        <v>27</v>
      </c>
      <c r="E4920" s="1" t="s">
        <v>28</v>
      </c>
      <c r="F4920" s="2">
        <v>100000.0</v>
      </c>
      <c r="G4920" s="1" t="s">
        <v>1004</v>
      </c>
      <c r="H4920" s="4">
        <f>IFERROR(__xludf.DUMMYFUNCTION("DATE(INDEX(SPLIT(G4920,""/""),,3),INDEX(SPLIT(G4920,""/""),,2),INDEX(SPLIT(G4920,""/""),,1))"),44582.0)</f>
        <v>44582</v>
      </c>
      <c r="I4920" s="1" t="s">
        <v>109</v>
      </c>
      <c r="J4920" s="4">
        <f>IFERROR(__xludf.DUMMYFUNCTION("DATE(INDEX(SPLIT(I4920,""/""),,3),INDEX(SPLIT(I4920,""/""),,2),INDEX(SPLIT(I4920,""/""),,1))"),44834.0)</f>
        <v>44834</v>
      </c>
      <c r="L4920" s="1">
        <v>0.0</v>
      </c>
      <c r="M4920" s="1" t="s">
        <v>3123</v>
      </c>
      <c r="N4920" s="1"/>
      <c r="O4920" s="1" t="s">
        <v>30</v>
      </c>
      <c r="P4920" s="1" t="s">
        <v>31</v>
      </c>
      <c r="Q4920" s="1" t="s">
        <v>157</v>
      </c>
      <c r="R4920" s="1" t="s">
        <v>157</v>
      </c>
      <c r="S4920" s="1" t="s">
        <v>158</v>
      </c>
      <c r="T4920" s="1" t="s">
        <v>442</v>
      </c>
      <c r="U4920" s="1">
        <v>1.00875111E8</v>
      </c>
      <c r="X4920" s="1" t="s">
        <v>88</v>
      </c>
      <c r="Y4920" s="1" t="s">
        <v>4960</v>
      </c>
      <c r="Z4920" s="1" t="s">
        <v>37</v>
      </c>
    </row>
    <row r="4921" hidden="1">
      <c r="A4921" s="1" t="s">
        <v>13751</v>
      </c>
      <c r="B4921" s="1" t="s">
        <v>13752</v>
      </c>
      <c r="C4921" s="1" t="s">
        <v>13530</v>
      </c>
      <c r="D4921" s="1" t="s">
        <v>27</v>
      </c>
      <c r="E4921" s="1" t="s">
        <v>28</v>
      </c>
      <c r="F4921" s="2">
        <v>100000.0</v>
      </c>
      <c r="G4921" s="1" t="s">
        <v>1004</v>
      </c>
      <c r="H4921" s="4">
        <f>IFERROR(__xludf.DUMMYFUNCTION("DATE(INDEX(SPLIT(G4921,""/""),,3),INDEX(SPLIT(G4921,""/""),,2),INDEX(SPLIT(G4921,""/""),,1))"),44582.0)</f>
        <v>44582</v>
      </c>
      <c r="I4921" s="1" t="s">
        <v>109</v>
      </c>
      <c r="J4921" s="4">
        <f>IFERROR(__xludf.DUMMYFUNCTION("DATE(INDEX(SPLIT(I4921,""/""),,3),INDEX(SPLIT(I4921,""/""),,2),INDEX(SPLIT(I4921,""/""),,1))"),44834.0)</f>
        <v>44834</v>
      </c>
      <c r="L4921" s="1">
        <v>0.0</v>
      </c>
      <c r="M4921" s="1" t="s">
        <v>3123</v>
      </c>
      <c r="N4921" s="1"/>
      <c r="O4921" s="1" t="s">
        <v>30</v>
      </c>
      <c r="P4921" s="1" t="s">
        <v>31</v>
      </c>
      <c r="Q4921" s="1" t="s">
        <v>157</v>
      </c>
      <c r="R4921" s="1" t="s">
        <v>157</v>
      </c>
      <c r="S4921" s="1" t="s">
        <v>158</v>
      </c>
      <c r="T4921" s="1" t="s">
        <v>442</v>
      </c>
      <c r="U4921" s="1">
        <v>1.00875111E8</v>
      </c>
      <c r="X4921" s="1" t="s">
        <v>88</v>
      </c>
      <c r="Y4921" s="1" t="s">
        <v>4960</v>
      </c>
      <c r="Z4921" s="1" t="s">
        <v>37</v>
      </c>
    </row>
    <row r="4922" hidden="1">
      <c r="A4922" s="1" t="s">
        <v>13753</v>
      </c>
      <c r="B4922" s="1" t="s">
        <v>975</v>
      </c>
      <c r="C4922" s="1" t="s">
        <v>13754</v>
      </c>
      <c r="D4922" s="1" t="s">
        <v>27</v>
      </c>
      <c r="E4922" s="1" t="s">
        <v>28</v>
      </c>
      <c r="F4922" s="2">
        <v>100000.0</v>
      </c>
      <c r="G4922" s="1" t="s">
        <v>1004</v>
      </c>
      <c r="H4922" s="4">
        <f>IFERROR(__xludf.DUMMYFUNCTION("DATE(INDEX(SPLIT(G4922,""/""),,3),INDEX(SPLIT(G4922,""/""),,2),INDEX(SPLIT(G4922,""/""),,1))"),44582.0)</f>
        <v>44582</v>
      </c>
      <c r="I4922" s="1" t="s">
        <v>109</v>
      </c>
      <c r="J4922" s="4">
        <f>IFERROR(__xludf.DUMMYFUNCTION("DATE(INDEX(SPLIT(I4922,""/""),,3),INDEX(SPLIT(I4922,""/""),,2),INDEX(SPLIT(I4922,""/""),,1))"),44834.0)</f>
        <v>44834</v>
      </c>
      <c r="L4922" s="1">
        <v>0.0</v>
      </c>
      <c r="M4922" s="1" t="s">
        <v>3123</v>
      </c>
      <c r="N4922" s="1"/>
      <c r="O4922" s="1" t="s">
        <v>30</v>
      </c>
      <c r="P4922" s="1" t="s">
        <v>31</v>
      </c>
      <c r="Q4922" s="1" t="s">
        <v>157</v>
      </c>
      <c r="R4922" s="1" t="s">
        <v>157</v>
      </c>
      <c r="S4922" s="1" t="s">
        <v>158</v>
      </c>
      <c r="T4922" s="1" t="s">
        <v>442</v>
      </c>
      <c r="U4922" s="1">
        <v>1.00875111E8</v>
      </c>
      <c r="X4922" s="1" t="s">
        <v>88</v>
      </c>
      <c r="Y4922" s="1" t="s">
        <v>4960</v>
      </c>
      <c r="Z4922" s="1" t="s">
        <v>37</v>
      </c>
    </row>
    <row r="4923" hidden="1">
      <c r="A4923" s="1" t="s">
        <v>13755</v>
      </c>
      <c r="B4923" s="1" t="s">
        <v>13756</v>
      </c>
      <c r="C4923" s="1" t="s">
        <v>13530</v>
      </c>
      <c r="D4923" s="1" t="s">
        <v>27</v>
      </c>
      <c r="E4923" s="1" t="s">
        <v>28</v>
      </c>
      <c r="F4923" s="2">
        <v>100000.0</v>
      </c>
      <c r="G4923" s="1" t="s">
        <v>1004</v>
      </c>
      <c r="H4923" s="4">
        <f>IFERROR(__xludf.DUMMYFUNCTION("DATE(INDEX(SPLIT(G4923,""/""),,3),INDEX(SPLIT(G4923,""/""),,2),INDEX(SPLIT(G4923,""/""),,1))"),44582.0)</f>
        <v>44582</v>
      </c>
      <c r="I4923" s="1" t="s">
        <v>109</v>
      </c>
      <c r="J4923" s="4">
        <f>IFERROR(__xludf.DUMMYFUNCTION("DATE(INDEX(SPLIT(I4923,""/""),,3),INDEX(SPLIT(I4923,""/""),,2),INDEX(SPLIT(I4923,""/""),,1))"),44834.0)</f>
        <v>44834</v>
      </c>
      <c r="L4923" s="1">
        <v>0.0</v>
      </c>
      <c r="M4923" s="1" t="s">
        <v>3123</v>
      </c>
      <c r="N4923" s="1"/>
      <c r="O4923" s="1" t="s">
        <v>30</v>
      </c>
      <c r="P4923" s="1" t="s">
        <v>31</v>
      </c>
      <c r="Q4923" s="1" t="s">
        <v>157</v>
      </c>
      <c r="R4923" s="1" t="s">
        <v>157</v>
      </c>
      <c r="S4923" s="1" t="s">
        <v>158</v>
      </c>
      <c r="T4923" s="1" t="s">
        <v>442</v>
      </c>
      <c r="U4923" s="1">
        <v>1.00875111E8</v>
      </c>
      <c r="X4923" s="1" t="s">
        <v>88</v>
      </c>
      <c r="Y4923" s="1" t="s">
        <v>4960</v>
      </c>
      <c r="Z4923" s="1" t="s">
        <v>37</v>
      </c>
    </row>
    <row r="4924">
      <c r="A4924" s="1" t="s">
        <v>13757</v>
      </c>
      <c r="B4924" s="1" t="s">
        <v>7785</v>
      </c>
      <c r="C4924" s="1" t="s">
        <v>13758</v>
      </c>
      <c r="D4924" s="1" t="s">
        <v>78</v>
      </c>
      <c r="E4924" s="1" t="s">
        <v>28</v>
      </c>
      <c r="F4924" s="2">
        <v>100000.0</v>
      </c>
      <c r="G4924" s="4">
        <v>44565.0</v>
      </c>
      <c r="H4924" s="4">
        <f>IFERROR(__xludf.DUMMYFUNCTION("DATE(INDEX(SPLIT(G4924,""/""),,3),INDEX(SPLIT(G4924,""/""),,2),INDEX(SPLIT(G4924,""/""),,1))"),44652.0)</f>
        <v>44652</v>
      </c>
      <c r="I4924" s="1" t="s">
        <v>1244</v>
      </c>
      <c r="J4924" s="4">
        <f>IFERROR(__xludf.DUMMYFUNCTION("DATE(INDEX(SPLIT(I4924,""/""),,3),INDEX(SPLIT(I4924,""/""),,2),INDEX(SPLIT(I4924,""/""),,1))"),44742.0)</f>
        <v>44742</v>
      </c>
      <c r="L4924" s="1">
        <v>0.0</v>
      </c>
      <c r="M4924" s="1" t="s">
        <v>3236</v>
      </c>
      <c r="N4924" s="1"/>
      <c r="O4924" s="1" t="s">
        <v>30</v>
      </c>
      <c r="P4924" s="1" t="s">
        <v>31</v>
      </c>
      <c r="Q4924" s="1" t="s">
        <v>53</v>
      </c>
      <c r="R4924" s="1" t="s">
        <v>53</v>
      </c>
      <c r="S4924" s="1" t="s">
        <v>54</v>
      </c>
      <c r="U4924" s="1">
        <v>1.00650453E8</v>
      </c>
      <c r="X4924" s="1" t="s">
        <v>375</v>
      </c>
      <c r="Y4924" s="1" t="s">
        <v>11825</v>
      </c>
      <c r="Z4924" s="1" t="s">
        <v>37</v>
      </c>
    </row>
    <row r="4925" hidden="1">
      <c r="A4925" s="1" t="s">
        <v>13759</v>
      </c>
      <c r="B4925" s="1" t="s">
        <v>617</v>
      </c>
      <c r="C4925" s="1" t="s">
        <v>13760</v>
      </c>
      <c r="D4925" s="1" t="s">
        <v>27</v>
      </c>
      <c r="E4925" s="1" t="s">
        <v>28</v>
      </c>
      <c r="F4925" s="2">
        <v>100000.0</v>
      </c>
      <c r="G4925" s="1" t="s">
        <v>13761</v>
      </c>
      <c r="H4925" s="4">
        <f>IFERROR(__xludf.DUMMYFUNCTION("DATE(INDEX(SPLIT(G4925,""/""),,3),INDEX(SPLIT(G4925,""/""),,2),INDEX(SPLIT(G4925,""/""),,1))"),43844.0)</f>
        <v>43844</v>
      </c>
      <c r="I4925" s="4">
        <v>44570.0</v>
      </c>
      <c r="J4925" s="4">
        <f>IFERROR(__xludf.DUMMYFUNCTION("DATE(INDEX(SPLIT(I4925,""/""),,3),INDEX(SPLIT(I4925,""/""),,2),INDEX(SPLIT(I4925,""/""),,1))"),44805.0)</f>
        <v>44805</v>
      </c>
      <c r="L4925" s="1">
        <v>0.0</v>
      </c>
      <c r="M4925" s="1" t="s">
        <v>620</v>
      </c>
      <c r="N4925" s="1"/>
      <c r="O4925" s="1" t="s">
        <v>30</v>
      </c>
      <c r="P4925" s="1" t="s">
        <v>31</v>
      </c>
      <c r="Q4925" s="1" t="s">
        <v>32</v>
      </c>
      <c r="R4925" s="1" t="s">
        <v>32</v>
      </c>
      <c r="S4925" s="1" t="s">
        <v>33</v>
      </c>
      <c r="T4925" s="1" t="s">
        <v>34</v>
      </c>
      <c r="U4925" s="1">
        <v>1.00609607E8</v>
      </c>
      <c r="X4925" s="1" t="s">
        <v>81</v>
      </c>
      <c r="Y4925" s="1" t="s">
        <v>621</v>
      </c>
      <c r="Z4925" s="1" t="s">
        <v>37</v>
      </c>
    </row>
    <row r="4926" hidden="1">
      <c r="A4926" s="1" t="s">
        <v>13762</v>
      </c>
      <c r="B4926" s="1" t="s">
        <v>8609</v>
      </c>
      <c r="C4926" s="1" t="s">
        <v>11329</v>
      </c>
      <c r="D4926" s="1" t="s">
        <v>78</v>
      </c>
      <c r="E4926" s="1" t="s">
        <v>28</v>
      </c>
      <c r="F4926" s="2">
        <v>100000.0</v>
      </c>
      <c r="G4926" s="1" t="s">
        <v>1302</v>
      </c>
      <c r="H4926" s="4">
        <f>IFERROR(__xludf.DUMMYFUNCTION("DATE(INDEX(SPLIT(G4926,""/""),,3),INDEX(SPLIT(G4926,""/""),,2),INDEX(SPLIT(G4926,""/""),,1))"),44589.0)</f>
        <v>44589</v>
      </c>
      <c r="I4926" s="1" t="s">
        <v>109</v>
      </c>
      <c r="J4926" s="4">
        <f>IFERROR(__xludf.DUMMYFUNCTION("DATE(INDEX(SPLIT(I4926,""/""),,3),INDEX(SPLIT(I4926,""/""),,2),INDEX(SPLIT(I4926,""/""),,1))"),44834.0)</f>
        <v>44834</v>
      </c>
      <c r="L4926" s="1">
        <v>0.0</v>
      </c>
      <c r="M4926" s="1" t="s">
        <v>808</v>
      </c>
      <c r="N4926" s="1"/>
      <c r="O4926" s="1" t="s">
        <v>30</v>
      </c>
      <c r="P4926" s="1" t="s">
        <v>31</v>
      </c>
      <c r="Q4926" s="1" t="s">
        <v>228</v>
      </c>
      <c r="R4926" s="1" t="s">
        <v>228</v>
      </c>
      <c r="S4926" s="1" t="s">
        <v>229</v>
      </c>
      <c r="T4926" s="1" t="s">
        <v>505</v>
      </c>
      <c r="U4926" s="1">
        <v>1.00609871E8</v>
      </c>
      <c r="W4926" s="1" t="s">
        <v>56</v>
      </c>
      <c r="X4926" s="1" t="s">
        <v>305</v>
      </c>
      <c r="Y4926" s="1" t="s">
        <v>809</v>
      </c>
      <c r="Z4926" s="1" t="s">
        <v>37</v>
      </c>
    </row>
    <row r="4927" hidden="1">
      <c r="A4927" s="1" t="s">
        <v>13763</v>
      </c>
      <c r="B4927" s="1" t="s">
        <v>4977</v>
      </c>
      <c r="C4927" s="1" t="s">
        <v>13764</v>
      </c>
      <c r="D4927" s="1" t="s">
        <v>78</v>
      </c>
      <c r="E4927" s="1" t="s">
        <v>28</v>
      </c>
      <c r="F4927" s="2">
        <v>100000.0</v>
      </c>
      <c r="G4927" s="1" t="s">
        <v>2324</v>
      </c>
      <c r="H4927" s="4">
        <f>IFERROR(__xludf.DUMMYFUNCTION("DATE(INDEX(SPLIT(G4927,""/""),,3),INDEX(SPLIT(G4927,""/""),,2),INDEX(SPLIT(G4927,""/""),,1))"),44705.0)</f>
        <v>44705</v>
      </c>
      <c r="I4927" s="1" t="s">
        <v>281</v>
      </c>
      <c r="J4927" s="4">
        <f>IFERROR(__xludf.DUMMYFUNCTION("DATE(INDEX(SPLIT(I4927,""/""),,3),INDEX(SPLIT(I4927,""/""),,2),INDEX(SPLIT(I4927,""/""),,1))"),44865.0)</f>
        <v>44865</v>
      </c>
      <c r="L4927" s="1">
        <v>0.0</v>
      </c>
      <c r="M4927" s="1" t="s">
        <v>8088</v>
      </c>
      <c r="N4927" s="1"/>
      <c r="O4927" s="1" t="s">
        <v>30</v>
      </c>
      <c r="P4927" s="1" t="s">
        <v>31</v>
      </c>
      <c r="Q4927" s="1" t="s">
        <v>228</v>
      </c>
      <c r="R4927" s="1" t="s">
        <v>228</v>
      </c>
      <c r="S4927" s="1" t="s">
        <v>229</v>
      </c>
      <c r="T4927" s="1" t="s">
        <v>640</v>
      </c>
      <c r="U4927" s="1">
        <v>1.00882877E8</v>
      </c>
      <c r="X4927" s="1" t="s">
        <v>375</v>
      </c>
      <c r="Y4927" s="1" t="s">
        <v>8088</v>
      </c>
      <c r="Z4927" s="1" t="s">
        <v>206</v>
      </c>
    </row>
    <row r="4928">
      <c r="A4928" s="1" t="s">
        <v>13765</v>
      </c>
      <c r="B4928" s="1" t="s">
        <v>484</v>
      </c>
      <c r="C4928" s="1" t="s">
        <v>13766</v>
      </c>
      <c r="D4928" s="1" t="s">
        <v>27</v>
      </c>
      <c r="E4928" s="1" t="s">
        <v>28</v>
      </c>
      <c r="F4928" s="2">
        <v>100000.0</v>
      </c>
      <c r="G4928" s="1" t="s">
        <v>1012</v>
      </c>
      <c r="H4928" s="4">
        <f>IFERROR(__xludf.DUMMYFUNCTION("DATE(INDEX(SPLIT(G4928,""/""),,3),INDEX(SPLIT(G4928,""/""),,2),INDEX(SPLIT(G4928,""/""),,1))"),44496.0)</f>
        <v>44496</v>
      </c>
      <c r="I4928" s="1" t="s">
        <v>226</v>
      </c>
      <c r="J4928" s="4">
        <f>IFERROR(__xludf.DUMMYFUNCTION("DATE(INDEX(SPLIT(I4928,""/""),,3),INDEX(SPLIT(I4928,""/""),,2),INDEX(SPLIT(I4928,""/""),,1))"),44771.0)</f>
        <v>44771</v>
      </c>
      <c r="L4928" s="1">
        <v>0.0</v>
      </c>
      <c r="M4928" s="1" t="s">
        <v>1833</v>
      </c>
      <c r="N4928" s="1"/>
      <c r="O4928" s="1" t="s">
        <v>30</v>
      </c>
      <c r="P4928" s="1" t="s">
        <v>31</v>
      </c>
      <c r="Q4928" s="1" t="s">
        <v>53</v>
      </c>
      <c r="R4928" s="1" t="s">
        <v>53</v>
      </c>
      <c r="S4928" s="1" t="s">
        <v>54</v>
      </c>
      <c r="T4928" s="1" t="s">
        <v>1386</v>
      </c>
      <c r="U4928" s="1">
        <v>1.0105484E8</v>
      </c>
      <c r="X4928" s="1" t="s">
        <v>490</v>
      </c>
      <c r="Y4928" s="1" t="s">
        <v>1013</v>
      </c>
      <c r="Z4928" s="1" t="s">
        <v>37</v>
      </c>
    </row>
    <row r="4929" hidden="1">
      <c r="A4929" s="1" t="s">
        <v>13767</v>
      </c>
      <c r="B4929" s="1" t="s">
        <v>1762</v>
      </c>
      <c r="C4929" s="1" t="s">
        <v>13768</v>
      </c>
      <c r="D4929" s="1" t="s">
        <v>78</v>
      </c>
      <c r="E4929" s="1" t="s">
        <v>28</v>
      </c>
      <c r="F4929" s="2">
        <v>100000.0</v>
      </c>
      <c r="G4929" s="1" t="s">
        <v>624</v>
      </c>
      <c r="H4929" s="4">
        <f>IFERROR(__xludf.DUMMYFUNCTION("DATE(INDEX(SPLIT(G4929,""/""),,3),INDEX(SPLIT(G4929,""/""),,2),INDEX(SPLIT(G4929,""/""),,1))"),44642.0)</f>
        <v>44642</v>
      </c>
      <c r="I4929" s="1" t="s">
        <v>109</v>
      </c>
      <c r="J4929" s="4">
        <f>IFERROR(__xludf.DUMMYFUNCTION("DATE(INDEX(SPLIT(I4929,""/""),,3),INDEX(SPLIT(I4929,""/""),,2),INDEX(SPLIT(I4929,""/""),,1))"),44834.0)</f>
        <v>44834</v>
      </c>
      <c r="L4929" s="1">
        <v>0.0</v>
      </c>
      <c r="M4929" s="1" t="s">
        <v>1514</v>
      </c>
      <c r="N4929" s="1"/>
      <c r="O4929" s="1" t="s">
        <v>30</v>
      </c>
      <c r="P4929" s="1" t="s">
        <v>31</v>
      </c>
      <c r="Q4929" s="1" t="s">
        <v>71</v>
      </c>
      <c r="R4929" s="1" t="s">
        <v>71</v>
      </c>
      <c r="S4929" s="1" t="s">
        <v>72</v>
      </c>
      <c r="T4929" s="1" t="s">
        <v>615</v>
      </c>
      <c r="U4929" s="1">
        <v>1.006324E8</v>
      </c>
      <c r="X4929" s="1" t="s">
        <v>490</v>
      </c>
      <c r="Y4929" s="1" t="s">
        <v>1514</v>
      </c>
      <c r="Z4929" s="1" t="s">
        <v>37</v>
      </c>
    </row>
    <row r="4930" hidden="1">
      <c r="A4930" s="1" t="s">
        <v>13769</v>
      </c>
      <c r="B4930" s="1" t="s">
        <v>13770</v>
      </c>
      <c r="C4930" s="1" t="s">
        <v>13771</v>
      </c>
      <c r="D4930" s="1" t="s">
        <v>78</v>
      </c>
      <c r="E4930" s="1" t="s">
        <v>28</v>
      </c>
      <c r="F4930" s="2">
        <v>100000.0</v>
      </c>
      <c r="G4930" s="1" t="s">
        <v>2655</v>
      </c>
      <c r="H4930" s="4">
        <f>IFERROR(__xludf.DUMMYFUNCTION("DATE(INDEX(SPLIT(G4930,""/""),,3),INDEX(SPLIT(G4930,""/""),,2),INDEX(SPLIT(G4930,""/""),,1))"),44467.0)</f>
        <v>44467</v>
      </c>
      <c r="I4930" s="1" t="s">
        <v>109</v>
      </c>
      <c r="J4930" s="4">
        <f>IFERROR(__xludf.DUMMYFUNCTION("DATE(INDEX(SPLIT(I4930,""/""),,3),INDEX(SPLIT(I4930,""/""),,2),INDEX(SPLIT(I4930,""/""),,1))"),44834.0)</f>
        <v>44834</v>
      </c>
      <c r="L4930" s="1">
        <v>0.0</v>
      </c>
      <c r="M4930" s="1" t="s">
        <v>3046</v>
      </c>
      <c r="N4930" s="1"/>
      <c r="O4930" s="1" t="s">
        <v>30</v>
      </c>
      <c r="P4930" s="1" t="s">
        <v>31</v>
      </c>
      <c r="Q4930" s="1" t="s">
        <v>228</v>
      </c>
      <c r="R4930" s="1" t="s">
        <v>228</v>
      </c>
      <c r="S4930" s="1" t="s">
        <v>229</v>
      </c>
      <c r="U4930" s="1">
        <v>1.00619685E8</v>
      </c>
      <c r="X4930" s="1" t="s">
        <v>63</v>
      </c>
      <c r="Y4930" s="1" t="s">
        <v>1533</v>
      </c>
      <c r="Z4930" s="1" t="s">
        <v>206</v>
      </c>
    </row>
    <row r="4931">
      <c r="A4931" s="1" t="s">
        <v>13772</v>
      </c>
      <c r="B4931" s="1" t="s">
        <v>337</v>
      </c>
      <c r="C4931" s="1" t="s">
        <v>13773</v>
      </c>
      <c r="D4931" s="1" t="s">
        <v>27</v>
      </c>
      <c r="E4931" s="1" t="s">
        <v>28</v>
      </c>
      <c r="F4931" s="2">
        <v>100000.0</v>
      </c>
      <c r="G4931" s="4">
        <v>44239.0</v>
      </c>
      <c r="H4931" s="4">
        <f>IFERROR(__xludf.DUMMYFUNCTION("DATE(INDEX(SPLIT(G4931,""/""),,3),INDEX(SPLIT(G4931,""/""),,2),INDEX(SPLIT(G4931,""/""),,1))"),44532.0)</f>
        <v>44532</v>
      </c>
      <c r="I4931" s="1" t="s">
        <v>1438</v>
      </c>
      <c r="J4931" s="4">
        <f>IFERROR(__xludf.DUMMYFUNCTION("DATE(INDEX(SPLIT(I4931,""/""),,3),INDEX(SPLIT(I4931,""/""),,2),INDEX(SPLIT(I4931,""/""),,1))"),44708.0)</f>
        <v>44708</v>
      </c>
      <c r="L4931" s="1">
        <v>0.0</v>
      </c>
      <c r="M4931" s="1" t="s">
        <v>5814</v>
      </c>
      <c r="N4931" s="1"/>
      <c r="O4931" s="1" t="s">
        <v>30</v>
      </c>
      <c r="P4931" s="1" t="s">
        <v>31</v>
      </c>
      <c r="Q4931" s="1" t="s">
        <v>53</v>
      </c>
      <c r="R4931" s="1" t="s">
        <v>53</v>
      </c>
      <c r="S4931" s="1" t="s">
        <v>54</v>
      </c>
      <c r="T4931" s="1" t="s">
        <v>2372</v>
      </c>
      <c r="U4931" s="1">
        <v>1.00910509E8</v>
      </c>
      <c r="X4931" s="1" t="s">
        <v>239</v>
      </c>
      <c r="Y4931" s="1" t="s">
        <v>5814</v>
      </c>
      <c r="Z4931" s="1" t="s">
        <v>37</v>
      </c>
    </row>
    <row r="4932" hidden="1">
      <c r="A4932" s="1" t="s">
        <v>13774</v>
      </c>
      <c r="B4932" s="1" t="s">
        <v>10426</v>
      </c>
      <c r="C4932" s="1" t="s">
        <v>13775</v>
      </c>
      <c r="D4932" s="1" t="s">
        <v>27</v>
      </c>
      <c r="E4932" s="1" t="s">
        <v>28</v>
      </c>
      <c r="F4932" s="2">
        <v>100000.0</v>
      </c>
      <c r="G4932" s="1" t="s">
        <v>1244</v>
      </c>
      <c r="H4932" s="4">
        <f>IFERROR(__xludf.DUMMYFUNCTION("DATE(INDEX(SPLIT(G4932,""/""),,3),INDEX(SPLIT(G4932,""/""),,2),INDEX(SPLIT(G4932,""/""),,1))"),44742.0)</f>
        <v>44742</v>
      </c>
      <c r="I4932" s="1" t="s">
        <v>203</v>
      </c>
      <c r="J4932" s="4">
        <f>IFERROR(__xludf.DUMMYFUNCTION("DATE(INDEX(SPLIT(I4932,""/""),,3),INDEX(SPLIT(I4932,""/""),,2),INDEX(SPLIT(I4932,""/""),,1))"),44925.0)</f>
        <v>44925</v>
      </c>
      <c r="L4932" s="1">
        <v>0.0</v>
      </c>
      <c r="M4932" s="1" t="s">
        <v>7887</v>
      </c>
      <c r="N4932" s="1"/>
      <c r="O4932" s="1" t="s">
        <v>30</v>
      </c>
      <c r="P4932" s="1" t="s">
        <v>31</v>
      </c>
      <c r="Q4932" s="1" t="s">
        <v>53</v>
      </c>
      <c r="R4932" s="1" t="s">
        <v>53</v>
      </c>
      <c r="S4932" s="1" t="s">
        <v>54</v>
      </c>
      <c r="T4932" s="1" t="s">
        <v>1386</v>
      </c>
      <c r="U4932" s="1">
        <v>1.00587219E8</v>
      </c>
      <c r="X4932" s="1" t="s">
        <v>125</v>
      </c>
      <c r="Y4932" s="1" t="s">
        <v>10428</v>
      </c>
      <c r="Z4932" s="1" t="s">
        <v>37</v>
      </c>
    </row>
    <row r="4933" hidden="1">
      <c r="A4933" s="1" t="s">
        <v>13776</v>
      </c>
      <c r="B4933" s="1" t="s">
        <v>12413</v>
      </c>
      <c r="C4933" s="1" t="s">
        <v>13777</v>
      </c>
      <c r="D4933" s="1" t="s">
        <v>122</v>
      </c>
      <c r="E4933" s="1" t="s">
        <v>28</v>
      </c>
      <c r="F4933" s="2">
        <v>100000.0</v>
      </c>
      <c r="G4933" s="4">
        <v>44780.0</v>
      </c>
      <c r="H4933" s="4">
        <f>IFERROR(__xludf.DUMMYFUNCTION("DATE(INDEX(SPLIT(G4933,""/""),,3),INDEX(SPLIT(G4933,""/""),,2),INDEX(SPLIT(G4933,""/""),,1))"),44750.0)</f>
        <v>44750</v>
      </c>
      <c r="I4933" s="4">
        <v>44689.0</v>
      </c>
      <c r="J4933" s="4">
        <f>IFERROR(__xludf.DUMMYFUNCTION("DATE(INDEX(SPLIT(I4933,""/""),,3),INDEX(SPLIT(I4933,""/""),,2),INDEX(SPLIT(I4933,""/""),,1))"),44778.0)</f>
        <v>44778</v>
      </c>
      <c r="L4933" s="1">
        <v>0.0</v>
      </c>
      <c r="M4933" s="1" t="s">
        <v>13778</v>
      </c>
      <c r="N4933" s="1"/>
      <c r="O4933" s="1" t="s">
        <v>30</v>
      </c>
      <c r="P4933" s="1" t="s">
        <v>31</v>
      </c>
      <c r="Q4933" s="1" t="s">
        <v>53</v>
      </c>
      <c r="R4933" s="1" t="s">
        <v>53</v>
      </c>
      <c r="S4933" s="1" t="s">
        <v>54</v>
      </c>
      <c r="T4933" s="1" t="s">
        <v>1386</v>
      </c>
      <c r="U4933" s="1">
        <v>1.01254442E8</v>
      </c>
      <c r="X4933" s="1" t="s">
        <v>125</v>
      </c>
      <c r="Y4933" s="1" t="s">
        <v>13778</v>
      </c>
      <c r="Z4933" s="1" t="s">
        <v>37</v>
      </c>
    </row>
    <row r="4934" hidden="1">
      <c r="A4934" s="1" t="s">
        <v>13779</v>
      </c>
      <c r="B4934" s="1" t="s">
        <v>5378</v>
      </c>
      <c r="C4934" s="1" t="s">
        <v>13780</v>
      </c>
      <c r="D4934" s="1" t="s">
        <v>27</v>
      </c>
      <c r="E4934" s="1" t="s">
        <v>28</v>
      </c>
      <c r="F4934" s="2">
        <v>100000.0</v>
      </c>
      <c r="G4934" s="4">
        <v>44294.0</v>
      </c>
      <c r="H4934" s="4">
        <f>IFERROR(__xludf.DUMMYFUNCTION("DATE(INDEX(SPLIT(G4934,""/""),,3),INDEX(SPLIT(G4934,""/""),,2),INDEX(SPLIT(G4934,""/""),,1))"),44412.0)</f>
        <v>44412</v>
      </c>
      <c r="I4934" s="1" t="s">
        <v>281</v>
      </c>
      <c r="J4934" s="4">
        <f>IFERROR(__xludf.DUMMYFUNCTION("DATE(INDEX(SPLIT(I4934,""/""),,3),INDEX(SPLIT(I4934,""/""),,2),INDEX(SPLIT(I4934,""/""),,1))"),44865.0)</f>
        <v>44865</v>
      </c>
      <c r="L4934" s="1">
        <v>0.0</v>
      </c>
      <c r="M4934" s="1" t="s">
        <v>259</v>
      </c>
      <c r="N4934" s="1"/>
      <c r="O4934" s="1" t="s">
        <v>30</v>
      </c>
      <c r="P4934" s="1" t="s">
        <v>31</v>
      </c>
      <c r="Q4934" s="1" t="s">
        <v>95</v>
      </c>
      <c r="R4934" s="1" t="s">
        <v>95</v>
      </c>
      <c r="S4934" s="1" t="s">
        <v>96</v>
      </c>
      <c r="T4934" s="1" t="s">
        <v>237</v>
      </c>
      <c r="U4934" s="1">
        <v>1.00659114E8</v>
      </c>
      <c r="X4934" s="1" t="s">
        <v>239</v>
      </c>
      <c r="Y4934" s="1" t="s">
        <v>350</v>
      </c>
      <c r="Z4934" s="1" t="s">
        <v>37</v>
      </c>
    </row>
    <row r="4935" hidden="1">
      <c r="A4935" s="1" t="s">
        <v>13781</v>
      </c>
      <c r="B4935" s="1" t="s">
        <v>1216</v>
      </c>
      <c r="C4935" s="1" t="s">
        <v>13782</v>
      </c>
      <c r="D4935" s="1" t="s">
        <v>78</v>
      </c>
      <c r="E4935" s="1" t="s">
        <v>28</v>
      </c>
      <c r="F4935" s="2">
        <v>100000.0</v>
      </c>
      <c r="G4935" s="1" t="s">
        <v>2540</v>
      </c>
      <c r="H4935" s="4">
        <f>IFERROR(__xludf.DUMMYFUNCTION("DATE(INDEX(SPLIT(G4935,""/""),,3),INDEX(SPLIT(G4935,""/""),,2),INDEX(SPLIT(G4935,""/""),,1))"),44491.0)</f>
        <v>44491</v>
      </c>
      <c r="I4935" s="1" t="s">
        <v>109</v>
      </c>
      <c r="J4935" s="4">
        <f>IFERROR(__xludf.DUMMYFUNCTION("DATE(INDEX(SPLIT(I4935,""/""),,3),INDEX(SPLIT(I4935,""/""),,2),INDEX(SPLIT(I4935,""/""),,1))"),44834.0)</f>
        <v>44834</v>
      </c>
      <c r="L4935" s="1">
        <v>0.0</v>
      </c>
      <c r="M4935" s="1" t="s">
        <v>7830</v>
      </c>
      <c r="N4935" s="1"/>
      <c r="O4935" s="1" t="s">
        <v>30</v>
      </c>
      <c r="P4935" s="1" t="s">
        <v>31</v>
      </c>
      <c r="Q4935" s="1" t="s">
        <v>235</v>
      </c>
      <c r="R4935" s="1" t="s">
        <v>235</v>
      </c>
      <c r="S4935" s="1" t="s">
        <v>236</v>
      </c>
      <c r="T4935" s="1" t="s">
        <v>438</v>
      </c>
      <c r="U4935" s="1">
        <v>1.00658814E8</v>
      </c>
      <c r="X4935" s="1" t="s">
        <v>88</v>
      </c>
      <c r="Y4935" s="1" t="s">
        <v>7830</v>
      </c>
      <c r="Z4935" s="1" t="s">
        <v>37</v>
      </c>
    </row>
    <row r="4936" hidden="1">
      <c r="A4936" s="1" t="s">
        <v>13783</v>
      </c>
      <c r="B4936" s="1" t="s">
        <v>7608</v>
      </c>
      <c r="C4936" s="1" t="s">
        <v>13784</v>
      </c>
      <c r="D4936" s="1" t="s">
        <v>27</v>
      </c>
      <c r="E4936" s="1" t="s">
        <v>28</v>
      </c>
      <c r="F4936" s="2">
        <v>100000.0</v>
      </c>
      <c r="G4936" s="1" t="s">
        <v>1244</v>
      </c>
      <c r="H4936" s="4">
        <f>IFERROR(__xludf.DUMMYFUNCTION("DATE(INDEX(SPLIT(G4936,""/""),,3),INDEX(SPLIT(G4936,""/""),,2),INDEX(SPLIT(G4936,""/""),,1))"),44742.0)</f>
        <v>44742</v>
      </c>
      <c r="I4936" s="1" t="s">
        <v>360</v>
      </c>
      <c r="J4936" s="4">
        <f>IFERROR(__xludf.DUMMYFUNCTION("DATE(INDEX(SPLIT(I4936,""/""),,3),INDEX(SPLIT(I4936,""/""),,2),INDEX(SPLIT(I4936,""/""),,1))"),44895.0)</f>
        <v>44895</v>
      </c>
      <c r="L4936" s="1">
        <v>0.0</v>
      </c>
      <c r="M4936" s="1" t="s">
        <v>2247</v>
      </c>
      <c r="N4936" s="1"/>
      <c r="O4936" s="1" t="s">
        <v>30</v>
      </c>
      <c r="P4936" s="1" t="s">
        <v>31</v>
      </c>
      <c r="Q4936" s="1" t="s">
        <v>32</v>
      </c>
      <c r="R4936" s="1" t="s">
        <v>32</v>
      </c>
      <c r="S4936" s="1" t="s">
        <v>33</v>
      </c>
      <c r="U4936" s="1">
        <v>1.01076271E8</v>
      </c>
      <c r="X4936" s="1" t="s">
        <v>117</v>
      </c>
      <c r="Y4936" s="1" t="s">
        <v>578</v>
      </c>
      <c r="Z4936" s="1" t="s">
        <v>206</v>
      </c>
    </row>
    <row r="4937" hidden="1">
      <c r="A4937" s="1" t="s">
        <v>13785</v>
      </c>
      <c r="B4937" s="1" t="s">
        <v>83</v>
      </c>
      <c r="C4937" s="1" t="s">
        <v>13786</v>
      </c>
      <c r="D4937" s="1" t="s">
        <v>78</v>
      </c>
      <c r="E4937" s="1" t="s">
        <v>28</v>
      </c>
      <c r="F4937" s="2">
        <v>100000.0</v>
      </c>
      <c r="G4937" s="1" t="s">
        <v>13787</v>
      </c>
      <c r="H4937" s="4">
        <f>IFERROR(__xludf.DUMMYFUNCTION("DATE(INDEX(SPLIT(G4937,""/""),,3),INDEX(SPLIT(G4937,""/""),,2),INDEX(SPLIT(G4937,""/""),,1))"),43545.0)</f>
        <v>43545</v>
      </c>
      <c r="I4937" s="1" t="s">
        <v>130</v>
      </c>
      <c r="J4937" s="4">
        <f>IFERROR(__xludf.DUMMYFUNCTION("DATE(INDEX(SPLIT(I4937,""/""),,3),INDEX(SPLIT(I4937,""/""),,2),INDEX(SPLIT(I4937,""/""),,1))"),44804.0)</f>
        <v>44804</v>
      </c>
      <c r="L4937" s="1">
        <v>0.0</v>
      </c>
      <c r="M4937" s="1" t="s">
        <v>2989</v>
      </c>
      <c r="N4937" s="1"/>
      <c r="O4937" s="1" t="s">
        <v>30</v>
      </c>
      <c r="P4937" s="1" t="s">
        <v>31</v>
      </c>
      <c r="Q4937" s="1" t="s">
        <v>235</v>
      </c>
      <c r="R4937" s="1" t="s">
        <v>235</v>
      </c>
      <c r="S4937" s="1" t="s">
        <v>236</v>
      </c>
      <c r="T4937" s="1" t="s">
        <v>438</v>
      </c>
      <c r="U4937" s="1">
        <v>1.00647463E8</v>
      </c>
      <c r="X4937" s="1" t="s">
        <v>88</v>
      </c>
      <c r="Y4937" s="1" t="s">
        <v>2989</v>
      </c>
      <c r="Z4937" s="1" t="s">
        <v>37</v>
      </c>
    </row>
    <row r="4938">
      <c r="A4938" s="1" t="s">
        <v>13788</v>
      </c>
      <c r="B4938" s="1" t="s">
        <v>13789</v>
      </c>
      <c r="C4938" s="1" t="s">
        <v>13790</v>
      </c>
      <c r="D4938" s="1" t="s">
        <v>78</v>
      </c>
      <c r="E4938" s="1" t="s">
        <v>28</v>
      </c>
      <c r="F4938" s="2">
        <v>100000.0</v>
      </c>
      <c r="G4938" s="4">
        <v>43993.0</v>
      </c>
      <c r="H4938" s="4">
        <f>IFERROR(__xludf.DUMMYFUNCTION("DATE(INDEX(SPLIT(G4938,""/""),,3),INDEX(SPLIT(G4938,""/""),,2),INDEX(SPLIT(G4938,""/""),,1))"),44141.0)</f>
        <v>44141</v>
      </c>
      <c r="I4938" s="1" t="s">
        <v>1244</v>
      </c>
      <c r="J4938" s="4">
        <f>IFERROR(__xludf.DUMMYFUNCTION("DATE(INDEX(SPLIT(I4938,""/""),,3),INDEX(SPLIT(I4938,""/""),,2),INDEX(SPLIT(I4938,""/""),,1))"),44742.0)</f>
        <v>44742</v>
      </c>
      <c r="L4938" s="1">
        <v>0.0</v>
      </c>
      <c r="M4938" s="1" t="s">
        <v>4477</v>
      </c>
      <c r="N4938" s="1"/>
      <c r="O4938" s="1" t="s">
        <v>30</v>
      </c>
      <c r="P4938" s="1" t="s">
        <v>31</v>
      </c>
      <c r="Q4938" s="1" t="s">
        <v>228</v>
      </c>
      <c r="R4938" s="1" t="s">
        <v>228</v>
      </c>
      <c r="S4938" s="1" t="s">
        <v>229</v>
      </c>
      <c r="T4938" s="1" t="s">
        <v>513</v>
      </c>
      <c r="U4938" s="1">
        <v>1.00592715E8</v>
      </c>
      <c r="X4938" s="1" t="s">
        <v>98</v>
      </c>
      <c r="Y4938" s="1" t="s">
        <v>13107</v>
      </c>
      <c r="Z4938" s="1" t="s">
        <v>37</v>
      </c>
    </row>
    <row r="4939" hidden="1">
      <c r="A4939" s="1" t="s">
        <v>13791</v>
      </c>
      <c r="B4939" s="1" t="s">
        <v>13792</v>
      </c>
      <c r="C4939" s="1" t="s">
        <v>13793</v>
      </c>
      <c r="D4939" s="1" t="s">
        <v>78</v>
      </c>
      <c r="E4939" s="1" t="s">
        <v>28</v>
      </c>
      <c r="F4939" s="2">
        <v>100000.0</v>
      </c>
      <c r="G4939" s="4">
        <v>44294.0</v>
      </c>
      <c r="H4939" s="4">
        <f>IFERROR(__xludf.DUMMYFUNCTION("DATE(INDEX(SPLIT(G4939,""/""),,3),INDEX(SPLIT(G4939,""/""),,2),INDEX(SPLIT(G4939,""/""),,1))"),44412.0)</f>
        <v>44412</v>
      </c>
      <c r="I4939" s="1" t="s">
        <v>42</v>
      </c>
      <c r="J4939" s="4">
        <f>IFERROR(__xludf.DUMMYFUNCTION("DATE(INDEX(SPLIT(I4939,""/""),,3),INDEX(SPLIT(I4939,""/""),,2),INDEX(SPLIT(I4939,""/""),,1))"),44926.0)</f>
        <v>44926</v>
      </c>
      <c r="L4939" s="1">
        <v>0.0</v>
      </c>
      <c r="M4939" s="1" t="s">
        <v>2568</v>
      </c>
      <c r="N4939" s="1"/>
      <c r="O4939" s="1" t="s">
        <v>30</v>
      </c>
      <c r="P4939" s="1" t="s">
        <v>31</v>
      </c>
      <c r="Q4939" s="1" t="s">
        <v>228</v>
      </c>
      <c r="R4939" s="1" t="s">
        <v>228</v>
      </c>
      <c r="S4939" s="1" t="s">
        <v>229</v>
      </c>
      <c r="T4939" s="1" t="s">
        <v>513</v>
      </c>
      <c r="U4939" s="1">
        <v>1.00659458E8</v>
      </c>
      <c r="X4939" s="1" t="s">
        <v>98</v>
      </c>
      <c r="Y4939" s="1" t="s">
        <v>2568</v>
      </c>
      <c r="Z4939" s="1" t="s">
        <v>37</v>
      </c>
    </row>
    <row r="4940" hidden="1">
      <c r="A4940" s="1" t="s">
        <v>13794</v>
      </c>
      <c r="B4940" s="1" t="s">
        <v>5325</v>
      </c>
      <c r="C4940" s="1" t="s">
        <v>13795</v>
      </c>
      <c r="D4940" s="1" t="s">
        <v>27</v>
      </c>
      <c r="E4940" s="1" t="s">
        <v>28</v>
      </c>
      <c r="F4940" s="2">
        <v>100000.0</v>
      </c>
      <c r="G4940" s="1" t="s">
        <v>1281</v>
      </c>
      <c r="H4940" s="4">
        <f>IFERROR(__xludf.DUMMYFUNCTION("DATE(INDEX(SPLIT(G4940,""/""),,3),INDEX(SPLIT(G4940,""/""),,2),INDEX(SPLIT(G4940,""/""),,1))"),44469.0)</f>
        <v>44469</v>
      </c>
      <c r="I4940" s="1" t="s">
        <v>1678</v>
      </c>
      <c r="J4940" s="4">
        <f>IFERROR(__xludf.DUMMYFUNCTION("DATE(INDEX(SPLIT(I4940,""/""),,3),INDEX(SPLIT(I4940,""/""),,2),INDEX(SPLIT(I4940,""/""),,1))"),44819.0)</f>
        <v>44819</v>
      </c>
      <c r="L4940" s="1">
        <v>0.0</v>
      </c>
      <c r="M4940" s="1" t="s">
        <v>2724</v>
      </c>
      <c r="N4940" s="1"/>
      <c r="O4940" s="1" t="s">
        <v>30</v>
      </c>
      <c r="P4940" s="1" t="s">
        <v>31</v>
      </c>
      <c r="Q4940" s="1" t="s">
        <v>32</v>
      </c>
      <c r="R4940" s="1" t="s">
        <v>32</v>
      </c>
      <c r="S4940" s="1" t="s">
        <v>33</v>
      </c>
      <c r="T4940" s="1" t="s">
        <v>1195</v>
      </c>
      <c r="U4940" s="1">
        <v>1.00606975E8</v>
      </c>
      <c r="X4940" s="1" t="s">
        <v>490</v>
      </c>
      <c r="Y4940" s="1" t="s">
        <v>9841</v>
      </c>
      <c r="Z4940" s="1" t="s">
        <v>37</v>
      </c>
    </row>
    <row r="4941" hidden="1">
      <c r="A4941" s="1" t="s">
        <v>13796</v>
      </c>
      <c r="B4941" s="1" t="s">
        <v>546</v>
      </c>
      <c r="C4941" s="1" t="s">
        <v>13797</v>
      </c>
      <c r="D4941" s="1" t="s">
        <v>78</v>
      </c>
      <c r="E4941" s="1" t="s">
        <v>28</v>
      </c>
      <c r="F4941" s="2">
        <v>100000.0</v>
      </c>
      <c r="G4941" s="1" t="s">
        <v>1063</v>
      </c>
      <c r="H4941" s="4">
        <f>IFERROR(__xludf.DUMMYFUNCTION("DATE(INDEX(SPLIT(G4941,""/""),,3),INDEX(SPLIT(G4941,""/""),,2),INDEX(SPLIT(G4941,""/""),,1))"),44068.0)</f>
        <v>44068</v>
      </c>
      <c r="I4941" s="1" t="s">
        <v>109</v>
      </c>
      <c r="J4941" s="4">
        <f>IFERROR(__xludf.DUMMYFUNCTION("DATE(INDEX(SPLIT(I4941,""/""),,3),INDEX(SPLIT(I4941,""/""),,2),INDEX(SPLIT(I4941,""/""),,1))"),44834.0)</f>
        <v>44834</v>
      </c>
      <c r="L4941" s="1">
        <v>0.0</v>
      </c>
      <c r="M4941" s="1" t="s">
        <v>2107</v>
      </c>
      <c r="N4941" s="1"/>
      <c r="O4941" s="1" t="s">
        <v>30</v>
      </c>
      <c r="P4941" s="1" t="s">
        <v>31</v>
      </c>
      <c r="Q4941" s="1" t="s">
        <v>71</v>
      </c>
      <c r="R4941" s="1" t="s">
        <v>71</v>
      </c>
      <c r="S4941" s="1" t="s">
        <v>72</v>
      </c>
      <c r="T4941" s="1" t="s">
        <v>13798</v>
      </c>
      <c r="U4941" s="1">
        <v>1.0061233E8</v>
      </c>
      <c r="X4941" s="1" t="s">
        <v>74</v>
      </c>
      <c r="Y4941" s="1" t="s">
        <v>2107</v>
      </c>
      <c r="Z4941" s="1" t="s">
        <v>37</v>
      </c>
    </row>
    <row r="4942" hidden="1">
      <c r="A4942" s="1" t="s">
        <v>13799</v>
      </c>
      <c r="B4942" s="1" t="s">
        <v>7993</v>
      </c>
      <c r="C4942" s="1" t="s">
        <v>10475</v>
      </c>
      <c r="D4942" s="1" t="s">
        <v>78</v>
      </c>
      <c r="E4942" s="1" t="s">
        <v>28</v>
      </c>
      <c r="F4942" s="2">
        <v>100000.0</v>
      </c>
      <c r="G4942" s="1" t="s">
        <v>1244</v>
      </c>
      <c r="H4942" s="4">
        <f>IFERROR(__xludf.DUMMYFUNCTION("DATE(INDEX(SPLIT(G4942,""/""),,3),INDEX(SPLIT(G4942,""/""),,2),INDEX(SPLIT(G4942,""/""),,1))"),44742.0)</f>
        <v>44742</v>
      </c>
      <c r="I4942" s="1" t="s">
        <v>109</v>
      </c>
      <c r="J4942" s="4">
        <f>IFERROR(__xludf.DUMMYFUNCTION("DATE(INDEX(SPLIT(I4942,""/""),,3),INDEX(SPLIT(I4942,""/""),,2),INDEX(SPLIT(I4942,""/""),,1))"),44834.0)</f>
        <v>44834</v>
      </c>
      <c r="L4942" s="1">
        <v>0.0</v>
      </c>
      <c r="M4942" s="1" t="s">
        <v>4477</v>
      </c>
      <c r="N4942" s="1"/>
      <c r="O4942" s="1" t="s">
        <v>30</v>
      </c>
      <c r="P4942" s="1" t="s">
        <v>31</v>
      </c>
      <c r="Q4942" s="1" t="s">
        <v>228</v>
      </c>
      <c r="R4942" s="1" t="s">
        <v>228</v>
      </c>
      <c r="S4942" s="1" t="s">
        <v>229</v>
      </c>
      <c r="T4942" s="1" t="s">
        <v>513</v>
      </c>
      <c r="U4942" s="1">
        <v>1.00592715E8</v>
      </c>
      <c r="X4942" s="1" t="s">
        <v>98</v>
      </c>
      <c r="Y4942" s="1" t="s">
        <v>4477</v>
      </c>
      <c r="Z4942" s="1" t="s">
        <v>37</v>
      </c>
    </row>
    <row r="4943" hidden="1">
      <c r="A4943" s="1" t="s">
        <v>13800</v>
      </c>
      <c r="B4943" s="1" t="s">
        <v>5325</v>
      </c>
      <c r="C4943" s="1" t="s">
        <v>13801</v>
      </c>
      <c r="D4943" s="1" t="s">
        <v>27</v>
      </c>
      <c r="E4943" s="1" t="s">
        <v>28</v>
      </c>
      <c r="F4943" s="2">
        <v>100000.0</v>
      </c>
      <c r="G4943" s="1" t="s">
        <v>1281</v>
      </c>
      <c r="H4943" s="4">
        <f>IFERROR(__xludf.DUMMYFUNCTION("DATE(INDEX(SPLIT(G4943,""/""),,3),INDEX(SPLIT(G4943,""/""),,2),INDEX(SPLIT(G4943,""/""),,1))"),44469.0)</f>
        <v>44469</v>
      </c>
      <c r="I4943" s="1" t="s">
        <v>1750</v>
      </c>
      <c r="J4943" s="4">
        <f>IFERROR(__xludf.DUMMYFUNCTION("DATE(INDEX(SPLIT(I4943,""/""),,3),INDEX(SPLIT(I4943,""/""),,2),INDEX(SPLIT(I4943,""/""),,1))"),44802.0)</f>
        <v>44802</v>
      </c>
      <c r="L4943" s="1">
        <v>0.0</v>
      </c>
      <c r="M4943" s="1" t="s">
        <v>2724</v>
      </c>
      <c r="N4943" s="1"/>
      <c r="O4943" s="1" t="s">
        <v>30</v>
      </c>
      <c r="P4943" s="1" t="s">
        <v>31</v>
      </c>
      <c r="Q4943" s="1" t="s">
        <v>32</v>
      </c>
      <c r="R4943" s="1" t="s">
        <v>32</v>
      </c>
      <c r="S4943" s="1" t="s">
        <v>33</v>
      </c>
      <c r="T4943" s="1" t="s">
        <v>1195</v>
      </c>
      <c r="U4943" s="1">
        <v>1.00606975E8</v>
      </c>
      <c r="X4943" s="1" t="s">
        <v>490</v>
      </c>
      <c r="Y4943" s="1" t="s">
        <v>9841</v>
      </c>
      <c r="Z4943" s="1" t="s">
        <v>37</v>
      </c>
    </row>
    <row r="4944">
      <c r="A4944" s="1" t="s">
        <v>13802</v>
      </c>
      <c r="B4944" s="1" t="s">
        <v>13803</v>
      </c>
      <c r="C4944" s="1" t="s">
        <v>13804</v>
      </c>
      <c r="D4944" s="1" t="s">
        <v>122</v>
      </c>
      <c r="E4944" s="1" t="s">
        <v>28</v>
      </c>
      <c r="F4944" s="2">
        <v>100000.0</v>
      </c>
      <c r="G4944" s="4">
        <v>44208.0</v>
      </c>
      <c r="H4944" s="4">
        <f>IFERROR(__xludf.DUMMYFUNCTION("DATE(INDEX(SPLIT(G4944,""/""),,3),INDEX(SPLIT(G4944,""/""),,2),INDEX(SPLIT(G4944,""/""),,1))"),44531.0)</f>
        <v>44531</v>
      </c>
      <c r="I4944" s="1" t="s">
        <v>69</v>
      </c>
      <c r="J4944" s="4">
        <f>IFERROR(__xludf.DUMMYFUNCTION("DATE(INDEX(SPLIT(I4944,""/""),,3),INDEX(SPLIT(I4944,""/""),,2),INDEX(SPLIT(I4944,""/""),,1))"),44773.0)</f>
        <v>44773</v>
      </c>
      <c r="L4944" s="1">
        <v>0.0</v>
      </c>
      <c r="M4944" s="1" t="s">
        <v>7088</v>
      </c>
      <c r="N4944" s="1"/>
      <c r="O4944" s="1" t="s">
        <v>30</v>
      </c>
      <c r="P4944" s="1" t="s">
        <v>31</v>
      </c>
      <c r="Q4944" s="1" t="s">
        <v>228</v>
      </c>
      <c r="R4944" s="1" t="s">
        <v>228</v>
      </c>
      <c r="S4944" s="1" t="s">
        <v>229</v>
      </c>
      <c r="T4944" s="1" t="s">
        <v>513</v>
      </c>
      <c r="U4944" s="1">
        <v>1.00597339E8</v>
      </c>
      <c r="X4944" s="1" t="s">
        <v>239</v>
      </c>
      <c r="Y4944" s="1" t="s">
        <v>7088</v>
      </c>
      <c r="Z4944" s="1" t="s">
        <v>37</v>
      </c>
    </row>
    <row r="4945" hidden="1">
      <c r="A4945" s="1" t="s">
        <v>13805</v>
      </c>
      <c r="B4945" s="1" t="s">
        <v>4276</v>
      </c>
      <c r="C4945" s="1" t="s">
        <v>13806</v>
      </c>
      <c r="D4945" s="1" t="s">
        <v>27</v>
      </c>
      <c r="E4945" s="1" t="s">
        <v>28</v>
      </c>
      <c r="F4945" s="2">
        <v>100000.0</v>
      </c>
      <c r="G4945" s="1" t="s">
        <v>2655</v>
      </c>
      <c r="H4945" s="4">
        <f>IFERROR(__xludf.DUMMYFUNCTION("DATE(INDEX(SPLIT(G4945,""/""),,3),INDEX(SPLIT(G4945,""/""),,2),INDEX(SPLIT(G4945,""/""),,1))"),44467.0)</f>
        <v>44467</v>
      </c>
      <c r="I4945" s="1" t="s">
        <v>109</v>
      </c>
      <c r="J4945" s="4">
        <f>IFERROR(__xludf.DUMMYFUNCTION("DATE(INDEX(SPLIT(I4945,""/""),,3),INDEX(SPLIT(I4945,""/""),,2),INDEX(SPLIT(I4945,""/""),,1))"),44834.0)</f>
        <v>44834</v>
      </c>
      <c r="L4945" s="1">
        <v>0.0</v>
      </c>
      <c r="M4945" s="1" t="s">
        <v>1019</v>
      </c>
      <c r="N4945" s="1"/>
      <c r="O4945" s="1" t="s">
        <v>30</v>
      </c>
      <c r="P4945" s="1" t="s">
        <v>31</v>
      </c>
      <c r="Q4945" s="1" t="s">
        <v>95</v>
      </c>
      <c r="R4945" s="1" t="s">
        <v>95</v>
      </c>
      <c r="S4945" s="1" t="s">
        <v>96</v>
      </c>
      <c r="T4945" s="1" t="s">
        <v>489</v>
      </c>
      <c r="U4945" s="1">
        <v>1.00607644E8</v>
      </c>
      <c r="X4945" s="1" t="s">
        <v>490</v>
      </c>
      <c r="Y4945" s="1" t="s">
        <v>2765</v>
      </c>
      <c r="Z4945" s="1" t="s">
        <v>37</v>
      </c>
    </row>
    <row r="4946" hidden="1">
      <c r="A4946" s="1" t="s">
        <v>13807</v>
      </c>
      <c r="B4946" s="1" t="s">
        <v>13808</v>
      </c>
      <c r="C4946" s="1" t="s">
        <v>13809</v>
      </c>
      <c r="D4946" s="1" t="s">
        <v>78</v>
      </c>
      <c r="E4946" s="1" t="s">
        <v>28</v>
      </c>
      <c r="F4946" s="2">
        <v>100000.0</v>
      </c>
      <c r="G4946" s="1" t="s">
        <v>93</v>
      </c>
      <c r="H4946" s="4">
        <f>IFERROR(__xludf.DUMMYFUNCTION("DATE(INDEX(SPLIT(G4946,""/""),,3),INDEX(SPLIT(G4946,""/""),,2),INDEX(SPLIT(G4946,""/""),,1))"),44671.0)</f>
        <v>44671</v>
      </c>
      <c r="I4946" s="1" t="s">
        <v>109</v>
      </c>
      <c r="J4946" s="4">
        <f>IFERROR(__xludf.DUMMYFUNCTION("DATE(INDEX(SPLIT(I4946,""/""),,3),INDEX(SPLIT(I4946,""/""),,2),INDEX(SPLIT(I4946,""/""),,1))"),44834.0)</f>
        <v>44834</v>
      </c>
      <c r="L4946" s="1">
        <v>0.0</v>
      </c>
      <c r="M4946" s="1" t="s">
        <v>211</v>
      </c>
      <c r="N4946" s="1"/>
      <c r="O4946" s="1" t="s">
        <v>30</v>
      </c>
      <c r="P4946" s="1" t="s">
        <v>31</v>
      </c>
      <c r="Q4946" s="1" t="s">
        <v>71</v>
      </c>
      <c r="R4946" s="1" t="s">
        <v>71</v>
      </c>
      <c r="S4946" s="1" t="s">
        <v>72</v>
      </c>
      <c r="T4946" s="1" t="s">
        <v>136</v>
      </c>
      <c r="U4946" s="1">
        <v>1.00590896E8</v>
      </c>
      <c r="X4946" s="1" t="s">
        <v>117</v>
      </c>
      <c r="Y4946" s="1" t="s">
        <v>3280</v>
      </c>
      <c r="Z4946" s="1" t="s">
        <v>37</v>
      </c>
    </row>
    <row r="4947" hidden="1">
      <c r="A4947" s="1" t="s">
        <v>13810</v>
      </c>
      <c r="B4947" s="1" t="s">
        <v>13811</v>
      </c>
      <c r="C4947" s="1" t="s">
        <v>13812</v>
      </c>
      <c r="D4947" s="1" t="s">
        <v>27</v>
      </c>
      <c r="E4947" s="1" t="s">
        <v>28</v>
      </c>
      <c r="F4947" s="2">
        <v>100000.0</v>
      </c>
      <c r="G4947" s="4">
        <v>44840.0</v>
      </c>
      <c r="H4947" s="4">
        <f>IFERROR(__xludf.DUMMYFUNCTION("DATE(INDEX(SPLIT(G4947,""/""),,3),INDEX(SPLIT(G4947,""/""),,2),INDEX(SPLIT(G4947,""/""),,1))"),44722.0)</f>
        <v>44722</v>
      </c>
      <c r="I4947" s="4">
        <v>44813.0</v>
      </c>
      <c r="J4947" s="4">
        <f>IFERROR(__xludf.DUMMYFUNCTION("DATE(INDEX(SPLIT(I4947,""/""),,3),INDEX(SPLIT(I4947,""/""),,2),INDEX(SPLIT(I4947,""/""),,1))"),44813.0)</f>
        <v>44813</v>
      </c>
      <c r="L4947" s="1">
        <v>0.0</v>
      </c>
      <c r="M4947" s="1" t="s">
        <v>841</v>
      </c>
      <c r="N4947" s="1"/>
      <c r="O4947" s="1" t="s">
        <v>30</v>
      </c>
      <c r="P4947" s="1" t="s">
        <v>31</v>
      </c>
      <c r="Q4947" s="1" t="s">
        <v>95</v>
      </c>
      <c r="R4947" s="1" t="s">
        <v>95</v>
      </c>
      <c r="S4947" s="1" t="s">
        <v>96</v>
      </c>
      <c r="T4947" s="1" t="s">
        <v>311</v>
      </c>
      <c r="U4947" s="1">
        <v>1.00621664E8</v>
      </c>
      <c r="X4947" s="1" t="s">
        <v>190</v>
      </c>
      <c r="Y4947" s="1" t="s">
        <v>3631</v>
      </c>
      <c r="Z4947" s="1" t="s">
        <v>37</v>
      </c>
    </row>
    <row r="4948" hidden="1">
      <c r="A4948" s="1" t="s">
        <v>13813</v>
      </c>
      <c r="B4948" s="1" t="s">
        <v>1835</v>
      </c>
      <c r="C4948" s="1" t="s">
        <v>13814</v>
      </c>
      <c r="D4948" s="1" t="s">
        <v>78</v>
      </c>
      <c r="E4948" s="1" t="s">
        <v>28</v>
      </c>
      <c r="F4948" s="2">
        <v>100000.0</v>
      </c>
      <c r="G4948" s="4">
        <v>44567.0</v>
      </c>
      <c r="H4948" s="4">
        <f>IFERROR(__xludf.DUMMYFUNCTION("DATE(INDEX(SPLIT(G4948,""/""),,3),INDEX(SPLIT(G4948,""/""),,2),INDEX(SPLIT(G4948,""/""),,1))"),44713.0)</f>
        <v>44713</v>
      </c>
      <c r="I4948" s="1" t="s">
        <v>134</v>
      </c>
      <c r="J4948" s="4">
        <f>IFERROR(__xludf.DUMMYFUNCTION("DATE(INDEX(SPLIT(I4948,""/""),,3),INDEX(SPLIT(I4948,""/""),,2),INDEX(SPLIT(I4948,""/""),,1))"),44792.0)</f>
        <v>44792</v>
      </c>
      <c r="L4948" s="1">
        <v>0.0</v>
      </c>
      <c r="M4948" s="1" t="s">
        <v>4849</v>
      </c>
      <c r="N4948" s="1"/>
      <c r="O4948" s="1" t="s">
        <v>30</v>
      </c>
      <c r="P4948" s="1" t="s">
        <v>31</v>
      </c>
      <c r="Q4948" s="1" t="s">
        <v>157</v>
      </c>
      <c r="R4948" s="1" t="s">
        <v>157</v>
      </c>
      <c r="S4948" s="1" t="s">
        <v>158</v>
      </c>
      <c r="U4948" s="1">
        <v>1.00620934E8</v>
      </c>
      <c r="X4948" s="1" t="s">
        <v>490</v>
      </c>
      <c r="Y4948" s="1" t="s">
        <v>6427</v>
      </c>
      <c r="Z4948" s="1" t="s">
        <v>37</v>
      </c>
    </row>
    <row r="4949" hidden="1">
      <c r="A4949" s="1" t="s">
        <v>13815</v>
      </c>
      <c r="B4949" s="1" t="s">
        <v>3532</v>
      </c>
      <c r="C4949" s="1" t="s">
        <v>13816</v>
      </c>
      <c r="D4949" s="1" t="s">
        <v>27</v>
      </c>
      <c r="E4949" s="1" t="s">
        <v>28</v>
      </c>
      <c r="F4949" s="2">
        <v>100000.0</v>
      </c>
      <c r="G4949" s="4">
        <v>43628.0</v>
      </c>
      <c r="H4949" s="4">
        <f>IFERROR(__xludf.DUMMYFUNCTION("DATE(INDEX(SPLIT(G4949,""/""),,3),INDEX(SPLIT(G4949,""/""),,2),INDEX(SPLIT(G4949,""/""),,1))"),43805.0)</f>
        <v>43805</v>
      </c>
      <c r="I4949" s="1" t="s">
        <v>42</v>
      </c>
      <c r="J4949" s="4">
        <f>IFERROR(__xludf.DUMMYFUNCTION("DATE(INDEX(SPLIT(I4949,""/""),,3),INDEX(SPLIT(I4949,""/""),,2),INDEX(SPLIT(I4949,""/""),,1))"),44926.0)</f>
        <v>44926</v>
      </c>
      <c r="L4949" s="1">
        <v>0.0</v>
      </c>
      <c r="M4949" s="1" t="s">
        <v>3948</v>
      </c>
      <c r="N4949" s="1"/>
      <c r="O4949" s="1" t="s">
        <v>30</v>
      </c>
      <c r="P4949" s="1" t="s">
        <v>31</v>
      </c>
      <c r="Q4949" s="1" t="s">
        <v>228</v>
      </c>
      <c r="R4949" s="1" t="s">
        <v>228</v>
      </c>
      <c r="S4949" s="1" t="s">
        <v>229</v>
      </c>
      <c r="T4949" s="1" t="s">
        <v>640</v>
      </c>
      <c r="U4949" s="1">
        <v>1.0066189E8</v>
      </c>
      <c r="X4949" s="1" t="s">
        <v>63</v>
      </c>
      <c r="Y4949" s="1" t="s">
        <v>9454</v>
      </c>
      <c r="Z4949" s="1" t="s">
        <v>37</v>
      </c>
    </row>
    <row r="4950" hidden="1">
      <c r="A4950" s="1" t="s">
        <v>13817</v>
      </c>
      <c r="B4950" s="1" t="s">
        <v>13818</v>
      </c>
      <c r="C4950" s="1" t="s">
        <v>13819</v>
      </c>
      <c r="D4950" s="1" t="s">
        <v>122</v>
      </c>
      <c r="E4950" s="1" t="s">
        <v>28</v>
      </c>
      <c r="F4950" s="2">
        <v>100000.0</v>
      </c>
      <c r="G4950" s="4">
        <v>44541.0</v>
      </c>
      <c r="H4950" s="4">
        <f>IFERROR(__xludf.DUMMYFUNCTION("DATE(INDEX(SPLIT(G4950,""/""),,3),INDEX(SPLIT(G4950,""/""),,2),INDEX(SPLIT(G4950,""/""),,1))"),44512.0)</f>
        <v>44512</v>
      </c>
      <c r="I4950" s="1" t="s">
        <v>130</v>
      </c>
      <c r="J4950" s="4">
        <f>IFERROR(__xludf.DUMMYFUNCTION("DATE(INDEX(SPLIT(I4950,""/""),,3),INDEX(SPLIT(I4950,""/""),,2),INDEX(SPLIT(I4950,""/""),,1))"),44804.0)</f>
        <v>44804</v>
      </c>
      <c r="L4950" s="1">
        <v>0.0</v>
      </c>
      <c r="M4950" s="1" t="s">
        <v>6587</v>
      </c>
      <c r="N4950" s="1"/>
      <c r="O4950" s="1" t="s">
        <v>30</v>
      </c>
      <c r="P4950" s="1" t="s">
        <v>31</v>
      </c>
      <c r="Q4950" s="1" t="s">
        <v>71</v>
      </c>
      <c r="R4950" s="1" t="s">
        <v>71</v>
      </c>
      <c r="S4950" s="1" t="s">
        <v>72</v>
      </c>
      <c r="T4950" s="1" t="s">
        <v>136</v>
      </c>
      <c r="U4950" s="1">
        <v>1.00618376E8</v>
      </c>
      <c r="X4950" s="1" t="s">
        <v>63</v>
      </c>
      <c r="Y4950" s="1" t="s">
        <v>6587</v>
      </c>
      <c r="Z4950" s="1" t="s">
        <v>37</v>
      </c>
    </row>
    <row r="4951" hidden="1">
      <c r="A4951" s="1" t="s">
        <v>13820</v>
      </c>
      <c r="B4951" s="1" t="s">
        <v>2650</v>
      </c>
      <c r="C4951" s="1" t="s">
        <v>13821</v>
      </c>
      <c r="D4951" s="1" t="s">
        <v>122</v>
      </c>
      <c r="E4951" s="1" t="s">
        <v>28</v>
      </c>
      <c r="F4951" s="2">
        <v>100000.0</v>
      </c>
      <c r="G4951" s="1" t="s">
        <v>472</v>
      </c>
      <c r="H4951" s="4">
        <f>IFERROR(__xludf.DUMMYFUNCTION("DATE(INDEX(SPLIT(G4951,""/""),,3),INDEX(SPLIT(G4951,""/""),,2),INDEX(SPLIT(G4951,""/""),,1))"),44760.0)</f>
        <v>44760</v>
      </c>
      <c r="I4951" s="1" t="s">
        <v>130</v>
      </c>
      <c r="J4951" s="4">
        <f>IFERROR(__xludf.DUMMYFUNCTION("DATE(INDEX(SPLIT(I4951,""/""),,3),INDEX(SPLIT(I4951,""/""),,2),INDEX(SPLIT(I4951,""/""),,1))"),44804.0)</f>
        <v>44804</v>
      </c>
      <c r="L4951" s="1">
        <v>0.0</v>
      </c>
      <c r="M4951" s="1" t="s">
        <v>7088</v>
      </c>
      <c r="N4951" s="1"/>
      <c r="O4951" s="1" t="s">
        <v>30</v>
      </c>
      <c r="P4951" s="1" t="s">
        <v>31</v>
      </c>
      <c r="Q4951" s="1" t="s">
        <v>228</v>
      </c>
      <c r="R4951" s="1" t="s">
        <v>228</v>
      </c>
      <c r="S4951" s="1" t="s">
        <v>229</v>
      </c>
      <c r="T4951" s="1" t="s">
        <v>513</v>
      </c>
      <c r="U4951" s="1">
        <v>1.00597339E8</v>
      </c>
      <c r="X4951" s="1" t="s">
        <v>289</v>
      </c>
      <c r="Y4951" s="1" t="s">
        <v>7089</v>
      </c>
      <c r="Z4951" s="1" t="s">
        <v>37</v>
      </c>
    </row>
    <row r="4952" hidden="1">
      <c r="A4952" s="1" t="s">
        <v>13822</v>
      </c>
      <c r="B4952" s="1" t="s">
        <v>1835</v>
      </c>
      <c r="C4952" s="1" t="s">
        <v>13823</v>
      </c>
      <c r="D4952" s="1" t="s">
        <v>78</v>
      </c>
      <c r="E4952" s="1" t="s">
        <v>28</v>
      </c>
      <c r="F4952" s="2">
        <v>100000.0</v>
      </c>
      <c r="G4952" s="4">
        <v>44567.0</v>
      </c>
      <c r="H4952" s="4">
        <f>IFERROR(__xludf.DUMMYFUNCTION("DATE(INDEX(SPLIT(G4952,""/""),,3),INDEX(SPLIT(G4952,""/""),,2),INDEX(SPLIT(G4952,""/""),,1))"),44713.0)</f>
        <v>44713</v>
      </c>
      <c r="I4952" s="1" t="s">
        <v>872</v>
      </c>
      <c r="J4952" s="4">
        <f>IFERROR(__xludf.DUMMYFUNCTION("DATE(INDEX(SPLIT(I4952,""/""),,3),INDEX(SPLIT(I4952,""/""),,2),INDEX(SPLIT(I4952,""/""),,1))"),44820.0)</f>
        <v>44820</v>
      </c>
      <c r="L4952" s="1">
        <v>0.0</v>
      </c>
      <c r="M4952" s="1" t="s">
        <v>4849</v>
      </c>
      <c r="N4952" s="1"/>
      <c r="O4952" s="1" t="s">
        <v>30</v>
      </c>
      <c r="P4952" s="1" t="s">
        <v>31</v>
      </c>
      <c r="Q4952" s="1" t="s">
        <v>157</v>
      </c>
      <c r="R4952" s="1" t="s">
        <v>157</v>
      </c>
      <c r="S4952" s="1" t="s">
        <v>158</v>
      </c>
      <c r="U4952" s="1">
        <v>1.00620934E8</v>
      </c>
      <c r="X4952" s="1" t="s">
        <v>490</v>
      </c>
      <c r="Y4952" s="1" t="s">
        <v>6427</v>
      </c>
      <c r="Z4952" s="1" t="s">
        <v>37</v>
      </c>
    </row>
    <row r="4953" hidden="1">
      <c r="A4953" s="1" t="s">
        <v>13824</v>
      </c>
      <c r="B4953" s="1" t="s">
        <v>4066</v>
      </c>
      <c r="C4953" s="1" t="s">
        <v>13825</v>
      </c>
      <c r="D4953" s="1" t="s">
        <v>27</v>
      </c>
      <c r="E4953" s="1" t="s">
        <v>28</v>
      </c>
      <c r="F4953" s="2">
        <v>100000.0</v>
      </c>
      <c r="G4953" s="1" t="s">
        <v>1537</v>
      </c>
      <c r="H4953" s="4">
        <f>IFERROR(__xludf.DUMMYFUNCTION("DATE(INDEX(SPLIT(G4953,""/""),,3),INDEX(SPLIT(G4953,""/""),,2),INDEX(SPLIT(G4953,""/""),,1))"),44154.0)</f>
        <v>44154</v>
      </c>
      <c r="I4953" s="4">
        <v>44601.0</v>
      </c>
      <c r="J4953" s="4">
        <f>IFERROR(__xludf.DUMMYFUNCTION("DATE(INDEX(SPLIT(I4953,""/""),,3),INDEX(SPLIT(I4953,""/""),,2),INDEX(SPLIT(I4953,""/""),,1))"),44806.0)</f>
        <v>44806</v>
      </c>
      <c r="L4953" s="1">
        <v>0.0</v>
      </c>
      <c r="M4953" s="1" t="s">
        <v>4534</v>
      </c>
      <c r="N4953" s="1"/>
      <c r="O4953" s="1" t="s">
        <v>30</v>
      </c>
      <c r="P4953" s="1" t="s">
        <v>31</v>
      </c>
      <c r="Q4953" s="1" t="s">
        <v>228</v>
      </c>
      <c r="R4953" s="1" t="s">
        <v>228</v>
      </c>
      <c r="S4953" s="1" t="s">
        <v>229</v>
      </c>
      <c r="T4953" s="1" t="s">
        <v>513</v>
      </c>
      <c r="U4953" s="1">
        <v>1.0065605E8</v>
      </c>
      <c r="X4953" s="1" t="s">
        <v>74</v>
      </c>
      <c r="Y4953" s="1" t="s">
        <v>13826</v>
      </c>
      <c r="Z4953" s="1" t="s">
        <v>37</v>
      </c>
    </row>
    <row r="4954">
      <c r="A4954" s="1" t="s">
        <v>13827</v>
      </c>
      <c r="B4954" s="1" t="s">
        <v>4779</v>
      </c>
      <c r="C4954" s="1" t="s">
        <v>13828</v>
      </c>
      <c r="D4954" s="1" t="s">
        <v>78</v>
      </c>
      <c r="E4954" s="1" t="s">
        <v>28</v>
      </c>
      <c r="F4954" s="2">
        <v>100000.0</v>
      </c>
      <c r="G4954" s="1" t="s">
        <v>2629</v>
      </c>
      <c r="H4954" s="4">
        <f>IFERROR(__xludf.DUMMYFUNCTION("DATE(INDEX(SPLIT(G4954,""/""),,3),INDEX(SPLIT(G4954,""/""),,2),INDEX(SPLIT(G4954,""/""),,1))"),44651.0)</f>
        <v>44651</v>
      </c>
      <c r="I4954" s="1" t="s">
        <v>69</v>
      </c>
      <c r="J4954" s="4">
        <f>IFERROR(__xludf.DUMMYFUNCTION("DATE(INDEX(SPLIT(I4954,""/""),,3),INDEX(SPLIT(I4954,""/""),,2),INDEX(SPLIT(I4954,""/""),,1))"),44773.0)</f>
        <v>44773</v>
      </c>
      <c r="L4954" s="1">
        <v>0.0</v>
      </c>
      <c r="M4954" s="1" t="s">
        <v>482</v>
      </c>
      <c r="N4954" s="1"/>
      <c r="O4954" s="1" t="s">
        <v>30</v>
      </c>
      <c r="P4954" s="1" t="s">
        <v>31</v>
      </c>
      <c r="Q4954" s="1" t="s">
        <v>95</v>
      </c>
      <c r="R4954" s="1" t="s">
        <v>95</v>
      </c>
      <c r="S4954" s="1" t="s">
        <v>96</v>
      </c>
      <c r="T4954" s="1" t="s">
        <v>311</v>
      </c>
      <c r="U4954" s="1">
        <v>1.00657929E8</v>
      </c>
      <c r="X4954" s="1" t="s">
        <v>312</v>
      </c>
      <c r="Y4954" s="1" t="s">
        <v>5363</v>
      </c>
      <c r="Z4954" s="1" t="s">
        <v>37</v>
      </c>
    </row>
    <row r="4955" hidden="1">
      <c r="A4955" s="1" t="s">
        <v>13829</v>
      </c>
      <c r="B4955" s="1" t="s">
        <v>13830</v>
      </c>
      <c r="C4955" s="1" t="s">
        <v>13831</v>
      </c>
      <c r="D4955" s="1" t="s">
        <v>78</v>
      </c>
      <c r="E4955" s="1" t="s">
        <v>28</v>
      </c>
      <c r="F4955" s="2">
        <v>100000.0</v>
      </c>
      <c r="G4955" s="4">
        <v>43987.0</v>
      </c>
      <c r="H4955" s="4">
        <f>IFERROR(__xludf.DUMMYFUNCTION("DATE(INDEX(SPLIT(G4955,""/""),,3),INDEX(SPLIT(G4955,""/""),,2),INDEX(SPLIT(G4955,""/""),,1))"),43957.0)</f>
        <v>43957</v>
      </c>
      <c r="I4955" s="1" t="s">
        <v>130</v>
      </c>
      <c r="J4955" s="4">
        <f>IFERROR(__xludf.DUMMYFUNCTION("DATE(INDEX(SPLIT(I4955,""/""),,3),INDEX(SPLIT(I4955,""/""),,2),INDEX(SPLIT(I4955,""/""),,1))"),44804.0)</f>
        <v>44804</v>
      </c>
      <c r="L4955" s="1">
        <v>0.0</v>
      </c>
      <c r="M4955" s="1" t="s">
        <v>1088</v>
      </c>
      <c r="N4955" s="1"/>
      <c r="O4955" s="1" t="s">
        <v>30</v>
      </c>
      <c r="P4955" s="1" t="s">
        <v>31</v>
      </c>
      <c r="Q4955" s="1" t="s">
        <v>71</v>
      </c>
      <c r="R4955" s="1" t="s">
        <v>71</v>
      </c>
      <c r="S4955" s="1" t="s">
        <v>72</v>
      </c>
      <c r="T4955" s="1" t="s">
        <v>136</v>
      </c>
      <c r="U4955" s="1">
        <v>1.0090037E8</v>
      </c>
      <c r="X4955" s="1" t="s">
        <v>74</v>
      </c>
      <c r="Y4955" s="1" t="s">
        <v>13832</v>
      </c>
      <c r="Z4955" s="1" t="s">
        <v>37</v>
      </c>
    </row>
    <row r="4956" hidden="1">
      <c r="A4956" s="1" t="s">
        <v>13833</v>
      </c>
      <c r="B4956" s="1" t="s">
        <v>1030</v>
      </c>
      <c r="C4956" s="1" t="s">
        <v>13834</v>
      </c>
      <c r="D4956" s="1" t="s">
        <v>68</v>
      </c>
      <c r="E4956" s="1" t="s">
        <v>28</v>
      </c>
      <c r="F4956" s="2">
        <v>99800.0</v>
      </c>
      <c r="G4956" s="4">
        <v>44598.0</v>
      </c>
      <c r="H4956" s="4">
        <f>IFERROR(__xludf.DUMMYFUNCTION("DATE(INDEX(SPLIT(G4956,""/""),,3),INDEX(SPLIT(G4956,""/""),,2),INDEX(SPLIT(G4956,""/""),,1))"),44714.0)</f>
        <v>44714</v>
      </c>
      <c r="I4956" s="1" t="s">
        <v>109</v>
      </c>
      <c r="J4956" s="4">
        <f>IFERROR(__xludf.DUMMYFUNCTION("DATE(INDEX(SPLIT(I4956,""/""),,3),INDEX(SPLIT(I4956,""/""),,2),INDEX(SPLIT(I4956,""/""),,1))"),44834.0)</f>
        <v>44834</v>
      </c>
      <c r="L4956" s="1">
        <v>0.0</v>
      </c>
      <c r="M4956" s="1" t="s">
        <v>1439</v>
      </c>
      <c r="N4956" s="1"/>
      <c r="O4956" s="1" t="s">
        <v>30</v>
      </c>
      <c r="P4956" s="1" t="s">
        <v>31</v>
      </c>
      <c r="Q4956" s="1" t="s">
        <v>32</v>
      </c>
      <c r="R4956" s="1" t="s">
        <v>32</v>
      </c>
      <c r="S4956" s="1" t="s">
        <v>33</v>
      </c>
      <c r="T4956" s="1" t="s">
        <v>103</v>
      </c>
      <c r="U4956" s="1">
        <v>1.00585872E8</v>
      </c>
      <c r="X4956" s="1" t="s">
        <v>490</v>
      </c>
      <c r="Y4956" s="1" t="s">
        <v>13835</v>
      </c>
      <c r="Z4956" s="1" t="s">
        <v>37</v>
      </c>
    </row>
    <row r="4957">
      <c r="A4957" s="1" t="s">
        <v>13836</v>
      </c>
      <c r="B4957" s="1" t="s">
        <v>896</v>
      </c>
      <c r="C4957" s="1" t="s">
        <v>13837</v>
      </c>
      <c r="D4957" s="1" t="s">
        <v>122</v>
      </c>
      <c r="E4957" s="1" t="s">
        <v>28</v>
      </c>
      <c r="F4957" s="2">
        <v>99000.0</v>
      </c>
      <c r="G4957" s="4">
        <v>44599.0</v>
      </c>
      <c r="H4957" s="4">
        <f>IFERROR(__xludf.DUMMYFUNCTION("DATE(INDEX(SPLIT(G4957,""/""),,3),INDEX(SPLIT(G4957,""/""),,2),INDEX(SPLIT(G4957,""/""),,1))"),44744.0)</f>
        <v>44744</v>
      </c>
      <c r="I4957" s="1" t="s">
        <v>226</v>
      </c>
      <c r="J4957" s="4">
        <f>IFERROR(__xludf.DUMMYFUNCTION("DATE(INDEX(SPLIT(I4957,""/""),,3),INDEX(SPLIT(I4957,""/""),,2),INDEX(SPLIT(I4957,""/""),,1))"),44771.0)</f>
        <v>44771</v>
      </c>
      <c r="L4957" s="1">
        <v>0.0</v>
      </c>
      <c r="M4957" s="1" t="s">
        <v>4513</v>
      </c>
      <c r="N4957" s="1"/>
      <c r="O4957" s="1" t="s">
        <v>30</v>
      </c>
      <c r="P4957" s="1" t="s">
        <v>31</v>
      </c>
      <c r="Q4957" s="1" t="s">
        <v>157</v>
      </c>
      <c r="R4957" s="1" t="s">
        <v>157</v>
      </c>
      <c r="S4957" s="1" t="s">
        <v>158</v>
      </c>
      <c r="T4957" s="1" t="s">
        <v>159</v>
      </c>
      <c r="U4957" s="1">
        <v>1.00914325E8</v>
      </c>
      <c r="X4957" s="1" t="s">
        <v>490</v>
      </c>
      <c r="Y4957" s="1" t="s">
        <v>9425</v>
      </c>
      <c r="Z4957" s="1" t="s">
        <v>206</v>
      </c>
    </row>
    <row r="4958" hidden="1">
      <c r="A4958" s="1" t="s">
        <v>13838</v>
      </c>
      <c r="B4958" s="1" t="s">
        <v>8664</v>
      </c>
      <c r="C4958" s="1" t="s">
        <v>8515</v>
      </c>
      <c r="D4958" s="1" t="s">
        <v>27</v>
      </c>
      <c r="E4958" s="1" t="s">
        <v>28</v>
      </c>
      <c r="F4958" s="2">
        <v>99000.0</v>
      </c>
      <c r="G4958" s="4">
        <v>44538.0</v>
      </c>
      <c r="H4958" s="4">
        <f>IFERROR(__xludf.DUMMYFUNCTION("DATE(INDEX(SPLIT(G4958,""/""),,3),INDEX(SPLIT(G4958,""/""),,2),INDEX(SPLIT(G4958,""/""),,1))"),44420.0)</f>
        <v>44420</v>
      </c>
      <c r="I4958" s="1" t="s">
        <v>109</v>
      </c>
      <c r="J4958" s="4">
        <f>IFERROR(__xludf.DUMMYFUNCTION("DATE(INDEX(SPLIT(I4958,""/""),,3),INDEX(SPLIT(I4958,""/""),,2),INDEX(SPLIT(I4958,""/""),,1))"),44834.0)</f>
        <v>44834</v>
      </c>
      <c r="L4958" s="1">
        <v>0.0</v>
      </c>
      <c r="M4958" s="1" t="s">
        <v>299</v>
      </c>
      <c r="N4958" s="1"/>
      <c r="O4958" s="1" t="s">
        <v>30</v>
      </c>
      <c r="P4958" s="1" t="s">
        <v>31</v>
      </c>
      <c r="Q4958" s="1" t="s">
        <v>71</v>
      </c>
      <c r="R4958" s="1" t="s">
        <v>71</v>
      </c>
      <c r="S4958" s="1" t="s">
        <v>72</v>
      </c>
      <c r="T4958" s="1" t="s">
        <v>136</v>
      </c>
      <c r="U4958" s="1">
        <v>1.00610483E8</v>
      </c>
      <c r="X4958" s="1" t="s">
        <v>74</v>
      </c>
      <c r="Y4958" s="1" t="s">
        <v>4444</v>
      </c>
      <c r="Z4958" s="1" t="s">
        <v>37</v>
      </c>
    </row>
    <row r="4959">
      <c r="A4959" s="1" t="s">
        <v>13839</v>
      </c>
      <c r="B4959" s="1" t="s">
        <v>5051</v>
      </c>
      <c r="C4959" s="1" t="s">
        <v>13840</v>
      </c>
      <c r="D4959" s="1" t="s">
        <v>27</v>
      </c>
      <c r="E4959" s="1" t="s">
        <v>28</v>
      </c>
      <c r="F4959" s="2">
        <v>99000.0</v>
      </c>
      <c r="G4959" s="1" t="s">
        <v>568</v>
      </c>
      <c r="H4959" s="4">
        <f>IFERROR(__xludf.DUMMYFUNCTION("DATE(INDEX(SPLIT(G4959,""/""),,3),INDEX(SPLIT(G4959,""/""),,2),INDEX(SPLIT(G4959,""/""),,1))"),44587.0)</f>
        <v>44587</v>
      </c>
      <c r="I4959" s="1" t="s">
        <v>2300</v>
      </c>
      <c r="J4959" s="4">
        <f>IFERROR(__xludf.DUMMYFUNCTION("DATE(INDEX(SPLIT(I4959,""/""),,3),INDEX(SPLIT(I4959,""/""),,2),INDEX(SPLIT(I4959,""/""),,1))"),44712.0)</f>
        <v>44712</v>
      </c>
      <c r="L4959" s="1">
        <v>0.0</v>
      </c>
      <c r="M4959" s="1" t="s">
        <v>9922</v>
      </c>
      <c r="N4959" s="1"/>
      <c r="O4959" s="1" t="s">
        <v>30</v>
      </c>
      <c r="P4959" s="1" t="s">
        <v>31</v>
      </c>
      <c r="Q4959" s="1" t="s">
        <v>228</v>
      </c>
      <c r="R4959" s="1" t="s">
        <v>228</v>
      </c>
      <c r="S4959" s="1" t="s">
        <v>229</v>
      </c>
      <c r="T4959" s="1" t="s">
        <v>513</v>
      </c>
      <c r="U4959" s="1">
        <v>1.00609628E8</v>
      </c>
      <c r="X4959" s="1" t="s">
        <v>375</v>
      </c>
      <c r="Y4959" s="1" t="s">
        <v>6463</v>
      </c>
      <c r="Z4959" s="1" t="s">
        <v>37</v>
      </c>
    </row>
    <row r="4960" hidden="1">
      <c r="A4960" s="1" t="s">
        <v>13841</v>
      </c>
      <c r="B4960" s="1" t="s">
        <v>6131</v>
      </c>
      <c r="C4960" s="1" t="s">
        <v>13842</v>
      </c>
      <c r="D4960" s="1" t="s">
        <v>122</v>
      </c>
      <c r="E4960" s="1" t="s">
        <v>28</v>
      </c>
      <c r="F4960" s="2">
        <v>98000.0</v>
      </c>
      <c r="G4960" s="1" t="s">
        <v>1288</v>
      </c>
      <c r="H4960" s="4">
        <f>IFERROR(__xludf.DUMMYFUNCTION("DATE(INDEX(SPLIT(G4960,""/""),,3),INDEX(SPLIT(G4960,""/""),,2),INDEX(SPLIT(G4960,""/""),,1))"),44707.0)</f>
        <v>44707</v>
      </c>
      <c r="I4960" s="4">
        <v>44601.0</v>
      </c>
      <c r="J4960" s="4">
        <f>IFERROR(__xludf.DUMMYFUNCTION("DATE(INDEX(SPLIT(I4960,""/""),,3),INDEX(SPLIT(I4960,""/""),,2),INDEX(SPLIT(I4960,""/""),,1))"),44806.0)</f>
        <v>44806</v>
      </c>
      <c r="L4960" s="1">
        <v>0.0</v>
      </c>
      <c r="M4960" s="1" t="s">
        <v>2752</v>
      </c>
      <c r="N4960" s="1"/>
      <c r="O4960" s="1" t="s">
        <v>30</v>
      </c>
      <c r="P4960" s="1" t="s">
        <v>31</v>
      </c>
      <c r="Q4960" s="1" t="s">
        <v>235</v>
      </c>
      <c r="R4960" s="1" t="s">
        <v>235</v>
      </c>
      <c r="S4960" s="1" t="s">
        <v>236</v>
      </c>
      <c r="U4960" s="1">
        <v>1.0062606E8</v>
      </c>
      <c r="X4960" s="1" t="s">
        <v>375</v>
      </c>
      <c r="Y4960" s="1" t="s">
        <v>7800</v>
      </c>
      <c r="Z4960" s="1" t="s">
        <v>37</v>
      </c>
    </row>
    <row r="4961">
      <c r="A4961" s="1" t="s">
        <v>13843</v>
      </c>
      <c r="B4961" s="1" t="s">
        <v>13667</v>
      </c>
      <c r="C4961" s="1" t="s">
        <v>13844</v>
      </c>
      <c r="D4961" s="1" t="s">
        <v>122</v>
      </c>
      <c r="E4961" s="1" t="s">
        <v>28</v>
      </c>
      <c r="F4961" s="2">
        <v>98000.0</v>
      </c>
      <c r="G4961" s="1" t="s">
        <v>108</v>
      </c>
      <c r="H4961" s="4">
        <f>IFERROR(__xludf.DUMMYFUNCTION("DATE(INDEX(SPLIT(G4961,""/""),,3),INDEX(SPLIT(G4961,""/""),,2),INDEX(SPLIT(G4961,""/""),,1))"),44725.0)</f>
        <v>44725</v>
      </c>
      <c r="I4961" s="1" t="s">
        <v>108</v>
      </c>
      <c r="J4961" s="4">
        <f>IFERROR(__xludf.DUMMYFUNCTION("DATE(INDEX(SPLIT(I4961,""/""),,3),INDEX(SPLIT(I4961,""/""),,2),INDEX(SPLIT(I4961,""/""),,1))"),44725.0)</f>
        <v>44725</v>
      </c>
      <c r="L4961" s="1">
        <v>0.0</v>
      </c>
      <c r="M4961" s="1" t="s">
        <v>11623</v>
      </c>
      <c r="N4961" s="1"/>
      <c r="O4961" s="1" t="s">
        <v>30</v>
      </c>
      <c r="P4961" s="1" t="s">
        <v>31</v>
      </c>
      <c r="Q4961" s="1" t="s">
        <v>228</v>
      </c>
      <c r="R4961" s="1" t="s">
        <v>228</v>
      </c>
      <c r="S4961" s="1" t="s">
        <v>229</v>
      </c>
      <c r="T4961" s="1" t="s">
        <v>513</v>
      </c>
      <c r="U4961" s="1">
        <v>1.01154609E8</v>
      </c>
      <c r="X4961" s="1" t="s">
        <v>2769</v>
      </c>
      <c r="Y4961" s="1" t="s">
        <v>13845</v>
      </c>
      <c r="Z4961" s="1" t="s">
        <v>37</v>
      </c>
    </row>
    <row r="4962">
      <c r="A4962" s="1" t="s">
        <v>13846</v>
      </c>
      <c r="B4962" s="1" t="s">
        <v>704</v>
      </c>
      <c r="C4962" s="1" t="s">
        <v>13847</v>
      </c>
      <c r="D4962" s="1" t="s">
        <v>78</v>
      </c>
      <c r="E4962" s="1" t="s">
        <v>28</v>
      </c>
      <c r="F4962" s="2">
        <v>98000.0</v>
      </c>
      <c r="G4962" s="1" t="s">
        <v>1128</v>
      </c>
      <c r="H4962" s="4">
        <f>IFERROR(__xludf.DUMMYFUNCTION("DATE(INDEX(SPLIT(G4962,""/""),,3),INDEX(SPLIT(G4962,""/""),,2),INDEX(SPLIT(G4962,""/""),,1))"),44737.0)</f>
        <v>44737</v>
      </c>
      <c r="I4962" s="1" t="s">
        <v>503</v>
      </c>
      <c r="J4962" s="4">
        <f>IFERROR(__xludf.DUMMYFUNCTION("DATE(INDEX(SPLIT(I4962,""/""),,3),INDEX(SPLIT(I4962,""/""),,2),INDEX(SPLIT(I4962,""/""),,1))"),44736.0)</f>
        <v>44736</v>
      </c>
      <c r="L4962" s="1">
        <v>0.0</v>
      </c>
      <c r="M4962" s="1" t="s">
        <v>4508</v>
      </c>
      <c r="N4962" s="1"/>
      <c r="O4962" s="1" t="s">
        <v>30</v>
      </c>
      <c r="P4962" s="1" t="s">
        <v>31</v>
      </c>
      <c r="Q4962" s="1" t="s">
        <v>228</v>
      </c>
      <c r="R4962" s="1" t="s">
        <v>228</v>
      </c>
      <c r="S4962" s="1" t="s">
        <v>229</v>
      </c>
      <c r="T4962" s="1" t="s">
        <v>640</v>
      </c>
      <c r="U4962" s="1">
        <v>1.00657185E8</v>
      </c>
      <c r="X4962" s="1" t="s">
        <v>35</v>
      </c>
      <c r="Y4962" s="1" t="s">
        <v>8933</v>
      </c>
      <c r="Z4962" s="1" t="s">
        <v>37</v>
      </c>
    </row>
    <row r="4963">
      <c r="A4963" s="1" t="s">
        <v>13848</v>
      </c>
      <c r="B4963" s="1" t="s">
        <v>704</v>
      </c>
      <c r="C4963" s="1" t="s">
        <v>13849</v>
      </c>
      <c r="D4963" s="1" t="s">
        <v>122</v>
      </c>
      <c r="E4963" s="1" t="s">
        <v>28</v>
      </c>
      <c r="F4963" s="2">
        <v>98000.0</v>
      </c>
      <c r="G4963" s="1" t="s">
        <v>1058</v>
      </c>
      <c r="H4963" s="4">
        <f>IFERROR(__xludf.DUMMYFUNCTION("DATE(INDEX(SPLIT(G4963,""/""),,3),INDEX(SPLIT(G4963,""/""),,2),INDEX(SPLIT(G4963,""/""),,1))"),44733.0)</f>
        <v>44733</v>
      </c>
      <c r="I4963" s="1" t="s">
        <v>503</v>
      </c>
      <c r="J4963" s="4">
        <f>IFERROR(__xludf.DUMMYFUNCTION("DATE(INDEX(SPLIT(I4963,""/""),,3),INDEX(SPLIT(I4963,""/""),,2),INDEX(SPLIT(I4963,""/""),,1))"),44736.0)</f>
        <v>44736</v>
      </c>
      <c r="L4963" s="1">
        <v>0.0</v>
      </c>
      <c r="M4963" s="1" t="s">
        <v>4508</v>
      </c>
      <c r="N4963" s="1"/>
      <c r="O4963" s="1" t="s">
        <v>30</v>
      </c>
      <c r="P4963" s="1" t="s">
        <v>31</v>
      </c>
      <c r="Q4963" s="1" t="s">
        <v>228</v>
      </c>
      <c r="R4963" s="1" t="s">
        <v>228</v>
      </c>
      <c r="S4963" s="1" t="s">
        <v>229</v>
      </c>
      <c r="T4963" s="1" t="s">
        <v>640</v>
      </c>
      <c r="U4963" s="1">
        <v>1.00657185E8</v>
      </c>
      <c r="X4963" s="1" t="s">
        <v>35</v>
      </c>
      <c r="Y4963" s="1" t="s">
        <v>8933</v>
      </c>
      <c r="Z4963" s="1" t="s">
        <v>37</v>
      </c>
    </row>
    <row r="4964">
      <c r="A4964" s="1" t="s">
        <v>13850</v>
      </c>
      <c r="B4964" s="1" t="s">
        <v>13851</v>
      </c>
      <c r="C4964" s="1" t="s">
        <v>13852</v>
      </c>
      <c r="D4964" s="1" t="s">
        <v>78</v>
      </c>
      <c r="E4964" s="1" t="s">
        <v>28</v>
      </c>
      <c r="F4964" s="2">
        <v>97813.0</v>
      </c>
      <c r="G4964" s="1" t="s">
        <v>164</v>
      </c>
      <c r="H4964" s="4">
        <f>IFERROR(__xludf.DUMMYFUNCTION("DATE(INDEX(SPLIT(G4964,""/""),,3),INDEX(SPLIT(G4964,""/""),,2),INDEX(SPLIT(G4964,""/""),,1))"),44706.0)</f>
        <v>44706</v>
      </c>
      <c r="I4964" s="1" t="s">
        <v>1128</v>
      </c>
      <c r="J4964" s="4">
        <f>IFERROR(__xludf.DUMMYFUNCTION("DATE(INDEX(SPLIT(I4964,""/""),,3),INDEX(SPLIT(I4964,""/""),,2),INDEX(SPLIT(I4964,""/""),,1))"),44737.0)</f>
        <v>44737</v>
      </c>
      <c r="L4964" s="1">
        <v>0.0</v>
      </c>
      <c r="M4964" s="1" t="s">
        <v>8755</v>
      </c>
      <c r="N4964" s="1"/>
      <c r="O4964" s="1" t="s">
        <v>30</v>
      </c>
      <c r="P4964" s="1" t="s">
        <v>31</v>
      </c>
      <c r="Q4964" s="1" t="s">
        <v>1320</v>
      </c>
      <c r="R4964" s="1" t="s">
        <v>1320</v>
      </c>
      <c r="S4964" s="1" t="s">
        <v>54</v>
      </c>
      <c r="U4964" s="1">
        <v>1.00591676E8</v>
      </c>
      <c r="X4964" s="1" t="s">
        <v>190</v>
      </c>
      <c r="Y4964" s="1" t="s">
        <v>12609</v>
      </c>
      <c r="Z4964" s="1" t="s">
        <v>37</v>
      </c>
    </row>
    <row r="4965" hidden="1">
      <c r="A4965" s="1" t="s">
        <v>13853</v>
      </c>
      <c r="B4965" s="1" t="s">
        <v>6099</v>
      </c>
      <c r="C4965" s="1" t="s">
        <v>13854</v>
      </c>
      <c r="D4965" s="1" t="s">
        <v>122</v>
      </c>
      <c r="E4965" s="1" t="s">
        <v>28</v>
      </c>
      <c r="F4965" s="2">
        <v>97000.0</v>
      </c>
      <c r="G4965" s="4">
        <v>44565.0</v>
      </c>
      <c r="H4965" s="4">
        <f>IFERROR(__xludf.DUMMYFUNCTION("DATE(INDEX(SPLIT(G4965,""/""),,3),INDEX(SPLIT(G4965,""/""),,2),INDEX(SPLIT(G4965,""/""),,1))"),44652.0)</f>
        <v>44652</v>
      </c>
      <c r="I4965" s="1" t="s">
        <v>130</v>
      </c>
      <c r="J4965" s="4">
        <f>IFERROR(__xludf.DUMMYFUNCTION("DATE(INDEX(SPLIT(I4965,""/""),,3),INDEX(SPLIT(I4965,""/""),,2),INDEX(SPLIT(I4965,""/""),,1))"),44804.0)</f>
        <v>44804</v>
      </c>
      <c r="L4965" s="1">
        <v>0.0</v>
      </c>
      <c r="M4965" s="1" t="s">
        <v>2869</v>
      </c>
      <c r="N4965" s="1"/>
      <c r="O4965" s="1" t="s">
        <v>30</v>
      </c>
      <c r="P4965" s="1" t="s">
        <v>31</v>
      </c>
      <c r="Q4965" s="1" t="s">
        <v>228</v>
      </c>
      <c r="R4965" s="1" t="s">
        <v>228</v>
      </c>
      <c r="S4965" s="1" t="s">
        <v>229</v>
      </c>
      <c r="T4965" s="1" t="s">
        <v>640</v>
      </c>
      <c r="U4965" s="1">
        <v>1.00641939E8</v>
      </c>
      <c r="X4965" s="1" t="s">
        <v>361</v>
      </c>
      <c r="Y4965" s="1" t="s">
        <v>12985</v>
      </c>
      <c r="Z4965" s="1" t="s">
        <v>37</v>
      </c>
    </row>
    <row r="4966" hidden="1">
      <c r="A4966" s="1" t="s">
        <v>13855</v>
      </c>
      <c r="B4966" s="1" t="s">
        <v>308</v>
      </c>
      <c r="C4966" s="1" t="s">
        <v>13856</v>
      </c>
      <c r="D4966" s="1" t="s">
        <v>68</v>
      </c>
      <c r="E4966" s="1" t="s">
        <v>28</v>
      </c>
      <c r="F4966" s="2">
        <v>96000.0</v>
      </c>
      <c r="G4966" s="4">
        <v>44837.0</v>
      </c>
      <c r="H4966" s="4">
        <f>IFERROR(__xludf.DUMMYFUNCTION("DATE(INDEX(SPLIT(G4966,""/""),,3),INDEX(SPLIT(G4966,""/""),,2),INDEX(SPLIT(G4966,""/""),,1))"),44630.0)</f>
        <v>44630</v>
      </c>
      <c r="I4966" s="1" t="s">
        <v>42</v>
      </c>
      <c r="J4966" s="4">
        <f>IFERROR(__xludf.DUMMYFUNCTION("DATE(INDEX(SPLIT(I4966,""/""),,3),INDEX(SPLIT(I4966,""/""),,2),INDEX(SPLIT(I4966,""/""),,1))"),44926.0)</f>
        <v>44926</v>
      </c>
      <c r="L4966" s="1">
        <v>0.0</v>
      </c>
      <c r="M4966" s="1" t="s">
        <v>3948</v>
      </c>
      <c r="N4966" s="1"/>
      <c r="O4966" s="1" t="s">
        <v>30</v>
      </c>
      <c r="P4966" s="1" t="s">
        <v>31</v>
      </c>
      <c r="Q4966" s="1" t="s">
        <v>228</v>
      </c>
      <c r="R4966" s="1" t="s">
        <v>228</v>
      </c>
      <c r="S4966" s="1" t="s">
        <v>229</v>
      </c>
      <c r="T4966" s="1" t="s">
        <v>513</v>
      </c>
      <c r="U4966" s="1">
        <v>1.0066189E8</v>
      </c>
      <c r="X4966" s="1" t="s">
        <v>312</v>
      </c>
      <c r="Y4966" s="1" t="s">
        <v>10576</v>
      </c>
      <c r="Z4966" s="1" t="s">
        <v>37</v>
      </c>
    </row>
    <row r="4967" hidden="1">
      <c r="A4967" s="1" t="s">
        <v>13857</v>
      </c>
      <c r="B4967" s="1" t="s">
        <v>13858</v>
      </c>
      <c r="C4967" s="1" t="s">
        <v>13859</v>
      </c>
      <c r="D4967" s="1" t="s">
        <v>122</v>
      </c>
      <c r="E4967" s="1" t="s">
        <v>28</v>
      </c>
      <c r="F4967" s="2">
        <v>95000.0</v>
      </c>
      <c r="G4967" s="1" t="s">
        <v>321</v>
      </c>
      <c r="H4967" s="4">
        <f>IFERROR(__xludf.DUMMYFUNCTION("DATE(INDEX(SPLIT(G4967,""/""),,3),INDEX(SPLIT(G4967,""/""),,2),INDEX(SPLIT(G4967,""/""),,1))"),44586.0)</f>
        <v>44586</v>
      </c>
      <c r="I4967" s="4">
        <v>44569.0</v>
      </c>
      <c r="J4967" s="4">
        <f>IFERROR(__xludf.DUMMYFUNCTION("DATE(INDEX(SPLIT(I4967,""/""),,3),INDEX(SPLIT(I4967,""/""),,2),INDEX(SPLIT(I4967,""/""),,1))"),44774.0)</f>
        <v>44774</v>
      </c>
      <c r="L4967" s="1">
        <v>0.0</v>
      </c>
      <c r="M4967" s="1" t="s">
        <v>1358</v>
      </c>
      <c r="N4967" s="1"/>
      <c r="O4967" s="1" t="s">
        <v>30</v>
      </c>
      <c r="P4967" s="1" t="s">
        <v>31</v>
      </c>
      <c r="Q4967" s="1" t="s">
        <v>32</v>
      </c>
      <c r="R4967" s="1" t="s">
        <v>32</v>
      </c>
      <c r="S4967" s="1" t="s">
        <v>33</v>
      </c>
      <c r="U4967" s="1">
        <v>1.00613915E8</v>
      </c>
      <c r="X4967" s="1" t="s">
        <v>35</v>
      </c>
      <c r="Y4967" s="1" t="s">
        <v>3317</v>
      </c>
      <c r="Z4967" s="1" t="s">
        <v>37</v>
      </c>
    </row>
    <row r="4968" hidden="1">
      <c r="A4968" s="1" t="s">
        <v>13860</v>
      </c>
      <c r="B4968" s="1" t="s">
        <v>1743</v>
      </c>
      <c r="C4968" s="1" t="s">
        <v>13861</v>
      </c>
      <c r="D4968" s="1" t="s">
        <v>78</v>
      </c>
      <c r="E4968" s="1" t="s">
        <v>28</v>
      </c>
      <c r="F4968" s="2">
        <v>95000.0</v>
      </c>
      <c r="G4968" s="1" t="s">
        <v>1958</v>
      </c>
      <c r="H4968" s="4">
        <f>IFERROR(__xludf.DUMMYFUNCTION("DATE(INDEX(SPLIT(G4968,""/""),,3),INDEX(SPLIT(G4968,""/""),,2),INDEX(SPLIT(G4968,""/""),,1))"),44583.0)</f>
        <v>44583</v>
      </c>
      <c r="I4968" s="1" t="s">
        <v>130</v>
      </c>
      <c r="J4968" s="4">
        <f>IFERROR(__xludf.DUMMYFUNCTION("DATE(INDEX(SPLIT(I4968,""/""),,3),INDEX(SPLIT(I4968,""/""),,2),INDEX(SPLIT(I4968,""/""),,1))"),44804.0)</f>
        <v>44804</v>
      </c>
      <c r="L4968" s="1">
        <v>0.0</v>
      </c>
      <c r="M4968" s="1" t="s">
        <v>6045</v>
      </c>
      <c r="N4968" s="1"/>
      <c r="O4968" s="1" t="s">
        <v>30</v>
      </c>
      <c r="P4968" s="1" t="s">
        <v>31</v>
      </c>
      <c r="Q4968" s="1" t="s">
        <v>228</v>
      </c>
      <c r="R4968" s="1" t="s">
        <v>228</v>
      </c>
      <c r="S4968" s="1" t="s">
        <v>229</v>
      </c>
      <c r="T4968" s="1" t="s">
        <v>513</v>
      </c>
      <c r="U4968" s="1">
        <v>1.00652479E8</v>
      </c>
      <c r="X4968" s="1" t="s">
        <v>74</v>
      </c>
      <c r="Y4968" s="1" t="s">
        <v>13862</v>
      </c>
      <c r="Z4968" s="1" t="s">
        <v>37</v>
      </c>
    </row>
    <row r="4969" hidden="1">
      <c r="A4969" s="1" t="s">
        <v>13863</v>
      </c>
      <c r="B4969" s="1" t="s">
        <v>13864</v>
      </c>
      <c r="C4969" s="1" t="s">
        <v>13865</v>
      </c>
      <c r="D4969" s="1" t="s">
        <v>27</v>
      </c>
      <c r="E4969" s="1" t="s">
        <v>28</v>
      </c>
      <c r="F4969" s="2">
        <v>92635.48</v>
      </c>
      <c r="G4969" s="4">
        <v>43962.0</v>
      </c>
      <c r="H4969" s="4">
        <f>IFERROR(__xludf.DUMMYFUNCTION("DATE(INDEX(SPLIT(G4969,""/""),,3),INDEX(SPLIT(G4969,""/""),,2),INDEX(SPLIT(G4969,""/""),,1))"),44140.0)</f>
        <v>44140</v>
      </c>
      <c r="I4969" s="1" t="s">
        <v>203</v>
      </c>
      <c r="J4969" s="4">
        <f>IFERROR(__xludf.DUMMYFUNCTION("DATE(INDEX(SPLIT(I4969,""/""),,3),INDEX(SPLIT(I4969,""/""),,2),INDEX(SPLIT(I4969,""/""),,1))"),44925.0)</f>
        <v>44925</v>
      </c>
      <c r="L4969" s="1">
        <v>0.0</v>
      </c>
      <c r="M4969" s="1" t="s">
        <v>8053</v>
      </c>
      <c r="N4969" s="1"/>
      <c r="O4969" s="1" t="s">
        <v>30</v>
      </c>
      <c r="P4969" s="1" t="s">
        <v>31</v>
      </c>
      <c r="Q4969" s="1" t="s">
        <v>1320</v>
      </c>
      <c r="R4969" s="1" t="s">
        <v>1320</v>
      </c>
      <c r="S4969" s="1" t="s">
        <v>33</v>
      </c>
      <c r="T4969" s="1" t="s">
        <v>97</v>
      </c>
      <c r="U4969" s="1">
        <v>1.00613849E8</v>
      </c>
      <c r="X4969" s="1" t="s">
        <v>125</v>
      </c>
      <c r="Y4969" s="1" t="s">
        <v>8053</v>
      </c>
      <c r="Z4969" s="1" t="s">
        <v>37</v>
      </c>
    </row>
    <row r="4970" hidden="1">
      <c r="A4970" s="1" t="s">
        <v>13866</v>
      </c>
      <c r="B4970" s="1" t="s">
        <v>6041</v>
      </c>
      <c r="C4970" s="1" t="s">
        <v>13867</v>
      </c>
      <c r="D4970" s="1" t="s">
        <v>78</v>
      </c>
      <c r="E4970" s="1" t="s">
        <v>28</v>
      </c>
      <c r="F4970" s="2">
        <v>90000.0</v>
      </c>
      <c r="G4970" s="1" t="s">
        <v>935</v>
      </c>
      <c r="H4970" s="4">
        <f>IFERROR(__xludf.DUMMYFUNCTION("DATE(INDEX(SPLIT(G4970,""/""),,3),INDEX(SPLIT(G4970,""/""),,2),INDEX(SPLIT(G4970,""/""),,1))"),44764.0)</f>
        <v>44764</v>
      </c>
      <c r="I4970" s="1" t="s">
        <v>109</v>
      </c>
      <c r="J4970" s="4">
        <f>IFERROR(__xludf.DUMMYFUNCTION("DATE(INDEX(SPLIT(I4970,""/""),,3),INDEX(SPLIT(I4970,""/""),,2),INDEX(SPLIT(I4970,""/""),,1))"),44834.0)</f>
        <v>44834</v>
      </c>
      <c r="L4970" s="1">
        <v>0.0</v>
      </c>
      <c r="M4970" s="1" t="s">
        <v>2592</v>
      </c>
      <c r="N4970" s="1"/>
      <c r="O4970" s="1" t="s">
        <v>30</v>
      </c>
      <c r="P4970" s="1" t="s">
        <v>31</v>
      </c>
      <c r="Q4970" s="1" t="s">
        <v>71</v>
      </c>
      <c r="R4970" s="1" t="s">
        <v>71</v>
      </c>
      <c r="S4970" s="1" t="s">
        <v>72</v>
      </c>
      <c r="T4970" s="1" t="s">
        <v>136</v>
      </c>
      <c r="U4970" s="1">
        <v>1.00586452E8</v>
      </c>
      <c r="X4970" s="1" t="s">
        <v>2028</v>
      </c>
      <c r="Y4970" s="1" t="s">
        <v>2593</v>
      </c>
      <c r="Z4970" s="1" t="s">
        <v>37</v>
      </c>
    </row>
    <row r="4971" hidden="1">
      <c r="A4971" s="1" t="s">
        <v>13868</v>
      </c>
      <c r="B4971" s="1" t="s">
        <v>906</v>
      </c>
      <c r="C4971" s="1" t="s">
        <v>13869</v>
      </c>
      <c r="D4971" s="1" t="s">
        <v>78</v>
      </c>
      <c r="E4971" s="1" t="s">
        <v>28</v>
      </c>
      <c r="F4971" s="2">
        <v>90000.0</v>
      </c>
      <c r="G4971" s="1" t="s">
        <v>935</v>
      </c>
      <c r="H4971" s="4">
        <f>IFERROR(__xludf.DUMMYFUNCTION("DATE(INDEX(SPLIT(G4971,""/""),,3),INDEX(SPLIT(G4971,""/""),,2),INDEX(SPLIT(G4971,""/""),,1))"),44764.0)</f>
        <v>44764</v>
      </c>
      <c r="I4971" s="1" t="s">
        <v>102</v>
      </c>
      <c r="J4971" s="4">
        <f>IFERROR(__xludf.DUMMYFUNCTION("DATE(INDEX(SPLIT(I4971,""/""),,3),INDEX(SPLIT(I4971,""/""),,2),INDEX(SPLIT(I4971,""/""),,1))"),45046.0)</f>
        <v>45046</v>
      </c>
      <c r="L4971" s="1">
        <v>0.0</v>
      </c>
      <c r="M4971" s="1" t="s">
        <v>211</v>
      </c>
      <c r="N4971" s="1"/>
      <c r="O4971" s="1" t="s">
        <v>30</v>
      </c>
      <c r="P4971" s="1" t="s">
        <v>31</v>
      </c>
      <c r="Q4971" s="1" t="s">
        <v>71</v>
      </c>
      <c r="R4971" s="1" t="s">
        <v>71</v>
      </c>
      <c r="S4971" s="1" t="s">
        <v>72</v>
      </c>
      <c r="T4971" s="1" t="s">
        <v>136</v>
      </c>
      <c r="U4971" s="1">
        <v>1.00590896E8</v>
      </c>
      <c r="X4971" s="1" t="s">
        <v>74</v>
      </c>
      <c r="Y4971" s="1" t="s">
        <v>2593</v>
      </c>
      <c r="Z4971" s="1" t="s">
        <v>37</v>
      </c>
    </row>
    <row r="4972" hidden="1">
      <c r="A4972" s="1" t="s">
        <v>13870</v>
      </c>
      <c r="B4972" s="1" t="s">
        <v>1144</v>
      </c>
      <c r="C4972" s="1" t="s">
        <v>13871</v>
      </c>
      <c r="D4972" s="1" t="s">
        <v>122</v>
      </c>
      <c r="E4972" s="1" t="s">
        <v>28</v>
      </c>
      <c r="F4972" s="2">
        <v>90000.0</v>
      </c>
      <c r="G4972" s="1" t="s">
        <v>1281</v>
      </c>
      <c r="H4972" s="4">
        <f>IFERROR(__xludf.DUMMYFUNCTION("DATE(INDEX(SPLIT(G4972,""/""),,3),INDEX(SPLIT(G4972,""/""),,2),INDEX(SPLIT(G4972,""/""),,1))"),44469.0)</f>
        <v>44469</v>
      </c>
      <c r="I4972" s="1" t="s">
        <v>1097</v>
      </c>
      <c r="J4972" s="4">
        <f>IFERROR(__xludf.DUMMYFUNCTION("DATE(INDEX(SPLIT(I4972,""/""),,3),INDEX(SPLIT(I4972,""/""),,2),INDEX(SPLIT(I4972,""/""),,1))"),45107.0)</f>
        <v>45107</v>
      </c>
      <c r="L4972" s="1">
        <v>0.0</v>
      </c>
      <c r="M4972" s="1" t="s">
        <v>2614</v>
      </c>
      <c r="N4972" s="1"/>
      <c r="O4972" s="1" t="s">
        <v>30</v>
      </c>
      <c r="P4972" s="1" t="s">
        <v>31</v>
      </c>
      <c r="Q4972" s="1" t="s">
        <v>53</v>
      </c>
      <c r="R4972" s="1" t="s">
        <v>53</v>
      </c>
      <c r="S4972" s="1" t="s">
        <v>54</v>
      </c>
      <c r="T4972" s="1" t="s">
        <v>197</v>
      </c>
      <c r="U4972" s="1">
        <v>1.00592932E8</v>
      </c>
      <c r="X4972" s="1" t="s">
        <v>63</v>
      </c>
      <c r="Y4972" s="1" t="s">
        <v>2614</v>
      </c>
      <c r="Z4972" s="1" t="s">
        <v>37</v>
      </c>
    </row>
    <row r="4973" hidden="1">
      <c r="A4973" s="1" t="s">
        <v>13872</v>
      </c>
      <c r="B4973" s="1" t="s">
        <v>4826</v>
      </c>
      <c r="C4973" s="1" t="s">
        <v>13873</v>
      </c>
      <c r="D4973" s="1" t="s">
        <v>27</v>
      </c>
      <c r="E4973" s="1" t="s">
        <v>28</v>
      </c>
      <c r="F4973" s="2">
        <v>90000.0</v>
      </c>
      <c r="G4973" s="1" t="s">
        <v>185</v>
      </c>
      <c r="H4973" s="4">
        <f>IFERROR(__xludf.DUMMYFUNCTION("DATE(INDEX(SPLIT(G4973,""/""),,3),INDEX(SPLIT(G4973,""/""),,2),INDEX(SPLIT(G4973,""/""),,1))"),44741.0)</f>
        <v>44741</v>
      </c>
      <c r="I4973" s="1" t="s">
        <v>130</v>
      </c>
      <c r="J4973" s="4">
        <f>IFERROR(__xludf.DUMMYFUNCTION("DATE(INDEX(SPLIT(I4973,""/""),,3),INDEX(SPLIT(I4973,""/""),,2),INDEX(SPLIT(I4973,""/""),,1))"),44804.0)</f>
        <v>44804</v>
      </c>
      <c r="L4973" s="1">
        <v>0.0</v>
      </c>
      <c r="M4973" s="1" t="s">
        <v>1918</v>
      </c>
      <c r="N4973" s="1"/>
      <c r="O4973" s="1" t="s">
        <v>30</v>
      </c>
      <c r="P4973" s="1" t="s">
        <v>31</v>
      </c>
      <c r="Q4973" s="1" t="s">
        <v>53</v>
      </c>
      <c r="R4973" s="1" t="s">
        <v>53</v>
      </c>
      <c r="S4973" s="1" t="s">
        <v>54</v>
      </c>
      <c r="U4973" s="1">
        <v>1.00638639E8</v>
      </c>
      <c r="X4973" s="1" t="s">
        <v>609</v>
      </c>
      <c r="Y4973" s="1" t="s">
        <v>13874</v>
      </c>
      <c r="Z4973" s="1" t="s">
        <v>206</v>
      </c>
    </row>
    <row r="4974" hidden="1">
      <c r="A4974" s="1" t="s">
        <v>13875</v>
      </c>
      <c r="B4974" s="1" t="s">
        <v>8162</v>
      </c>
      <c r="C4974" s="1" t="s">
        <v>13876</v>
      </c>
      <c r="D4974" s="1" t="s">
        <v>122</v>
      </c>
      <c r="E4974" s="1" t="s">
        <v>28</v>
      </c>
      <c r="F4974" s="2">
        <v>90000.0</v>
      </c>
      <c r="G4974" s="1" t="s">
        <v>298</v>
      </c>
      <c r="H4974" s="4">
        <f>IFERROR(__xludf.DUMMYFUNCTION("DATE(INDEX(SPLIT(G4974,""/""),,3),INDEX(SPLIT(G4974,""/""),,2),INDEX(SPLIT(G4974,""/""),,1))"),44762.0)</f>
        <v>44762</v>
      </c>
      <c r="I4974" s="4">
        <v>44689.0</v>
      </c>
      <c r="J4974" s="4">
        <f>IFERROR(__xludf.DUMMYFUNCTION("DATE(INDEX(SPLIT(I4974,""/""),,3),INDEX(SPLIT(I4974,""/""),,2),INDEX(SPLIT(I4974,""/""),,1))"),44778.0)</f>
        <v>44778</v>
      </c>
      <c r="L4974" s="1">
        <v>0.0</v>
      </c>
      <c r="M4974" s="1" t="s">
        <v>52</v>
      </c>
      <c r="N4974" s="1"/>
      <c r="O4974" s="1" t="s">
        <v>30</v>
      </c>
      <c r="P4974" s="1" t="s">
        <v>31</v>
      </c>
      <c r="Q4974" s="1" t="s">
        <v>53</v>
      </c>
      <c r="R4974" s="1" t="s">
        <v>53</v>
      </c>
      <c r="S4974" s="1" t="s">
        <v>54</v>
      </c>
      <c r="U4974" s="1">
        <v>1.01059432E8</v>
      </c>
      <c r="X4974" s="1" t="s">
        <v>312</v>
      </c>
      <c r="Y4974" s="1" t="s">
        <v>4283</v>
      </c>
      <c r="Z4974" s="1" t="s">
        <v>37</v>
      </c>
    </row>
    <row r="4975" hidden="1">
      <c r="A4975" s="1" t="s">
        <v>13877</v>
      </c>
      <c r="B4975" s="1" t="s">
        <v>12087</v>
      </c>
      <c r="C4975" s="1" t="s">
        <v>13878</v>
      </c>
      <c r="D4975" s="1" t="s">
        <v>27</v>
      </c>
      <c r="E4975" s="1" t="s">
        <v>28</v>
      </c>
      <c r="F4975" s="2">
        <v>90000.0</v>
      </c>
      <c r="G4975" s="1" t="s">
        <v>41</v>
      </c>
      <c r="H4975" s="4">
        <f>IFERROR(__xludf.DUMMYFUNCTION("DATE(INDEX(SPLIT(G4975,""/""),,3),INDEX(SPLIT(G4975,""/""),,2),INDEX(SPLIT(G4975,""/""),,1))"),44607.0)</f>
        <v>44607</v>
      </c>
      <c r="I4975" s="4">
        <v>44573.0</v>
      </c>
      <c r="J4975" s="4">
        <f>IFERROR(__xludf.DUMMYFUNCTION("DATE(INDEX(SPLIT(I4975,""/""),,3),INDEX(SPLIT(I4975,""/""),,2),INDEX(SPLIT(I4975,""/""),,1))"),44896.0)</f>
        <v>44896</v>
      </c>
      <c r="L4975" s="1">
        <v>0.0</v>
      </c>
      <c r="M4975" s="1" t="s">
        <v>1385</v>
      </c>
      <c r="N4975" s="1"/>
      <c r="O4975" s="1" t="s">
        <v>30</v>
      </c>
      <c r="P4975" s="1" t="s">
        <v>31</v>
      </c>
      <c r="Q4975" s="1" t="s">
        <v>235</v>
      </c>
      <c r="R4975" s="1" t="s">
        <v>235</v>
      </c>
      <c r="S4975" s="1" t="s">
        <v>236</v>
      </c>
      <c r="T4975" s="1" t="s">
        <v>1386</v>
      </c>
      <c r="U4975" s="1">
        <v>1.00594397E8</v>
      </c>
      <c r="X4975" s="1" t="s">
        <v>239</v>
      </c>
      <c r="Y4975" s="1" t="s">
        <v>1387</v>
      </c>
      <c r="Z4975" s="1" t="s">
        <v>37</v>
      </c>
    </row>
    <row r="4976">
      <c r="A4976" s="1" t="s">
        <v>13879</v>
      </c>
      <c r="B4976" s="1" t="s">
        <v>13880</v>
      </c>
      <c r="C4976" s="1" t="s">
        <v>13881</v>
      </c>
      <c r="D4976" s="1" t="s">
        <v>78</v>
      </c>
      <c r="E4976" s="1" t="s">
        <v>28</v>
      </c>
      <c r="F4976" s="2">
        <v>90000.0</v>
      </c>
      <c r="G4976" s="4">
        <v>44686.0</v>
      </c>
      <c r="H4976" s="4">
        <f>IFERROR(__xludf.DUMMYFUNCTION("DATE(INDEX(SPLIT(G4976,""/""),,3),INDEX(SPLIT(G4976,""/""),,2),INDEX(SPLIT(G4976,""/""),,1))"),44686.0)</f>
        <v>44686</v>
      </c>
      <c r="I4976" s="1" t="s">
        <v>414</v>
      </c>
      <c r="J4976" s="4">
        <f>IFERROR(__xludf.DUMMYFUNCTION("DATE(INDEX(SPLIT(I4976,""/""),,3),INDEX(SPLIT(I4976,""/""),,2),INDEX(SPLIT(I4976,""/""),,1))"),44772.0)</f>
        <v>44772</v>
      </c>
      <c r="L4976" s="1">
        <v>0.0</v>
      </c>
      <c r="M4976" s="1" t="s">
        <v>6045</v>
      </c>
      <c r="N4976" s="1"/>
      <c r="O4976" s="1" t="s">
        <v>30</v>
      </c>
      <c r="P4976" s="1" t="s">
        <v>31</v>
      </c>
      <c r="Q4976" s="1" t="s">
        <v>228</v>
      </c>
      <c r="R4976" s="1" t="s">
        <v>228</v>
      </c>
      <c r="S4976" s="1" t="s">
        <v>229</v>
      </c>
      <c r="T4976" s="1" t="s">
        <v>513</v>
      </c>
      <c r="U4976" s="1">
        <v>1.00652479E8</v>
      </c>
      <c r="X4976" s="1" t="s">
        <v>98</v>
      </c>
      <c r="Y4976" s="1" t="s">
        <v>11874</v>
      </c>
      <c r="Z4976" s="1" t="s">
        <v>37</v>
      </c>
    </row>
    <row r="4977">
      <c r="A4977" s="1" t="s">
        <v>13882</v>
      </c>
      <c r="B4977" s="1" t="s">
        <v>13883</v>
      </c>
      <c r="C4977" s="1" t="s">
        <v>13884</v>
      </c>
      <c r="D4977" s="1" t="s">
        <v>122</v>
      </c>
      <c r="E4977" s="1" t="s">
        <v>28</v>
      </c>
      <c r="F4977" s="2">
        <v>90000.0</v>
      </c>
      <c r="G4977" s="1" t="s">
        <v>429</v>
      </c>
      <c r="H4977" s="4">
        <f>IFERROR(__xludf.DUMMYFUNCTION("DATE(INDEX(SPLIT(G4977,""/""),,3),INDEX(SPLIT(G4977,""/""),,2),INDEX(SPLIT(G4977,""/""),,1))"),44739.0)</f>
        <v>44739</v>
      </c>
      <c r="I4977" s="1" t="s">
        <v>69</v>
      </c>
      <c r="J4977" s="4">
        <f>IFERROR(__xludf.DUMMYFUNCTION("DATE(INDEX(SPLIT(I4977,""/""),,3),INDEX(SPLIT(I4977,""/""),,2),INDEX(SPLIT(I4977,""/""),,1))"),44773.0)</f>
        <v>44773</v>
      </c>
      <c r="L4977" s="1">
        <v>0.0</v>
      </c>
      <c r="M4977" s="1" t="s">
        <v>4477</v>
      </c>
      <c r="N4977" s="1"/>
      <c r="O4977" s="1" t="s">
        <v>30</v>
      </c>
      <c r="P4977" s="1" t="s">
        <v>31</v>
      </c>
      <c r="Q4977" s="1" t="s">
        <v>228</v>
      </c>
      <c r="R4977" s="1" t="s">
        <v>228</v>
      </c>
      <c r="S4977" s="1" t="s">
        <v>229</v>
      </c>
      <c r="T4977" s="1" t="s">
        <v>513</v>
      </c>
      <c r="U4977" s="1">
        <v>1.00592715E8</v>
      </c>
      <c r="X4977" s="1" t="s">
        <v>98</v>
      </c>
      <c r="Y4977" s="1" t="s">
        <v>4477</v>
      </c>
      <c r="Z4977" s="1" t="s">
        <v>37</v>
      </c>
    </row>
    <row r="4978">
      <c r="A4978" s="1" t="s">
        <v>13885</v>
      </c>
      <c r="B4978" s="1" t="s">
        <v>1144</v>
      </c>
      <c r="C4978" s="1" t="s">
        <v>13886</v>
      </c>
      <c r="D4978" s="1" t="s">
        <v>78</v>
      </c>
      <c r="E4978" s="1" t="s">
        <v>28</v>
      </c>
      <c r="F4978" s="2">
        <v>90000.0</v>
      </c>
      <c r="G4978" s="1" t="s">
        <v>600</v>
      </c>
      <c r="H4978" s="4">
        <f>IFERROR(__xludf.DUMMYFUNCTION("DATE(INDEX(SPLIT(G4978,""/""),,3),INDEX(SPLIT(G4978,""/""),,2),INDEX(SPLIT(G4978,""/""),,1))"),44665.0)</f>
        <v>44665</v>
      </c>
      <c r="I4978" s="1" t="s">
        <v>1244</v>
      </c>
      <c r="J4978" s="4">
        <f>IFERROR(__xludf.DUMMYFUNCTION("DATE(INDEX(SPLIT(I4978,""/""),,3),INDEX(SPLIT(I4978,""/""),,2),INDEX(SPLIT(I4978,""/""),,1))"),44742.0)</f>
        <v>44742</v>
      </c>
      <c r="L4978" s="1">
        <v>0.0</v>
      </c>
      <c r="M4978" s="1" t="s">
        <v>2614</v>
      </c>
      <c r="N4978" s="1"/>
      <c r="O4978" s="1" t="s">
        <v>30</v>
      </c>
      <c r="P4978" s="1" t="s">
        <v>31</v>
      </c>
      <c r="Q4978" s="1" t="s">
        <v>53</v>
      </c>
      <c r="R4978" s="1" t="s">
        <v>53</v>
      </c>
      <c r="S4978" s="1" t="s">
        <v>54</v>
      </c>
      <c r="U4978" s="1">
        <v>1.00592932E8</v>
      </c>
      <c r="X4978" s="1" t="s">
        <v>63</v>
      </c>
      <c r="Y4978" s="1" t="s">
        <v>2614</v>
      </c>
      <c r="Z4978" s="1" t="s">
        <v>37</v>
      </c>
    </row>
    <row r="4979" hidden="1">
      <c r="A4979" s="1" t="s">
        <v>13887</v>
      </c>
      <c r="B4979" s="1" t="s">
        <v>11251</v>
      </c>
      <c r="C4979" s="1" t="s">
        <v>13888</v>
      </c>
      <c r="D4979" s="1" t="s">
        <v>122</v>
      </c>
      <c r="E4979" s="1" t="s">
        <v>28</v>
      </c>
      <c r="F4979" s="2">
        <v>90000.0</v>
      </c>
      <c r="G4979" s="1" t="s">
        <v>343</v>
      </c>
      <c r="H4979" s="4">
        <f>IFERROR(__xludf.DUMMYFUNCTION("DATE(INDEX(SPLIT(G4979,""/""),,3),INDEX(SPLIT(G4979,""/""),,2),INDEX(SPLIT(G4979,""/""),,1))"),44761.0)</f>
        <v>44761</v>
      </c>
      <c r="I4979" s="4">
        <v>44689.0</v>
      </c>
      <c r="J4979" s="4">
        <f>IFERROR(__xludf.DUMMYFUNCTION("DATE(INDEX(SPLIT(I4979,""/""),,3),INDEX(SPLIT(I4979,""/""),,2),INDEX(SPLIT(I4979,""/""),,1))"),44778.0)</f>
        <v>44778</v>
      </c>
      <c r="L4979" s="1">
        <v>0.0</v>
      </c>
      <c r="M4979" s="1" t="s">
        <v>1800</v>
      </c>
      <c r="N4979" s="1"/>
      <c r="O4979" s="1" t="s">
        <v>30</v>
      </c>
      <c r="P4979" s="1" t="s">
        <v>31</v>
      </c>
      <c r="Q4979" s="1" t="s">
        <v>32</v>
      </c>
      <c r="R4979" s="1" t="s">
        <v>32</v>
      </c>
      <c r="S4979" s="1" t="s">
        <v>33</v>
      </c>
      <c r="T4979" s="1" t="s">
        <v>1195</v>
      </c>
      <c r="U4979" s="1">
        <v>1.00610242E8</v>
      </c>
      <c r="V4979" s="1" t="s">
        <v>13889</v>
      </c>
      <c r="W4979" s="1" t="s">
        <v>45</v>
      </c>
      <c r="X4979" s="1" t="s">
        <v>490</v>
      </c>
      <c r="Y4979" s="1" t="s">
        <v>7653</v>
      </c>
      <c r="Z4979" s="1" t="s">
        <v>37</v>
      </c>
    </row>
    <row r="4980">
      <c r="A4980" s="1" t="s">
        <v>13890</v>
      </c>
      <c r="B4980" s="1" t="s">
        <v>13891</v>
      </c>
      <c r="C4980" s="1" t="s">
        <v>13892</v>
      </c>
      <c r="D4980" s="1" t="s">
        <v>122</v>
      </c>
      <c r="E4980" s="1" t="s">
        <v>28</v>
      </c>
      <c r="F4980" s="2">
        <v>90000.0</v>
      </c>
      <c r="G4980" s="1" t="s">
        <v>2419</v>
      </c>
      <c r="H4980" s="4">
        <f>IFERROR(__xludf.DUMMYFUNCTION("DATE(INDEX(SPLIT(G4980,""/""),,3),INDEX(SPLIT(G4980,""/""),,2),INDEX(SPLIT(G4980,""/""),,1))"),44482.0)</f>
        <v>44482</v>
      </c>
      <c r="I4980" s="1" t="s">
        <v>69</v>
      </c>
      <c r="J4980" s="4">
        <f>IFERROR(__xludf.DUMMYFUNCTION("DATE(INDEX(SPLIT(I4980,""/""),,3),INDEX(SPLIT(I4980,""/""),,2),INDEX(SPLIT(I4980,""/""),,1))"),44773.0)</f>
        <v>44773</v>
      </c>
      <c r="L4980" s="1">
        <v>0.0</v>
      </c>
      <c r="M4980" s="1" t="s">
        <v>13893</v>
      </c>
      <c r="N4980" s="1"/>
      <c r="O4980" s="1" t="s">
        <v>30</v>
      </c>
      <c r="P4980" s="1" t="s">
        <v>31</v>
      </c>
      <c r="Q4980" s="1" t="s">
        <v>228</v>
      </c>
      <c r="R4980" s="1" t="s">
        <v>228</v>
      </c>
      <c r="S4980" s="1" t="s">
        <v>229</v>
      </c>
      <c r="U4980" s="1">
        <v>1.00660529E8</v>
      </c>
      <c r="X4980" s="1" t="s">
        <v>312</v>
      </c>
      <c r="Y4980" s="1" t="s">
        <v>13893</v>
      </c>
      <c r="Z4980" s="1" t="s">
        <v>206</v>
      </c>
    </row>
    <row r="4981" hidden="1">
      <c r="A4981" s="1" t="s">
        <v>13894</v>
      </c>
      <c r="B4981" s="1" t="s">
        <v>13895</v>
      </c>
      <c r="C4981" s="1" t="s">
        <v>8783</v>
      </c>
      <c r="D4981" s="1" t="s">
        <v>78</v>
      </c>
      <c r="E4981" s="1" t="s">
        <v>28</v>
      </c>
      <c r="F4981" s="2">
        <v>90000.0</v>
      </c>
      <c r="G4981" s="4">
        <v>44683.0</v>
      </c>
      <c r="H4981" s="4">
        <f>IFERROR(__xludf.DUMMYFUNCTION("DATE(INDEX(SPLIT(G4981,""/""),,3),INDEX(SPLIT(G4981,""/""),,2),INDEX(SPLIT(G4981,""/""),,1))"),44597.0)</f>
        <v>44597</v>
      </c>
      <c r="I4981" s="1" t="s">
        <v>109</v>
      </c>
      <c r="J4981" s="4">
        <f>IFERROR(__xludf.DUMMYFUNCTION("DATE(INDEX(SPLIT(I4981,""/""),,3),INDEX(SPLIT(I4981,""/""),,2),INDEX(SPLIT(I4981,""/""),,1))"),44834.0)</f>
        <v>44834</v>
      </c>
      <c r="L4981" s="1">
        <v>0.0</v>
      </c>
      <c r="M4981" s="1" t="s">
        <v>11254</v>
      </c>
      <c r="N4981" s="1"/>
      <c r="O4981" s="1" t="s">
        <v>30</v>
      </c>
      <c r="P4981" s="1" t="s">
        <v>31</v>
      </c>
      <c r="Q4981" s="1" t="s">
        <v>228</v>
      </c>
      <c r="R4981" s="1" t="s">
        <v>228</v>
      </c>
      <c r="S4981" s="1" t="s">
        <v>229</v>
      </c>
      <c r="T4981" s="1" t="s">
        <v>640</v>
      </c>
      <c r="U4981" s="1">
        <v>1.00602248E8</v>
      </c>
      <c r="X4981" s="1" t="s">
        <v>2769</v>
      </c>
      <c r="Y4981" s="1" t="s">
        <v>13896</v>
      </c>
      <c r="Z4981" s="1" t="s">
        <v>37</v>
      </c>
    </row>
    <row r="4982" hidden="1">
      <c r="A4982" s="1" t="s">
        <v>13897</v>
      </c>
      <c r="B4982" s="1" t="s">
        <v>1025</v>
      </c>
      <c r="C4982" s="1" t="s">
        <v>13898</v>
      </c>
      <c r="D4982" s="1" t="s">
        <v>27</v>
      </c>
      <c r="E4982" s="1" t="s">
        <v>28</v>
      </c>
      <c r="F4982" s="2">
        <v>90000.0</v>
      </c>
      <c r="G4982" s="1" t="s">
        <v>935</v>
      </c>
      <c r="H4982" s="4">
        <f>IFERROR(__xludf.DUMMYFUNCTION("DATE(INDEX(SPLIT(G4982,""/""),,3),INDEX(SPLIT(G4982,""/""),,2),INDEX(SPLIT(G4982,""/""),,1))"),44764.0)</f>
        <v>44764</v>
      </c>
      <c r="I4982" s="1" t="s">
        <v>360</v>
      </c>
      <c r="J4982" s="4">
        <f>IFERROR(__xludf.DUMMYFUNCTION("DATE(INDEX(SPLIT(I4982,""/""),,3),INDEX(SPLIT(I4982,""/""),,2),INDEX(SPLIT(I4982,""/""),,1))"),44895.0)</f>
        <v>44895</v>
      </c>
      <c r="L4982" s="1">
        <v>0.0</v>
      </c>
      <c r="M4982" s="1" t="s">
        <v>4735</v>
      </c>
      <c r="N4982" s="1"/>
      <c r="O4982" s="1" t="s">
        <v>30</v>
      </c>
      <c r="P4982" s="1" t="s">
        <v>31</v>
      </c>
      <c r="Q4982" s="1" t="s">
        <v>71</v>
      </c>
      <c r="R4982" s="1" t="s">
        <v>71</v>
      </c>
      <c r="S4982" s="1" t="s">
        <v>72</v>
      </c>
      <c r="T4982" s="1" t="s">
        <v>136</v>
      </c>
      <c r="U4982" s="1">
        <v>1.00609615E8</v>
      </c>
      <c r="X4982" s="1" t="s">
        <v>74</v>
      </c>
      <c r="Y4982" s="1" t="s">
        <v>2593</v>
      </c>
      <c r="Z4982" s="1" t="s">
        <v>206</v>
      </c>
    </row>
    <row r="4983" hidden="1">
      <c r="A4983" s="1" t="s">
        <v>13899</v>
      </c>
      <c r="B4983" s="1" t="s">
        <v>13900</v>
      </c>
      <c r="C4983" s="1" t="s">
        <v>13901</v>
      </c>
      <c r="D4983" s="1" t="s">
        <v>122</v>
      </c>
      <c r="E4983" s="1" t="s">
        <v>28</v>
      </c>
      <c r="F4983" s="2">
        <v>90000.0</v>
      </c>
      <c r="G4983" s="1" t="s">
        <v>935</v>
      </c>
      <c r="H4983" s="4">
        <f>IFERROR(__xludf.DUMMYFUNCTION("DATE(INDEX(SPLIT(G4983,""/""),,3),INDEX(SPLIT(G4983,""/""),,2),INDEX(SPLIT(G4983,""/""),,1))"),44764.0)</f>
        <v>44764</v>
      </c>
      <c r="I4983" s="1" t="s">
        <v>535</v>
      </c>
      <c r="J4983" s="4">
        <f>IFERROR(__xludf.DUMMYFUNCTION("DATE(INDEX(SPLIT(I4983,""/""),,3),INDEX(SPLIT(I4983,""/""),,2),INDEX(SPLIT(I4983,""/""),,1))"),44957.0)</f>
        <v>44957</v>
      </c>
      <c r="L4983" s="1">
        <v>0.0</v>
      </c>
      <c r="M4983" s="1" t="s">
        <v>4735</v>
      </c>
      <c r="N4983" s="1"/>
      <c r="O4983" s="1" t="s">
        <v>30</v>
      </c>
      <c r="P4983" s="1" t="s">
        <v>31</v>
      </c>
      <c r="Q4983" s="1" t="s">
        <v>71</v>
      </c>
      <c r="R4983" s="1" t="s">
        <v>71</v>
      </c>
      <c r="S4983" s="1" t="s">
        <v>72</v>
      </c>
      <c r="T4983" s="1" t="s">
        <v>136</v>
      </c>
      <c r="U4983" s="1">
        <v>1.00609615E8</v>
      </c>
      <c r="X4983" s="1" t="s">
        <v>98</v>
      </c>
      <c r="Y4983" s="1" t="s">
        <v>2593</v>
      </c>
      <c r="Z4983" s="1" t="s">
        <v>206</v>
      </c>
    </row>
    <row r="4984">
      <c r="A4984" s="1" t="s">
        <v>13902</v>
      </c>
      <c r="B4984" s="1" t="s">
        <v>6188</v>
      </c>
      <c r="C4984" s="1" t="s">
        <v>13903</v>
      </c>
      <c r="D4984" s="1" t="s">
        <v>78</v>
      </c>
      <c r="E4984" s="1" t="s">
        <v>28</v>
      </c>
      <c r="F4984" s="2">
        <v>87000.0</v>
      </c>
      <c r="G4984" s="1" t="s">
        <v>418</v>
      </c>
      <c r="H4984" s="4">
        <f>IFERROR(__xludf.DUMMYFUNCTION("DATE(INDEX(SPLIT(G4984,""/""),,3),INDEX(SPLIT(G4984,""/""),,2),INDEX(SPLIT(G4984,""/""),,1))"),44755.0)</f>
        <v>44755</v>
      </c>
      <c r="I4984" s="1" t="s">
        <v>935</v>
      </c>
      <c r="J4984" s="4">
        <f>IFERROR(__xludf.DUMMYFUNCTION("DATE(INDEX(SPLIT(I4984,""/""),,3),INDEX(SPLIT(I4984,""/""),,2),INDEX(SPLIT(I4984,""/""),,1))"),44764.0)</f>
        <v>44764</v>
      </c>
      <c r="L4984" s="1">
        <v>0.0</v>
      </c>
      <c r="M4984" s="1" t="s">
        <v>1333</v>
      </c>
      <c r="N4984" s="1"/>
      <c r="O4984" s="1" t="s">
        <v>30</v>
      </c>
      <c r="P4984" s="1" t="s">
        <v>31</v>
      </c>
      <c r="Q4984" s="1" t="s">
        <v>71</v>
      </c>
      <c r="R4984" s="1" t="s">
        <v>71</v>
      </c>
      <c r="S4984" s="1" t="s">
        <v>72</v>
      </c>
      <c r="U4984" s="1">
        <v>1.006299E8</v>
      </c>
      <c r="X4984" s="1" t="s">
        <v>2028</v>
      </c>
      <c r="Y4984" s="1" t="s">
        <v>5795</v>
      </c>
      <c r="Z4984" s="1" t="s">
        <v>37</v>
      </c>
    </row>
    <row r="4985" hidden="1">
      <c r="A4985" s="1" t="s">
        <v>13904</v>
      </c>
      <c r="B4985" s="1" t="s">
        <v>777</v>
      </c>
      <c r="C4985" s="1" t="s">
        <v>13905</v>
      </c>
      <c r="D4985" s="1" t="s">
        <v>78</v>
      </c>
      <c r="E4985" s="1" t="s">
        <v>28</v>
      </c>
      <c r="F4985" s="2">
        <v>86000.0</v>
      </c>
      <c r="G4985" s="1" t="s">
        <v>13906</v>
      </c>
      <c r="H4985" s="4">
        <f>IFERROR(__xludf.DUMMYFUNCTION("DATE(INDEX(SPLIT(G4985,""/""),,3),INDEX(SPLIT(G4985,""/""),,2),INDEX(SPLIT(G4985,""/""),,1))"),43605.0)</f>
        <v>43605</v>
      </c>
      <c r="I4985" s="4">
        <v>44569.0</v>
      </c>
      <c r="J4985" s="4">
        <f>IFERROR(__xludf.DUMMYFUNCTION("DATE(INDEX(SPLIT(I4985,""/""),,3),INDEX(SPLIT(I4985,""/""),,2),INDEX(SPLIT(I4985,""/""),,1))"),44774.0)</f>
        <v>44774</v>
      </c>
      <c r="L4985" s="1">
        <v>0.0</v>
      </c>
      <c r="M4985" s="1" t="s">
        <v>2696</v>
      </c>
      <c r="N4985" s="1"/>
      <c r="O4985" s="1" t="s">
        <v>30</v>
      </c>
      <c r="P4985" s="1" t="s">
        <v>31</v>
      </c>
      <c r="Q4985" s="1" t="s">
        <v>157</v>
      </c>
      <c r="R4985" s="1" t="s">
        <v>157</v>
      </c>
      <c r="S4985" s="1" t="s">
        <v>158</v>
      </c>
      <c r="T4985" s="1" t="s">
        <v>402</v>
      </c>
      <c r="U4985" s="1">
        <v>1.00611351E8</v>
      </c>
      <c r="X4985" s="1" t="s">
        <v>781</v>
      </c>
      <c r="Y4985" s="1" t="s">
        <v>3016</v>
      </c>
      <c r="Z4985" s="1" t="s">
        <v>37</v>
      </c>
    </row>
    <row r="4986" hidden="1">
      <c r="A4986" s="1" t="s">
        <v>13907</v>
      </c>
      <c r="B4986" s="1" t="s">
        <v>13908</v>
      </c>
      <c r="C4986" s="1" t="s">
        <v>13909</v>
      </c>
      <c r="D4986" s="1" t="s">
        <v>122</v>
      </c>
      <c r="E4986" s="1" t="s">
        <v>28</v>
      </c>
      <c r="F4986" s="2">
        <v>85500.0</v>
      </c>
      <c r="G4986" s="1" t="s">
        <v>935</v>
      </c>
      <c r="H4986" s="4">
        <f>IFERROR(__xludf.DUMMYFUNCTION("DATE(INDEX(SPLIT(G4986,""/""),,3),INDEX(SPLIT(G4986,""/""),,2),INDEX(SPLIT(G4986,""/""),,1))"),44764.0)</f>
        <v>44764</v>
      </c>
      <c r="I4986" s="1" t="s">
        <v>535</v>
      </c>
      <c r="J4986" s="4">
        <f>IFERROR(__xludf.DUMMYFUNCTION("DATE(INDEX(SPLIT(I4986,""/""),,3),INDEX(SPLIT(I4986,""/""),,2),INDEX(SPLIT(I4986,""/""),,1))"),44957.0)</f>
        <v>44957</v>
      </c>
      <c r="L4986" s="1">
        <v>0.0</v>
      </c>
      <c r="M4986" s="1" t="s">
        <v>4735</v>
      </c>
      <c r="N4986" s="1"/>
      <c r="O4986" s="1" t="s">
        <v>30</v>
      </c>
      <c r="P4986" s="1" t="s">
        <v>31</v>
      </c>
      <c r="Q4986" s="1" t="s">
        <v>71</v>
      </c>
      <c r="R4986" s="1" t="s">
        <v>71</v>
      </c>
      <c r="S4986" s="1" t="s">
        <v>72</v>
      </c>
      <c r="T4986" s="1" t="s">
        <v>136</v>
      </c>
      <c r="U4986" s="1">
        <v>1.00609615E8</v>
      </c>
      <c r="X4986" s="1" t="s">
        <v>2028</v>
      </c>
      <c r="Y4986" s="1" t="s">
        <v>2593</v>
      </c>
      <c r="Z4986" s="1" t="s">
        <v>206</v>
      </c>
    </row>
    <row r="4987" hidden="1">
      <c r="A4987" s="1" t="s">
        <v>13910</v>
      </c>
      <c r="B4987" s="1" t="s">
        <v>13911</v>
      </c>
      <c r="C4987" s="1" t="s">
        <v>13912</v>
      </c>
      <c r="D4987" s="1" t="s">
        <v>122</v>
      </c>
      <c r="E4987" s="1" t="s">
        <v>28</v>
      </c>
      <c r="F4987" s="2">
        <v>85000.0</v>
      </c>
      <c r="G4987" s="4">
        <v>44871.0</v>
      </c>
      <c r="H4987" s="4">
        <f>IFERROR(__xludf.DUMMYFUNCTION("DATE(INDEX(SPLIT(G4987,""/""),,3),INDEX(SPLIT(G4987,""/""),,2),INDEX(SPLIT(G4987,""/""),,1))"),44723.0)</f>
        <v>44723</v>
      </c>
      <c r="I4987" s="1" t="s">
        <v>85</v>
      </c>
      <c r="J4987" s="4">
        <f>IFERROR(__xludf.DUMMYFUNCTION("DATE(INDEX(SPLIT(I4987,""/""),,3),INDEX(SPLIT(I4987,""/""),,2),INDEX(SPLIT(I4987,""/""),,1))"),44799.0)</f>
        <v>44799</v>
      </c>
      <c r="L4987" s="1">
        <v>0.0</v>
      </c>
      <c r="M4987" s="1" t="s">
        <v>2905</v>
      </c>
      <c r="N4987" s="1"/>
      <c r="O4987" s="1" t="s">
        <v>30</v>
      </c>
      <c r="P4987" s="1" t="s">
        <v>31</v>
      </c>
      <c r="Q4987" s="1" t="s">
        <v>53</v>
      </c>
      <c r="R4987" s="1" t="s">
        <v>53</v>
      </c>
      <c r="S4987" s="1" t="s">
        <v>54</v>
      </c>
      <c r="U4987" s="1">
        <v>1.01074419E8</v>
      </c>
      <c r="X4987" s="1" t="s">
        <v>375</v>
      </c>
      <c r="Y4987" s="1" t="s">
        <v>2905</v>
      </c>
      <c r="Z4987" s="1" t="s">
        <v>527</v>
      </c>
    </row>
    <row r="4988">
      <c r="A4988" s="1" t="s">
        <v>13913</v>
      </c>
      <c r="B4988" s="1" t="s">
        <v>13914</v>
      </c>
      <c r="C4988" s="1" t="s">
        <v>13915</v>
      </c>
      <c r="D4988" s="1" t="s">
        <v>122</v>
      </c>
      <c r="E4988" s="1" t="s">
        <v>28</v>
      </c>
      <c r="F4988" s="2">
        <v>85000.0</v>
      </c>
      <c r="G4988" s="1" t="s">
        <v>472</v>
      </c>
      <c r="H4988" s="4">
        <f>IFERROR(__xludf.DUMMYFUNCTION("DATE(INDEX(SPLIT(G4988,""/""),,3),INDEX(SPLIT(G4988,""/""),,2),INDEX(SPLIT(G4988,""/""),,1))"),44760.0)</f>
        <v>44760</v>
      </c>
      <c r="I4988" s="1" t="s">
        <v>226</v>
      </c>
      <c r="J4988" s="4">
        <f>IFERROR(__xludf.DUMMYFUNCTION("DATE(INDEX(SPLIT(I4988,""/""),,3),INDEX(SPLIT(I4988,""/""),,2),INDEX(SPLIT(I4988,""/""),,1))"),44771.0)</f>
        <v>44771</v>
      </c>
      <c r="L4988" s="1">
        <v>0.0</v>
      </c>
      <c r="M4988" s="1" t="s">
        <v>1685</v>
      </c>
      <c r="N4988" s="1"/>
      <c r="O4988" s="1" t="s">
        <v>30</v>
      </c>
      <c r="P4988" s="1" t="s">
        <v>31</v>
      </c>
      <c r="Q4988" s="1" t="s">
        <v>228</v>
      </c>
      <c r="R4988" s="1" t="s">
        <v>228</v>
      </c>
      <c r="S4988" s="1" t="s">
        <v>229</v>
      </c>
      <c r="T4988" s="1" t="s">
        <v>513</v>
      </c>
      <c r="U4988" s="1">
        <v>1.00612055E8</v>
      </c>
      <c r="X4988" s="1" t="s">
        <v>63</v>
      </c>
      <c r="Y4988" s="1" t="s">
        <v>1685</v>
      </c>
      <c r="Z4988" s="1" t="s">
        <v>37</v>
      </c>
    </row>
    <row r="4989" hidden="1">
      <c r="A4989" s="1" t="s">
        <v>13916</v>
      </c>
      <c r="B4989" s="1" t="s">
        <v>9168</v>
      </c>
      <c r="C4989" s="1" t="s">
        <v>13917</v>
      </c>
      <c r="D4989" s="1" t="s">
        <v>78</v>
      </c>
      <c r="E4989" s="1" t="s">
        <v>28</v>
      </c>
      <c r="F4989" s="2">
        <v>85000.0</v>
      </c>
      <c r="G4989" s="1" t="s">
        <v>935</v>
      </c>
      <c r="H4989" s="4">
        <f>IFERROR(__xludf.DUMMYFUNCTION("DATE(INDEX(SPLIT(G4989,""/""),,3),INDEX(SPLIT(G4989,""/""),,2),INDEX(SPLIT(G4989,""/""),,1))"),44764.0)</f>
        <v>44764</v>
      </c>
      <c r="I4989" s="1" t="s">
        <v>569</v>
      </c>
      <c r="J4989" s="4">
        <f>IFERROR(__xludf.DUMMYFUNCTION("DATE(INDEX(SPLIT(I4989,""/""),,3),INDEX(SPLIT(I4989,""/""),,2),INDEX(SPLIT(I4989,""/""),,1))"),45016.0)</f>
        <v>45016</v>
      </c>
      <c r="L4989" s="1">
        <v>0.0</v>
      </c>
      <c r="M4989" s="1" t="s">
        <v>211</v>
      </c>
      <c r="N4989" s="1"/>
      <c r="O4989" s="1" t="s">
        <v>30</v>
      </c>
      <c r="P4989" s="1" t="s">
        <v>31</v>
      </c>
      <c r="Q4989" s="1" t="s">
        <v>71</v>
      </c>
      <c r="R4989" s="1" t="s">
        <v>71</v>
      </c>
      <c r="S4989" s="1" t="s">
        <v>72</v>
      </c>
      <c r="T4989" s="1" t="s">
        <v>136</v>
      </c>
      <c r="U4989" s="1">
        <v>1.00590896E8</v>
      </c>
      <c r="X4989" s="1" t="s">
        <v>74</v>
      </c>
      <c r="Y4989" s="1" t="s">
        <v>2593</v>
      </c>
      <c r="Z4989" s="1" t="s">
        <v>37</v>
      </c>
    </row>
    <row r="4990">
      <c r="A4990" s="1" t="s">
        <v>13918</v>
      </c>
      <c r="B4990" s="1" t="s">
        <v>13919</v>
      </c>
      <c r="C4990" s="1" t="s">
        <v>13920</v>
      </c>
      <c r="D4990" s="1" t="s">
        <v>78</v>
      </c>
      <c r="E4990" s="1" t="s">
        <v>28</v>
      </c>
      <c r="F4990" s="2">
        <v>85000.0</v>
      </c>
      <c r="G4990" s="4">
        <v>44777.0</v>
      </c>
      <c r="H4990" s="4">
        <f>IFERROR(__xludf.DUMMYFUNCTION("DATE(INDEX(SPLIT(G4990,""/""),,3),INDEX(SPLIT(G4990,""/""),,2),INDEX(SPLIT(G4990,""/""),,1))"),44659.0)</f>
        <v>44659</v>
      </c>
      <c r="I4990" s="1" t="s">
        <v>226</v>
      </c>
      <c r="J4990" s="4">
        <f>IFERROR(__xludf.DUMMYFUNCTION("DATE(INDEX(SPLIT(I4990,""/""),,3),INDEX(SPLIT(I4990,""/""),,2),INDEX(SPLIT(I4990,""/""),,1))"),44771.0)</f>
        <v>44771</v>
      </c>
      <c r="L4990" s="1">
        <v>0.0</v>
      </c>
      <c r="M4990" s="1" t="s">
        <v>3948</v>
      </c>
      <c r="N4990" s="1"/>
      <c r="O4990" s="1" t="s">
        <v>30</v>
      </c>
      <c r="P4990" s="1" t="s">
        <v>31</v>
      </c>
      <c r="Q4990" s="1" t="s">
        <v>228</v>
      </c>
      <c r="R4990" s="1" t="s">
        <v>228</v>
      </c>
      <c r="S4990" s="1" t="s">
        <v>229</v>
      </c>
      <c r="T4990" s="1" t="s">
        <v>513</v>
      </c>
      <c r="U4990" s="1">
        <v>1.0066189E8</v>
      </c>
      <c r="X4990" s="1" t="s">
        <v>63</v>
      </c>
      <c r="Y4990" s="1" t="s">
        <v>9454</v>
      </c>
      <c r="Z4990" s="1" t="s">
        <v>37</v>
      </c>
    </row>
    <row r="4991" hidden="1">
      <c r="A4991" s="1" t="s">
        <v>13921</v>
      </c>
      <c r="B4991" s="1" t="s">
        <v>13922</v>
      </c>
      <c r="C4991" s="1" t="s">
        <v>13923</v>
      </c>
      <c r="D4991" s="1" t="s">
        <v>78</v>
      </c>
      <c r="E4991" s="1" t="s">
        <v>28</v>
      </c>
      <c r="F4991" s="2">
        <v>85000.0</v>
      </c>
      <c r="G4991" s="1" t="s">
        <v>13924</v>
      </c>
      <c r="H4991" s="4">
        <f>IFERROR(__xludf.DUMMYFUNCTION("DATE(INDEX(SPLIT(G4991,""/""),,3),INDEX(SPLIT(G4991,""/""),,2),INDEX(SPLIT(G4991,""/""),,1))"),43858.0)</f>
        <v>43858</v>
      </c>
      <c r="I4991" s="1" t="s">
        <v>42</v>
      </c>
      <c r="J4991" s="4">
        <f>IFERROR(__xludf.DUMMYFUNCTION("DATE(INDEX(SPLIT(I4991,""/""),,3),INDEX(SPLIT(I4991,""/""),,2),INDEX(SPLIT(I4991,""/""),,1))"),44926.0)</f>
        <v>44926</v>
      </c>
      <c r="L4991" s="1">
        <v>0.0</v>
      </c>
      <c r="M4991" s="1" t="s">
        <v>2696</v>
      </c>
      <c r="N4991" s="1"/>
      <c r="O4991" s="1" t="s">
        <v>30</v>
      </c>
      <c r="P4991" s="1" t="s">
        <v>31</v>
      </c>
      <c r="Q4991" s="1" t="s">
        <v>157</v>
      </c>
      <c r="R4991" s="1" t="s">
        <v>157</v>
      </c>
      <c r="S4991" s="1" t="s">
        <v>158</v>
      </c>
      <c r="T4991" s="1" t="s">
        <v>8712</v>
      </c>
      <c r="U4991" s="1">
        <v>1.00611351E8</v>
      </c>
      <c r="X4991" s="1" t="s">
        <v>375</v>
      </c>
      <c r="Y4991" s="1" t="s">
        <v>3016</v>
      </c>
      <c r="Z4991" s="1" t="s">
        <v>37</v>
      </c>
    </row>
    <row r="4992" hidden="1">
      <c r="A4992" s="1" t="s">
        <v>13925</v>
      </c>
      <c r="B4992" s="1" t="s">
        <v>13926</v>
      </c>
      <c r="C4992" s="1" t="s">
        <v>13927</v>
      </c>
      <c r="D4992" s="1" t="s">
        <v>122</v>
      </c>
      <c r="E4992" s="1" t="s">
        <v>28</v>
      </c>
      <c r="F4992" s="2">
        <v>84656.25</v>
      </c>
      <c r="G4992" s="1" t="s">
        <v>935</v>
      </c>
      <c r="H4992" s="4">
        <f>IFERROR(__xludf.DUMMYFUNCTION("DATE(INDEX(SPLIT(G4992,""/""),,3),INDEX(SPLIT(G4992,""/""),,2),INDEX(SPLIT(G4992,""/""),,1))"),44764.0)</f>
        <v>44764</v>
      </c>
      <c r="I4992" s="1" t="s">
        <v>130</v>
      </c>
      <c r="J4992" s="4">
        <f>IFERROR(__xludf.DUMMYFUNCTION("DATE(INDEX(SPLIT(I4992,""/""),,3),INDEX(SPLIT(I4992,""/""),,2),INDEX(SPLIT(I4992,""/""),,1))"),44804.0)</f>
        <v>44804</v>
      </c>
      <c r="L4992" s="1">
        <v>0.0</v>
      </c>
      <c r="M4992" s="1" t="s">
        <v>3948</v>
      </c>
      <c r="N4992" s="1"/>
      <c r="O4992" s="1" t="s">
        <v>30</v>
      </c>
      <c r="P4992" s="1" t="s">
        <v>31</v>
      </c>
      <c r="Q4992" s="1" t="s">
        <v>228</v>
      </c>
      <c r="R4992" s="1" t="s">
        <v>228</v>
      </c>
      <c r="S4992" s="1" t="s">
        <v>229</v>
      </c>
      <c r="T4992" s="1" t="s">
        <v>513</v>
      </c>
      <c r="U4992" s="1">
        <v>1.0066189E8</v>
      </c>
      <c r="X4992" s="1" t="s">
        <v>2769</v>
      </c>
      <c r="Y4992" s="1" t="s">
        <v>5688</v>
      </c>
      <c r="Z4992" s="1" t="s">
        <v>37</v>
      </c>
    </row>
    <row r="4993">
      <c r="A4993" s="1" t="s">
        <v>13928</v>
      </c>
      <c r="B4993" s="1" t="s">
        <v>13929</v>
      </c>
      <c r="C4993" s="1" t="s">
        <v>13930</v>
      </c>
      <c r="D4993" s="1" t="s">
        <v>78</v>
      </c>
      <c r="E4993" s="1" t="s">
        <v>28</v>
      </c>
      <c r="F4993" s="2">
        <v>84000.0</v>
      </c>
      <c r="G4993" s="4">
        <v>44871.0</v>
      </c>
      <c r="H4993" s="4">
        <f>IFERROR(__xludf.DUMMYFUNCTION("DATE(INDEX(SPLIT(G4993,""/""),,3),INDEX(SPLIT(G4993,""/""),,2),INDEX(SPLIT(G4993,""/""),,1))"),44723.0)</f>
        <v>44723</v>
      </c>
      <c r="I4993" s="1" t="s">
        <v>69</v>
      </c>
      <c r="J4993" s="4">
        <f>IFERROR(__xludf.DUMMYFUNCTION("DATE(INDEX(SPLIT(I4993,""/""),,3),INDEX(SPLIT(I4993,""/""),,2),INDEX(SPLIT(I4993,""/""),,1))"),44773.0)</f>
        <v>44773</v>
      </c>
      <c r="L4993" s="1">
        <v>0.0</v>
      </c>
      <c r="M4993" s="1" t="s">
        <v>13893</v>
      </c>
      <c r="N4993" s="1"/>
      <c r="O4993" s="1" t="s">
        <v>30</v>
      </c>
      <c r="P4993" s="1" t="s">
        <v>31</v>
      </c>
      <c r="Q4993" s="1" t="s">
        <v>228</v>
      </c>
      <c r="R4993" s="1" t="s">
        <v>228</v>
      </c>
      <c r="S4993" s="1" t="s">
        <v>229</v>
      </c>
      <c r="T4993" s="1" t="s">
        <v>513</v>
      </c>
      <c r="U4993" s="1">
        <v>1.00660529E8</v>
      </c>
      <c r="X4993" s="1" t="s">
        <v>254</v>
      </c>
      <c r="Y4993" s="1" t="s">
        <v>13893</v>
      </c>
      <c r="Z4993" s="1" t="s">
        <v>206</v>
      </c>
    </row>
    <row r="4994" hidden="1">
      <c r="A4994" s="1" t="s">
        <v>13931</v>
      </c>
      <c r="B4994" s="1" t="s">
        <v>13932</v>
      </c>
      <c r="C4994" s="1" t="s">
        <v>13933</v>
      </c>
      <c r="D4994" s="1" t="s">
        <v>27</v>
      </c>
      <c r="E4994" s="1" t="s">
        <v>28</v>
      </c>
      <c r="F4994" s="2">
        <v>82800.0</v>
      </c>
      <c r="G4994" s="1" t="s">
        <v>418</v>
      </c>
      <c r="H4994" s="4">
        <f>IFERROR(__xludf.DUMMYFUNCTION("DATE(INDEX(SPLIT(G4994,""/""),,3),INDEX(SPLIT(G4994,""/""),,2),INDEX(SPLIT(G4994,""/""),,1))"),44755.0)</f>
        <v>44755</v>
      </c>
      <c r="I4994" s="1" t="s">
        <v>317</v>
      </c>
      <c r="J4994" s="4">
        <f>IFERROR(__xludf.DUMMYFUNCTION("DATE(INDEX(SPLIT(I4994,""/""),,3),INDEX(SPLIT(I4994,""/""),,2),INDEX(SPLIT(I4994,""/""),,1))"),44862.0)</f>
        <v>44862</v>
      </c>
      <c r="L4994" s="1">
        <v>0.0</v>
      </c>
      <c r="M4994" s="1" t="s">
        <v>4735</v>
      </c>
      <c r="N4994" s="1"/>
      <c r="O4994" s="1" t="s">
        <v>30</v>
      </c>
      <c r="P4994" s="1" t="s">
        <v>31</v>
      </c>
      <c r="Q4994" s="1" t="s">
        <v>71</v>
      </c>
      <c r="R4994" s="1" t="s">
        <v>71</v>
      </c>
      <c r="S4994" s="1" t="s">
        <v>72</v>
      </c>
      <c r="T4994" s="1" t="s">
        <v>136</v>
      </c>
      <c r="U4994" s="1">
        <v>1.00609615E8</v>
      </c>
      <c r="X4994" s="1" t="s">
        <v>74</v>
      </c>
      <c r="Y4994" s="1" t="s">
        <v>2593</v>
      </c>
      <c r="Z4994" s="1" t="s">
        <v>206</v>
      </c>
    </row>
    <row r="4995">
      <c r="A4995" s="1" t="s">
        <v>13934</v>
      </c>
      <c r="B4995" s="1" t="s">
        <v>13935</v>
      </c>
      <c r="C4995" s="1" t="s">
        <v>13936</v>
      </c>
      <c r="D4995" s="1" t="s">
        <v>78</v>
      </c>
      <c r="E4995" s="1" t="s">
        <v>28</v>
      </c>
      <c r="F4995" s="2">
        <v>82300.0</v>
      </c>
      <c r="G4995" s="1" t="s">
        <v>13924</v>
      </c>
      <c r="H4995" s="4">
        <f>IFERROR(__xludf.DUMMYFUNCTION("DATE(INDEX(SPLIT(G4995,""/""),,3),INDEX(SPLIT(G4995,""/""),,2),INDEX(SPLIT(G4995,""/""),,1))"),43858.0)</f>
        <v>43858</v>
      </c>
      <c r="I4995" s="1" t="s">
        <v>226</v>
      </c>
      <c r="J4995" s="4">
        <f>IFERROR(__xludf.DUMMYFUNCTION("DATE(INDEX(SPLIT(I4995,""/""),,3),INDEX(SPLIT(I4995,""/""),,2),INDEX(SPLIT(I4995,""/""),,1))"),44771.0)</f>
        <v>44771</v>
      </c>
      <c r="L4995" s="1">
        <v>0.0</v>
      </c>
      <c r="M4995" s="1" t="s">
        <v>2696</v>
      </c>
      <c r="N4995" s="1"/>
      <c r="O4995" s="1" t="s">
        <v>30</v>
      </c>
      <c r="P4995" s="1" t="s">
        <v>31</v>
      </c>
      <c r="Q4995" s="1" t="s">
        <v>157</v>
      </c>
      <c r="R4995" s="1" t="s">
        <v>157</v>
      </c>
      <c r="S4995" s="1" t="s">
        <v>158</v>
      </c>
      <c r="T4995" s="1" t="s">
        <v>8712</v>
      </c>
      <c r="U4995" s="1">
        <v>1.00611351E8</v>
      </c>
      <c r="X4995" s="1" t="s">
        <v>375</v>
      </c>
      <c r="Y4995" s="1" t="s">
        <v>3016</v>
      </c>
      <c r="Z4995" s="1" t="s">
        <v>37</v>
      </c>
    </row>
    <row r="4996">
      <c r="A4996" s="1" t="s">
        <v>13937</v>
      </c>
      <c r="B4996" s="1" t="s">
        <v>13938</v>
      </c>
      <c r="C4996" s="1" t="s">
        <v>13939</v>
      </c>
      <c r="D4996" s="1" t="s">
        <v>78</v>
      </c>
      <c r="E4996" s="1" t="s">
        <v>28</v>
      </c>
      <c r="F4996" s="2">
        <v>81088.0</v>
      </c>
      <c r="G4996" s="1" t="s">
        <v>8711</v>
      </c>
      <c r="H4996" s="4">
        <f>IFERROR(__xludf.DUMMYFUNCTION("DATE(INDEX(SPLIT(G4996,""/""),,3),INDEX(SPLIT(G4996,""/""),,2),INDEX(SPLIT(G4996,""/""),,1))"),43847.0)</f>
        <v>43847</v>
      </c>
      <c r="I4996" s="1" t="s">
        <v>226</v>
      </c>
      <c r="J4996" s="4">
        <f>IFERROR(__xludf.DUMMYFUNCTION("DATE(INDEX(SPLIT(I4996,""/""),,3),INDEX(SPLIT(I4996,""/""),,2),INDEX(SPLIT(I4996,""/""),,1))"),44771.0)</f>
        <v>44771</v>
      </c>
      <c r="L4996" s="1">
        <v>0.0</v>
      </c>
      <c r="M4996" s="1" t="s">
        <v>2696</v>
      </c>
      <c r="N4996" s="1"/>
      <c r="O4996" s="1" t="s">
        <v>30</v>
      </c>
      <c r="P4996" s="1" t="s">
        <v>31</v>
      </c>
      <c r="Q4996" s="1" t="s">
        <v>157</v>
      </c>
      <c r="R4996" s="1" t="s">
        <v>157</v>
      </c>
      <c r="S4996" s="1" t="s">
        <v>158</v>
      </c>
      <c r="T4996" s="1" t="s">
        <v>402</v>
      </c>
      <c r="U4996" s="1">
        <v>1.00611351E8</v>
      </c>
      <c r="X4996" s="1" t="s">
        <v>781</v>
      </c>
      <c r="Y4996" s="1" t="s">
        <v>8713</v>
      </c>
      <c r="Z4996" s="1" t="s">
        <v>37</v>
      </c>
    </row>
    <row r="4997">
      <c r="A4997" s="1" t="s">
        <v>13940</v>
      </c>
      <c r="B4997" s="1" t="s">
        <v>605</v>
      </c>
      <c r="C4997" s="1" t="s">
        <v>13941</v>
      </c>
      <c r="D4997" s="1" t="s">
        <v>78</v>
      </c>
      <c r="E4997" s="1" t="s">
        <v>28</v>
      </c>
      <c r="F4997" s="2">
        <v>80000.0</v>
      </c>
      <c r="G4997" s="1" t="s">
        <v>5160</v>
      </c>
      <c r="H4997" s="4">
        <f>IFERROR(__xludf.DUMMYFUNCTION("DATE(INDEX(SPLIT(G4997,""/""),,3),INDEX(SPLIT(G4997,""/""),,2),INDEX(SPLIT(G4997,""/""),,1))"),44426.0)</f>
        <v>44426</v>
      </c>
      <c r="I4997" s="1" t="s">
        <v>414</v>
      </c>
      <c r="J4997" s="4">
        <f>IFERROR(__xludf.DUMMYFUNCTION("DATE(INDEX(SPLIT(I4997,""/""),,3),INDEX(SPLIT(I4997,""/""),,2),INDEX(SPLIT(I4997,""/""),,1))"),44772.0)</f>
        <v>44772</v>
      </c>
      <c r="L4997" s="1">
        <v>0.0</v>
      </c>
      <c r="M4997" s="1" t="s">
        <v>8859</v>
      </c>
      <c r="N4997" s="1"/>
      <c r="O4997" s="1" t="s">
        <v>30</v>
      </c>
      <c r="P4997" s="1" t="s">
        <v>31</v>
      </c>
      <c r="Q4997" s="1" t="s">
        <v>228</v>
      </c>
      <c r="R4997" s="1" t="s">
        <v>228</v>
      </c>
      <c r="S4997" s="1" t="s">
        <v>229</v>
      </c>
      <c r="T4997" s="1" t="s">
        <v>513</v>
      </c>
      <c r="U4997" s="1">
        <v>1.00604296E8</v>
      </c>
      <c r="X4997" s="1" t="s">
        <v>98</v>
      </c>
      <c r="Y4997" s="1" t="s">
        <v>9454</v>
      </c>
      <c r="Z4997" s="1" t="s">
        <v>37</v>
      </c>
    </row>
    <row r="4998" hidden="1">
      <c r="A4998" s="1" t="s">
        <v>13942</v>
      </c>
      <c r="B4998" s="1" t="s">
        <v>5331</v>
      </c>
      <c r="C4998" s="1" t="s">
        <v>13943</v>
      </c>
      <c r="D4998" s="1" t="s">
        <v>27</v>
      </c>
      <c r="E4998" s="1" t="s">
        <v>28</v>
      </c>
      <c r="F4998" s="2">
        <v>80000.0</v>
      </c>
      <c r="G4998" s="1" t="s">
        <v>185</v>
      </c>
      <c r="H4998" s="4">
        <f>IFERROR(__xludf.DUMMYFUNCTION("DATE(INDEX(SPLIT(G4998,""/""),,3),INDEX(SPLIT(G4998,""/""),,2),INDEX(SPLIT(G4998,""/""),,1))"),44741.0)</f>
        <v>44741</v>
      </c>
      <c r="I4998" s="1" t="s">
        <v>1097</v>
      </c>
      <c r="J4998" s="4">
        <f>IFERROR(__xludf.DUMMYFUNCTION("DATE(INDEX(SPLIT(I4998,""/""),,3),INDEX(SPLIT(I4998,""/""),,2),INDEX(SPLIT(I4998,""/""),,1))"),45107.0)</f>
        <v>45107</v>
      </c>
      <c r="L4998" s="1">
        <v>0.0</v>
      </c>
      <c r="M4998" s="1" t="s">
        <v>11254</v>
      </c>
      <c r="N4998" s="1"/>
      <c r="O4998" s="1" t="s">
        <v>30</v>
      </c>
      <c r="P4998" s="1" t="s">
        <v>31</v>
      </c>
      <c r="Q4998" s="1" t="s">
        <v>228</v>
      </c>
      <c r="R4998" s="1" t="s">
        <v>228</v>
      </c>
      <c r="S4998" s="1" t="s">
        <v>229</v>
      </c>
      <c r="T4998" s="1" t="s">
        <v>513</v>
      </c>
      <c r="U4998" s="1">
        <v>1.00602248E8</v>
      </c>
      <c r="X4998" s="1" t="s">
        <v>98</v>
      </c>
      <c r="Y4998" s="1" t="s">
        <v>13944</v>
      </c>
      <c r="Z4998" s="1" t="s">
        <v>37</v>
      </c>
    </row>
    <row r="4999" hidden="1">
      <c r="A4999" s="1" t="s">
        <v>13945</v>
      </c>
      <c r="B4999" s="1" t="s">
        <v>516</v>
      </c>
      <c r="C4999" s="1" t="s">
        <v>13946</v>
      </c>
      <c r="D4999" s="1" t="s">
        <v>27</v>
      </c>
      <c r="E4999" s="1" t="s">
        <v>28</v>
      </c>
      <c r="F4999" s="2">
        <v>80000.0</v>
      </c>
      <c r="G4999" s="4">
        <v>44871.0</v>
      </c>
      <c r="H4999" s="4">
        <f>IFERROR(__xludf.DUMMYFUNCTION("DATE(INDEX(SPLIT(G4999,""/""),,3),INDEX(SPLIT(G4999,""/""),,2),INDEX(SPLIT(G4999,""/""),,1))"),44723.0)</f>
        <v>44723</v>
      </c>
      <c r="I4999" s="1" t="s">
        <v>42</v>
      </c>
      <c r="J4999" s="4">
        <f>IFERROR(__xludf.DUMMYFUNCTION("DATE(INDEX(SPLIT(I4999,""/""),,3),INDEX(SPLIT(I4999,""/""),,2),INDEX(SPLIT(I4999,""/""),,1))"),44926.0)</f>
        <v>44926</v>
      </c>
      <c r="L4999" s="1">
        <v>0.0</v>
      </c>
      <c r="M4999" s="1" t="s">
        <v>11254</v>
      </c>
      <c r="N4999" s="1"/>
      <c r="O4999" s="1" t="s">
        <v>30</v>
      </c>
      <c r="P4999" s="1" t="s">
        <v>31</v>
      </c>
      <c r="Q4999" s="1" t="s">
        <v>228</v>
      </c>
      <c r="R4999" s="1" t="s">
        <v>228</v>
      </c>
      <c r="S4999" s="1" t="s">
        <v>229</v>
      </c>
      <c r="T4999" s="1" t="s">
        <v>640</v>
      </c>
      <c r="U4999" s="1">
        <v>1.00602248E8</v>
      </c>
      <c r="X4999" s="1" t="s">
        <v>254</v>
      </c>
      <c r="Y4999" s="1" t="s">
        <v>11387</v>
      </c>
      <c r="Z4999" s="1" t="s">
        <v>37</v>
      </c>
    </row>
    <row r="5000">
      <c r="A5000" s="1" t="s">
        <v>13947</v>
      </c>
      <c r="B5000" s="1" t="s">
        <v>13948</v>
      </c>
      <c r="C5000" s="1" t="s">
        <v>13949</v>
      </c>
      <c r="D5000" s="1" t="s">
        <v>78</v>
      </c>
      <c r="E5000" s="1" t="s">
        <v>28</v>
      </c>
      <c r="F5000" s="2">
        <v>80000.0</v>
      </c>
      <c r="G5000" s="4">
        <v>44776.0</v>
      </c>
      <c r="H5000" s="4">
        <f>IFERROR(__xludf.DUMMYFUNCTION("DATE(INDEX(SPLIT(G5000,""/""),,3),INDEX(SPLIT(G5000,""/""),,2),INDEX(SPLIT(G5000,""/""),,1))"),44628.0)</f>
        <v>44628</v>
      </c>
      <c r="I5000" s="1" t="s">
        <v>1244</v>
      </c>
      <c r="J5000" s="4">
        <f>IFERROR(__xludf.DUMMYFUNCTION("DATE(INDEX(SPLIT(I5000,""/""),,3),INDEX(SPLIT(I5000,""/""),,2),INDEX(SPLIT(I5000,""/""),,1))"),44742.0)</f>
        <v>44742</v>
      </c>
      <c r="L5000" s="1">
        <v>0.0</v>
      </c>
      <c r="M5000" s="1" t="s">
        <v>2207</v>
      </c>
      <c r="N5000" s="1"/>
      <c r="O5000" s="1" t="s">
        <v>30</v>
      </c>
      <c r="P5000" s="1" t="s">
        <v>31</v>
      </c>
      <c r="Q5000" s="1" t="s">
        <v>228</v>
      </c>
      <c r="R5000" s="1" t="s">
        <v>228</v>
      </c>
      <c r="S5000" s="1" t="s">
        <v>229</v>
      </c>
      <c r="T5000" s="1" t="s">
        <v>513</v>
      </c>
      <c r="U5000" s="1">
        <v>1.00596618E8</v>
      </c>
      <c r="X5000" s="1" t="s">
        <v>63</v>
      </c>
      <c r="Y5000" s="1" t="s">
        <v>13950</v>
      </c>
      <c r="Z5000" s="1" t="s">
        <v>37</v>
      </c>
    </row>
    <row r="5001" hidden="1">
      <c r="A5001" s="1" t="s">
        <v>13951</v>
      </c>
      <c r="B5001" s="1" t="s">
        <v>13952</v>
      </c>
      <c r="C5001" s="1" t="s">
        <v>13953</v>
      </c>
      <c r="D5001" s="1" t="s">
        <v>27</v>
      </c>
      <c r="E5001" s="1" t="s">
        <v>28</v>
      </c>
      <c r="F5001" s="2">
        <v>80000.0</v>
      </c>
      <c r="G5001" s="4">
        <v>44599.0</v>
      </c>
      <c r="H5001" s="4">
        <f>IFERROR(__xludf.DUMMYFUNCTION("DATE(INDEX(SPLIT(G5001,""/""),,3),INDEX(SPLIT(G5001,""/""),,2),INDEX(SPLIT(G5001,""/""),,1))"),44744.0)</f>
        <v>44744</v>
      </c>
      <c r="I5001" s="1" t="s">
        <v>1097</v>
      </c>
      <c r="J5001" s="4">
        <f>IFERROR(__xludf.DUMMYFUNCTION("DATE(INDEX(SPLIT(I5001,""/""),,3),INDEX(SPLIT(I5001,""/""),,2),INDEX(SPLIT(I5001,""/""),,1))"),45107.0)</f>
        <v>45107</v>
      </c>
      <c r="L5001" s="1">
        <v>0.0</v>
      </c>
      <c r="M5001" s="1" t="s">
        <v>11254</v>
      </c>
      <c r="N5001" s="1"/>
      <c r="O5001" s="1" t="s">
        <v>30</v>
      </c>
      <c r="P5001" s="1" t="s">
        <v>31</v>
      </c>
      <c r="Q5001" s="1" t="s">
        <v>228</v>
      </c>
      <c r="R5001" s="1" t="s">
        <v>228</v>
      </c>
      <c r="S5001" s="1" t="s">
        <v>229</v>
      </c>
      <c r="T5001" s="1" t="s">
        <v>513</v>
      </c>
      <c r="U5001" s="1">
        <v>1.00602248E8</v>
      </c>
      <c r="Y5001" s="1" t="s">
        <v>12640</v>
      </c>
      <c r="Z5001" s="1" t="s">
        <v>37</v>
      </c>
    </row>
    <row r="5002">
      <c r="A5002" s="1" t="s">
        <v>13954</v>
      </c>
      <c r="B5002" s="1" t="s">
        <v>2358</v>
      </c>
      <c r="C5002" s="1" t="s">
        <v>13955</v>
      </c>
      <c r="D5002" s="1" t="s">
        <v>78</v>
      </c>
      <c r="E5002" s="1" t="s">
        <v>28</v>
      </c>
      <c r="F5002" s="2">
        <v>80000.0</v>
      </c>
      <c r="G5002" s="1" t="s">
        <v>935</v>
      </c>
      <c r="H5002" s="4">
        <f>IFERROR(__xludf.DUMMYFUNCTION("DATE(INDEX(SPLIT(G5002,""/""),,3),INDEX(SPLIT(G5002,""/""),,2),INDEX(SPLIT(G5002,""/""),,1))"),44764.0)</f>
        <v>44764</v>
      </c>
      <c r="I5002" s="1" t="s">
        <v>226</v>
      </c>
      <c r="J5002" s="4">
        <f>IFERROR(__xludf.DUMMYFUNCTION("DATE(INDEX(SPLIT(I5002,""/""),,3),INDEX(SPLIT(I5002,""/""),,2),INDEX(SPLIT(I5002,""/""),,1))"),44771.0)</f>
        <v>44771</v>
      </c>
      <c r="L5002" s="1">
        <v>0.0</v>
      </c>
      <c r="M5002" s="1" t="s">
        <v>13956</v>
      </c>
      <c r="N5002" s="1"/>
      <c r="O5002" s="1" t="s">
        <v>30</v>
      </c>
      <c r="P5002" s="1" t="s">
        <v>31</v>
      </c>
      <c r="Q5002" s="1" t="s">
        <v>157</v>
      </c>
      <c r="R5002" s="1" t="s">
        <v>157</v>
      </c>
      <c r="S5002" s="1" t="s">
        <v>158</v>
      </c>
      <c r="U5002" s="1">
        <v>1.00631616E8</v>
      </c>
      <c r="X5002" s="1" t="s">
        <v>490</v>
      </c>
      <c r="Y5002" s="1" t="s">
        <v>2765</v>
      </c>
      <c r="Z5002" s="1" t="s">
        <v>37</v>
      </c>
    </row>
    <row r="5003">
      <c r="A5003" s="1" t="s">
        <v>13957</v>
      </c>
      <c r="B5003" s="1" t="s">
        <v>4013</v>
      </c>
      <c r="C5003" s="1" t="s">
        <v>13958</v>
      </c>
      <c r="D5003" s="1" t="s">
        <v>78</v>
      </c>
      <c r="E5003" s="1" t="s">
        <v>28</v>
      </c>
      <c r="F5003" s="2">
        <v>80000.0</v>
      </c>
      <c r="G5003" s="1" t="s">
        <v>1302</v>
      </c>
      <c r="H5003" s="4">
        <f>IFERROR(__xludf.DUMMYFUNCTION("DATE(INDEX(SPLIT(G5003,""/""),,3),INDEX(SPLIT(G5003,""/""),,2),INDEX(SPLIT(G5003,""/""),,1))"),44589.0)</f>
        <v>44589</v>
      </c>
      <c r="I5003" s="1" t="s">
        <v>1244</v>
      </c>
      <c r="J5003" s="4">
        <f>IFERROR(__xludf.DUMMYFUNCTION("DATE(INDEX(SPLIT(I5003,""/""),,3),INDEX(SPLIT(I5003,""/""),,2),INDEX(SPLIT(I5003,""/""),,1))"),44742.0)</f>
        <v>44742</v>
      </c>
      <c r="L5003" s="1">
        <v>0.0</v>
      </c>
      <c r="M5003" s="1" t="s">
        <v>4016</v>
      </c>
      <c r="N5003" s="1"/>
      <c r="O5003" s="1" t="s">
        <v>30</v>
      </c>
      <c r="P5003" s="1" t="s">
        <v>31</v>
      </c>
      <c r="Q5003" s="1" t="s">
        <v>95</v>
      </c>
      <c r="R5003" s="1" t="s">
        <v>95</v>
      </c>
      <c r="S5003" s="1" t="s">
        <v>96</v>
      </c>
      <c r="T5003" s="1" t="s">
        <v>97</v>
      </c>
      <c r="U5003" s="1">
        <v>1.00628223E8</v>
      </c>
      <c r="X5003" s="1" t="s">
        <v>190</v>
      </c>
      <c r="Y5003" s="1" t="s">
        <v>7313</v>
      </c>
      <c r="Z5003" s="1" t="s">
        <v>206</v>
      </c>
    </row>
    <row r="5004" hidden="1">
      <c r="A5004" s="1" t="s">
        <v>13959</v>
      </c>
      <c r="B5004" s="1" t="s">
        <v>13960</v>
      </c>
      <c r="C5004" s="1" t="s">
        <v>13961</v>
      </c>
      <c r="D5004" s="1" t="s">
        <v>78</v>
      </c>
      <c r="E5004" s="1" t="s">
        <v>28</v>
      </c>
      <c r="F5004" s="2">
        <v>79203.33</v>
      </c>
      <c r="G5004" s="1" t="s">
        <v>1806</v>
      </c>
      <c r="H5004" s="4">
        <f>IFERROR(__xludf.DUMMYFUNCTION("DATE(INDEX(SPLIT(G5004,""/""),,3),INDEX(SPLIT(G5004,""/""),,2),INDEX(SPLIT(G5004,""/""),,1))"),44694.0)</f>
        <v>44694</v>
      </c>
      <c r="I5004" s="1" t="s">
        <v>425</v>
      </c>
      <c r="J5004" s="4">
        <f>IFERROR(__xludf.DUMMYFUNCTION("DATE(INDEX(SPLIT(I5004,""/""),,3),INDEX(SPLIT(I5004,""/""),,2),INDEX(SPLIT(I5004,""/""),,1))"),44911.0)</f>
        <v>44911</v>
      </c>
      <c r="L5004" s="1">
        <v>0.0</v>
      </c>
      <c r="M5004" s="1" t="s">
        <v>8755</v>
      </c>
      <c r="N5004" s="1"/>
      <c r="O5004" s="1" t="s">
        <v>30</v>
      </c>
      <c r="P5004" s="1" t="s">
        <v>31</v>
      </c>
      <c r="Q5004" s="1" t="s">
        <v>1320</v>
      </c>
      <c r="R5004" s="1" t="s">
        <v>1320</v>
      </c>
      <c r="S5004" s="1" t="s">
        <v>54</v>
      </c>
      <c r="U5004" s="1">
        <v>1.00591676E8</v>
      </c>
      <c r="X5004" s="1" t="s">
        <v>125</v>
      </c>
      <c r="Y5004" s="1" t="s">
        <v>13962</v>
      </c>
      <c r="Z5004" s="1" t="s">
        <v>37</v>
      </c>
    </row>
    <row r="5005" hidden="1">
      <c r="A5005" s="1" t="s">
        <v>13963</v>
      </c>
      <c r="B5005" s="1" t="s">
        <v>13964</v>
      </c>
      <c r="C5005" s="1" t="s">
        <v>13965</v>
      </c>
      <c r="D5005" s="1" t="s">
        <v>78</v>
      </c>
      <c r="E5005" s="1" t="s">
        <v>28</v>
      </c>
      <c r="F5005" s="2">
        <v>79000.0</v>
      </c>
      <c r="G5005" s="1" t="s">
        <v>13966</v>
      </c>
      <c r="H5005" s="4">
        <f>IFERROR(__xludf.DUMMYFUNCTION("DATE(INDEX(SPLIT(G5005,""/""),,3),INDEX(SPLIT(G5005,""/""),,2),INDEX(SPLIT(G5005,""/""),,1))"),43846.0)</f>
        <v>43846</v>
      </c>
      <c r="I5005" s="1" t="s">
        <v>42</v>
      </c>
      <c r="J5005" s="4">
        <f>IFERROR(__xludf.DUMMYFUNCTION("DATE(INDEX(SPLIT(I5005,""/""),,3),INDEX(SPLIT(I5005,""/""),,2),INDEX(SPLIT(I5005,""/""),,1))"),44926.0)</f>
        <v>44926</v>
      </c>
      <c r="L5005" s="1">
        <v>0.0</v>
      </c>
      <c r="M5005" s="1" t="s">
        <v>2696</v>
      </c>
      <c r="N5005" s="1"/>
      <c r="O5005" s="1" t="s">
        <v>30</v>
      </c>
      <c r="P5005" s="1" t="s">
        <v>31</v>
      </c>
      <c r="Q5005" s="1" t="s">
        <v>157</v>
      </c>
      <c r="R5005" s="1" t="s">
        <v>157</v>
      </c>
      <c r="S5005" s="1" t="s">
        <v>158</v>
      </c>
      <c r="T5005" s="1" t="s">
        <v>8712</v>
      </c>
      <c r="U5005" s="1">
        <v>1.00611351E8</v>
      </c>
      <c r="X5005" s="1" t="s">
        <v>375</v>
      </c>
      <c r="Y5005" s="1" t="s">
        <v>3016</v>
      </c>
      <c r="Z5005" s="1" t="s">
        <v>37</v>
      </c>
    </row>
    <row r="5006" hidden="1">
      <c r="A5006" s="1" t="s">
        <v>13967</v>
      </c>
      <c r="B5006" s="1" t="s">
        <v>13968</v>
      </c>
      <c r="C5006" s="1" t="s">
        <v>13969</v>
      </c>
      <c r="D5006" s="1" t="s">
        <v>27</v>
      </c>
      <c r="E5006" s="1" t="s">
        <v>28</v>
      </c>
      <c r="F5006" s="2">
        <v>78600.0</v>
      </c>
      <c r="G5006" s="1" t="s">
        <v>418</v>
      </c>
      <c r="H5006" s="4">
        <f>IFERROR(__xludf.DUMMYFUNCTION("DATE(INDEX(SPLIT(G5006,""/""),,3),INDEX(SPLIT(G5006,""/""),,2),INDEX(SPLIT(G5006,""/""),,1))"),44755.0)</f>
        <v>44755</v>
      </c>
      <c r="I5006" s="1" t="s">
        <v>281</v>
      </c>
      <c r="J5006" s="4">
        <f>IFERROR(__xludf.DUMMYFUNCTION("DATE(INDEX(SPLIT(I5006,""/""),,3),INDEX(SPLIT(I5006,""/""),,2),INDEX(SPLIT(I5006,""/""),,1))"),44865.0)</f>
        <v>44865</v>
      </c>
      <c r="L5006" s="1">
        <v>0.0</v>
      </c>
      <c r="M5006" s="1" t="s">
        <v>4735</v>
      </c>
      <c r="N5006" s="1"/>
      <c r="O5006" s="1" t="s">
        <v>30</v>
      </c>
      <c r="P5006" s="1" t="s">
        <v>31</v>
      </c>
      <c r="Q5006" s="1" t="s">
        <v>71</v>
      </c>
      <c r="R5006" s="1" t="s">
        <v>71</v>
      </c>
      <c r="S5006" s="1" t="s">
        <v>72</v>
      </c>
      <c r="T5006" s="1" t="s">
        <v>136</v>
      </c>
      <c r="U5006" s="1">
        <v>1.00609615E8</v>
      </c>
      <c r="X5006" s="1" t="s">
        <v>74</v>
      </c>
      <c r="Y5006" s="1" t="s">
        <v>2593</v>
      </c>
      <c r="Z5006" s="1" t="s">
        <v>206</v>
      </c>
    </row>
    <row r="5007" hidden="1">
      <c r="A5007" s="1" t="s">
        <v>13970</v>
      </c>
      <c r="B5007" s="1" t="s">
        <v>13968</v>
      </c>
      <c r="C5007" s="1" t="s">
        <v>13971</v>
      </c>
      <c r="D5007" s="1" t="s">
        <v>27</v>
      </c>
      <c r="E5007" s="1" t="s">
        <v>28</v>
      </c>
      <c r="F5007" s="2">
        <v>78600.0</v>
      </c>
      <c r="G5007" s="1" t="s">
        <v>935</v>
      </c>
      <c r="H5007" s="4">
        <f>IFERROR(__xludf.DUMMYFUNCTION("DATE(INDEX(SPLIT(G5007,""/""),,3),INDEX(SPLIT(G5007,""/""),,2),INDEX(SPLIT(G5007,""/""),,1))"),44764.0)</f>
        <v>44764</v>
      </c>
      <c r="I5007" s="1" t="s">
        <v>317</v>
      </c>
      <c r="J5007" s="4">
        <f>IFERROR(__xludf.DUMMYFUNCTION("DATE(INDEX(SPLIT(I5007,""/""),,3),INDEX(SPLIT(I5007,""/""),,2),INDEX(SPLIT(I5007,""/""),,1))"),44862.0)</f>
        <v>44862</v>
      </c>
      <c r="L5007" s="1">
        <v>0.0</v>
      </c>
      <c r="M5007" s="1" t="s">
        <v>4735</v>
      </c>
      <c r="N5007" s="1"/>
      <c r="O5007" s="1" t="s">
        <v>30</v>
      </c>
      <c r="P5007" s="1" t="s">
        <v>31</v>
      </c>
      <c r="Q5007" s="1" t="s">
        <v>71</v>
      </c>
      <c r="R5007" s="1" t="s">
        <v>71</v>
      </c>
      <c r="S5007" s="1" t="s">
        <v>72</v>
      </c>
      <c r="T5007" s="1" t="s">
        <v>136</v>
      </c>
      <c r="U5007" s="1">
        <v>1.00609615E8</v>
      </c>
      <c r="X5007" s="1" t="s">
        <v>74</v>
      </c>
      <c r="Y5007" s="1" t="s">
        <v>2593</v>
      </c>
      <c r="Z5007" s="1" t="s">
        <v>206</v>
      </c>
    </row>
    <row r="5008">
      <c r="A5008" s="1" t="s">
        <v>13972</v>
      </c>
      <c r="B5008" s="1" t="s">
        <v>3288</v>
      </c>
      <c r="C5008" s="1" t="s">
        <v>13973</v>
      </c>
      <c r="D5008" s="1" t="s">
        <v>78</v>
      </c>
      <c r="E5008" s="1" t="s">
        <v>28</v>
      </c>
      <c r="F5008" s="2">
        <v>77500.0</v>
      </c>
      <c r="G5008" s="1" t="s">
        <v>13924</v>
      </c>
      <c r="H5008" s="4">
        <f>IFERROR(__xludf.DUMMYFUNCTION("DATE(INDEX(SPLIT(G5008,""/""),,3),INDEX(SPLIT(G5008,""/""),,2),INDEX(SPLIT(G5008,""/""),,1))"),43858.0)</f>
        <v>43858</v>
      </c>
      <c r="I5008" s="1" t="s">
        <v>226</v>
      </c>
      <c r="J5008" s="4">
        <f>IFERROR(__xludf.DUMMYFUNCTION("DATE(INDEX(SPLIT(I5008,""/""),,3),INDEX(SPLIT(I5008,""/""),,2),INDEX(SPLIT(I5008,""/""),,1))"),44771.0)</f>
        <v>44771</v>
      </c>
      <c r="L5008" s="1">
        <v>0.0</v>
      </c>
      <c r="M5008" s="1" t="s">
        <v>2696</v>
      </c>
      <c r="N5008" s="1"/>
      <c r="O5008" s="1" t="s">
        <v>30</v>
      </c>
      <c r="P5008" s="1" t="s">
        <v>31</v>
      </c>
      <c r="Q5008" s="1" t="s">
        <v>157</v>
      </c>
      <c r="R5008" s="1" t="s">
        <v>157</v>
      </c>
      <c r="S5008" s="1" t="s">
        <v>158</v>
      </c>
      <c r="T5008" s="1" t="s">
        <v>8712</v>
      </c>
      <c r="U5008" s="1">
        <v>1.00611351E8</v>
      </c>
      <c r="X5008" s="1" t="s">
        <v>375</v>
      </c>
      <c r="Y5008" s="1" t="s">
        <v>3016</v>
      </c>
      <c r="Z5008" s="1" t="s">
        <v>37</v>
      </c>
    </row>
    <row r="5009" hidden="1">
      <c r="A5009" s="1" t="s">
        <v>13974</v>
      </c>
      <c r="B5009" s="1" t="s">
        <v>13975</v>
      </c>
      <c r="C5009" s="1" t="s">
        <v>13976</v>
      </c>
      <c r="D5009" s="1" t="s">
        <v>27</v>
      </c>
      <c r="E5009" s="1" t="s">
        <v>28</v>
      </c>
      <c r="F5009" s="2">
        <v>77000.0</v>
      </c>
      <c r="G5009" s="1" t="s">
        <v>3215</v>
      </c>
      <c r="H5009" s="4">
        <f>IFERROR(__xludf.DUMMYFUNCTION("DATE(INDEX(SPLIT(G5009,""/""),,3),INDEX(SPLIT(G5009,""/""),,2),INDEX(SPLIT(G5009,""/""),,1))"),43769.0)</f>
        <v>43769</v>
      </c>
      <c r="I5009" s="4">
        <v>44573.0</v>
      </c>
      <c r="J5009" s="4">
        <f>IFERROR(__xludf.DUMMYFUNCTION("DATE(INDEX(SPLIT(I5009,""/""),,3),INDEX(SPLIT(I5009,""/""),,2),INDEX(SPLIT(I5009,""/""),,1))"),44896.0)</f>
        <v>44896</v>
      </c>
      <c r="L5009" s="1">
        <v>0.0</v>
      </c>
      <c r="M5009" s="1" t="s">
        <v>2696</v>
      </c>
      <c r="N5009" s="1"/>
      <c r="O5009" s="1" t="s">
        <v>30</v>
      </c>
      <c r="P5009" s="1" t="s">
        <v>31</v>
      </c>
      <c r="Q5009" s="1" t="s">
        <v>157</v>
      </c>
      <c r="R5009" s="1" t="s">
        <v>157</v>
      </c>
      <c r="S5009" s="1" t="s">
        <v>158</v>
      </c>
      <c r="T5009" s="1" t="s">
        <v>8712</v>
      </c>
      <c r="U5009" s="1">
        <v>1.00611351E8</v>
      </c>
      <c r="Y5009" s="1" t="s">
        <v>3016</v>
      </c>
      <c r="Z5009" s="1" t="s">
        <v>37</v>
      </c>
    </row>
    <row r="5010">
      <c r="A5010" s="1" t="s">
        <v>13977</v>
      </c>
      <c r="B5010" s="1" t="s">
        <v>13978</v>
      </c>
      <c r="C5010" s="1" t="s">
        <v>13979</v>
      </c>
      <c r="D5010" s="1" t="s">
        <v>68</v>
      </c>
      <c r="E5010" s="1" t="s">
        <v>28</v>
      </c>
      <c r="F5010" s="2">
        <v>76000.0</v>
      </c>
      <c r="G5010" s="1" t="s">
        <v>1058</v>
      </c>
      <c r="H5010" s="4">
        <f>IFERROR(__xludf.DUMMYFUNCTION("DATE(INDEX(SPLIT(G5010,""/""),,3),INDEX(SPLIT(G5010,""/""),,2),INDEX(SPLIT(G5010,""/""),,1))"),44733.0)</f>
        <v>44733</v>
      </c>
      <c r="I5010" s="1" t="s">
        <v>518</v>
      </c>
      <c r="J5010" s="4">
        <f>IFERROR(__xludf.DUMMYFUNCTION("DATE(INDEX(SPLIT(I5010,""/""),,3),INDEX(SPLIT(I5010,""/""),,2),INDEX(SPLIT(I5010,""/""),,1))"),44757.0)</f>
        <v>44757</v>
      </c>
      <c r="L5010" s="1">
        <v>0.0</v>
      </c>
      <c r="M5010" s="1" t="s">
        <v>3948</v>
      </c>
      <c r="N5010" s="1"/>
      <c r="O5010" s="1" t="s">
        <v>30</v>
      </c>
      <c r="P5010" s="1" t="s">
        <v>31</v>
      </c>
      <c r="Q5010" s="1" t="s">
        <v>228</v>
      </c>
      <c r="R5010" s="1" t="s">
        <v>228</v>
      </c>
      <c r="S5010" s="1" t="s">
        <v>229</v>
      </c>
      <c r="T5010" s="1" t="s">
        <v>513</v>
      </c>
      <c r="U5010" s="1">
        <v>1.0066189E8</v>
      </c>
      <c r="X5010" s="1" t="s">
        <v>63</v>
      </c>
      <c r="Y5010" s="1" t="s">
        <v>5704</v>
      </c>
      <c r="Z5010" s="1" t="s">
        <v>37</v>
      </c>
    </row>
    <row r="5011" hidden="1">
      <c r="A5011" s="1" t="s">
        <v>13980</v>
      </c>
      <c r="B5011" s="1" t="s">
        <v>12576</v>
      </c>
      <c r="C5011" s="1" t="s">
        <v>13981</v>
      </c>
      <c r="D5011" s="1" t="s">
        <v>122</v>
      </c>
      <c r="E5011" s="1" t="s">
        <v>28</v>
      </c>
      <c r="F5011" s="2">
        <v>75000.0</v>
      </c>
      <c r="G5011" s="4">
        <v>44229.0</v>
      </c>
      <c r="H5011" s="4">
        <f>IFERROR(__xludf.DUMMYFUNCTION("DATE(INDEX(SPLIT(G5011,""/""),,3),INDEX(SPLIT(G5011,""/""),,2),INDEX(SPLIT(G5011,""/""),,1))"),44229.0)</f>
        <v>44229</v>
      </c>
      <c r="I5011" s="1" t="s">
        <v>42</v>
      </c>
      <c r="J5011" s="4">
        <f>IFERROR(__xludf.DUMMYFUNCTION("DATE(INDEX(SPLIT(I5011,""/""),,3),INDEX(SPLIT(I5011,""/""),,2),INDEX(SPLIT(I5011,""/""),,1))"),44926.0)</f>
        <v>44926</v>
      </c>
      <c r="L5011" s="1">
        <v>0.0</v>
      </c>
      <c r="M5011" s="1" t="s">
        <v>4477</v>
      </c>
      <c r="N5011" s="1"/>
      <c r="O5011" s="1" t="s">
        <v>30</v>
      </c>
      <c r="P5011" s="1" t="s">
        <v>31</v>
      </c>
      <c r="Q5011" s="1" t="s">
        <v>228</v>
      </c>
      <c r="R5011" s="1" t="s">
        <v>228</v>
      </c>
      <c r="S5011" s="1" t="s">
        <v>229</v>
      </c>
      <c r="T5011" s="1" t="s">
        <v>513</v>
      </c>
      <c r="U5011" s="1">
        <v>1.00592715E8</v>
      </c>
      <c r="X5011" s="1" t="s">
        <v>98</v>
      </c>
      <c r="Y5011" s="1" t="s">
        <v>13982</v>
      </c>
      <c r="Z5011" s="1" t="s">
        <v>37</v>
      </c>
    </row>
    <row r="5012" hidden="1">
      <c r="A5012" s="1" t="s">
        <v>13983</v>
      </c>
      <c r="B5012" s="1" t="s">
        <v>12961</v>
      </c>
      <c r="C5012" s="1" t="s">
        <v>13984</v>
      </c>
      <c r="D5012" s="1" t="s">
        <v>78</v>
      </c>
      <c r="E5012" s="1" t="s">
        <v>28</v>
      </c>
      <c r="F5012" s="2">
        <v>75000.0</v>
      </c>
      <c r="G5012" s="4">
        <v>44899.0</v>
      </c>
      <c r="H5012" s="4">
        <f>IFERROR(__xludf.DUMMYFUNCTION("DATE(INDEX(SPLIT(G5012,""/""),,3),INDEX(SPLIT(G5012,""/""),,2),INDEX(SPLIT(G5012,""/""),,1))"),44663.0)</f>
        <v>44663</v>
      </c>
      <c r="I5012" s="1" t="s">
        <v>109</v>
      </c>
      <c r="J5012" s="4">
        <f>IFERROR(__xludf.DUMMYFUNCTION("DATE(INDEX(SPLIT(I5012,""/""),,3),INDEX(SPLIT(I5012,""/""),,2),INDEX(SPLIT(I5012,""/""),,1))"),44834.0)</f>
        <v>44834</v>
      </c>
      <c r="L5012" s="1">
        <v>0.0</v>
      </c>
      <c r="M5012" s="1" t="s">
        <v>4477</v>
      </c>
      <c r="N5012" s="1"/>
      <c r="O5012" s="1" t="s">
        <v>30</v>
      </c>
      <c r="P5012" s="1" t="s">
        <v>31</v>
      </c>
      <c r="Q5012" s="1" t="s">
        <v>228</v>
      </c>
      <c r="R5012" s="1" t="s">
        <v>228</v>
      </c>
      <c r="S5012" s="1" t="s">
        <v>229</v>
      </c>
      <c r="T5012" s="1" t="s">
        <v>513</v>
      </c>
      <c r="U5012" s="1">
        <v>1.00592715E8</v>
      </c>
      <c r="X5012" s="1" t="s">
        <v>375</v>
      </c>
      <c r="Y5012" s="1" t="s">
        <v>13595</v>
      </c>
      <c r="Z5012" s="1" t="s">
        <v>37</v>
      </c>
    </row>
    <row r="5013" hidden="1">
      <c r="A5013" s="1" t="s">
        <v>13985</v>
      </c>
      <c r="B5013" s="1" t="s">
        <v>4941</v>
      </c>
      <c r="C5013" s="1" t="s">
        <v>13986</v>
      </c>
      <c r="D5013" s="1" t="s">
        <v>122</v>
      </c>
      <c r="E5013" s="1" t="s">
        <v>28</v>
      </c>
      <c r="F5013" s="2">
        <v>75000.0</v>
      </c>
      <c r="G5013" s="1" t="s">
        <v>4047</v>
      </c>
      <c r="H5013" s="4">
        <f>IFERROR(__xludf.DUMMYFUNCTION("DATE(INDEX(SPLIT(G5013,""/""),,3),INDEX(SPLIT(G5013,""/""),,2),INDEX(SPLIT(G5013,""/""),,1))"),44580.0)</f>
        <v>44580</v>
      </c>
      <c r="I5013" s="1" t="s">
        <v>42</v>
      </c>
      <c r="J5013" s="4">
        <f>IFERROR(__xludf.DUMMYFUNCTION("DATE(INDEX(SPLIT(I5013,""/""),,3),INDEX(SPLIT(I5013,""/""),,2),INDEX(SPLIT(I5013,""/""),,1))"),44926.0)</f>
        <v>44926</v>
      </c>
      <c r="L5013" s="1">
        <v>0.0</v>
      </c>
      <c r="M5013" s="1" t="s">
        <v>5017</v>
      </c>
      <c r="N5013" s="1"/>
      <c r="O5013" s="1" t="s">
        <v>30</v>
      </c>
      <c r="P5013" s="1" t="s">
        <v>31</v>
      </c>
      <c r="Q5013" s="1" t="s">
        <v>228</v>
      </c>
      <c r="R5013" s="1" t="s">
        <v>228</v>
      </c>
      <c r="S5013" s="1" t="s">
        <v>229</v>
      </c>
      <c r="T5013" s="1" t="s">
        <v>513</v>
      </c>
      <c r="U5013" s="1">
        <v>1.00620023E8</v>
      </c>
      <c r="X5013" s="1" t="s">
        <v>117</v>
      </c>
      <c r="Y5013" s="1" t="s">
        <v>11485</v>
      </c>
      <c r="Z5013" s="1" t="s">
        <v>37</v>
      </c>
    </row>
    <row r="5014">
      <c r="A5014" s="1" t="s">
        <v>13987</v>
      </c>
      <c r="B5014" s="1" t="s">
        <v>1790</v>
      </c>
      <c r="C5014" s="1" t="s">
        <v>13988</v>
      </c>
      <c r="D5014" s="1" t="s">
        <v>78</v>
      </c>
      <c r="E5014" s="1" t="s">
        <v>28</v>
      </c>
      <c r="F5014" s="2">
        <v>75000.0</v>
      </c>
      <c r="G5014" s="4">
        <v>44622.0</v>
      </c>
      <c r="H5014" s="4">
        <f>IFERROR(__xludf.DUMMYFUNCTION("DATE(INDEX(SPLIT(G5014,""/""),,3),INDEX(SPLIT(G5014,""/""),,2),INDEX(SPLIT(G5014,""/""),,1))"),44595.0)</f>
        <v>44595</v>
      </c>
      <c r="I5014" s="1" t="s">
        <v>414</v>
      </c>
      <c r="J5014" s="4">
        <f>IFERROR(__xludf.DUMMYFUNCTION("DATE(INDEX(SPLIT(I5014,""/""),,3),INDEX(SPLIT(I5014,""/""),,2),INDEX(SPLIT(I5014,""/""),,1))"),44772.0)</f>
        <v>44772</v>
      </c>
      <c r="L5014" s="1">
        <v>0.0</v>
      </c>
      <c r="M5014" s="1" t="s">
        <v>2600</v>
      </c>
      <c r="N5014" s="1"/>
      <c r="O5014" s="1" t="s">
        <v>30</v>
      </c>
      <c r="P5014" s="1" t="s">
        <v>31</v>
      </c>
      <c r="Q5014" s="1" t="s">
        <v>32</v>
      </c>
      <c r="R5014" s="1" t="s">
        <v>32</v>
      </c>
      <c r="S5014" s="1" t="s">
        <v>33</v>
      </c>
      <c r="U5014" s="1">
        <v>1.00642238E8</v>
      </c>
      <c r="X5014" s="1" t="s">
        <v>88</v>
      </c>
      <c r="Y5014" s="1" t="s">
        <v>7547</v>
      </c>
      <c r="Z5014" s="1" t="s">
        <v>37</v>
      </c>
    </row>
    <row r="5015" hidden="1">
      <c r="A5015" s="1" t="s">
        <v>13989</v>
      </c>
      <c r="B5015" s="1" t="s">
        <v>1144</v>
      </c>
      <c r="C5015" s="1" t="s">
        <v>13990</v>
      </c>
      <c r="D5015" s="1" t="s">
        <v>27</v>
      </c>
      <c r="E5015" s="1" t="s">
        <v>28</v>
      </c>
      <c r="F5015" s="2">
        <v>75000.0</v>
      </c>
      <c r="G5015" s="1" t="s">
        <v>7169</v>
      </c>
      <c r="H5015" s="4">
        <f>IFERROR(__xludf.DUMMYFUNCTION("DATE(INDEX(SPLIT(G5015,""/""),,3),INDEX(SPLIT(G5015,""/""),,2),INDEX(SPLIT(G5015,""/""),,1))"),43998.0)</f>
        <v>43998</v>
      </c>
      <c r="I5015" s="4">
        <v>44782.0</v>
      </c>
      <c r="J5015" s="4">
        <f>IFERROR(__xludf.DUMMYFUNCTION("DATE(INDEX(SPLIT(I5015,""/""),,3),INDEX(SPLIT(I5015,""/""),,2),INDEX(SPLIT(I5015,""/""),,1))"),44812.0)</f>
        <v>44812</v>
      </c>
      <c r="L5015" s="1">
        <v>0.0</v>
      </c>
      <c r="M5015" s="1" t="s">
        <v>2237</v>
      </c>
      <c r="N5015" s="1"/>
      <c r="O5015" s="1" t="s">
        <v>30</v>
      </c>
      <c r="P5015" s="1" t="s">
        <v>31</v>
      </c>
      <c r="Q5015" s="1" t="s">
        <v>32</v>
      </c>
      <c r="R5015" s="1" t="s">
        <v>32</v>
      </c>
      <c r="S5015" s="1" t="s">
        <v>33</v>
      </c>
      <c r="T5015" s="1" t="s">
        <v>5252</v>
      </c>
      <c r="U5015" s="1">
        <v>1.00611284E8</v>
      </c>
      <c r="X5015" s="1" t="s">
        <v>63</v>
      </c>
      <c r="Y5015" s="1" t="s">
        <v>13991</v>
      </c>
      <c r="Z5015" s="1" t="s">
        <v>37</v>
      </c>
    </row>
    <row r="5016">
      <c r="A5016" s="1" t="s">
        <v>13992</v>
      </c>
      <c r="B5016" s="1" t="s">
        <v>13993</v>
      </c>
      <c r="C5016" s="1" t="s">
        <v>13994</v>
      </c>
      <c r="D5016" s="1" t="s">
        <v>122</v>
      </c>
      <c r="E5016" s="1" t="s">
        <v>28</v>
      </c>
      <c r="F5016" s="2">
        <v>75000.0</v>
      </c>
      <c r="G5016" s="4">
        <v>44568.0</v>
      </c>
      <c r="H5016" s="4">
        <f>IFERROR(__xludf.DUMMYFUNCTION("DATE(INDEX(SPLIT(G5016,""/""),,3),INDEX(SPLIT(G5016,""/""),,2),INDEX(SPLIT(G5016,""/""),,1))"),44743.0)</f>
        <v>44743</v>
      </c>
      <c r="I5016" s="1" t="s">
        <v>518</v>
      </c>
      <c r="J5016" s="4">
        <f>IFERROR(__xludf.DUMMYFUNCTION("DATE(INDEX(SPLIT(I5016,""/""),,3),INDEX(SPLIT(I5016,""/""),,2),INDEX(SPLIT(I5016,""/""),,1))"),44757.0)</f>
        <v>44757</v>
      </c>
      <c r="L5016" s="1">
        <v>0.0</v>
      </c>
      <c r="M5016" s="1" t="s">
        <v>2752</v>
      </c>
      <c r="N5016" s="1"/>
      <c r="O5016" s="1" t="s">
        <v>30</v>
      </c>
      <c r="P5016" s="1" t="s">
        <v>31</v>
      </c>
      <c r="Q5016" s="1" t="s">
        <v>235</v>
      </c>
      <c r="R5016" s="1" t="s">
        <v>235</v>
      </c>
      <c r="S5016" s="1" t="s">
        <v>236</v>
      </c>
      <c r="U5016" s="1">
        <v>1.0062606E8</v>
      </c>
      <c r="X5016" s="1" t="s">
        <v>375</v>
      </c>
      <c r="Y5016" s="1" t="s">
        <v>13995</v>
      </c>
      <c r="Z5016" s="1" t="s">
        <v>37</v>
      </c>
    </row>
    <row r="5017">
      <c r="A5017" s="1" t="s">
        <v>13996</v>
      </c>
      <c r="B5017" s="1" t="s">
        <v>784</v>
      </c>
      <c r="C5017" s="1" t="s">
        <v>13997</v>
      </c>
      <c r="D5017" s="1" t="s">
        <v>27</v>
      </c>
      <c r="E5017" s="1" t="s">
        <v>28</v>
      </c>
      <c r="F5017" s="2">
        <v>75000.0</v>
      </c>
      <c r="G5017" s="1" t="s">
        <v>2329</v>
      </c>
      <c r="H5017" s="4">
        <f>IFERROR(__xludf.DUMMYFUNCTION("DATE(INDEX(SPLIT(G5017,""/""),,3),INDEX(SPLIT(G5017,""/""),,2),INDEX(SPLIT(G5017,""/""),,1))"),44732.0)</f>
        <v>44732</v>
      </c>
      <c r="I5017" s="1" t="s">
        <v>226</v>
      </c>
      <c r="J5017" s="4">
        <f>IFERROR(__xludf.DUMMYFUNCTION("DATE(INDEX(SPLIT(I5017,""/""),,3),INDEX(SPLIT(I5017,""/""),,2),INDEX(SPLIT(I5017,""/""),,1))"),44771.0)</f>
        <v>44771</v>
      </c>
      <c r="L5017" s="1">
        <v>0.0</v>
      </c>
      <c r="M5017" s="1" t="s">
        <v>4129</v>
      </c>
      <c r="N5017" s="1"/>
      <c r="O5017" s="1" t="s">
        <v>30</v>
      </c>
      <c r="P5017" s="1" t="s">
        <v>31</v>
      </c>
      <c r="Q5017" s="1" t="s">
        <v>228</v>
      </c>
      <c r="R5017" s="1" t="s">
        <v>228</v>
      </c>
      <c r="S5017" s="1" t="s">
        <v>229</v>
      </c>
      <c r="U5017" s="1">
        <v>1.00599268E8</v>
      </c>
      <c r="X5017" s="1" t="s">
        <v>63</v>
      </c>
      <c r="Y5017" s="1" t="s">
        <v>4129</v>
      </c>
      <c r="Z5017" s="1" t="s">
        <v>37</v>
      </c>
    </row>
    <row r="5018">
      <c r="A5018" s="1" t="s">
        <v>13998</v>
      </c>
      <c r="B5018" s="1" t="s">
        <v>13999</v>
      </c>
      <c r="C5018" s="1" t="s">
        <v>14000</v>
      </c>
      <c r="D5018" s="1" t="s">
        <v>78</v>
      </c>
      <c r="E5018" s="1" t="s">
        <v>28</v>
      </c>
      <c r="F5018" s="2">
        <v>75000.0</v>
      </c>
      <c r="G5018" s="1" t="s">
        <v>1058</v>
      </c>
      <c r="H5018" s="4">
        <f>IFERROR(__xludf.DUMMYFUNCTION("DATE(INDEX(SPLIT(G5018,""/""),,3),INDEX(SPLIT(G5018,""/""),,2),INDEX(SPLIT(G5018,""/""),,1))"),44733.0)</f>
        <v>44733</v>
      </c>
      <c r="I5018" s="1" t="s">
        <v>935</v>
      </c>
      <c r="J5018" s="4">
        <f>IFERROR(__xludf.DUMMYFUNCTION("DATE(INDEX(SPLIT(I5018,""/""),,3),INDEX(SPLIT(I5018,""/""),,2),INDEX(SPLIT(I5018,""/""),,1))"),44764.0)</f>
        <v>44764</v>
      </c>
      <c r="L5018" s="1">
        <v>0.0</v>
      </c>
      <c r="M5018" s="1" t="s">
        <v>2472</v>
      </c>
      <c r="N5018" s="1"/>
      <c r="O5018" s="1" t="s">
        <v>30</v>
      </c>
      <c r="P5018" s="1" t="s">
        <v>31</v>
      </c>
      <c r="Q5018" s="1" t="s">
        <v>228</v>
      </c>
      <c r="R5018" s="1" t="s">
        <v>228</v>
      </c>
      <c r="S5018" s="1" t="s">
        <v>229</v>
      </c>
      <c r="U5018" s="1">
        <v>1.00645232E8</v>
      </c>
      <c r="X5018" s="1" t="s">
        <v>375</v>
      </c>
      <c r="Y5018" s="1" t="s">
        <v>4129</v>
      </c>
      <c r="Z5018" s="1" t="s">
        <v>37</v>
      </c>
    </row>
    <row r="5019">
      <c r="A5019" s="1" t="s">
        <v>14001</v>
      </c>
      <c r="B5019" s="1" t="s">
        <v>76</v>
      </c>
      <c r="C5019" s="1" t="s">
        <v>14002</v>
      </c>
      <c r="D5019" s="1" t="s">
        <v>27</v>
      </c>
      <c r="E5019" s="1" t="s">
        <v>28</v>
      </c>
      <c r="F5019" s="2">
        <v>75000.0</v>
      </c>
      <c r="G5019" s="1" t="s">
        <v>1806</v>
      </c>
      <c r="H5019" s="4">
        <f>IFERROR(__xludf.DUMMYFUNCTION("DATE(INDEX(SPLIT(G5019,""/""),,3),INDEX(SPLIT(G5019,""/""),,2),INDEX(SPLIT(G5019,""/""),,1))"),44694.0)</f>
        <v>44694</v>
      </c>
      <c r="I5019" s="1" t="s">
        <v>226</v>
      </c>
      <c r="J5019" s="4">
        <f>IFERROR(__xludf.DUMMYFUNCTION("DATE(INDEX(SPLIT(I5019,""/""),,3),INDEX(SPLIT(I5019,""/""),,2),INDEX(SPLIT(I5019,""/""),,1))"),44771.0)</f>
        <v>44771</v>
      </c>
      <c r="L5019" s="1">
        <v>0.0</v>
      </c>
      <c r="M5019" s="1" t="s">
        <v>960</v>
      </c>
      <c r="N5019" s="1"/>
      <c r="O5019" s="1" t="s">
        <v>30</v>
      </c>
      <c r="P5019" s="1" t="s">
        <v>31</v>
      </c>
      <c r="Q5019" s="1" t="s">
        <v>188</v>
      </c>
      <c r="R5019" s="1" t="s">
        <v>188</v>
      </c>
      <c r="S5019" s="1" t="s">
        <v>189</v>
      </c>
      <c r="U5019" s="1">
        <v>1.00595407E8</v>
      </c>
      <c r="X5019" s="1" t="s">
        <v>81</v>
      </c>
      <c r="Y5019" s="1" t="s">
        <v>142</v>
      </c>
      <c r="Z5019" s="1" t="s">
        <v>37</v>
      </c>
    </row>
    <row r="5020" hidden="1">
      <c r="A5020" s="1" t="s">
        <v>14003</v>
      </c>
      <c r="B5020" s="1" t="s">
        <v>4458</v>
      </c>
      <c r="C5020" s="1" t="s">
        <v>14004</v>
      </c>
      <c r="D5020" s="1" t="s">
        <v>78</v>
      </c>
      <c r="E5020" s="1" t="s">
        <v>28</v>
      </c>
      <c r="F5020" s="2">
        <v>75000.0</v>
      </c>
      <c r="G5020" s="1" t="s">
        <v>1806</v>
      </c>
      <c r="H5020" s="4">
        <f>IFERROR(__xludf.DUMMYFUNCTION("DATE(INDEX(SPLIT(G5020,""/""),,3),INDEX(SPLIT(G5020,""/""),,2),INDEX(SPLIT(G5020,""/""),,1))"),44694.0)</f>
        <v>44694</v>
      </c>
      <c r="I5020" s="4">
        <v>44690.0</v>
      </c>
      <c r="J5020" s="4">
        <f>IFERROR(__xludf.DUMMYFUNCTION("DATE(INDEX(SPLIT(I5020,""/""),,3),INDEX(SPLIT(I5020,""/""),,2),INDEX(SPLIT(I5020,""/""),,1))"),44809.0)</f>
        <v>44809</v>
      </c>
      <c r="L5020" s="1">
        <v>0.0</v>
      </c>
      <c r="M5020" s="1" t="s">
        <v>1548</v>
      </c>
      <c r="N5020" s="1"/>
      <c r="O5020" s="1" t="s">
        <v>30</v>
      </c>
      <c r="P5020" s="1" t="s">
        <v>31</v>
      </c>
      <c r="Q5020" s="1" t="s">
        <v>32</v>
      </c>
      <c r="R5020" s="1" t="s">
        <v>32</v>
      </c>
      <c r="S5020" s="1" t="s">
        <v>33</v>
      </c>
      <c r="U5020" s="1">
        <v>1.01215106E8</v>
      </c>
      <c r="X5020" s="1" t="s">
        <v>63</v>
      </c>
      <c r="Y5020" s="1" t="s">
        <v>1548</v>
      </c>
      <c r="Z5020" s="1" t="s">
        <v>37</v>
      </c>
    </row>
    <row r="5021" hidden="1">
      <c r="A5021" s="1" t="s">
        <v>14005</v>
      </c>
      <c r="B5021" s="1" t="s">
        <v>14006</v>
      </c>
      <c r="C5021" s="1" t="s">
        <v>14007</v>
      </c>
      <c r="D5021" s="1" t="s">
        <v>27</v>
      </c>
      <c r="E5021" s="1" t="s">
        <v>28</v>
      </c>
      <c r="F5021" s="2">
        <v>75000.0</v>
      </c>
      <c r="G5021" s="1" t="s">
        <v>1767</v>
      </c>
      <c r="H5021" s="4">
        <f>IFERROR(__xludf.DUMMYFUNCTION("DATE(INDEX(SPLIT(G5021,""/""),,3),INDEX(SPLIT(G5021,""/""),,2),INDEX(SPLIT(G5021,""/""),,1))"),44698.0)</f>
        <v>44698</v>
      </c>
      <c r="I5021" s="1" t="s">
        <v>281</v>
      </c>
      <c r="J5021" s="4">
        <f>IFERROR(__xludf.DUMMYFUNCTION("DATE(INDEX(SPLIT(I5021,""/""),,3),INDEX(SPLIT(I5021,""/""),,2),INDEX(SPLIT(I5021,""/""),,1))"),44865.0)</f>
        <v>44865</v>
      </c>
      <c r="L5021" s="1">
        <v>0.0</v>
      </c>
      <c r="M5021" s="1" t="s">
        <v>8719</v>
      </c>
      <c r="N5021" s="1"/>
      <c r="O5021" s="1" t="s">
        <v>30</v>
      </c>
      <c r="P5021" s="1" t="s">
        <v>31</v>
      </c>
      <c r="Q5021" s="1" t="s">
        <v>95</v>
      </c>
      <c r="R5021" s="1" t="s">
        <v>95</v>
      </c>
      <c r="S5021" s="1" t="s">
        <v>96</v>
      </c>
      <c r="T5021" s="1" t="s">
        <v>97</v>
      </c>
      <c r="U5021" s="1">
        <v>1.00620553E8</v>
      </c>
      <c r="X5021" s="1" t="s">
        <v>117</v>
      </c>
      <c r="Y5021" s="1" t="s">
        <v>8719</v>
      </c>
      <c r="Z5021" s="1" t="s">
        <v>37</v>
      </c>
    </row>
    <row r="5022">
      <c r="A5022" s="1" t="s">
        <v>14008</v>
      </c>
      <c r="B5022" s="1" t="s">
        <v>7868</v>
      </c>
      <c r="C5022" s="1" t="s">
        <v>14009</v>
      </c>
      <c r="D5022" s="1" t="s">
        <v>27</v>
      </c>
      <c r="E5022" s="1" t="s">
        <v>28</v>
      </c>
      <c r="F5022" s="2">
        <v>75000.0</v>
      </c>
      <c r="G5022" s="1" t="s">
        <v>7870</v>
      </c>
      <c r="H5022" s="4">
        <f>IFERROR(__xludf.DUMMYFUNCTION("DATE(INDEX(SPLIT(G5022,""/""),,3),INDEX(SPLIT(G5022,""/""),,2),INDEX(SPLIT(G5022,""/""),,1))"),44499.0)</f>
        <v>44499</v>
      </c>
      <c r="I5022" s="1" t="s">
        <v>414</v>
      </c>
      <c r="J5022" s="4">
        <f>IFERROR(__xludf.DUMMYFUNCTION("DATE(INDEX(SPLIT(I5022,""/""),,3),INDEX(SPLIT(I5022,""/""),,2),INDEX(SPLIT(I5022,""/""),,1))"),44772.0)</f>
        <v>44772</v>
      </c>
      <c r="L5022" s="1">
        <v>0.0</v>
      </c>
      <c r="M5022" s="1" t="s">
        <v>1398</v>
      </c>
      <c r="N5022" s="1"/>
      <c r="O5022" s="1" t="s">
        <v>30</v>
      </c>
      <c r="P5022" s="1" t="s">
        <v>31</v>
      </c>
      <c r="Q5022" s="1" t="s">
        <v>95</v>
      </c>
      <c r="R5022" s="1" t="s">
        <v>95</v>
      </c>
      <c r="S5022" s="1" t="s">
        <v>96</v>
      </c>
      <c r="T5022" s="1" t="s">
        <v>111</v>
      </c>
      <c r="U5022" s="1">
        <v>1.0061941E8</v>
      </c>
      <c r="X5022" s="1" t="s">
        <v>63</v>
      </c>
      <c r="Y5022" s="1" t="s">
        <v>7871</v>
      </c>
      <c r="Z5022" s="1" t="s">
        <v>37</v>
      </c>
    </row>
    <row r="5023">
      <c r="A5023" s="1" t="s">
        <v>14010</v>
      </c>
      <c r="B5023" s="1" t="s">
        <v>14011</v>
      </c>
      <c r="C5023" s="1" t="s">
        <v>14012</v>
      </c>
      <c r="D5023" s="1" t="s">
        <v>78</v>
      </c>
      <c r="E5023" s="1" t="s">
        <v>28</v>
      </c>
      <c r="F5023" s="2">
        <v>75000.0</v>
      </c>
      <c r="G5023" s="4">
        <v>44810.0</v>
      </c>
      <c r="H5023" s="4">
        <f>IFERROR(__xludf.DUMMYFUNCTION("DATE(INDEX(SPLIT(G5023,""/""),,3),INDEX(SPLIT(G5023,""/""),,2),INDEX(SPLIT(G5023,""/""),,1))"),44721.0)</f>
        <v>44721</v>
      </c>
      <c r="I5023" s="1" t="s">
        <v>226</v>
      </c>
      <c r="J5023" s="4">
        <f>IFERROR(__xludf.DUMMYFUNCTION("DATE(INDEX(SPLIT(I5023,""/""),,3),INDEX(SPLIT(I5023,""/""),,2),INDEX(SPLIT(I5023,""/""),,1))"),44771.0)</f>
        <v>44771</v>
      </c>
      <c r="L5023" s="1">
        <v>0.0</v>
      </c>
      <c r="M5023" s="1" t="s">
        <v>14013</v>
      </c>
      <c r="N5023" s="1"/>
      <c r="O5023" s="1" t="s">
        <v>30</v>
      </c>
      <c r="P5023" s="1" t="s">
        <v>31</v>
      </c>
      <c r="Q5023" s="1" t="s">
        <v>157</v>
      </c>
      <c r="R5023" s="1" t="s">
        <v>157</v>
      </c>
      <c r="S5023" s="1" t="s">
        <v>158</v>
      </c>
      <c r="U5023" s="1">
        <v>1.00620371E8</v>
      </c>
      <c r="Y5023" s="1" t="s">
        <v>14013</v>
      </c>
      <c r="Z5023" s="1" t="s">
        <v>527</v>
      </c>
    </row>
    <row r="5024" hidden="1">
      <c r="A5024" s="1" t="s">
        <v>14014</v>
      </c>
      <c r="B5024" s="1" t="s">
        <v>59</v>
      </c>
      <c r="C5024" s="1" t="s">
        <v>14015</v>
      </c>
      <c r="D5024" s="1" t="s">
        <v>27</v>
      </c>
      <c r="E5024" s="1" t="s">
        <v>28</v>
      </c>
      <c r="F5024" s="2">
        <v>75000.0</v>
      </c>
      <c r="G5024" s="1" t="s">
        <v>14016</v>
      </c>
      <c r="H5024" s="4">
        <f>IFERROR(__xludf.DUMMYFUNCTION("DATE(INDEX(SPLIT(G5024,""/""),,3),INDEX(SPLIT(G5024,""/""),,2),INDEX(SPLIT(G5024,""/""),,1))"),43571.0)</f>
        <v>43571</v>
      </c>
      <c r="I5024" s="4">
        <v>44751.0</v>
      </c>
      <c r="J5024" s="4">
        <f>IFERROR(__xludf.DUMMYFUNCTION("DATE(INDEX(SPLIT(I5024,""/""),,3),INDEX(SPLIT(I5024,""/""),,2),INDEX(SPLIT(I5024,""/""),,1))"),44811.0)</f>
        <v>44811</v>
      </c>
      <c r="L5024" s="1">
        <v>0.0</v>
      </c>
      <c r="M5024" s="1" t="s">
        <v>2237</v>
      </c>
      <c r="N5024" s="1"/>
      <c r="O5024" s="1" t="s">
        <v>30</v>
      </c>
      <c r="P5024" s="1" t="s">
        <v>31</v>
      </c>
      <c r="Q5024" s="1" t="s">
        <v>32</v>
      </c>
      <c r="R5024" s="1" t="s">
        <v>32</v>
      </c>
      <c r="S5024" s="1" t="s">
        <v>33</v>
      </c>
      <c r="T5024" s="1" t="s">
        <v>103</v>
      </c>
      <c r="U5024" s="1">
        <v>1.00611284E8</v>
      </c>
      <c r="X5024" s="1" t="s">
        <v>63</v>
      </c>
      <c r="Y5024" s="1" t="s">
        <v>4163</v>
      </c>
      <c r="Z5024" s="1" t="s">
        <v>37</v>
      </c>
    </row>
    <row r="5025" hidden="1">
      <c r="A5025" s="1" t="s">
        <v>14017</v>
      </c>
      <c r="B5025" s="1" t="s">
        <v>605</v>
      </c>
      <c r="C5025" s="1" t="s">
        <v>14018</v>
      </c>
      <c r="D5025" s="1" t="s">
        <v>27</v>
      </c>
      <c r="E5025" s="1" t="s">
        <v>28</v>
      </c>
      <c r="F5025" s="2">
        <v>75000.0</v>
      </c>
      <c r="G5025" s="1" t="s">
        <v>3883</v>
      </c>
      <c r="H5025" s="4">
        <f>IFERROR(__xludf.DUMMYFUNCTION("DATE(INDEX(SPLIT(G5025,""/""),,3),INDEX(SPLIT(G5025,""/""),,2),INDEX(SPLIT(G5025,""/""),,1))"),44666.0)</f>
        <v>44666</v>
      </c>
      <c r="I5025" s="1" t="s">
        <v>11347</v>
      </c>
      <c r="J5025" s="4">
        <f>IFERROR(__xludf.DUMMYFUNCTION("DATE(INDEX(SPLIT(I5025,""/""),,3),INDEX(SPLIT(I5025,""/""),,2),INDEX(SPLIT(I5025,""/""),,1))"),44860.0)</f>
        <v>44860</v>
      </c>
      <c r="L5025" s="1">
        <v>0.0</v>
      </c>
      <c r="M5025" s="1" t="s">
        <v>608</v>
      </c>
      <c r="N5025" s="1"/>
      <c r="O5025" s="1" t="s">
        <v>30</v>
      </c>
      <c r="P5025" s="1" t="s">
        <v>31</v>
      </c>
      <c r="Q5025" s="1" t="s">
        <v>235</v>
      </c>
      <c r="R5025" s="1" t="s">
        <v>235</v>
      </c>
      <c r="S5025" s="1" t="s">
        <v>236</v>
      </c>
      <c r="U5025" s="1">
        <v>1.00660495E8</v>
      </c>
      <c r="X5025" s="1" t="s">
        <v>609</v>
      </c>
      <c r="Y5025" s="1" t="s">
        <v>610</v>
      </c>
      <c r="Z5025" s="1" t="s">
        <v>37</v>
      </c>
    </row>
    <row r="5026">
      <c r="A5026" s="1" t="s">
        <v>14019</v>
      </c>
      <c r="B5026" s="1" t="s">
        <v>12961</v>
      </c>
      <c r="C5026" s="1" t="s">
        <v>14020</v>
      </c>
      <c r="D5026" s="1" t="s">
        <v>122</v>
      </c>
      <c r="E5026" s="1" t="s">
        <v>28</v>
      </c>
      <c r="F5026" s="2">
        <v>75000.0</v>
      </c>
      <c r="G5026" s="4">
        <v>44540.0</v>
      </c>
      <c r="H5026" s="4">
        <f>IFERROR(__xludf.DUMMYFUNCTION("DATE(INDEX(SPLIT(G5026,""/""),,3),INDEX(SPLIT(G5026,""/""),,2),INDEX(SPLIT(G5026,""/""),,1))"),44481.0)</f>
        <v>44481</v>
      </c>
      <c r="I5026" s="1" t="s">
        <v>2300</v>
      </c>
      <c r="J5026" s="4">
        <f>IFERROR(__xludf.DUMMYFUNCTION("DATE(INDEX(SPLIT(I5026,""/""),,3),INDEX(SPLIT(I5026,""/""),,2),INDEX(SPLIT(I5026,""/""),,1))"),44712.0)</f>
        <v>44712</v>
      </c>
      <c r="L5026" s="1">
        <v>0.0</v>
      </c>
      <c r="M5026" s="1" t="s">
        <v>4262</v>
      </c>
      <c r="N5026" s="1"/>
      <c r="O5026" s="1" t="s">
        <v>30</v>
      </c>
      <c r="P5026" s="1" t="s">
        <v>31</v>
      </c>
      <c r="Q5026" s="1" t="s">
        <v>228</v>
      </c>
      <c r="R5026" s="1" t="s">
        <v>228</v>
      </c>
      <c r="S5026" s="1" t="s">
        <v>229</v>
      </c>
      <c r="T5026" s="1" t="s">
        <v>513</v>
      </c>
      <c r="U5026" s="1">
        <v>1.00639544E8</v>
      </c>
      <c r="X5026" s="1" t="s">
        <v>375</v>
      </c>
      <c r="Y5026" s="1" t="s">
        <v>4262</v>
      </c>
      <c r="Z5026" s="1" t="s">
        <v>206</v>
      </c>
    </row>
    <row r="5027" hidden="1">
      <c r="A5027" s="1" t="s">
        <v>14021</v>
      </c>
      <c r="B5027" s="1" t="s">
        <v>13445</v>
      </c>
      <c r="C5027" s="1" t="s">
        <v>14022</v>
      </c>
      <c r="D5027" s="1" t="s">
        <v>78</v>
      </c>
      <c r="E5027" s="1" t="s">
        <v>28</v>
      </c>
      <c r="F5027" s="2">
        <v>75000.0</v>
      </c>
      <c r="G5027" s="1" t="s">
        <v>10216</v>
      </c>
      <c r="H5027" s="4">
        <f>IFERROR(__xludf.DUMMYFUNCTION("DATE(INDEX(SPLIT(G5027,""/""),,3),INDEX(SPLIT(G5027,""/""),,2),INDEX(SPLIT(G5027,""/""),,1))"),43861.0)</f>
        <v>43861</v>
      </c>
      <c r="I5027" s="1" t="s">
        <v>109</v>
      </c>
      <c r="J5027" s="4">
        <f>IFERROR(__xludf.DUMMYFUNCTION("DATE(INDEX(SPLIT(I5027,""/""),,3),INDEX(SPLIT(I5027,""/""),,2),INDEX(SPLIT(I5027,""/""),,1))"),44834.0)</f>
        <v>44834</v>
      </c>
      <c r="L5027" s="1">
        <v>0.0</v>
      </c>
      <c r="M5027" s="1" t="s">
        <v>4477</v>
      </c>
      <c r="N5027" s="1"/>
      <c r="O5027" s="1" t="s">
        <v>30</v>
      </c>
      <c r="P5027" s="1" t="s">
        <v>31</v>
      </c>
      <c r="Q5027" s="1" t="s">
        <v>228</v>
      </c>
      <c r="R5027" s="1" t="s">
        <v>228</v>
      </c>
      <c r="S5027" s="1" t="s">
        <v>229</v>
      </c>
      <c r="U5027" s="1">
        <v>1.00592715E8</v>
      </c>
      <c r="X5027" s="1" t="s">
        <v>98</v>
      </c>
      <c r="Y5027" s="1" t="s">
        <v>13595</v>
      </c>
      <c r="Z5027" s="1" t="s">
        <v>37</v>
      </c>
    </row>
    <row r="5028" hidden="1">
      <c r="A5028" s="1" t="s">
        <v>14023</v>
      </c>
      <c r="B5028" s="1" t="s">
        <v>14024</v>
      </c>
      <c r="C5028" s="1" t="s">
        <v>14025</v>
      </c>
      <c r="D5028" s="1" t="s">
        <v>68</v>
      </c>
      <c r="E5028" s="1" t="s">
        <v>28</v>
      </c>
      <c r="F5028" s="2">
        <v>75000.0</v>
      </c>
      <c r="G5028" s="1" t="s">
        <v>8519</v>
      </c>
      <c r="H5028" s="4">
        <f>IFERROR(__xludf.DUMMYFUNCTION("DATE(INDEX(SPLIT(G5028,""/""),,3),INDEX(SPLIT(G5028,""/""),,2),INDEX(SPLIT(G5028,""/""),,1))"),44392.0)</f>
        <v>44392</v>
      </c>
      <c r="I5028" s="4">
        <v>44689.0</v>
      </c>
      <c r="J5028" s="4">
        <f>IFERROR(__xludf.DUMMYFUNCTION("DATE(INDEX(SPLIT(I5028,""/""),,3),INDEX(SPLIT(I5028,""/""),,2),INDEX(SPLIT(I5028,""/""),,1))"),44778.0)</f>
        <v>44778</v>
      </c>
      <c r="K5028" s="1" t="s">
        <v>14026</v>
      </c>
      <c r="L5028" s="1">
        <v>0.0</v>
      </c>
      <c r="M5028" s="1" t="s">
        <v>1412</v>
      </c>
      <c r="N5028" s="1"/>
      <c r="O5028" s="1" t="s">
        <v>30</v>
      </c>
      <c r="P5028" s="1" t="s">
        <v>31</v>
      </c>
      <c r="Q5028" s="1" t="s">
        <v>53</v>
      </c>
      <c r="R5028" s="1" t="s">
        <v>53</v>
      </c>
      <c r="S5028" s="1" t="s">
        <v>54</v>
      </c>
      <c r="T5028" s="1" t="s">
        <v>197</v>
      </c>
      <c r="U5028" s="1">
        <v>1.00589587E8</v>
      </c>
      <c r="X5028" s="1" t="s">
        <v>63</v>
      </c>
      <c r="Y5028" s="1" t="s">
        <v>10337</v>
      </c>
      <c r="Z5028" s="1" t="s">
        <v>37</v>
      </c>
    </row>
    <row r="5029">
      <c r="A5029" s="1" t="s">
        <v>14027</v>
      </c>
      <c r="B5029" s="1" t="s">
        <v>5699</v>
      </c>
      <c r="C5029" s="1" t="s">
        <v>14028</v>
      </c>
      <c r="D5029" s="1" t="s">
        <v>78</v>
      </c>
      <c r="E5029" s="1" t="s">
        <v>28</v>
      </c>
      <c r="F5029" s="2">
        <v>75000.0</v>
      </c>
      <c r="G5029" s="4">
        <v>44748.0</v>
      </c>
      <c r="H5029" s="4">
        <f>IFERROR(__xludf.DUMMYFUNCTION("DATE(INDEX(SPLIT(G5029,""/""),,3),INDEX(SPLIT(G5029,""/""),,2),INDEX(SPLIT(G5029,""/""),,1))"),44719.0)</f>
        <v>44719</v>
      </c>
      <c r="I5029" s="4">
        <v>44748.0</v>
      </c>
      <c r="J5029" s="4">
        <f>IFERROR(__xludf.DUMMYFUNCTION("DATE(INDEX(SPLIT(I5029,""/""),,3),INDEX(SPLIT(I5029,""/""),,2),INDEX(SPLIT(I5029,""/""),,1))"),44719.0)</f>
        <v>44719</v>
      </c>
      <c r="L5029" s="1">
        <v>0.0</v>
      </c>
      <c r="M5029" s="1" t="s">
        <v>14029</v>
      </c>
      <c r="N5029" s="1"/>
      <c r="O5029" s="1" t="s">
        <v>30</v>
      </c>
      <c r="P5029" s="1" t="s">
        <v>31</v>
      </c>
      <c r="Q5029" s="1" t="s">
        <v>228</v>
      </c>
      <c r="R5029" s="1" t="s">
        <v>228</v>
      </c>
      <c r="S5029" s="1" t="s">
        <v>229</v>
      </c>
      <c r="U5029" s="1">
        <v>1.00634698E8</v>
      </c>
      <c r="X5029" s="1" t="s">
        <v>490</v>
      </c>
      <c r="Y5029" s="1" t="s">
        <v>14030</v>
      </c>
      <c r="Z5029" s="1" t="s">
        <v>37</v>
      </c>
    </row>
    <row r="5030">
      <c r="A5030" s="1" t="s">
        <v>14031</v>
      </c>
      <c r="B5030" s="1" t="s">
        <v>14032</v>
      </c>
      <c r="C5030" s="1" t="s">
        <v>14033</v>
      </c>
      <c r="D5030" s="1" t="s">
        <v>27</v>
      </c>
      <c r="E5030" s="1" t="s">
        <v>28</v>
      </c>
      <c r="F5030" s="2">
        <v>75000.0</v>
      </c>
      <c r="G5030" s="1" t="s">
        <v>1806</v>
      </c>
      <c r="H5030" s="4">
        <f>IFERROR(__xludf.DUMMYFUNCTION("DATE(INDEX(SPLIT(G5030,""/""),,3),INDEX(SPLIT(G5030,""/""),,2),INDEX(SPLIT(G5030,""/""),,1))"),44694.0)</f>
        <v>44694</v>
      </c>
      <c r="I5030" s="1" t="s">
        <v>69</v>
      </c>
      <c r="J5030" s="4">
        <f>IFERROR(__xludf.DUMMYFUNCTION("DATE(INDEX(SPLIT(I5030,""/""),,3),INDEX(SPLIT(I5030,""/""),,2),INDEX(SPLIT(I5030,""/""),,1))"),44773.0)</f>
        <v>44773</v>
      </c>
      <c r="L5030" s="1">
        <v>0.0</v>
      </c>
      <c r="M5030" s="1" t="s">
        <v>94</v>
      </c>
      <c r="N5030" s="1"/>
      <c r="O5030" s="1" t="s">
        <v>30</v>
      </c>
      <c r="P5030" s="1" t="s">
        <v>31</v>
      </c>
      <c r="Q5030" s="1" t="s">
        <v>95</v>
      </c>
      <c r="R5030" s="1" t="s">
        <v>95</v>
      </c>
      <c r="S5030" s="1" t="s">
        <v>96</v>
      </c>
      <c r="T5030" s="1" t="s">
        <v>111</v>
      </c>
      <c r="U5030" s="1">
        <v>1.00596941E8</v>
      </c>
      <c r="X5030" s="1" t="s">
        <v>63</v>
      </c>
      <c r="Y5030" s="1" t="s">
        <v>94</v>
      </c>
      <c r="Z5030" s="1" t="s">
        <v>37</v>
      </c>
    </row>
    <row r="5031">
      <c r="A5031" s="1" t="s">
        <v>14034</v>
      </c>
      <c r="B5031" s="1" t="s">
        <v>9204</v>
      </c>
      <c r="C5031" s="1" t="s">
        <v>14035</v>
      </c>
      <c r="D5031" s="1" t="s">
        <v>78</v>
      </c>
      <c r="E5031" s="1" t="s">
        <v>28</v>
      </c>
      <c r="F5031" s="2">
        <v>75000.0</v>
      </c>
      <c r="G5031" s="4">
        <v>44450.0</v>
      </c>
      <c r="H5031" s="4">
        <f>IFERROR(__xludf.DUMMYFUNCTION("DATE(INDEX(SPLIT(G5031,""/""),,3),INDEX(SPLIT(G5031,""/""),,2),INDEX(SPLIT(G5031,""/""),,1))"),44509.0)</f>
        <v>44509</v>
      </c>
      <c r="I5031" s="1" t="s">
        <v>1244</v>
      </c>
      <c r="J5031" s="4">
        <f>IFERROR(__xludf.DUMMYFUNCTION("DATE(INDEX(SPLIT(I5031,""/""),,3),INDEX(SPLIT(I5031,""/""),,2),INDEX(SPLIT(I5031,""/""),,1))"),44742.0)</f>
        <v>44742</v>
      </c>
      <c r="L5031" s="1">
        <v>0.0</v>
      </c>
      <c r="M5031" s="1" t="s">
        <v>7088</v>
      </c>
      <c r="N5031" s="1"/>
      <c r="O5031" s="1" t="s">
        <v>30</v>
      </c>
      <c r="P5031" s="1" t="s">
        <v>31</v>
      </c>
      <c r="Q5031" s="1" t="s">
        <v>228</v>
      </c>
      <c r="R5031" s="1" t="s">
        <v>228</v>
      </c>
      <c r="S5031" s="1" t="s">
        <v>229</v>
      </c>
      <c r="T5031" s="1" t="s">
        <v>513</v>
      </c>
      <c r="U5031" s="1">
        <v>1.00597339E8</v>
      </c>
      <c r="X5031" s="1" t="s">
        <v>35</v>
      </c>
      <c r="Y5031" s="1" t="s">
        <v>14036</v>
      </c>
      <c r="Z5031" s="1" t="s">
        <v>37</v>
      </c>
    </row>
    <row r="5032">
      <c r="A5032" s="1" t="s">
        <v>14037</v>
      </c>
      <c r="B5032" s="1" t="s">
        <v>1216</v>
      </c>
      <c r="C5032" s="1" t="s">
        <v>14038</v>
      </c>
      <c r="D5032" s="1" t="s">
        <v>27</v>
      </c>
      <c r="E5032" s="1" t="s">
        <v>28</v>
      </c>
      <c r="F5032" s="2">
        <v>75000.0</v>
      </c>
      <c r="G5032" s="4">
        <v>44868.0</v>
      </c>
      <c r="H5032" s="4">
        <f>IFERROR(__xludf.DUMMYFUNCTION("DATE(INDEX(SPLIT(G5032,""/""),,3),INDEX(SPLIT(G5032,""/""),,2),INDEX(SPLIT(G5032,""/""),,1))"),44631.0)</f>
        <v>44631</v>
      </c>
      <c r="I5032" s="1" t="s">
        <v>1244</v>
      </c>
      <c r="J5032" s="4">
        <f>IFERROR(__xludf.DUMMYFUNCTION("DATE(INDEX(SPLIT(I5032,""/""),,3),INDEX(SPLIT(I5032,""/""),,2),INDEX(SPLIT(I5032,""/""),,1))"),44742.0)</f>
        <v>44742</v>
      </c>
      <c r="L5032" s="1">
        <v>0.0</v>
      </c>
      <c r="M5032" s="1" t="s">
        <v>1959</v>
      </c>
      <c r="N5032" s="1"/>
      <c r="O5032" s="1" t="s">
        <v>30</v>
      </c>
      <c r="P5032" s="1" t="s">
        <v>31</v>
      </c>
      <c r="Q5032" s="1" t="s">
        <v>228</v>
      </c>
      <c r="R5032" s="1" t="s">
        <v>228</v>
      </c>
      <c r="S5032" s="1" t="s">
        <v>229</v>
      </c>
      <c r="T5032" s="1" t="s">
        <v>640</v>
      </c>
      <c r="U5032" s="1">
        <v>1.00955805E8</v>
      </c>
      <c r="X5032" s="1" t="s">
        <v>88</v>
      </c>
      <c r="Y5032" s="1" t="s">
        <v>5352</v>
      </c>
      <c r="Z5032" s="1" t="s">
        <v>37</v>
      </c>
    </row>
    <row r="5033">
      <c r="A5033" s="1" t="s">
        <v>14039</v>
      </c>
      <c r="B5033" s="1" t="s">
        <v>14040</v>
      </c>
      <c r="C5033" s="1" t="s">
        <v>14041</v>
      </c>
      <c r="D5033" s="1" t="s">
        <v>122</v>
      </c>
      <c r="E5033" s="1" t="s">
        <v>28</v>
      </c>
      <c r="F5033" s="2">
        <v>75000.0</v>
      </c>
      <c r="G5033" s="1" t="s">
        <v>1806</v>
      </c>
      <c r="H5033" s="4">
        <f>IFERROR(__xludf.DUMMYFUNCTION("DATE(INDEX(SPLIT(G5033,""/""),,3),INDEX(SPLIT(G5033,""/""),,2),INDEX(SPLIT(G5033,""/""),,1))"),44694.0)</f>
        <v>44694</v>
      </c>
      <c r="I5033" s="1" t="s">
        <v>69</v>
      </c>
      <c r="J5033" s="4">
        <f>IFERROR(__xludf.DUMMYFUNCTION("DATE(INDEX(SPLIT(I5033,""/""),,3),INDEX(SPLIT(I5033,""/""),,2),INDEX(SPLIT(I5033,""/""),,1))"),44773.0)</f>
        <v>44773</v>
      </c>
      <c r="L5033" s="1">
        <v>0.0</v>
      </c>
      <c r="M5033" s="1" t="s">
        <v>6045</v>
      </c>
      <c r="N5033" s="1"/>
      <c r="O5033" s="1" t="s">
        <v>30</v>
      </c>
      <c r="P5033" s="1" t="s">
        <v>31</v>
      </c>
      <c r="Q5033" s="1" t="s">
        <v>228</v>
      </c>
      <c r="R5033" s="1" t="s">
        <v>228</v>
      </c>
      <c r="S5033" s="1" t="s">
        <v>229</v>
      </c>
      <c r="U5033" s="1">
        <v>1.00652479E8</v>
      </c>
      <c r="X5033" s="1" t="s">
        <v>98</v>
      </c>
      <c r="Y5033" s="1" t="s">
        <v>14042</v>
      </c>
      <c r="Z5033" s="1" t="s">
        <v>37</v>
      </c>
    </row>
    <row r="5034" hidden="1">
      <c r="A5034" s="1" t="s">
        <v>14043</v>
      </c>
      <c r="B5034" s="1" t="s">
        <v>1854</v>
      </c>
      <c r="C5034" s="1" t="s">
        <v>14044</v>
      </c>
      <c r="D5034" s="1" t="s">
        <v>78</v>
      </c>
      <c r="E5034" s="1" t="s">
        <v>28</v>
      </c>
      <c r="F5034" s="2">
        <v>75000.0</v>
      </c>
      <c r="G5034" s="4">
        <v>44294.0</v>
      </c>
      <c r="H5034" s="4">
        <f>IFERROR(__xludf.DUMMYFUNCTION("DATE(INDEX(SPLIT(G5034,""/""),,3),INDEX(SPLIT(G5034,""/""),,2),INDEX(SPLIT(G5034,""/""),,1))"),44412.0)</f>
        <v>44412</v>
      </c>
      <c r="I5034" s="4">
        <v>44569.0</v>
      </c>
      <c r="J5034" s="4">
        <f>IFERROR(__xludf.DUMMYFUNCTION("DATE(INDEX(SPLIT(I5034,""/""),,3),INDEX(SPLIT(I5034,""/""),,2),INDEX(SPLIT(I5034,""/""),,1))"),44774.0)</f>
        <v>44774</v>
      </c>
      <c r="L5034" s="1">
        <v>0.0</v>
      </c>
      <c r="M5034" s="1" t="s">
        <v>7088</v>
      </c>
      <c r="N5034" s="1"/>
      <c r="O5034" s="1" t="s">
        <v>30</v>
      </c>
      <c r="P5034" s="1" t="s">
        <v>31</v>
      </c>
      <c r="Q5034" s="1" t="s">
        <v>228</v>
      </c>
      <c r="R5034" s="1" t="s">
        <v>228</v>
      </c>
      <c r="S5034" s="1" t="s">
        <v>229</v>
      </c>
      <c r="T5034" s="1" t="s">
        <v>513</v>
      </c>
      <c r="U5034" s="1">
        <v>1.00597339E8</v>
      </c>
      <c r="X5034" s="1" t="s">
        <v>63</v>
      </c>
      <c r="Y5034" s="1" t="s">
        <v>7088</v>
      </c>
      <c r="Z5034" s="1" t="s">
        <v>37</v>
      </c>
    </row>
    <row r="5035">
      <c r="A5035" s="1" t="s">
        <v>14045</v>
      </c>
      <c r="B5035" s="1" t="s">
        <v>6007</v>
      </c>
      <c r="C5035" s="1" t="s">
        <v>14046</v>
      </c>
      <c r="D5035" s="1" t="s">
        <v>122</v>
      </c>
      <c r="E5035" s="1" t="s">
        <v>28</v>
      </c>
      <c r="F5035" s="2">
        <v>75000.0</v>
      </c>
      <c r="G5035" s="1" t="s">
        <v>1288</v>
      </c>
      <c r="H5035" s="4">
        <f>IFERROR(__xludf.DUMMYFUNCTION("DATE(INDEX(SPLIT(G5035,""/""),,3),INDEX(SPLIT(G5035,""/""),,2),INDEX(SPLIT(G5035,""/""),,1))"),44707.0)</f>
        <v>44707</v>
      </c>
      <c r="I5035" s="1" t="s">
        <v>226</v>
      </c>
      <c r="J5035" s="4">
        <f>IFERROR(__xludf.DUMMYFUNCTION("DATE(INDEX(SPLIT(I5035,""/""),,3),INDEX(SPLIT(I5035,""/""),,2),INDEX(SPLIT(I5035,""/""),,1))"),44771.0)</f>
        <v>44771</v>
      </c>
      <c r="L5035" s="1">
        <v>0.0</v>
      </c>
      <c r="M5035" s="1" t="s">
        <v>3133</v>
      </c>
      <c r="N5035" s="1"/>
      <c r="O5035" s="1" t="s">
        <v>30</v>
      </c>
      <c r="P5035" s="1" t="s">
        <v>31</v>
      </c>
      <c r="Q5035" s="1" t="s">
        <v>228</v>
      </c>
      <c r="R5035" s="1" t="s">
        <v>228</v>
      </c>
      <c r="S5035" s="1" t="s">
        <v>229</v>
      </c>
      <c r="T5035" s="1" t="s">
        <v>513</v>
      </c>
      <c r="U5035" s="1">
        <v>1.00611158E8</v>
      </c>
      <c r="X5035" s="1" t="s">
        <v>239</v>
      </c>
      <c r="Y5035" s="1" t="s">
        <v>3133</v>
      </c>
      <c r="Z5035" s="1" t="s">
        <v>37</v>
      </c>
    </row>
    <row r="5036" hidden="1">
      <c r="A5036" s="1" t="s">
        <v>14047</v>
      </c>
      <c r="B5036" s="1" t="s">
        <v>14040</v>
      </c>
      <c r="C5036" s="1" t="s">
        <v>14048</v>
      </c>
      <c r="D5036" s="1" t="s">
        <v>122</v>
      </c>
      <c r="E5036" s="1" t="s">
        <v>28</v>
      </c>
      <c r="F5036" s="2">
        <v>75000.0</v>
      </c>
      <c r="G5036" s="1" t="s">
        <v>343</v>
      </c>
      <c r="H5036" s="4">
        <f>IFERROR(__xludf.DUMMYFUNCTION("DATE(INDEX(SPLIT(G5036,""/""),,3),INDEX(SPLIT(G5036,""/""),,2),INDEX(SPLIT(G5036,""/""),,1))"),44761.0)</f>
        <v>44761</v>
      </c>
      <c r="I5036" s="1" t="s">
        <v>134</v>
      </c>
      <c r="J5036" s="4">
        <f>IFERROR(__xludf.DUMMYFUNCTION("DATE(INDEX(SPLIT(I5036,""/""),,3),INDEX(SPLIT(I5036,""/""),,2),INDEX(SPLIT(I5036,""/""),,1))"),44792.0)</f>
        <v>44792</v>
      </c>
      <c r="L5036" s="1">
        <v>0.0</v>
      </c>
      <c r="M5036" s="1" t="s">
        <v>6045</v>
      </c>
      <c r="N5036" s="1"/>
      <c r="O5036" s="1" t="s">
        <v>30</v>
      </c>
      <c r="P5036" s="1" t="s">
        <v>31</v>
      </c>
      <c r="Q5036" s="1" t="s">
        <v>228</v>
      </c>
      <c r="R5036" s="1" t="s">
        <v>228</v>
      </c>
      <c r="S5036" s="1" t="s">
        <v>229</v>
      </c>
      <c r="T5036" s="1" t="s">
        <v>513</v>
      </c>
      <c r="U5036" s="1">
        <v>1.00652479E8</v>
      </c>
      <c r="X5036" s="1" t="s">
        <v>98</v>
      </c>
      <c r="Y5036" s="1" t="s">
        <v>14042</v>
      </c>
      <c r="Z5036" s="1" t="s">
        <v>37</v>
      </c>
    </row>
    <row r="5037" hidden="1">
      <c r="A5037" s="1" t="s">
        <v>14049</v>
      </c>
      <c r="B5037" s="1" t="s">
        <v>14050</v>
      </c>
      <c r="C5037" s="1" t="s">
        <v>14051</v>
      </c>
      <c r="D5037" s="1" t="s">
        <v>122</v>
      </c>
      <c r="E5037" s="1" t="s">
        <v>28</v>
      </c>
      <c r="F5037" s="2">
        <v>75000.0</v>
      </c>
      <c r="G5037" s="1" t="s">
        <v>343</v>
      </c>
      <c r="H5037" s="4">
        <f>IFERROR(__xludf.DUMMYFUNCTION("DATE(INDEX(SPLIT(G5037,""/""),,3),INDEX(SPLIT(G5037,""/""),,2),INDEX(SPLIT(G5037,""/""),,1))"),44761.0)</f>
        <v>44761</v>
      </c>
      <c r="I5037" s="4">
        <v>44689.0</v>
      </c>
      <c r="J5037" s="4">
        <f>IFERROR(__xludf.DUMMYFUNCTION("DATE(INDEX(SPLIT(I5037,""/""),,3),INDEX(SPLIT(I5037,""/""),,2),INDEX(SPLIT(I5037,""/""),,1))"),44778.0)</f>
        <v>44778</v>
      </c>
      <c r="L5037" s="1">
        <v>0.0</v>
      </c>
      <c r="M5037" s="1" t="s">
        <v>5120</v>
      </c>
      <c r="N5037" s="1"/>
      <c r="O5037" s="1" t="s">
        <v>30</v>
      </c>
      <c r="P5037" s="1" t="s">
        <v>31</v>
      </c>
      <c r="Q5037" s="1" t="s">
        <v>71</v>
      </c>
      <c r="R5037" s="1" t="s">
        <v>71</v>
      </c>
      <c r="S5037" s="1" t="s">
        <v>72</v>
      </c>
      <c r="T5037" s="1" t="s">
        <v>136</v>
      </c>
      <c r="U5037" s="1">
        <v>1.0059101E8</v>
      </c>
      <c r="X5037" s="1" t="s">
        <v>74</v>
      </c>
      <c r="Y5037" s="1" t="s">
        <v>12682</v>
      </c>
      <c r="Z5037" s="1" t="s">
        <v>37</v>
      </c>
    </row>
    <row r="5038">
      <c r="A5038" s="1" t="s">
        <v>14052</v>
      </c>
      <c r="B5038" s="1" t="s">
        <v>373</v>
      </c>
      <c r="C5038" s="1" t="s">
        <v>14053</v>
      </c>
      <c r="D5038" s="1" t="s">
        <v>78</v>
      </c>
      <c r="E5038" s="1" t="s">
        <v>28</v>
      </c>
      <c r="F5038" s="2">
        <v>75000.0</v>
      </c>
      <c r="G5038" s="1" t="s">
        <v>14054</v>
      </c>
      <c r="H5038" s="4">
        <f>IFERROR(__xludf.DUMMYFUNCTION("DATE(INDEX(SPLIT(G5038,""/""),,3),INDEX(SPLIT(G5038,""/""),,2),INDEX(SPLIT(G5038,""/""),,1))"),44371.0)</f>
        <v>44371</v>
      </c>
      <c r="I5038" s="1" t="s">
        <v>1438</v>
      </c>
      <c r="J5038" s="4">
        <f>IFERROR(__xludf.DUMMYFUNCTION("DATE(INDEX(SPLIT(I5038,""/""),,3),INDEX(SPLIT(I5038,""/""),,2),INDEX(SPLIT(I5038,""/""),,1))"),44708.0)</f>
        <v>44708</v>
      </c>
      <c r="L5038" s="1">
        <v>0.0</v>
      </c>
      <c r="M5038" s="1" t="s">
        <v>4418</v>
      </c>
      <c r="N5038" s="1"/>
      <c r="O5038" s="1" t="s">
        <v>30</v>
      </c>
      <c r="P5038" s="1" t="s">
        <v>31</v>
      </c>
      <c r="Q5038" s="1" t="s">
        <v>188</v>
      </c>
      <c r="R5038" s="1" t="s">
        <v>188</v>
      </c>
      <c r="S5038" s="1" t="s">
        <v>189</v>
      </c>
      <c r="T5038" s="1" t="s">
        <v>97</v>
      </c>
      <c r="U5038" s="1">
        <v>1.0066064E8</v>
      </c>
      <c r="X5038" s="1" t="s">
        <v>117</v>
      </c>
      <c r="Y5038" s="1" t="s">
        <v>14055</v>
      </c>
      <c r="Z5038" s="1" t="s">
        <v>37</v>
      </c>
    </row>
    <row r="5039" hidden="1">
      <c r="A5039" s="1" t="s">
        <v>14056</v>
      </c>
      <c r="B5039" s="1" t="s">
        <v>14057</v>
      </c>
      <c r="C5039" s="1" t="s">
        <v>14058</v>
      </c>
      <c r="D5039" s="1" t="s">
        <v>27</v>
      </c>
      <c r="E5039" s="1" t="s">
        <v>28</v>
      </c>
      <c r="F5039" s="2">
        <v>75000.0</v>
      </c>
      <c r="G5039" s="1" t="s">
        <v>2324</v>
      </c>
      <c r="H5039" s="4">
        <f>IFERROR(__xludf.DUMMYFUNCTION("DATE(INDEX(SPLIT(G5039,""/""),,3),INDEX(SPLIT(G5039,""/""),,2),INDEX(SPLIT(G5039,""/""),,1))"),44705.0)</f>
        <v>44705</v>
      </c>
      <c r="I5039" s="1" t="s">
        <v>203</v>
      </c>
      <c r="J5039" s="4">
        <f>IFERROR(__xludf.DUMMYFUNCTION("DATE(INDEX(SPLIT(I5039,""/""),,3),INDEX(SPLIT(I5039,""/""),,2),INDEX(SPLIT(I5039,""/""),,1))"),44925.0)</f>
        <v>44925</v>
      </c>
      <c r="L5039" s="1">
        <v>0.0</v>
      </c>
      <c r="M5039" s="1" t="s">
        <v>4186</v>
      </c>
      <c r="N5039" s="1"/>
      <c r="O5039" s="1" t="s">
        <v>30</v>
      </c>
      <c r="P5039" s="1" t="s">
        <v>31</v>
      </c>
      <c r="Q5039" s="1" t="s">
        <v>53</v>
      </c>
      <c r="R5039" s="1" t="s">
        <v>53</v>
      </c>
      <c r="S5039" s="1" t="s">
        <v>54</v>
      </c>
      <c r="T5039" s="1" t="s">
        <v>197</v>
      </c>
      <c r="U5039" s="1">
        <v>1.00650382E8</v>
      </c>
      <c r="X5039" s="1" t="s">
        <v>2028</v>
      </c>
      <c r="Y5039" s="1" t="s">
        <v>4186</v>
      </c>
      <c r="Z5039" s="1" t="s">
        <v>37</v>
      </c>
    </row>
    <row r="5040">
      <c r="A5040" s="1" t="s">
        <v>14059</v>
      </c>
      <c r="B5040" s="1" t="s">
        <v>14060</v>
      </c>
      <c r="C5040" s="1" t="s">
        <v>14061</v>
      </c>
      <c r="D5040" s="1" t="s">
        <v>27</v>
      </c>
      <c r="E5040" s="1" t="s">
        <v>28</v>
      </c>
      <c r="F5040" s="2">
        <v>75000.0</v>
      </c>
      <c r="G5040" s="4">
        <v>44685.0</v>
      </c>
      <c r="H5040" s="4">
        <f>IFERROR(__xludf.DUMMYFUNCTION("DATE(INDEX(SPLIT(G5040,""/""),,3),INDEX(SPLIT(G5040,""/""),,2),INDEX(SPLIT(G5040,""/""),,1))"),44656.0)</f>
        <v>44656</v>
      </c>
      <c r="I5040" s="1" t="s">
        <v>2300</v>
      </c>
      <c r="J5040" s="4">
        <f>IFERROR(__xludf.DUMMYFUNCTION("DATE(INDEX(SPLIT(I5040,""/""),,3),INDEX(SPLIT(I5040,""/""),,2),INDEX(SPLIT(I5040,""/""),,1))"),44712.0)</f>
        <v>44712</v>
      </c>
      <c r="L5040" s="1">
        <v>0.0</v>
      </c>
      <c r="M5040" s="1" t="s">
        <v>12039</v>
      </c>
      <c r="N5040" s="1"/>
      <c r="O5040" s="1" t="s">
        <v>30</v>
      </c>
      <c r="P5040" s="1" t="s">
        <v>31</v>
      </c>
      <c r="Q5040" s="1" t="s">
        <v>228</v>
      </c>
      <c r="R5040" s="1" t="s">
        <v>228</v>
      </c>
      <c r="S5040" s="1" t="s">
        <v>229</v>
      </c>
      <c r="T5040" s="1" t="s">
        <v>640</v>
      </c>
      <c r="U5040" s="1">
        <v>1.00612509E8</v>
      </c>
      <c r="X5040" s="1" t="s">
        <v>117</v>
      </c>
      <c r="Y5040" s="1" t="s">
        <v>11255</v>
      </c>
      <c r="Z5040" s="1" t="s">
        <v>37</v>
      </c>
    </row>
    <row r="5041" hidden="1">
      <c r="A5041" s="1" t="s">
        <v>14062</v>
      </c>
      <c r="B5041" s="1" t="s">
        <v>2121</v>
      </c>
      <c r="C5041" s="1" t="s">
        <v>14063</v>
      </c>
      <c r="D5041" s="1" t="s">
        <v>122</v>
      </c>
      <c r="E5041" s="1" t="s">
        <v>28</v>
      </c>
      <c r="F5041" s="2">
        <v>75000.0</v>
      </c>
      <c r="G5041" s="4">
        <v>44748.0</v>
      </c>
      <c r="H5041" s="4">
        <f>IFERROR(__xludf.DUMMYFUNCTION("DATE(INDEX(SPLIT(G5041,""/""),,3),INDEX(SPLIT(G5041,""/""),,2),INDEX(SPLIT(G5041,""/""),,1))"),44719.0)</f>
        <v>44719</v>
      </c>
      <c r="I5041" s="1" t="s">
        <v>447</v>
      </c>
      <c r="J5041" s="4">
        <f>IFERROR(__xludf.DUMMYFUNCTION("DATE(INDEX(SPLIT(I5041,""/""),,3),INDEX(SPLIT(I5041,""/""),,2),INDEX(SPLIT(I5041,""/""),,1))"),44910.0)</f>
        <v>44910</v>
      </c>
      <c r="L5041" s="1">
        <v>0.0</v>
      </c>
      <c r="M5041" s="1" t="s">
        <v>11254</v>
      </c>
      <c r="N5041" s="1"/>
      <c r="O5041" s="1" t="s">
        <v>30</v>
      </c>
      <c r="P5041" s="1" t="s">
        <v>31</v>
      </c>
      <c r="Q5041" s="1" t="s">
        <v>228</v>
      </c>
      <c r="R5041" s="1" t="s">
        <v>228</v>
      </c>
      <c r="S5041" s="1" t="s">
        <v>229</v>
      </c>
      <c r="T5041" s="1" t="s">
        <v>640</v>
      </c>
      <c r="U5041" s="1">
        <v>1.00602248E8</v>
      </c>
      <c r="X5041" s="1" t="s">
        <v>88</v>
      </c>
      <c r="Y5041" s="1" t="s">
        <v>11255</v>
      </c>
      <c r="Z5041" s="1" t="s">
        <v>37</v>
      </c>
    </row>
    <row r="5042" hidden="1">
      <c r="A5042" s="1" t="s">
        <v>14064</v>
      </c>
      <c r="B5042" s="1" t="s">
        <v>9177</v>
      </c>
      <c r="C5042" s="1" t="s">
        <v>14065</v>
      </c>
      <c r="D5042" s="1" t="s">
        <v>27</v>
      </c>
      <c r="E5042" s="1" t="s">
        <v>28</v>
      </c>
      <c r="F5042" s="2">
        <v>75000.0</v>
      </c>
      <c r="G5042" s="1" t="s">
        <v>751</v>
      </c>
      <c r="H5042" s="4">
        <f>IFERROR(__xludf.DUMMYFUNCTION("DATE(INDEX(SPLIT(G5042,""/""),,3),INDEX(SPLIT(G5042,""/""),,2),INDEX(SPLIT(G5042,""/""),,1))"),44519.0)</f>
        <v>44519</v>
      </c>
      <c r="I5042" s="1" t="s">
        <v>203</v>
      </c>
      <c r="J5042" s="4">
        <f>IFERROR(__xludf.DUMMYFUNCTION("DATE(INDEX(SPLIT(I5042,""/""),,3),INDEX(SPLIT(I5042,""/""),,2),INDEX(SPLIT(I5042,""/""),,1))"),44925.0)</f>
        <v>44925</v>
      </c>
      <c r="L5042" s="1">
        <v>0.0</v>
      </c>
      <c r="M5042" s="1" t="s">
        <v>1918</v>
      </c>
      <c r="N5042" s="1"/>
      <c r="O5042" s="1" t="s">
        <v>30</v>
      </c>
      <c r="P5042" s="1" t="s">
        <v>31</v>
      </c>
      <c r="Q5042" s="1" t="s">
        <v>53</v>
      </c>
      <c r="R5042" s="1" t="s">
        <v>53</v>
      </c>
      <c r="S5042" s="1" t="s">
        <v>54</v>
      </c>
      <c r="T5042" s="1" t="s">
        <v>1386</v>
      </c>
      <c r="U5042" s="1">
        <v>1.00638639E8</v>
      </c>
      <c r="X5042" s="1" t="s">
        <v>375</v>
      </c>
      <c r="Y5042" s="1" t="s">
        <v>14066</v>
      </c>
      <c r="Z5042" s="1" t="s">
        <v>206</v>
      </c>
    </row>
    <row r="5043">
      <c r="A5043" s="1" t="s">
        <v>14067</v>
      </c>
      <c r="B5043" s="1" t="s">
        <v>1748</v>
      </c>
      <c r="C5043" s="1" t="s">
        <v>14068</v>
      </c>
      <c r="D5043" s="1" t="s">
        <v>78</v>
      </c>
      <c r="E5043" s="1" t="s">
        <v>28</v>
      </c>
      <c r="F5043" s="2">
        <v>75000.0</v>
      </c>
      <c r="G5043" s="1" t="s">
        <v>4133</v>
      </c>
      <c r="H5043" s="4">
        <f>IFERROR(__xludf.DUMMYFUNCTION("DATE(INDEX(SPLIT(G5043,""/""),,3),INDEX(SPLIT(G5043,""/""),,2),INDEX(SPLIT(G5043,""/""),,1))"),44495.0)</f>
        <v>44495</v>
      </c>
      <c r="I5043" s="1" t="s">
        <v>1141</v>
      </c>
      <c r="J5043" s="4">
        <f>IFERROR(__xludf.DUMMYFUNCTION("DATE(INDEX(SPLIT(I5043,""/""),,3),INDEX(SPLIT(I5043,""/""),,2),INDEX(SPLIT(I5043,""/""),,1))"),44767.0)</f>
        <v>44767</v>
      </c>
      <c r="L5043" s="1">
        <v>0.0</v>
      </c>
      <c r="M5043" s="1" t="s">
        <v>5684</v>
      </c>
      <c r="N5043" s="1"/>
      <c r="O5043" s="1" t="s">
        <v>30</v>
      </c>
      <c r="P5043" s="1" t="s">
        <v>31</v>
      </c>
      <c r="Q5043" s="1" t="s">
        <v>53</v>
      </c>
      <c r="R5043" s="1" t="s">
        <v>53</v>
      </c>
      <c r="S5043" s="1" t="s">
        <v>54</v>
      </c>
      <c r="T5043" s="1" t="s">
        <v>87</v>
      </c>
      <c r="U5043" s="1">
        <v>1.00649463E8</v>
      </c>
      <c r="X5043" s="1" t="s">
        <v>88</v>
      </c>
      <c r="Y5043" s="1" t="s">
        <v>5685</v>
      </c>
      <c r="Z5043" s="1" t="s">
        <v>37</v>
      </c>
    </row>
    <row r="5044" hidden="1">
      <c r="A5044" s="1" t="s">
        <v>14069</v>
      </c>
      <c r="B5044" s="1" t="s">
        <v>1596</v>
      </c>
      <c r="C5044" s="1" t="s">
        <v>14070</v>
      </c>
      <c r="D5044" s="1" t="s">
        <v>122</v>
      </c>
      <c r="E5044" s="1" t="s">
        <v>28</v>
      </c>
      <c r="F5044" s="2">
        <v>75000.0</v>
      </c>
      <c r="G5044" s="1" t="s">
        <v>935</v>
      </c>
      <c r="H5044" s="4">
        <f>IFERROR(__xludf.DUMMYFUNCTION("DATE(INDEX(SPLIT(G5044,""/""),,3),INDEX(SPLIT(G5044,""/""),,2),INDEX(SPLIT(G5044,""/""),,1))"),44764.0)</f>
        <v>44764</v>
      </c>
      <c r="I5044" s="1" t="s">
        <v>1678</v>
      </c>
      <c r="J5044" s="4">
        <f>IFERROR(__xludf.DUMMYFUNCTION("DATE(INDEX(SPLIT(I5044,""/""),,3),INDEX(SPLIT(I5044,""/""),,2),INDEX(SPLIT(I5044,""/""),,1))"),44819.0)</f>
        <v>44819</v>
      </c>
      <c r="L5044" s="1">
        <v>0.0</v>
      </c>
      <c r="M5044" s="1" t="s">
        <v>587</v>
      </c>
      <c r="N5044" s="1"/>
      <c r="O5044" s="1" t="s">
        <v>30</v>
      </c>
      <c r="P5044" s="1" t="s">
        <v>31</v>
      </c>
      <c r="Q5044" s="1" t="s">
        <v>157</v>
      </c>
      <c r="R5044" s="1" t="s">
        <v>157</v>
      </c>
      <c r="S5044" s="1" t="s">
        <v>158</v>
      </c>
      <c r="T5044" s="1" t="s">
        <v>442</v>
      </c>
      <c r="U5044" s="1">
        <v>1.00700761E8</v>
      </c>
      <c r="X5044" s="1" t="s">
        <v>125</v>
      </c>
      <c r="Y5044" s="1" t="s">
        <v>587</v>
      </c>
      <c r="Z5044" s="1" t="s">
        <v>37</v>
      </c>
    </row>
    <row r="5045" hidden="1">
      <c r="A5045" s="1" t="s">
        <v>14071</v>
      </c>
      <c r="B5045" s="1" t="s">
        <v>14072</v>
      </c>
      <c r="C5045" s="1" t="s">
        <v>14073</v>
      </c>
      <c r="D5045" s="1" t="s">
        <v>27</v>
      </c>
      <c r="E5045" s="1" t="s">
        <v>28</v>
      </c>
      <c r="F5045" s="2">
        <v>75000.0</v>
      </c>
      <c r="G5045" s="1" t="s">
        <v>4294</v>
      </c>
      <c r="H5045" s="4">
        <f>IFERROR(__xludf.DUMMYFUNCTION("DATE(INDEX(SPLIT(G5045,""/""),,3),INDEX(SPLIT(G5045,""/""),,2),INDEX(SPLIT(G5045,""/""),,1))"),44133.0)</f>
        <v>44133</v>
      </c>
      <c r="I5045" s="4">
        <v>45108.0</v>
      </c>
      <c r="J5045" s="4">
        <f>IFERROR(__xludf.DUMMYFUNCTION("DATE(INDEX(SPLIT(I5045,""/""),,3),INDEX(SPLIT(I5045,""/""),,2),INDEX(SPLIT(I5045,""/""),,1))"),44933.0)</f>
        <v>44933</v>
      </c>
      <c r="L5045" s="1">
        <v>0.0</v>
      </c>
      <c r="M5045" s="1" t="s">
        <v>3573</v>
      </c>
      <c r="N5045" s="1"/>
      <c r="O5045" s="1" t="s">
        <v>30</v>
      </c>
      <c r="P5045" s="1" t="s">
        <v>31</v>
      </c>
      <c r="Q5045" s="1" t="s">
        <v>157</v>
      </c>
      <c r="R5045" s="1" t="s">
        <v>157</v>
      </c>
      <c r="S5045" s="1" t="s">
        <v>158</v>
      </c>
      <c r="T5045" s="1" t="s">
        <v>442</v>
      </c>
      <c r="U5045" s="1">
        <v>1.00651086E8</v>
      </c>
      <c r="X5045" s="1" t="s">
        <v>490</v>
      </c>
      <c r="Y5045" s="1" t="s">
        <v>14074</v>
      </c>
      <c r="Z5045" s="1" t="s">
        <v>37</v>
      </c>
    </row>
    <row r="5046">
      <c r="A5046" s="1" t="s">
        <v>14075</v>
      </c>
      <c r="B5046" s="1" t="s">
        <v>373</v>
      </c>
      <c r="C5046" s="1" t="s">
        <v>14076</v>
      </c>
      <c r="D5046" s="1" t="s">
        <v>122</v>
      </c>
      <c r="E5046" s="1" t="s">
        <v>28</v>
      </c>
      <c r="F5046" s="2">
        <v>75000.0</v>
      </c>
      <c r="G5046" s="1" t="s">
        <v>3245</v>
      </c>
      <c r="H5046" s="4">
        <f>IFERROR(__xludf.DUMMYFUNCTION("DATE(INDEX(SPLIT(G5046,""/""),,3),INDEX(SPLIT(G5046,""/""),,2),INDEX(SPLIT(G5046,""/""),,1))"),44452.0)</f>
        <v>44452</v>
      </c>
      <c r="I5046" s="1" t="s">
        <v>69</v>
      </c>
      <c r="J5046" s="4">
        <f>IFERROR(__xludf.DUMMYFUNCTION("DATE(INDEX(SPLIT(I5046,""/""),,3),INDEX(SPLIT(I5046,""/""),,2),INDEX(SPLIT(I5046,""/""),,1))"),44773.0)</f>
        <v>44773</v>
      </c>
      <c r="L5046" s="1">
        <v>0.0</v>
      </c>
      <c r="M5046" s="1" t="s">
        <v>7088</v>
      </c>
      <c r="N5046" s="1"/>
      <c r="O5046" s="1" t="s">
        <v>30</v>
      </c>
      <c r="P5046" s="1" t="s">
        <v>31</v>
      </c>
      <c r="Q5046" s="1" t="s">
        <v>228</v>
      </c>
      <c r="R5046" s="1" t="s">
        <v>228</v>
      </c>
      <c r="S5046" s="1" t="s">
        <v>229</v>
      </c>
      <c r="T5046" s="1" t="s">
        <v>513</v>
      </c>
      <c r="U5046" s="1">
        <v>1.00597339E8</v>
      </c>
      <c r="X5046" s="1" t="s">
        <v>74</v>
      </c>
      <c r="Y5046" s="1" t="s">
        <v>14036</v>
      </c>
      <c r="Z5046" s="1" t="s">
        <v>37</v>
      </c>
    </row>
    <row r="5047">
      <c r="A5047" s="1" t="s">
        <v>14077</v>
      </c>
      <c r="B5047" s="1" t="s">
        <v>9962</v>
      </c>
      <c r="C5047" s="1" t="s">
        <v>14078</v>
      </c>
      <c r="D5047" s="1" t="s">
        <v>78</v>
      </c>
      <c r="E5047" s="1" t="s">
        <v>28</v>
      </c>
      <c r="F5047" s="2">
        <v>75000.0</v>
      </c>
      <c r="G5047" s="1" t="s">
        <v>2064</v>
      </c>
      <c r="H5047" s="4">
        <f>IFERROR(__xludf.DUMMYFUNCTION("DATE(INDEX(SPLIT(G5047,""/""),,3),INDEX(SPLIT(G5047,""/""),,2),INDEX(SPLIT(G5047,""/""),,1))"),44616.0)</f>
        <v>44616</v>
      </c>
      <c r="I5047" s="1" t="s">
        <v>1244</v>
      </c>
      <c r="J5047" s="4">
        <f>IFERROR(__xludf.DUMMYFUNCTION("DATE(INDEX(SPLIT(I5047,""/""),,3),INDEX(SPLIT(I5047,""/""),,2),INDEX(SPLIT(I5047,""/""),,1))"),44742.0)</f>
        <v>44742</v>
      </c>
      <c r="L5047" s="1">
        <v>0.0</v>
      </c>
      <c r="M5047" s="1" t="s">
        <v>7088</v>
      </c>
      <c r="N5047" s="1"/>
      <c r="O5047" s="1" t="s">
        <v>30</v>
      </c>
      <c r="P5047" s="1" t="s">
        <v>31</v>
      </c>
      <c r="Q5047" s="1" t="s">
        <v>228</v>
      </c>
      <c r="R5047" s="1" t="s">
        <v>228</v>
      </c>
      <c r="S5047" s="1" t="s">
        <v>229</v>
      </c>
      <c r="T5047" s="1" t="s">
        <v>513</v>
      </c>
      <c r="U5047" s="1">
        <v>1.00597339E8</v>
      </c>
      <c r="X5047" s="1" t="s">
        <v>239</v>
      </c>
      <c r="Y5047" s="1" t="s">
        <v>7089</v>
      </c>
      <c r="Z5047" s="1" t="s">
        <v>37</v>
      </c>
    </row>
    <row r="5048" hidden="1">
      <c r="A5048" s="1" t="s">
        <v>14079</v>
      </c>
      <c r="B5048" s="1" t="s">
        <v>14080</v>
      </c>
      <c r="C5048" s="1" t="s">
        <v>14081</v>
      </c>
      <c r="D5048" s="1" t="s">
        <v>27</v>
      </c>
      <c r="E5048" s="1" t="s">
        <v>28</v>
      </c>
      <c r="F5048" s="2">
        <v>75000.0</v>
      </c>
      <c r="G5048" s="1" t="s">
        <v>418</v>
      </c>
      <c r="H5048" s="4">
        <f>IFERROR(__xludf.DUMMYFUNCTION("DATE(INDEX(SPLIT(G5048,""/""),,3),INDEX(SPLIT(G5048,""/""),,2),INDEX(SPLIT(G5048,""/""),,1))"),44755.0)</f>
        <v>44755</v>
      </c>
      <c r="I5048" s="1" t="s">
        <v>683</v>
      </c>
      <c r="J5048" s="4">
        <f>IFERROR(__xludf.DUMMYFUNCTION("DATE(INDEX(SPLIT(I5048,""/""),,3),INDEX(SPLIT(I5048,""/""),,2),INDEX(SPLIT(I5048,""/""),,1))"),45015.0)</f>
        <v>45015</v>
      </c>
      <c r="L5048" s="1">
        <v>0.0</v>
      </c>
      <c r="M5048" s="1" t="s">
        <v>4735</v>
      </c>
      <c r="N5048" s="1"/>
      <c r="O5048" s="1" t="s">
        <v>30</v>
      </c>
      <c r="P5048" s="1" t="s">
        <v>31</v>
      </c>
      <c r="Q5048" s="1" t="s">
        <v>71</v>
      </c>
      <c r="R5048" s="1" t="s">
        <v>71</v>
      </c>
      <c r="S5048" s="1" t="s">
        <v>72</v>
      </c>
      <c r="T5048" s="1" t="s">
        <v>136</v>
      </c>
      <c r="U5048" s="1">
        <v>1.00609615E8</v>
      </c>
      <c r="X5048" s="1" t="s">
        <v>74</v>
      </c>
      <c r="Y5048" s="1" t="s">
        <v>2593</v>
      </c>
      <c r="Z5048" s="1" t="s">
        <v>206</v>
      </c>
    </row>
    <row r="5049" hidden="1">
      <c r="A5049" s="1" t="s">
        <v>14082</v>
      </c>
      <c r="B5049" s="1" t="s">
        <v>120</v>
      </c>
      <c r="C5049" s="1" t="s">
        <v>14083</v>
      </c>
      <c r="D5049" s="1" t="s">
        <v>27</v>
      </c>
      <c r="E5049" s="1" t="s">
        <v>28</v>
      </c>
      <c r="F5049" s="2">
        <v>75000.0</v>
      </c>
      <c r="G5049" s="4">
        <v>44870.0</v>
      </c>
      <c r="H5049" s="4">
        <f>IFERROR(__xludf.DUMMYFUNCTION("DATE(INDEX(SPLIT(G5049,""/""),,3),INDEX(SPLIT(G5049,""/""),,2),INDEX(SPLIT(G5049,""/""),,1))"),44692.0)</f>
        <v>44692</v>
      </c>
      <c r="I5049" s="4">
        <v>44570.0</v>
      </c>
      <c r="J5049" s="4">
        <f>IFERROR(__xludf.DUMMYFUNCTION("DATE(INDEX(SPLIT(I5049,""/""),,3),INDEX(SPLIT(I5049,""/""),,2),INDEX(SPLIT(I5049,""/""),,1))"),44805.0)</f>
        <v>44805</v>
      </c>
      <c r="L5049" s="1">
        <v>0.0</v>
      </c>
      <c r="M5049" s="1" t="s">
        <v>10469</v>
      </c>
      <c r="N5049" s="1"/>
      <c r="O5049" s="1" t="s">
        <v>30</v>
      </c>
      <c r="P5049" s="1" t="s">
        <v>31</v>
      </c>
      <c r="Q5049" s="1" t="s">
        <v>53</v>
      </c>
      <c r="R5049" s="1" t="s">
        <v>53</v>
      </c>
      <c r="S5049" s="1" t="s">
        <v>54</v>
      </c>
      <c r="T5049" s="1" t="s">
        <v>1386</v>
      </c>
      <c r="U5049" s="1">
        <v>1.01211126E8</v>
      </c>
      <c r="X5049" s="1" t="s">
        <v>125</v>
      </c>
      <c r="Y5049" s="1" t="s">
        <v>10469</v>
      </c>
      <c r="Z5049" s="1" t="s">
        <v>206</v>
      </c>
    </row>
    <row r="5050">
      <c r="A5050" s="1" t="s">
        <v>14084</v>
      </c>
      <c r="B5050" s="1" t="s">
        <v>690</v>
      </c>
      <c r="C5050" s="1" t="s">
        <v>14085</v>
      </c>
      <c r="D5050" s="1" t="s">
        <v>68</v>
      </c>
      <c r="E5050" s="1" t="s">
        <v>28</v>
      </c>
      <c r="F5050" s="2">
        <v>75000.0</v>
      </c>
      <c r="G5050" s="4">
        <v>44266.0</v>
      </c>
      <c r="H5050" s="4">
        <f>IFERROR(__xludf.DUMMYFUNCTION("DATE(INDEX(SPLIT(G5050,""/""),,3),INDEX(SPLIT(G5050,""/""),,2),INDEX(SPLIT(G5050,""/""),,1))"),44503.0)</f>
        <v>44503</v>
      </c>
      <c r="I5050" s="1" t="s">
        <v>11122</v>
      </c>
      <c r="J5050" s="4">
        <f>IFERROR(__xludf.DUMMYFUNCTION("DATE(INDEX(SPLIT(I5050,""/""),,3),INDEX(SPLIT(I5050,""/""),,2),INDEX(SPLIT(I5050,""/""),,1))"),44561.0)</f>
        <v>44561</v>
      </c>
      <c r="K5050" s="1" t="s">
        <v>14086</v>
      </c>
      <c r="L5050" s="1">
        <v>0.0</v>
      </c>
      <c r="M5050" s="1" t="s">
        <v>12630</v>
      </c>
      <c r="N5050" s="1"/>
      <c r="O5050" s="1" t="s">
        <v>30</v>
      </c>
      <c r="P5050" s="1" t="s">
        <v>31</v>
      </c>
      <c r="Q5050" s="1" t="s">
        <v>235</v>
      </c>
      <c r="R5050" s="1" t="s">
        <v>235</v>
      </c>
      <c r="S5050" s="1" t="s">
        <v>236</v>
      </c>
      <c r="U5050" s="1">
        <v>1.00657101E8</v>
      </c>
      <c r="X5050" s="1" t="s">
        <v>88</v>
      </c>
      <c r="Y5050" s="1" t="s">
        <v>12631</v>
      </c>
      <c r="Z5050" s="1" t="s">
        <v>37</v>
      </c>
    </row>
    <row r="5051" hidden="1">
      <c r="A5051" s="1" t="s">
        <v>14087</v>
      </c>
      <c r="B5051" s="1" t="s">
        <v>1144</v>
      </c>
      <c r="C5051" s="1" t="s">
        <v>14088</v>
      </c>
      <c r="D5051" s="1" t="s">
        <v>78</v>
      </c>
      <c r="E5051" s="1" t="s">
        <v>28</v>
      </c>
      <c r="F5051" s="2">
        <v>75000.0</v>
      </c>
      <c r="G5051" s="4">
        <v>44900.0</v>
      </c>
      <c r="H5051" s="4">
        <f>IFERROR(__xludf.DUMMYFUNCTION("DATE(INDEX(SPLIT(G5051,""/""),,3),INDEX(SPLIT(G5051,""/""),,2),INDEX(SPLIT(G5051,""/""),,1))"),44693.0)</f>
        <v>44693</v>
      </c>
      <c r="I5051" s="1" t="s">
        <v>203</v>
      </c>
      <c r="J5051" s="4">
        <f>IFERROR(__xludf.DUMMYFUNCTION("DATE(INDEX(SPLIT(I5051,""/""),,3),INDEX(SPLIT(I5051,""/""),,2),INDEX(SPLIT(I5051,""/""),,1))"),44925.0)</f>
        <v>44925</v>
      </c>
      <c r="L5051" s="1">
        <v>0.0</v>
      </c>
      <c r="M5051" s="1" t="s">
        <v>2614</v>
      </c>
      <c r="N5051" s="1"/>
      <c r="O5051" s="1" t="s">
        <v>30</v>
      </c>
      <c r="P5051" s="1" t="s">
        <v>31</v>
      </c>
      <c r="Q5051" s="1" t="s">
        <v>53</v>
      </c>
      <c r="R5051" s="1" t="s">
        <v>53</v>
      </c>
      <c r="S5051" s="1" t="s">
        <v>54</v>
      </c>
      <c r="T5051" s="1" t="s">
        <v>197</v>
      </c>
      <c r="U5051" s="1">
        <v>1.00592932E8</v>
      </c>
      <c r="X5051" s="1" t="s">
        <v>63</v>
      </c>
      <c r="Y5051" s="1" t="s">
        <v>14089</v>
      </c>
      <c r="Z5051" s="1" t="s">
        <v>37</v>
      </c>
    </row>
    <row r="5052" hidden="1">
      <c r="A5052" s="1" t="s">
        <v>14090</v>
      </c>
      <c r="B5052" s="1" t="s">
        <v>14091</v>
      </c>
      <c r="C5052" s="1" t="s">
        <v>14092</v>
      </c>
      <c r="D5052" s="1" t="s">
        <v>27</v>
      </c>
      <c r="E5052" s="1" t="s">
        <v>28</v>
      </c>
      <c r="F5052" s="2">
        <v>75000.0</v>
      </c>
      <c r="G5052" s="1" t="s">
        <v>518</v>
      </c>
      <c r="H5052" s="4">
        <f>IFERROR(__xludf.DUMMYFUNCTION("DATE(INDEX(SPLIT(G5052,""/""),,3),INDEX(SPLIT(G5052,""/""),,2),INDEX(SPLIT(G5052,""/""),,1))"),44757.0)</f>
        <v>44757</v>
      </c>
      <c r="I5052" s="1" t="s">
        <v>134</v>
      </c>
      <c r="J5052" s="4">
        <f>IFERROR(__xludf.DUMMYFUNCTION("DATE(INDEX(SPLIT(I5052,""/""),,3),INDEX(SPLIT(I5052,""/""),,2),INDEX(SPLIT(I5052,""/""),,1))"),44792.0)</f>
        <v>44792</v>
      </c>
      <c r="L5052" s="1">
        <v>0.0</v>
      </c>
      <c r="M5052" s="1" t="s">
        <v>4477</v>
      </c>
      <c r="N5052" s="1"/>
      <c r="O5052" s="1" t="s">
        <v>30</v>
      </c>
      <c r="P5052" s="1" t="s">
        <v>31</v>
      </c>
      <c r="Q5052" s="1" t="s">
        <v>228</v>
      </c>
      <c r="R5052" s="1" t="s">
        <v>228</v>
      </c>
      <c r="S5052" s="1" t="s">
        <v>229</v>
      </c>
      <c r="T5052" s="1" t="s">
        <v>513</v>
      </c>
      <c r="U5052" s="1">
        <v>1.00592715E8</v>
      </c>
      <c r="X5052" s="1" t="s">
        <v>117</v>
      </c>
      <c r="Y5052" s="1" t="s">
        <v>12831</v>
      </c>
      <c r="Z5052" s="1" t="s">
        <v>37</v>
      </c>
    </row>
    <row r="5053" hidden="1">
      <c r="A5053" s="1" t="s">
        <v>14093</v>
      </c>
      <c r="B5053" s="1" t="s">
        <v>9304</v>
      </c>
      <c r="C5053" s="1" t="s">
        <v>14094</v>
      </c>
      <c r="D5053" s="1" t="s">
        <v>78</v>
      </c>
      <c r="E5053" s="1" t="s">
        <v>28</v>
      </c>
      <c r="F5053" s="2">
        <v>75000.0</v>
      </c>
      <c r="G5053" s="1" t="s">
        <v>2309</v>
      </c>
      <c r="H5053" s="4">
        <f>IFERROR(__xludf.DUMMYFUNCTION("DATE(INDEX(SPLIT(G5053,""/""),,3),INDEX(SPLIT(G5053,""/""),,2),INDEX(SPLIT(G5053,""/""),,1))"),44672.0)</f>
        <v>44672</v>
      </c>
      <c r="I5053" s="1" t="s">
        <v>42</v>
      </c>
      <c r="J5053" s="4">
        <f>IFERROR(__xludf.DUMMYFUNCTION("DATE(INDEX(SPLIT(I5053,""/""),,3),INDEX(SPLIT(I5053,""/""),,2),INDEX(SPLIT(I5053,""/""),,1))"),44926.0)</f>
        <v>44926</v>
      </c>
      <c r="L5053" s="1">
        <v>0.0</v>
      </c>
      <c r="M5053" s="1" t="s">
        <v>5120</v>
      </c>
      <c r="N5053" s="1"/>
      <c r="O5053" s="1" t="s">
        <v>30</v>
      </c>
      <c r="P5053" s="1" t="s">
        <v>31</v>
      </c>
      <c r="Q5053" s="1" t="s">
        <v>71</v>
      </c>
      <c r="R5053" s="1" t="s">
        <v>71</v>
      </c>
      <c r="S5053" s="1" t="s">
        <v>72</v>
      </c>
      <c r="T5053" s="1" t="s">
        <v>136</v>
      </c>
      <c r="U5053" s="1">
        <v>1.0059101E8</v>
      </c>
      <c r="X5053" s="1" t="s">
        <v>74</v>
      </c>
      <c r="Y5053" s="1" t="s">
        <v>5120</v>
      </c>
      <c r="Z5053" s="1" t="s">
        <v>37</v>
      </c>
    </row>
    <row r="5054" hidden="1">
      <c r="A5054" s="1" t="s">
        <v>14095</v>
      </c>
      <c r="B5054" s="1" t="s">
        <v>6099</v>
      </c>
      <c r="C5054" s="1" t="s">
        <v>14096</v>
      </c>
      <c r="D5054" s="1" t="s">
        <v>27</v>
      </c>
      <c r="E5054" s="1" t="s">
        <v>28</v>
      </c>
      <c r="F5054" s="2">
        <v>75000.0</v>
      </c>
      <c r="G5054" s="1" t="s">
        <v>4901</v>
      </c>
      <c r="H5054" s="4">
        <f>IFERROR(__xludf.DUMMYFUNCTION("DATE(INDEX(SPLIT(G5054,""/""),,3),INDEX(SPLIT(G5054,""/""),,2),INDEX(SPLIT(G5054,""/""),,1))"),44488.0)</f>
        <v>44488</v>
      </c>
      <c r="I5054" s="1" t="s">
        <v>109</v>
      </c>
      <c r="J5054" s="4">
        <f>IFERROR(__xludf.DUMMYFUNCTION("DATE(INDEX(SPLIT(I5054,""/""),,3),INDEX(SPLIT(I5054,""/""),,2),INDEX(SPLIT(I5054,""/""),,1))"),44834.0)</f>
        <v>44834</v>
      </c>
      <c r="L5054" s="1">
        <v>0.0</v>
      </c>
      <c r="M5054" s="1" t="s">
        <v>563</v>
      </c>
      <c r="N5054" s="1"/>
      <c r="O5054" s="1" t="s">
        <v>30</v>
      </c>
      <c r="P5054" s="1" t="s">
        <v>31</v>
      </c>
      <c r="Q5054" s="1" t="s">
        <v>95</v>
      </c>
      <c r="R5054" s="1" t="s">
        <v>95</v>
      </c>
      <c r="S5054" s="1" t="s">
        <v>96</v>
      </c>
      <c r="T5054" s="1" t="s">
        <v>217</v>
      </c>
      <c r="U5054" s="1">
        <v>1.00646702E8</v>
      </c>
      <c r="X5054" s="1" t="s">
        <v>361</v>
      </c>
      <c r="Y5054" s="1" t="s">
        <v>563</v>
      </c>
      <c r="Z5054" s="1" t="s">
        <v>37</v>
      </c>
    </row>
    <row r="5055" hidden="1">
      <c r="A5055" s="1" t="s">
        <v>14097</v>
      </c>
      <c r="B5055" s="1" t="s">
        <v>14098</v>
      </c>
      <c r="C5055" s="1" t="s">
        <v>14099</v>
      </c>
      <c r="D5055" s="1" t="s">
        <v>78</v>
      </c>
      <c r="E5055" s="1" t="s">
        <v>28</v>
      </c>
      <c r="F5055" s="2">
        <v>75000.0</v>
      </c>
      <c r="G5055" s="1" t="s">
        <v>154</v>
      </c>
      <c r="H5055" s="4">
        <f>IFERROR(__xludf.DUMMYFUNCTION("DATE(INDEX(SPLIT(G5055,""/""),,3),INDEX(SPLIT(G5055,""/""),,2),INDEX(SPLIT(G5055,""/""),,1))"),44670.0)</f>
        <v>44670</v>
      </c>
      <c r="I5055" s="1" t="s">
        <v>281</v>
      </c>
      <c r="J5055" s="4">
        <f>IFERROR(__xludf.DUMMYFUNCTION("DATE(INDEX(SPLIT(I5055,""/""),,3),INDEX(SPLIT(I5055,""/""),,2),INDEX(SPLIT(I5055,""/""),,1))"),44865.0)</f>
        <v>44865</v>
      </c>
      <c r="L5055" s="1">
        <v>0.0</v>
      </c>
      <c r="M5055" s="1" t="s">
        <v>1649</v>
      </c>
      <c r="N5055" s="1"/>
      <c r="O5055" s="1" t="s">
        <v>30</v>
      </c>
      <c r="P5055" s="1" t="s">
        <v>31</v>
      </c>
      <c r="Q5055" s="1" t="s">
        <v>157</v>
      </c>
      <c r="R5055" s="1" t="s">
        <v>157</v>
      </c>
      <c r="S5055" s="1" t="s">
        <v>158</v>
      </c>
      <c r="U5055" s="1">
        <v>1.00643454E8</v>
      </c>
      <c r="X5055" s="1" t="s">
        <v>117</v>
      </c>
      <c r="Y5055" s="1" t="s">
        <v>8632</v>
      </c>
      <c r="Z5055" s="1" t="s">
        <v>37</v>
      </c>
    </row>
    <row r="5056">
      <c r="A5056" s="1" t="s">
        <v>14100</v>
      </c>
      <c r="B5056" s="1" t="s">
        <v>12561</v>
      </c>
      <c r="C5056" s="1" t="s">
        <v>14101</v>
      </c>
      <c r="D5056" s="1" t="s">
        <v>78</v>
      </c>
      <c r="E5056" s="1" t="s">
        <v>28</v>
      </c>
      <c r="F5056" s="2">
        <v>75000.0</v>
      </c>
      <c r="G5056" s="1" t="s">
        <v>12563</v>
      </c>
      <c r="H5056" s="4">
        <f>IFERROR(__xludf.DUMMYFUNCTION("DATE(INDEX(SPLIT(G5056,""/""),,3),INDEX(SPLIT(G5056,""/""),,2),INDEX(SPLIT(G5056,""/""),,1))"),44157.0)</f>
        <v>44157</v>
      </c>
      <c r="I5056" s="1" t="s">
        <v>1244</v>
      </c>
      <c r="J5056" s="4">
        <f>IFERROR(__xludf.DUMMYFUNCTION("DATE(INDEX(SPLIT(I5056,""/""),,3),INDEX(SPLIT(I5056,""/""),,2),INDEX(SPLIT(I5056,""/""),,1))"),44742.0)</f>
        <v>44742</v>
      </c>
      <c r="L5056" s="1">
        <v>0.0</v>
      </c>
      <c r="M5056" s="1" t="s">
        <v>4477</v>
      </c>
      <c r="N5056" s="1"/>
      <c r="O5056" s="1" t="s">
        <v>30</v>
      </c>
      <c r="P5056" s="1" t="s">
        <v>31</v>
      </c>
      <c r="Q5056" s="1" t="s">
        <v>228</v>
      </c>
      <c r="R5056" s="1" t="s">
        <v>228</v>
      </c>
      <c r="S5056" s="1" t="s">
        <v>229</v>
      </c>
      <c r="T5056" s="1" t="s">
        <v>513</v>
      </c>
      <c r="U5056" s="1">
        <v>1.00592715E8</v>
      </c>
      <c r="X5056" s="1" t="s">
        <v>98</v>
      </c>
      <c r="Y5056" s="1" t="s">
        <v>4477</v>
      </c>
      <c r="Z5056" s="1" t="s">
        <v>37</v>
      </c>
    </row>
    <row r="5057" hidden="1">
      <c r="A5057" s="1" t="s">
        <v>14102</v>
      </c>
      <c r="B5057" s="1" t="s">
        <v>13490</v>
      </c>
      <c r="C5057" s="1" t="s">
        <v>14103</v>
      </c>
      <c r="D5057" s="1" t="s">
        <v>27</v>
      </c>
      <c r="E5057" s="1" t="s">
        <v>28</v>
      </c>
      <c r="F5057" s="2">
        <v>75000.0</v>
      </c>
      <c r="G5057" s="1" t="s">
        <v>2572</v>
      </c>
      <c r="H5057" s="4">
        <f>IFERROR(__xludf.DUMMYFUNCTION("DATE(INDEX(SPLIT(G5057,""/""),,3),INDEX(SPLIT(G5057,""/""),,2),INDEX(SPLIT(G5057,""/""),,1))"),44581.0)</f>
        <v>44581</v>
      </c>
      <c r="I5057" s="1" t="s">
        <v>130</v>
      </c>
      <c r="J5057" s="4">
        <f>IFERROR(__xludf.DUMMYFUNCTION("DATE(INDEX(SPLIT(I5057,""/""),,3),INDEX(SPLIT(I5057,""/""),,2),INDEX(SPLIT(I5057,""/""),,1))"),44804.0)</f>
        <v>44804</v>
      </c>
      <c r="L5057" s="1">
        <v>0.0</v>
      </c>
      <c r="M5057" s="1" t="s">
        <v>4011</v>
      </c>
      <c r="N5057" s="1"/>
      <c r="O5057" s="1" t="s">
        <v>30</v>
      </c>
      <c r="P5057" s="1" t="s">
        <v>31</v>
      </c>
      <c r="Q5057" s="1" t="s">
        <v>95</v>
      </c>
      <c r="R5057" s="1" t="s">
        <v>95</v>
      </c>
      <c r="S5057" s="1" t="s">
        <v>96</v>
      </c>
      <c r="T5057" s="1" t="s">
        <v>260</v>
      </c>
      <c r="U5057" s="1">
        <v>1.00702554E8</v>
      </c>
      <c r="X5057" s="1" t="s">
        <v>117</v>
      </c>
      <c r="Y5057" s="1" t="s">
        <v>8032</v>
      </c>
      <c r="Z5057" s="1" t="s">
        <v>206</v>
      </c>
    </row>
    <row r="5058" hidden="1">
      <c r="A5058" s="1" t="s">
        <v>14104</v>
      </c>
      <c r="B5058" s="1" t="s">
        <v>14098</v>
      </c>
      <c r="C5058" s="1" t="s">
        <v>14105</v>
      </c>
      <c r="D5058" s="1" t="s">
        <v>27</v>
      </c>
      <c r="E5058" s="1" t="s">
        <v>28</v>
      </c>
      <c r="F5058" s="2">
        <v>75000.0</v>
      </c>
      <c r="G5058" s="1" t="s">
        <v>359</v>
      </c>
      <c r="H5058" s="4">
        <f>IFERROR(__xludf.DUMMYFUNCTION("DATE(INDEX(SPLIT(G5058,""/""),,3),INDEX(SPLIT(G5058,""/""),,2),INDEX(SPLIT(G5058,""/""),,1))"),44740.0)</f>
        <v>44740</v>
      </c>
      <c r="I5058" s="1" t="s">
        <v>130</v>
      </c>
      <c r="J5058" s="4">
        <f>IFERROR(__xludf.DUMMYFUNCTION("DATE(INDEX(SPLIT(I5058,""/""),,3),INDEX(SPLIT(I5058,""/""),,2),INDEX(SPLIT(I5058,""/""),,1))"),44804.0)</f>
        <v>44804</v>
      </c>
      <c r="L5058" s="1">
        <v>0.0</v>
      </c>
      <c r="M5058" s="1" t="s">
        <v>1649</v>
      </c>
      <c r="N5058" s="1"/>
      <c r="O5058" s="1" t="s">
        <v>30</v>
      </c>
      <c r="P5058" s="1" t="s">
        <v>31</v>
      </c>
      <c r="Q5058" s="1" t="s">
        <v>157</v>
      </c>
      <c r="R5058" s="1" t="s">
        <v>157</v>
      </c>
      <c r="S5058" s="1" t="s">
        <v>158</v>
      </c>
      <c r="U5058" s="1">
        <v>1.00643454E8</v>
      </c>
      <c r="X5058" s="1" t="s">
        <v>117</v>
      </c>
      <c r="Y5058" s="1" t="s">
        <v>8632</v>
      </c>
      <c r="Z5058" s="1" t="s">
        <v>37</v>
      </c>
    </row>
    <row r="5059" hidden="1">
      <c r="A5059" s="1" t="s">
        <v>14106</v>
      </c>
      <c r="B5059" s="1" t="s">
        <v>13426</v>
      </c>
      <c r="C5059" s="1" t="s">
        <v>14107</v>
      </c>
      <c r="D5059" s="1" t="s">
        <v>78</v>
      </c>
      <c r="E5059" s="1" t="s">
        <v>28</v>
      </c>
      <c r="F5059" s="2">
        <v>75000.0</v>
      </c>
      <c r="G5059" s="1" t="s">
        <v>429</v>
      </c>
      <c r="H5059" s="4">
        <f>IFERROR(__xludf.DUMMYFUNCTION("DATE(INDEX(SPLIT(G5059,""/""),,3),INDEX(SPLIT(G5059,""/""),,2),INDEX(SPLIT(G5059,""/""),,1))"),44739.0)</f>
        <v>44739</v>
      </c>
      <c r="I5059" s="1" t="s">
        <v>109</v>
      </c>
      <c r="J5059" s="4">
        <f>IFERROR(__xludf.DUMMYFUNCTION("DATE(INDEX(SPLIT(I5059,""/""),,3),INDEX(SPLIT(I5059,""/""),,2),INDEX(SPLIT(I5059,""/""),,1))"),44834.0)</f>
        <v>44834</v>
      </c>
      <c r="L5059" s="1">
        <v>0.0</v>
      </c>
      <c r="M5059" s="1" t="s">
        <v>823</v>
      </c>
      <c r="N5059" s="1"/>
      <c r="O5059" s="1" t="s">
        <v>30</v>
      </c>
      <c r="P5059" s="1" t="s">
        <v>31</v>
      </c>
      <c r="Q5059" s="1" t="s">
        <v>95</v>
      </c>
      <c r="R5059" s="1" t="s">
        <v>95</v>
      </c>
      <c r="S5059" s="1" t="s">
        <v>96</v>
      </c>
      <c r="T5059" s="1" t="s">
        <v>489</v>
      </c>
      <c r="U5059" s="1">
        <v>1.00629729E8</v>
      </c>
      <c r="X5059" s="1" t="s">
        <v>74</v>
      </c>
      <c r="Y5059" s="1" t="s">
        <v>2674</v>
      </c>
      <c r="Z5059" s="1" t="s">
        <v>37</v>
      </c>
    </row>
    <row r="5060" hidden="1">
      <c r="A5060" s="1" t="s">
        <v>14108</v>
      </c>
      <c r="B5060" s="1" t="s">
        <v>14109</v>
      </c>
      <c r="C5060" s="1" t="s">
        <v>14110</v>
      </c>
      <c r="D5060" s="1" t="s">
        <v>78</v>
      </c>
      <c r="E5060" s="1" t="s">
        <v>28</v>
      </c>
      <c r="F5060" s="2">
        <v>75000.0</v>
      </c>
      <c r="G5060" s="1" t="s">
        <v>41</v>
      </c>
      <c r="H5060" s="4">
        <f>IFERROR(__xludf.DUMMYFUNCTION("DATE(INDEX(SPLIT(G5060,""/""),,3),INDEX(SPLIT(G5060,""/""),,2),INDEX(SPLIT(G5060,""/""),,1))"),44607.0)</f>
        <v>44607</v>
      </c>
      <c r="I5060" s="1" t="s">
        <v>109</v>
      </c>
      <c r="J5060" s="4">
        <f>IFERROR(__xludf.DUMMYFUNCTION("DATE(INDEX(SPLIT(I5060,""/""),,3),INDEX(SPLIT(I5060,""/""),,2),INDEX(SPLIT(I5060,""/""),,1))"),44834.0)</f>
        <v>44834</v>
      </c>
      <c r="L5060" s="1">
        <v>0.0</v>
      </c>
      <c r="M5060" s="1" t="s">
        <v>1685</v>
      </c>
      <c r="N5060" s="1"/>
      <c r="O5060" s="1" t="s">
        <v>30</v>
      </c>
      <c r="P5060" s="1" t="s">
        <v>31</v>
      </c>
      <c r="Q5060" s="1" t="s">
        <v>228</v>
      </c>
      <c r="R5060" s="1" t="s">
        <v>228</v>
      </c>
      <c r="S5060" s="1" t="s">
        <v>229</v>
      </c>
      <c r="T5060" s="1" t="s">
        <v>513</v>
      </c>
      <c r="U5060" s="1">
        <v>1.00612055E8</v>
      </c>
      <c r="X5060" s="1" t="s">
        <v>117</v>
      </c>
      <c r="Y5060" s="1" t="s">
        <v>1685</v>
      </c>
      <c r="Z5060" s="1" t="s">
        <v>37</v>
      </c>
    </row>
    <row r="5061" hidden="1">
      <c r="A5061" s="1" t="s">
        <v>14111</v>
      </c>
      <c r="B5061" s="1" t="s">
        <v>9103</v>
      </c>
      <c r="C5061" s="1" t="s">
        <v>14112</v>
      </c>
      <c r="D5061" s="1" t="s">
        <v>122</v>
      </c>
      <c r="E5061" s="1" t="s">
        <v>28</v>
      </c>
      <c r="F5061" s="2">
        <v>72000.0</v>
      </c>
      <c r="G5061" s="1" t="s">
        <v>14113</v>
      </c>
      <c r="H5061" s="4">
        <f>IFERROR(__xludf.DUMMYFUNCTION("DATE(INDEX(SPLIT(G5061,""/""),,3),INDEX(SPLIT(G5061,""/""),,2),INDEX(SPLIT(G5061,""/""),,1))"),43939.0)</f>
        <v>43939</v>
      </c>
      <c r="I5061" s="1" t="s">
        <v>1097</v>
      </c>
      <c r="J5061" s="4">
        <f>IFERROR(__xludf.DUMMYFUNCTION("DATE(INDEX(SPLIT(I5061,""/""),,3),INDEX(SPLIT(I5061,""/""),,2),INDEX(SPLIT(I5061,""/""),,1))"),45107.0)</f>
        <v>45107</v>
      </c>
      <c r="L5061" s="1">
        <v>0.0</v>
      </c>
      <c r="M5061" s="1" t="s">
        <v>211</v>
      </c>
      <c r="N5061" s="1"/>
      <c r="O5061" s="1" t="s">
        <v>30</v>
      </c>
      <c r="P5061" s="1" t="s">
        <v>31</v>
      </c>
      <c r="Q5061" s="1" t="s">
        <v>71</v>
      </c>
      <c r="R5061" s="1" t="s">
        <v>71</v>
      </c>
      <c r="S5061" s="1" t="s">
        <v>72</v>
      </c>
      <c r="T5061" s="1" t="s">
        <v>136</v>
      </c>
      <c r="U5061" s="1">
        <v>1.00590896E8</v>
      </c>
      <c r="X5061" s="1" t="s">
        <v>74</v>
      </c>
      <c r="Y5061" s="1" t="s">
        <v>12849</v>
      </c>
      <c r="Z5061" s="1" t="s">
        <v>37</v>
      </c>
    </row>
    <row r="5062">
      <c r="A5062" s="1" t="s">
        <v>14114</v>
      </c>
      <c r="B5062" s="1" t="s">
        <v>14115</v>
      </c>
      <c r="C5062" s="1" t="s">
        <v>14116</v>
      </c>
      <c r="D5062" s="1" t="s">
        <v>122</v>
      </c>
      <c r="E5062" s="1" t="s">
        <v>28</v>
      </c>
      <c r="F5062" s="2">
        <v>71500.0</v>
      </c>
      <c r="G5062" s="4">
        <v>44748.0</v>
      </c>
      <c r="H5062" s="4">
        <f>IFERROR(__xludf.DUMMYFUNCTION("DATE(INDEX(SPLIT(G5062,""/""),,3),INDEX(SPLIT(G5062,""/""),,2),INDEX(SPLIT(G5062,""/""),,1))"),44719.0)</f>
        <v>44719</v>
      </c>
      <c r="I5062" s="4">
        <v>44872.0</v>
      </c>
      <c r="J5062" s="4">
        <f>IFERROR(__xludf.DUMMYFUNCTION("DATE(INDEX(SPLIT(I5062,""/""),,3),INDEX(SPLIT(I5062,""/""),,2),INDEX(SPLIT(I5062,""/""),,1))"),44753.0)</f>
        <v>44753</v>
      </c>
      <c r="L5062" s="1">
        <v>0.0</v>
      </c>
      <c r="M5062" s="1" t="s">
        <v>6570</v>
      </c>
      <c r="N5062" s="1"/>
      <c r="O5062" s="1" t="s">
        <v>30</v>
      </c>
      <c r="P5062" s="1" t="s">
        <v>31</v>
      </c>
      <c r="Q5062" s="1" t="s">
        <v>53</v>
      </c>
      <c r="R5062" s="1" t="s">
        <v>53</v>
      </c>
      <c r="S5062" s="1" t="s">
        <v>54</v>
      </c>
      <c r="T5062" s="1" t="s">
        <v>1386</v>
      </c>
      <c r="U5062" s="1">
        <v>1.01230882E8</v>
      </c>
      <c r="X5062" s="1" t="s">
        <v>490</v>
      </c>
      <c r="Y5062" s="1" t="s">
        <v>6570</v>
      </c>
      <c r="Z5062" s="1" t="s">
        <v>37</v>
      </c>
    </row>
    <row r="5063">
      <c r="A5063" s="1" t="s">
        <v>14117</v>
      </c>
      <c r="B5063" s="1" t="s">
        <v>4797</v>
      </c>
      <c r="C5063" s="1" t="s">
        <v>14118</v>
      </c>
      <c r="D5063" s="1" t="s">
        <v>27</v>
      </c>
      <c r="E5063" s="1" t="s">
        <v>28</v>
      </c>
      <c r="F5063" s="2">
        <v>70224.72</v>
      </c>
      <c r="G5063" s="4">
        <v>44777.0</v>
      </c>
      <c r="H5063" s="4">
        <f>IFERROR(__xludf.DUMMYFUNCTION("DATE(INDEX(SPLIT(G5063,""/""),,3),INDEX(SPLIT(G5063,""/""),,2),INDEX(SPLIT(G5063,""/""),,1))"),44659.0)</f>
        <v>44659</v>
      </c>
      <c r="I5063" s="1" t="s">
        <v>2300</v>
      </c>
      <c r="J5063" s="4">
        <f>IFERROR(__xludf.DUMMYFUNCTION("DATE(INDEX(SPLIT(I5063,""/""),,3),INDEX(SPLIT(I5063,""/""),,2),INDEX(SPLIT(I5063,""/""),,1))"),44712.0)</f>
        <v>44712</v>
      </c>
      <c r="L5063" s="1">
        <v>0.0</v>
      </c>
      <c r="M5063" s="1" t="s">
        <v>8755</v>
      </c>
      <c r="N5063" s="1"/>
      <c r="O5063" s="1" t="s">
        <v>30</v>
      </c>
      <c r="P5063" s="1" t="s">
        <v>31</v>
      </c>
      <c r="Q5063" s="1" t="s">
        <v>1320</v>
      </c>
      <c r="R5063" s="1" t="s">
        <v>1320</v>
      </c>
      <c r="S5063" s="1" t="s">
        <v>54</v>
      </c>
      <c r="U5063" s="1">
        <v>1.00591676E8</v>
      </c>
      <c r="X5063" s="1" t="s">
        <v>312</v>
      </c>
      <c r="Y5063" s="1" t="s">
        <v>13962</v>
      </c>
      <c r="Z5063" s="1" t="s">
        <v>37</v>
      </c>
    </row>
    <row r="5064">
      <c r="A5064" s="1" t="s">
        <v>14119</v>
      </c>
      <c r="B5064" s="1" t="s">
        <v>14120</v>
      </c>
      <c r="C5064" s="1" t="s">
        <v>14121</v>
      </c>
      <c r="D5064" s="1" t="s">
        <v>122</v>
      </c>
      <c r="E5064" s="1" t="s">
        <v>28</v>
      </c>
      <c r="F5064" s="2">
        <v>70000.0</v>
      </c>
      <c r="G5064" s="4">
        <v>44902.0</v>
      </c>
      <c r="H5064" s="4">
        <f>IFERROR(__xludf.DUMMYFUNCTION("DATE(INDEX(SPLIT(G5064,""/""),,3),INDEX(SPLIT(G5064,""/""),,2),INDEX(SPLIT(G5064,""/""),,1))"),44754.0)</f>
        <v>44754</v>
      </c>
      <c r="I5064" s="1" t="s">
        <v>69</v>
      </c>
      <c r="J5064" s="4">
        <f>IFERROR(__xludf.DUMMYFUNCTION("DATE(INDEX(SPLIT(I5064,""/""),,3),INDEX(SPLIT(I5064,""/""),,2),INDEX(SPLIT(I5064,""/""),,1))"),44773.0)</f>
        <v>44773</v>
      </c>
      <c r="L5064" s="1">
        <v>0.0</v>
      </c>
      <c r="M5064" s="1" t="s">
        <v>3948</v>
      </c>
      <c r="N5064" s="1"/>
      <c r="O5064" s="1" t="s">
        <v>30</v>
      </c>
      <c r="P5064" s="1" t="s">
        <v>31</v>
      </c>
      <c r="Q5064" s="1" t="s">
        <v>228</v>
      </c>
      <c r="R5064" s="1" t="s">
        <v>228</v>
      </c>
      <c r="S5064" s="1" t="s">
        <v>229</v>
      </c>
      <c r="T5064" s="1" t="s">
        <v>513</v>
      </c>
      <c r="U5064" s="1">
        <v>1.0066189E8</v>
      </c>
      <c r="X5064" s="1" t="s">
        <v>63</v>
      </c>
      <c r="Y5064" s="1" t="s">
        <v>11862</v>
      </c>
      <c r="Z5064" s="1" t="s">
        <v>37</v>
      </c>
    </row>
    <row r="5065">
      <c r="A5065" s="1" t="s">
        <v>14122</v>
      </c>
      <c r="B5065" s="1" t="s">
        <v>14123</v>
      </c>
      <c r="C5065" s="1" t="s">
        <v>14124</v>
      </c>
      <c r="D5065" s="1" t="s">
        <v>78</v>
      </c>
      <c r="E5065" s="1" t="s">
        <v>28</v>
      </c>
      <c r="F5065" s="2">
        <v>70000.0</v>
      </c>
      <c r="G5065" s="1" t="s">
        <v>2632</v>
      </c>
      <c r="H5065" s="4">
        <f>IFERROR(__xludf.DUMMYFUNCTION("DATE(INDEX(SPLIT(G5065,""/""),,3),INDEX(SPLIT(G5065,""/""),,2),INDEX(SPLIT(G5065,""/""),,1))"),44702.0)</f>
        <v>44702</v>
      </c>
      <c r="I5065" s="1" t="s">
        <v>69</v>
      </c>
      <c r="J5065" s="4">
        <f>IFERROR(__xludf.DUMMYFUNCTION("DATE(INDEX(SPLIT(I5065,""/""),,3),INDEX(SPLIT(I5065,""/""),,2),INDEX(SPLIT(I5065,""/""),,1))"),44773.0)</f>
        <v>44773</v>
      </c>
      <c r="L5065" s="1">
        <v>0.0</v>
      </c>
      <c r="M5065" s="1" t="s">
        <v>3948</v>
      </c>
      <c r="N5065" s="1"/>
      <c r="O5065" s="1" t="s">
        <v>30</v>
      </c>
      <c r="P5065" s="1" t="s">
        <v>31</v>
      </c>
      <c r="Q5065" s="1" t="s">
        <v>228</v>
      </c>
      <c r="R5065" s="1" t="s">
        <v>228</v>
      </c>
      <c r="S5065" s="1" t="s">
        <v>229</v>
      </c>
      <c r="U5065" s="1">
        <v>1.0066189E8</v>
      </c>
      <c r="X5065" s="1" t="s">
        <v>63</v>
      </c>
      <c r="Y5065" s="1" t="s">
        <v>14125</v>
      </c>
      <c r="Z5065" s="1" t="s">
        <v>37</v>
      </c>
    </row>
    <row r="5066">
      <c r="A5066" s="1" t="s">
        <v>14126</v>
      </c>
      <c r="B5066" s="1" t="s">
        <v>981</v>
      </c>
      <c r="C5066" s="1" t="s">
        <v>14127</v>
      </c>
      <c r="D5066" s="1" t="s">
        <v>68</v>
      </c>
      <c r="E5066" s="1" t="s">
        <v>28</v>
      </c>
      <c r="F5066" s="2">
        <v>70000.0</v>
      </c>
      <c r="G5066" s="4">
        <v>44656.0</v>
      </c>
      <c r="H5066" s="4">
        <f>IFERROR(__xludf.DUMMYFUNCTION("DATE(INDEX(SPLIT(G5066,""/""),,3),INDEX(SPLIT(G5066,""/""),,2),INDEX(SPLIT(G5066,""/""),,1))"),44685.0)</f>
        <v>44685</v>
      </c>
      <c r="I5066" s="1" t="s">
        <v>1244</v>
      </c>
      <c r="J5066" s="4">
        <f>IFERROR(__xludf.DUMMYFUNCTION("DATE(INDEX(SPLIT(I5066,""/""),,3),INDEX(SPLIT(I5066,""/""),,2),INDEX(SPLIT(I5066,""/""),,1))"),44742.0)</f>
        <v>44742</v>
      </c>
      <c r="L5066" s="1">
        <v>0.0</v>
      </c>
      <c r="M5066" s="1" t="s">
        <v>1685</v>
      </c>
      <c r="N5066" s="1"/>
      <c r="O5066" s="1" t="s">
        <v>30</v>
      </c>
      <c r="P5066" s="1" t="s">
        <v>31</v>
      </c>
      <c r="Q5066" s="1" t="s">
        <v>228</v>
      </c>
      <c r="R5066" s="1" t="s">
        <v>228</v>
      </c>
      <c r="S5066" s="1" t="s">
        <v>229</v>
      </c>
      <c r="T5066" s="1" t="s">
        <v>505</v>
      </c>
      <c r="U5066" s="1">
        <v>1.00612055E8</v>
      </c>
      <c r="X5066" s="1" t="s">
        <v>490</v>
      </c>
      <c r="Y5066" s="1" t="s">
        <v>1685</v>
      </c>
      <c r="Z5066" s="1" t="s">
        <v>37</v>
      </c>
    </row>
    <row r="5067">
      <c r="A5067" s="1" t="s">
        <v>14128</v>
      </c>
      <c r="B5067" s="1" t="s">
        <v>14129</v>
      </c>
      <c r="C5067" s="1" t="s">
        <v>14130</v>
      </c>
      <c r="D5067" s="1" t="s">
        <v>122</v>
      </c>
      <c r="E5067" s="1" t="s">
        <v>28</v>
      </c>
      <c r="F5067" s="2">
        <v>70000.0</v>
      </c>
      <c r="G5067" s="4">
        <v>44568.0</v>
      </c>
      <c r="H5067" s="4">
        <f>IFERROR(__xludf.DUMMYFUNCTION("DATE(INDEX(SPLIT(G5067,""/""),,3),INDEX(SPLIT(G5067,""/""),,2),INDEX(SPLIT(G5067,""/""),,1))"),44743.0)</f>
        <v>44743</v>
      </c>
      <c r="I5067" s="1" t="s">
        <v>226</v>
      </c>
      <c r="J5067" s="4">
        <f>IFERROR(__xludf.DUMMYFUNCTION("DATE(INDEX(SPLIT(I5067,""/""),,3),INDEX(SPLIT(I5067,""/""),,2),INDEX(SPLIT(I5067,""/""),,1))"),44771.0)</f>
        <v>44771</v>
      </c>
      <c r="L5067" s="1">
        <v>0.0</v>
      </c>
      <c r="M5067" s="1" t="s">
        <v>10697</v>
      </c>
      <c r="N5067" s="1"/>
      <c r="O5067" s="1" t="s">
        <v>30</v>
      </c>
      <c r="P5067" s="1" t="s">
        <v>31</v>
      </c>
      <c r="Q5067" s="1" t="s">
        <v>228</v>
      </c>
      <c r="R5067" s="1" t="s">
        <v>228</v>
      </c>
      <c r="S5067" s="1" t="s">
        <v>229</v>
      </c>
      <c r="T5067" s="1" t="s">
        <v>513</v>
      </c>
      <c r="U5067" s="1">
        <v>1.00612201E8</v>
      </c>
      <c r="X5067" s="1" t="s">
        <v>125</v>
      </c>
      <c r="Y5067" s="1" t="s">
        <v>14131</v>
      </c>
      <c r="Z5067" s="1" t="s">
        <v>37</v>
      </c>
    </row>
    <row r="5068">
      <c r="A5068" s="1" t="s">
        <v>14132</v>
      </c>
      <c r="B5068" s="1" t="s">
        <v>2000</v>
      </c>
      <c r="C5068" s="1" t="s">
        <v>14133</v>
      </c>
      <c r="D5068" s="1" t="s">
        <v>122</v>
      </c>
      <c r="E5068" s="1" t="s">
        <v>28</v>
      </c>
      <c r="F5068" s="2">
        <v>70000.0</v>
      </c>
      <c r="G5068" s="4">
        <v>44621.0</v>
      </c>
      <c r="H5068" s="4">
        <f>IFERROR(__xludf.DUMMYFUNCTION("DATE(INDEX(SPLIT(G5068,""/""),,3),INDEX(SPLIT(G5068,""/""),,2),INDEX(SPLIT(G5068,""/""),,1))"),44564.0)</f>
        <v>44564</v>
      </c>
      <c r="I5068" s="1" t="s">
        <v>1244</v>
      </c>
      <c r="J5068" s="4">
        <f>IFERROR(__xludf.DUMMYFUNCTION("DATE(INDEX(SPLIT(I5068,""/""),,3),INDEX(SPLIT(I5068,""/""),,2),INDEX(SPLIT(I5068,""/""),,1))"),44742.0)</f>
        <v>44742</v>
      </c>
      <c r="L5068" s="1">
        <v>0.0</v>
      </c>
      <c r="M5068" s="1" t="s">
        <v>4274</v>
      </c>
      <c r="N5068" s="1"/>
      <c r="O5068" s="1" t="s">
        <v>30</v>
      </c>
      <c r="P5068" s="1" t="s">
        <v>31</v>
      </c>
      <c r="Q5068" s="1" t="s">
        <v>235</v>
      </c>
      <c r="R5068" s="1" t="s">
        <v>235</v>
      </c>
      <c r="S5068" s="1" t="s">
        <v>236</v>
      </c>
      <c r="T5068" s="1" t="s">
        <v>1349</v>
      </c>
      <c r="U5068" s="1">
        <v>1.00628891E8</v>
      </c>
      <c r="X5068" s="1" t="s">
        <v>609</v>
      </c>
      <c r="Y5068" s="1" t="s">
        <v>7529</v>
      </c>
      <c r="Z5068" s="1" t="s">
        <v>37</v>
      </c>
    </row>
    <row r="5069" hidden="1">
      <c r="A5069" s="1" t="s">
        <v>14134</v>
      </c>
      <c r="B5069" s="1" t="s">
        <v>2000</v>
      </c>
      <c r="C5069" s="1" t="s">
        <v>14135</v>
      </c>
      <c r="D5069" s="1" t="s">
        <v>122</v>
      </c>
      <c r="E5069" s="1" t="s">
        <v>28</v>
      </c>
      <c r="F5069" s="2">
        <v>70000.0</v>
      </c>
      <c r="G5069" s="4">
        <v>44621.0</v>
      </c>
      <c r="H5069" s="4">
        <f>IFERROR(__xludf.DUMMYFUNCTION("DATE(INDEX(SPLIT(G5069,""/""),,3),INDEX(SPLIT(G5069,""/""),,2),INDEX(SPLIT(G5069,""/""),,1))"),44564.0)</f>
        <v>44564</v>
      </c>
      <c r="I5069" s="1" t="s">
        <v>109</v>
      </c>
      <c r="J5069" s="4">
        <f>IFERROR(__xludf.DUMMYFUNCTION("DATE(INDEX(SPLIT(I5069,""/""),,3),INDEX(SPLIT(I5069,""/""),,2),INDEX(SPLIT(I5069,""/""),,1))"),44834.0)</f>
        <v>44834</v>
      </c>
      <c r="L5069" s="1">
        <v>0.0</v>
      </c>
      <c r="M5069" s="1" t="s">
        <v>4274</v>
      </c>
      <c r="N5069" s="1"/>
      <c r="O5069" s="1" t="s">
        <v>30</v>
      </c>
      <c r="P5069" s="1" t="s">
        <v>31</v>
      </c>
      <c r="Q5069" s="1" t="s">
        <v>235</v>
      </c>
      <c r="R5069" s="1" t="s">
        <v>235</v>
      </c>
      <c r="S5069" s="1" t="s">
        <v>236</v>
      </c>
      <c r="T5069" s="1" t="s">
        <v>1349</v>
      </c>
      <c r="U5069" s="1">
        <v>1.00628891E8</v>
      </c>
      <c r="X5069" s="1" t="s">
        <v>609</v>
      </c>
      <c r="Y5069" s="1" t="s">
        <v>7529</v>
      </c>
      <c r="Z5069" s="1" t="s">
        <v>37</v>
      </c>
    </row>
    <row r="5070">
      <c r="A5070" s="1" t="s">
        <v>14136</v>
      </c>
      <c r="B5070" s="1" t="s">
        <v>658</v>
      </c>
      <c r="C5070" s="1" t="s">
        <v>14137</v>
      </c>
      <c r="D5070" s="1" t="s">
        <v>122</v>
      </c>
      <c r="E5070" s="1" t="s">
        <v>28</v>
      </c>
      <c r="F5070" s="2">
        <v>70000.0</v>
      </c>
      <c r="G5070" s="1" t="s">
        <v>818</v>
      </c>
      <c r="H5070" s="4">
        <f>IFERROR(__xludf.DUMMYFUNCTION("DATE(INDEX(SPLIT(G5070,""/""),,3),INDEX(SPLIT(G5070,""/""),,2),INDEX(SPLIT(G5070,""/""),,1))"),44553.0)</f>
        <v>44553</v>
      </c>
      <c r="I5070" s="1" t="s">
        <v>226</v>
      </c>
      <c r="J5070" s="4">
        <f>IFERROR(__xludf.DUMMYFUNCTION("DATE(INDEX(SPLIT(I5070,""/""),,3),INDEX(SPLIT(I5070,""/""),,2),INDEX(SPLIT(I5070,""/""),,1))"),44771.0)</f>
        <v>44771</v>
      </c>
      <c r="L5070" s="1">
        <v>0.0</v>
      </c>
      <c r="M5070" s="1" t="s">
        <v>914</v>
      </c>
      <c r="N5070" s="1"/>
      <c r="O5070" s="1" t="s">
        <v>30</v>
      </c>
      <c r="P5070" s="1" t="s">
        <v>31</v>
      </c>
      <c r="Q5070" s="1" t="s">
        <v>71</v>
      </c>
      <c r="R5070" s="1" t="s">
        <v>71</v>
      </c>
      <c r="S5070" s="1" t="s">
        <v>72</v>
      </c>
      <c r="T5070" s="1" t="s">
        <v>14138</v>
      </c>
      <c r="U5070" s="1">
        <v>1.01033479E8</v>
      </c>
      <c r="X5070" s="1" t="s">
        <v>74</v>
      </c>
      <c r="Y5070" s="1" t="s">
        <v>14139</v>
      </c>
      <c r="Z5070" s="1" t="s">
        <v>37</v>
      </c>
    </row>
    <row r="5071" hidden="1">
      <c r="A5071" s="1" t="s">
        <v>14140</v>
      </c>
      <c r="B5071" s="1" t="s">
        <v>14141</v>
      </c>
      <c r="C5071" s="1" t="s">
        <v>14142</v>
      </c>
      <c r="D5071" s="1" t="s">
        <v>27</v>
      </c>
      <c r="E5071" s="1" t="s">
        <v>28</v>
      </c>
      <c r="F5071" s="2">
        <v>70000.0</v>
      </c>
      <c r="G5071" s="1" t="s">
        <v>2673</v>
      </c>
      <c r="H5071" s="4">
        <f>IFERROR(__xludf.DUMMYFUNCTION("DATE(INDEX(SPLIT(G5071,""/""),,3),INDEX(SPLIT(G5071,""/""),,2),INDEX(SPLIT(G5071,""/""),,1))"),43760.0)</f>
        <v>43760</v>
      </c>
      <c r="I5071" s="4">
        <v>44573.0</v>
      </c>
      <c r="J5071" s="4">
        <f>IFERROR(__xludf.DUMMYFUNCTION("DATE(INDEX(SPLIT(I5071,""/""),,3),INDEX(SPLIT(I5071,""/""),,2),INDEX(SPLIT(I5071,""/""),,1))"),44896.0)</f>
        <v>44896</v>
      </c>
      <c r="L5071" s="1">
        <v>0.0</v>
      </c>
      <c r="M5071" s="1" t="s">
        <v>2696</v>
      </c>
      <c r="N5071" s="1"/>
      <c r="O5071" s="1" t="s">
        <v>30</v>
      </c>
      <c r="P5071" s="1" t="s">
        <v>31</v>
      </c>
      <c r="Q5071" s="1" t="s">
        <v>157</v>
      </c>
      <c r="R5071" s="1" t="s">
        <v>157</v>
      </c>
      <c r="S5071" s="1" t="s">
        <v>158</v>
      </c>
      <c r="T5071" s="1" t="s">
        <v>8712</v>
      </c>
      <c r="U5071" s="1">
        <v>1.00611351E8</v>
      </c>
      <c r="Y5071" s="1" t="s">
        <v>3016</v>
      </c>
      <c r="Z5071" s="1" t="s">
        <v>37</v>
      </c>
    </row>
    <row r="5072">
      <c r="A5072" s="1" t="s">
        <v>14143</v>
      </c>
      <c r="B5072" s="1" t="s">
        <v>14144</v>
      </c>
      <c r="C5072" s="1" t="s">
        <v>14145</v>
      </c>
      <c r="D5072" s="1" t="s">
        <v>78</v>
      </c>
      <c r="E5072" s="1" t="s">
        <v>28</v>
      </c>
      <c r="F5072" s="2">
        <v>70000.0</v>
      </c>
      <c r="G5072" s="1" t="s">
        <v>14146</v>
      </c>
      <c r="H5072" s="4">
        <f>IFERROR(__xludf.DUMMYFUNCTION("DATE(INDEX(SPLIT(G5072,""/""),,3),INDEX(SPLIT(G5072,""/""),,2),INDEX(SPLIT(G5072,""/""),,1))"),43823.0)</f>
        <v>43823</v>
      </c>
      <c r="I5072" s="1" t="s">
        <v>226</v>
      </c>
      <c r="J5072" s="4">
        <f>IFERROR(__xludf.DUMMYFUNCTION("DATE(INDEX(SPLIT(I5072,""/""),,3),INDEX(SPLIT(I5072,""/""),,2),INDEX(SPLIT(I5072,""/""),,1))"),44771.0)</f>
        <v>44771</v>
      </c>
      <c r="L5072" s="1">
        <v>0.0</v>
      </c>
      <c r="M5072" s="1" t="s">
        <v>2696</v>
      </c>
      <c r="N5072" s="1"/>
      <c r="O5072" s="1" t="s">
        <v>30</v>
      </c>
      <c r="P5072" s="1" t="s">
        <v>31</v>
      </c>
      <c r="Q5072" s="1" t="s">
        <v>157</v>
      </c>
      <c r="R5072" s="1" t="s">
        <v>157</v>
      </c>
      <c r="S5072" s="1" t="s">
        <v>158</v>
      </c>
      <c r="T5072" s="1" t="s">
        <v>402</v>
      </c>
      <c r="U5072" s="1">
        <v>1.00611351E8</v>
      </c>
      <c r="X5072" s="1" t="s">
        <v>781</v>
      </c>
      <c r="Y5072" s="1" t="s">
        <v>3016</v>
      </c>
      <c r="Z5072" s="1" t="s">
        <v>37</v>
      </c>
    </row>
    <row r="5073">
      <c r="A5073" s="1" t="s">
        <v>14147</v>
      </c>
      <c r="B5073" s="1" t="s">
        <v>14148</v>
      </c>
      <c r="C5073" s="1" t="s">
        <v>14149</v>
      </c>
      <c r="D5073" s="1" t="s">
        <v>78</v>
      </c>
      <c r="E5073" s="1" t="s">
        <v>28</v>
      </c>
      <c r="F5073" s="2">
        <v>70000.0</v>
      </c>
      <c r="G5073" s="1" t="s">
        <v>108</v>
      </c>
      <c r="H5073" s="4">
        <f>IFERROR(__xludf.DUMMYFUNCTION("DATE(INDEX(SPLIT(G5073,""/""),,3),INDEX(SPLIT(G5073,""/""),,2),INDEX(SPLIT(G5073,""/""),,1))"),44725.0)</f>
        <v>44725</v>
      </c>
      <c r="I5073" s="4">
        <v>44568.0</v>
      </c>
      <c r="J5073" s="4">
        <f>IFERROR(__xludf.DUMMYFUNCTION("DATE(INDEX(SPLIT(I5073,""/""),,3),INDEX(SPLIT(I5073,""/""),,2),INDEX(SPLIT(I5073,""/""),,1))"),44743.0)</f>
        <v>44743</v>
      </c>
      <c r="L5073" s="1">
        <v>0.0</v>
      </c>
      <c r="M5073" s="1" t="s">
        <v>14150</v>
      </c>
      <c r="N5073" s="1"/>
      <c r="O5073" s="1" t="s">
        <v>30</v>
      </c>
      <c r="P5073" s="1" t="s">
        <v>31</v>
      </c>
      <c r="Q5073" s="1" t="s">
        <v>228</v>
      </c>
      <c r="R5073" s="1" t="s">
        <v>228</v>
      </c>
      <c r="S5073" s="1" t="s">
        <v>229</v>
      </c>
      <c r="U5073" s="1">
        <v>1.00652798E8</v>
      </c>
      <c r="X5073" s="1" t="s">
        <v>490</v>
      </c>
      <c r="Y5073" s="1" t="s">
        <v>14125</v>
      </c>
      <c r="Z5073" s="1" t="s">
        <v>37</v>
      </c>
    </row>
    <row r="5074">
      <c r="A5074" s="1" t="s">
        <v>14151</v>
      </c>
      <c r="B5074" s="1" t="s">
        <v>1144</v>
      </c>
      <c r="C5074" s="1" t="s">
        <v>14152</v>
      </c>
      <c r="D5074" s="1" t="s">
        <v>78</v>
      </c>
      <c r="E5074" s="1" t="s">
        <v>28</v>
      </c>
      <c r="F5074" s="2">
        <v>70000.0</v>
      </c>
      <c r="G5074" s="1" t="s">
        <v>233</v>
      </c>
      <c r="H5074" s="4">
        <f>IFERROR(__xludf.DUMMYFUNCTION("DATE(INDEX(SPLIT(G5074,""/""),,3),INDEX(SPLIT(G5074,""/""),,2),INDEX(SPLIT(G5074,""/""),,1))"),44729.0)</f>
        <v>44729</v>
      </c>
      <c r="I5074" s="1" t="s">
        <v>1244</v>
      </c>
      <c r="J5074" s="4">
        <f>IFERROR(__xludf.DUMMYFUNCTION("DATE(INDEX(SPLIT(I5074,""/""),,3),INDEX(SPLIT(I5074,""/""),,2),INDEX(SPLIT(I5074,""/""),,1))"),44742.0)</f>
        <v>44742</v>
      </c>
      <c r="L5074" s="1">
        <v>0.0</v>
      </c>
      <c r="M5074" s="1" t="s">
        <v>1146</v>
      </c>
      <c r="N5074" s="1"/>
      <c r="O5074" s="1" t="s">
        <v>30</v>
      </c>
      <c r="P5074" s="1" t="s">
        <v>31</v>
      </c>
      <c r="Q5074" s="1" t="s">
        <v>228</v>
      </c>
      <c r="R5074" s="1" t="s">
        <v>228</v>
      </c>
      <c r="S5074" s="1" t="s">
        <v>229</v>
      </c>
      <c r="U5074" s="1">
        <v>1.0061139E8</v>
      </c>
      <c r="X5074" s="1" t="s">
        <v>63</v>
      </c>
      <c r="Y5074" s="1" t="s">
        <v>14153</v>
      </c>
      <c r="Z5074" s="1" t="s">
        <v>37</v>
      </c>
    </row>
    <row r="5075" hidden="1">
      <c r="A5075" s="1" t="s">
        <v>14154</v>
      </c>
      <c r="B5075" s="1" t="s">
        <v>14155</v>
      </c>
      <c r="C5075" s="1" t="s">
        <v>14156</v>
      </c>
      <c r="D5075" s="1" t="s">
        <v>78</v>
      </c>
      <c r="E5075" s="1" t="s">
        <v>28</v>
      </c>
      <c r="F5075" s="2">
        <v>70000.0</v>
      </c>
      <c r="G5075" s="4">
        <v>44809.0</v>
      </c>
      <c r="H5075" s="4">
        <f>IFERROR(__xludf.DUMMYFUNCTION("DATE(INDEX(SPLIT(G5075,""/""),,3),INDEX(SPLIT(G5075,""/""),,2),INDEX(SPLIT(G5075,""/""),,1))"),44690.0)</f>
        <v>44690</v>
      </c>
      <c r="I5075" s="1" t="s">
        <v>130</v>
      </c>
      <c r="J5075" s="4">
        <f>IFERROR(__xludf.DUMMYFUNCTION("DATE(INDEX(SPLIT(I5075,""/""),,3),INDEX(SPLIT(I5075,""/""),,2),INDEX(SPLIT(I5075,""/""),,1))"),44804.0)</f>
        <v>44804</v>
      </c>
      <c r="L5075" s="1">
        <v>0.0</v>
      </c>
      <c r="M5075" s="1" t="s">
        <v>10697</v>
      </c>
      <c r="N5075" s="1"/>
      <c r="O5075" s="1" t="s">
        <v>30</v>
      </c>
      <c r="P5075" s="1" t="s">
        <v>31</v>
      </c>
      <c r="Q5075" s="1" t="s">
        <v>228</v>
      </c>
      <c r="R5075" s="1" t="s">
        <v>228</v>
      </c>
      <c r="S5075" s="1" t="s">
        <v>229</v>
      </c>
      <c r="U5075" s="1">
        <v>1.00612201E8</v>
      </c>
      <c r="X5075" s="1" t="s">
        <v>63</v>
      </c>
      <c r="Y5075" s="1" t="s">
        <v>8919</v>
      </c>
      <c r="Z5075" s="1" t="s">
        <v>37</v>
      </c>
    </row>
    <row r="5076" hidden="1">
      <c r="A5076" s="1" t="s">
        <v>14157</v>
      </c>
      <c r="B5076" s="1" t="s">
        <v>4733</v>
      </c>
      <c r="C5076" s="1" t="s">
        <v>14158</v>
      </c>
      <c r="D5076" s="1" t="s">
        <v>122</v>
      </c>
      <c r="E5076" s="1" t="s">
        <v>28</v>
      </c>
      <c r="F5076" s="2">
        <v>68600.0</v>
      </c>
      <c r="G5076" s="1" t="s">
        <v>935</v>
      </c>
      <c r="H5076" s="4">
        <f>IFERROR(__xludf.DUMMYFUNCTION("DATE(INDEX(SPLIT(G5076,""/""),,3),INDEX(SPLIT(G5076,""/""),,2),INDEX(SPLIT(G5076,""/""),,1))"),44764.0)</f>
        <v>44764</v>
      </c>
      <c r="I5076" s="1" t="s">
        <v>360</v>
      </c>
      <c r="J5076" s="4">
        <f>IFERROR(__xludf.DUMMYFUNCTION("DATE(INDEX(SPLIT(I5076,""/""),,3),INDEX(SPLIT(I5076,""/""),,2),INDEX(SPLIT(I5076,""/""),,1))"),44895.0)</f>
        <v>44895</v>
      </c>
      <c r="L5076" s="1">
        <v>0.0</v>
      </c>
      <c r="M5076" s="1" t="s">
        <v>4735</v>
      </c>
      <c r="N5076" s="1"/>
      <c r="O5076" s="1" t="s">
        <v>30</v>
      </c>
      <c r="P5076" s="1" t="s">
        <v>31</v>
      </c>
      <c r="Q5076" s="1" t="s">
        <v>71</v>
      </c>
      <c r="R5076" s="1" t="s">
        <v>71</v>
      </c>
      <c r="S5076" s="1" t="s">
        <v>72</v>
      </c>
      <c r="T5076" s="1" t="s">
        <v>136</v>
      </c>
      <c r="U5076" s="1">
        <v>1.00609615E8</v>
      </c>
      <c r="X5076" s="1" t="s">
        <v>74</v>
      </c>
      <c r="Y5076" s="1" t="s">
        <v>2593</v>
      </c>
      <c r="Z5076" s="1" t="s">
        <v>206</v>
      </c>
    </row>
    <row r="5077" hidden="1">
      <c r="A5077" s="1" t="s">
        <v>14159</v>
      </c>
      <c r="B5077" s="1" t="s">
        <v>14160</v>
      </c>
      <c r="C5077" s="1" t="s">
        <v>14161</v>
      </c>
      <c r="D5077" s="1" t="s">
        <v>122</v>
      </c>
      <c r="E5077" s="1" t="s">
        <v>28</v>
      </c>
      <c r="F5077" s="2">
        <v>66000.0</v>
      </c>
      <c r="G5077" s="1" t="s">
        <v>935</v>
      </c>
      <c r="H5077" s="4">
        <f>IFERROR(__xludf.DUMMYFUNCTION("DATE(INDEX(SPLIT(G5077,""/""),,3),INDEX(SPLIT(G5077,""/""),,2),INDEX(SPLIT(G5077,""/""),,1))"),44764.0)</f>
        <v>44764</v>
      </c>
      <c r="I5077" s="1" t="s">
        <v>535</v>
      </c>
      <c r="J5077" s="4">
        <f>IFERROR(__xludf.DUMMYFUNCTION("DATE(INDEX(SPLIT(I5077,""/""),,3),INDEX(SPLIT(I5077,""/""),,2),INDEX(SPLIT(I5077,""/""),,1))"),44957.0)</f>
        <v>44957</v>
      </c>
      <c r="L5077" s="1">
        <v>0.0</v>
      </c>
      <c r="M5077" s="1" t="s">
        <v>4735</v>
      </c>
      <c r="N5077" s="1"/>
      <c r="O5077" s="1" t="s">
        <v>30</v>
      </c>
      <c r="P5077" s="1" t="s">
        <v>31</v>
      </c>
      <c r="Q5077" s="1" t="s">
        <v>71</v>
      </c>
      <c r="R5077" s="1" t="s">
        <v>71</v>
      </c>
      <c r="S5077" s="1" t="s">
        <v>72</v>
      </c>
      <c r="T5077" s="1" t="s">
        <v>136</v>
      </c>
      <c r="U5077" s="1">
        <v>1.00609615E8</v>
      </c>
      <c r="X5077" s="1" t="s">
        <v>74</v>
      </c>
      <c r="Y5077" s="1" t="s">
        <v>2593</v>
      </c>
      <c r="Z5077" s="1" t="s">
        <v>206</v>
      </c>
    </row>
    <row r="5078" hidden="1">
      <c r="A5078" s="1" t="s">
        <v>14162</v>
      </c>
      <c r="B5078" s="1" t="s">
        <v>14163</v>
      </c>
      <c r="C5078" s="1" t="s">
        <v>14164</v>
      </c>
      <c r="D5078" s="1" t="s">
        <v>27</v>
      </c>
      <c r="E5078" s="1" t="s">
        <v>28</v>
      </c>
      <c r="F5078" s="2">
        <v>66000.0</v>
      </c>
      <c r="G5078" s="1" t="s">
        <v>418</v>
      </c>
      <c r="H5078" s="4">
        <f>IFERROR(__xludf.DUMMYFUNCTION("DATE(INDEX(SPLIT(G5078,""/""),,3),INDEX(SPLIT(G5078,""/""),,2),INDEX(SPLIT(G5078,""/""),,1))"),44755.0)</f>
        <v>44755</v>
      </c>
      <c r="I5078" s="1" t="s">
        <v>281</v>
      </c>
      <c r="J5078" s="4">
        <f>IFERROR(__xludf.DUMMYFUNCTION("DATE(INDEX(SPLIT(I5078,""/""),,3),INDEX(SPLIT(I5078,""/""),,2),INDEX(SPLIT(I5078,""/""),,1))"),44865.0)</f>
        <v>44865</v>
      </c>
      <c r="L5078" s="1">
        <v>0.0</v>
      </c>
      <c r="M5078" s="1" t="s">
        <v>4735</v>
      </c>
      <c r="N5078" s="1"/>
      <c r="O5078" s="1" t="s">
        <v>30</v>
      </c>
      <c r="P5078" s="1" t="s">
        <v>31</v>
      </c>
      <c r="Q5078" s="1" t="s">
        <v>71</v>
      </c>
      <c r="R5078" s="1" t="s">
        <v>71</v>
      </c>
      <c r="S5078" s="1" t="s">
        <v>72</v>
      </c>
      <c r="T5078" s="1" t="s">
        <v>136</v>
      </c>
      <c r="U5078" s="1">
        <v>1.00609615E8</v>
      </c>
      <c r="X5078" s="1" t="s">
        <v>74</v>
      </c>
      <c r="Y5078" s="1" t="s">
        <v>2593</v>
      </c>
      <c r="Z5078" s="1" t="s">
        <v>206</v>
      </c>
    </row>
    <row r="5079" hidden="1">
      <c r="A5079" s="1" t="s">
        <v>14165</v>
      </c>
      <c r="B5079" s="1" t="s">
        <v>14166</v>
      </c>
      <c r="C5079" s="1" t="s">
        <v>14167</v>
      </c>
      <c r="D5079" s="1" t="s">
        <v>122</v>
      </c>
      <c r="E5079" s="1" t="s">
        <v>28</v>
      </c>
      <c r="F5079" s="2">
        <v>65000.0</v>
      </c>
      <c r="G5079" s="4">
        <v>44655.0</v>
      </c>
      <c r="H5079" s="4">
        <f>IFERROR(__xludf.DUMMYFUNCTION("DATE(INDEX(SPLIT(G5079,""/""),,3),INDEX(SPLIT(G5079,""/""),,2),INDEX(SPLIT(G5079,""/""),,1))"),44655.0)</f>
        <v>44655</v>
      </c>
      <c r="I5079" s="1" t="s">
        <v>42</v>
      </c>
      <c r="J5079" s="4">
        <f>IFERROR(__xludf.DUMMYFUNCTION("DATE(INDEX(SPLIT(I5079,""/""),,3),INDEX(SPLIT(I5079,""/""),,2),INDEX(SPLIT(I5079,""/""),,1))"),44926.0)</f>
        <v>44926</v>
      </c>
      <c r="L5079" s="1">
        <v>0.0</v>
      </c>
      <c r="M5079" s="1" t="s">
        <v>8081</v>
      </c>
      <c r="N5079" s="1"/>
      <c r="O5079" s="1" t="s">
        <v>30</v>
      </c>
      <c r="P5079" s="1" t="s">
        <v>31</v>
      </c>
      <c r="Q5079" s="1" t="s">
        <v>228</v>
      </c>
      <c r="R5079" s="1" t="s">
        <v>228</v>
      </c>
      <c r="S5079" s="1" t="s">
        <v>229</v>
      </c>
      <c r="T5079" s="1" t="s">
        <v>513</v>
      </c>
      <c r="U5079" s="1">
        <v>1.01154613E8</v>
      </c>
      <c r="X5079" s="1" t="s">
        <v>74</v>
      </c>
      <c r="Y5079" s="1" t="s">
        <v>10576</v>
      </c>
      <c r="Z5079" s="1" t="s">
        <v>37</v>
      </c>
    </row>
    <row r="5080" hidden="1">
      <c r="A5080" s="1" t="s">
        <v>14168</v>
      </c>
      <c r="B5080" s="1" t="s">
        <v>13667</v>
      </c>
      <c r="C5080" s="1" t="s">
        <v>14169</v>
      </c>
      <c r="D5080" s="1" t="s">
        <v>78</v>
      </c>
      <c r="E5080" s="1" t="s">
        <v>28</v>
      </c>
      <c r="F5080" s="2">
        <v>65000.0</v>
      </c>
      <c r="G5080" s="1" t="s">
        <v>185</v>
      </c>
      <c r="H5080" s="4">
        <f>IFERROR(__xludf.DUMMYFUNCTION("DATE(INDEX(SPLIT(G5080,""/""),,3),INDEX(SPLIT(G5080,""/""),,2),INDEX(SPLIT(G5080,""/""),,1))"),44741.0)</f>
        <v>44741</v>
      </c>
      <c r="I5080" s="1" t="s">
        <v>109</v>
      </c>
      <c r="J5080" s="4">
        <f>IFERROR(__xludf.DUMMYFUNCTION("DATE(INDEX(SPLIT(I5080,""/""),,3),INDEX(SPLIT(I5080,""/""),,2),INDEX(SPLIT(I5080,""/""),,1))"),44834.0)</f>
        <v>44834</v>
      </c>
      <c r="L5080" s="1">
        <v>0.0</v>
      </c>
      <c r="M5080" s="1" t="s">
        <v>5017</v>
      </c>
      <c r="N5080" s="1"/>
      <c r="O5080" s="1" t="s">
        <v>30</v>
      </c>
      <c r="P5080" s="1" t="s">
        <v>31</v>
      </c>
      <c r="Q5080" s="1" t="s">
        <v>228</v>
      </c>
      <c r="R5080" s="1" t="s">
        <v>228</v>
      </c>
      <c r="S5080" s="1" t="s">
        <v>229</v>
      </c>
      <c r="T5080" s="1" t="s">
        <v>513</v>
      </c>
      <c r="U5080" s="1">
        <v>1.00620023E8</v>
      </c>
      <c r="X5080" s="1" t="s">
        <v>2769</v>
      </c>
      <c r="Y5080" s="1" t="s">
        <v>11795</v>
      </c>
      <c r="Z5080" s="1" t="s">
        <v>37</v>
      </c>
    </row>
    <row r="5081" hidden="1">
      <c r="A5081" s="1" t="s">
        <v>14170</v>
      </c>
      <c r="B5081" s="1" t="s">
        <v>903</v>
      </c>
      <c r="C5081" s="1" t="s">
        <v>14171</v>
      </c>
      <c r="D5081" s="1" t="s">
        <v>27</v>
      </c>
      <c r="E5081" s="1" t="s">
        <v>28</v>
      </c>
      <c r="F5081" s="2">
        <v>65000.0</v>
      </c>
      <c r="G5081" s="4">
        <v>44625.0</v>
      </c>
      <c r="H5081" s="4">
        <f>IFERROR(__xludf.DUMMYFUNCTION("DATE(INDEX(SPLIT(G5081,""/""),,3),INDEX(SPLIT(G5081,""/""),,2),INDEX(SPLIT(G5081,""/""),,1))"),44684.0)</f>
        <v>44684</v>
      </c>
      <c r="I5081" s="4">
        <v>44689.0</v>
      </c>
      <c r="J5081" s="4">
        <f>IFERROR(__xludf.DUMMYFUNCTION("DATE(INDEX(SPLIT(I5081,""/""),,3),INDEX(SPLIT(I5081,""/""),,2),INDEX(SPLIT(I5081,""/""),,1))"),44778.0)</f>
        <v>44778</v>
      </c>
      <c r="L5081" s="1">
        <v>0.0</v>
      </c>
      <c r="M5081" s="1" t="s">
        <v>4016</v>
      </c>
      <c r="N5081" s="1"/>
      <c r="O5081" s="1" t="s">
        <v>30</v>
      </c>
      <c r="P5081" s="1" t="s">
        <v>31</v>
      </c>
      <c r="Q5081" s="1" t="s">
        <v>95</v>
      </c>
      <c r="R5081" s="1" t="s">
        <v>95</v>
      </c>
      <c r="S5081" s="1" t="s">
        <v>96</v>
      </c>
      <c r="T5081" s="1" t="s">
        <v>311</v>
      </c>
      <c r="U5081" s="1">
        <v>1.00628223E8</v>
      </c>
      <c r="X5081" s="1" t="s">
        <v>46</v>
      </c>
      <c r="Y5081" s="1" t="s">
        <v>1293</v>
      </c>
      <c r="Z5081" s="1" t="s">
        <v>206</v>
      </c>
    </row>
    <row r="5082">
      <c r="A5082" s="1" t="s">
        <v>14172</v>
      </c>
      <c r="B5082" s="1" t="s">
        <v>14173</v>
      </c>
      <c r="C5082" s="1" t="s">
        <v>14174</v>
      </c>
      <c r="D5082" s="1" t="s">
        <v>78</v>
      </c>
      <c r="E5082" s="1" t="s">
        <v>28</v>
      </c>
      <c r="F5082" s="2">
        <v>65000.0</v>
      </c>
      <c r="G5082" s="1" t="s">
        <v>394</v>
      </c>
      <c r="H5082" s="4">
        <f>IFERROR(__xludf.DUMMYFUNCTION("DATE(INDEX(SPLIT(G5082,""/""),,3),INDEX(SPLIT(G5082,""/""),,2),INDEX(SPLIT(G5082,""/""),,1))"),44677.0)</f>
        <v>44677</v>
      </c>
      <c r="I5082" s="1" t="s">
        <v>518</v>
      </c>
      <c r="J5082" s="4">
        <f>IFERROR(__xludf.DUMMYFUNCTION("DATE(INDEX(SPLIT(I5082,""/""),,3),INDEX(SPLIT(I5082,""/""),,2),INDEX(SPLIT(I5082,""/""),,1))"),44757.0)</f>
        <v>44757</v>
      </c>
      <c r="L5082" s="1">
        <v>0.0</v>
      </c>
      <c r="M5082" s="1" t="s">
        <v>1610</v>
      </c>
      <c r="N5082" s="1"/>
      <c r="O5082" s="1" t="s">
        <v>30</v>
      </c>
      <c r="P5082" s="1" t="s">
        <v>31</v>
      </c>
      <c r="Q5082" s="1" t="s">
        <v>53</v>
      </c>
      <c r="R5082" s="1" t="s">
        <v>53</v>
      </c>
      <c r="S5082" s="1" t="s">
        <v>54</v>
      </c>
      <c r="T5082" s="1" t="s">
        <v>1386</v>
      </c>
      <c r="U5082" s="1">
        <v>1.01141441E8</v>
      </c>
      <c r="W5082" s="1" t="s">
        <v>14175</v>
      </c>
      <c r="X5082" s="1" t="s">
        <v>81</v>
      </c>
      <c r="Y5082" s="1" t="s">
        <v>11782</v>
      </c>
      <c r="Z5082" s="1" t="s">
        <v>37</v>
      </c>
    </row>
    <row r="5083">
      <c r="A5083" s="1" t="s">
        <v>14176</v>
      </c>
      <c r="B5083" s="1" t="s">
        <v>14177</v>
      </c>
      <c r="C5083" s="1" t="s">
        <v>14178</v>
      </c>
      <c r="D5083" s="1" t="s">
        <v>122</v>
      </c>
      <c r="E5083" s="1" t="s">
        <v>28</v>
      </c>
      <c r="F5083" s="2">
        <v>65000.0</v>
      </c>
      <c r="G5083" s="1" t="s">
        <v>1259</v>
      </c>
      <c r="H5083" s="4">
        <f>IFERROR(__xludf.DUMMYFUNCTION("DATE(INDEX(SPLIT(G5083,""/""),,3),INDEX(SPLIT(G5083,""/""),,2),INDEX(SPLIT(G5083,""/""),,1))"),44763.0)</f>
        <v>44763</v>
      </c>
      <c r="I5083" s="1" t="s">
        <v>226</v>
      </c>
      <c r="J5083" s="4">
        <f>IFERROR(__xludf.DUMMYFUNCTION("DATE(INDEX(SPLIT(I5083,""/""),,3),INDEX(SPLIT(I5083,""/""),,2),INDEX(SPLIT(I5083,""/""),,1))"),44771.0)</f>
        <v>44771</v>
      </c>
      <c r="L5083" s="1">
        <v>0.0</v>
      </c>
      <c r="M5083" s="1" t="s">
        <v>1307</v>
      </c>
      <c r="N5083" s="1"/>
      <c r="O5083" s="1" t="s">
        <v>30</v>
      </c>
      <c r="P5083" s="1" t="s">
        <v>31</v>
      </c>
      <c r="Q5083" s="1" t="s">
        <v>235</v>
      </c>
      <c r="R5083" s="1" t="s">
        <v>235</v>
      </c>
      <c r="S5083" s="1" t="s">
        <v>236</v>
      </c>
      <c r="U5083" s="1">
        <v>1.00585952E8</v>
      </c>
      <c r="X5083" s="1" t="s">
        <v>125</v>
      </c>
      <c r="Y5083" s="1" t="s">
        <v>13995</v>
      </c>
      <c r="Z5083" s="1" t="s">
        <v>37</v>
      </c>
    </row>
    <row r="5084" hidden="1">
      <c r="A5084" s="1" t="s">
        <v>14179</v>
      </c>
      <c r="B5084" s="1" t="s">
        <v>1709</v>
      </c>
      <c r="C5084" s="1" t="s">
        <v>14180</v>
      </c>
      <c r="D5084" s="1" t="s">
        <v>78</v>
      </c>
      <c r="E5084" s="1" t="s">
        <v>28</v>
      </c>
      <c r="F5084" s="2">
        <v>65000.0</v>
      </c>
      <c r="G5084" s="4">
        <v>43990.0</v>
      </c>
      <c r="H5084" s="4">
        <f>IFERROR(__xludf.DUMMYFUNCTION("DATE(INDEX(SPLIT(G5084,""/""),,3),INDEX(SPLIT(G5084,""/""),,2),INDEX(SPLIT(G5084,""/""),,1))"),44049.0)</f>
        <v>44049</v>
      </c>
      <c r="I5084" s="1" t="s">
        <v>130</v>
      </c>
      <c r="J5084" s="4">
        <f>IFERROR(__xludf.DUMMYFUNCTION("DATE(INDEX(SPLIT(I5084,""/""),,3),INDEX(SPLIT(I5084,""/""),,2),INDEX(SPLIT(I5084,""/""),,1))"),44804.0)</f>
        <v>44804</v>
      </c>
      <c r="L5084" s="1">
        <v>0.0</v>
      </c>
      <c r="M5084" s="1" t="s">
        <v>1443</v>
      </c>
      <c r="N5084" s="1"/>
      <c r="O5084" s="1" t="s">
        <v>30</v>
      </c>
      <c r="P5084" s="1" t="s">
        <v>31</v>
      </c>
      <c r="Q5084" s="1" t="s">
        <v>53</v>
      </c>
      <c r="R5084" s="1" t="s">
        <v>53</v>
      </c>
      <c r="S5084" s="1" t="s">
        <v>54</v>
      </c>
      <c r="T5084" s="1" t="s">
        <v>55</v>
      </c>
      <c r="U5084" s="1">
        <v>1.0059033E8</v>
      </c>
      <c r="X5084" s="1" t="s">
        <v>312</v>
      </c>
      <c r="Y5084" s="1" t="s">
        <v>1443</v>
      </c>
      <c r="Z5084" s="1" t="s">
        <v>37</v>
      </c>
    </row>
    <row r="5085" hidden="1">
      <c r="A5085" s="1" t="s">
        <v>14181</v>
      </c>
      <c r="B5085" s="1" t="s">
        <v>14173</v>
      </c>
      <c r="C5085" s="1" t="s">
        <v>14182</v>
      </c>
      <c r="D5085" s="1" t="s">
        <v>78</v>
      </c>
      <c r="E5085" s="1" t="s">
        <v>28</v>
      </c>
      <c r="F5085" s="2">
        <v>65000.0</v>
      </c>
      <c r="G5085" s="1" t="s">
        <v>1141</v>
      </c>
      <c r="H5085" s="4">
        <f>IFERROR(__xludf.DUMMYFUNCTION("DATE(INDEX(SPLIT(G5085,""/""),,3),INDEX(SPLIT(G5085,""/""),,2),INDEX(SPLIT(G5085,""/""),,1))"),44767.0)</f>
        <v>44767</v>
      </c>
      <c r="I5085" s="1" t="s">
        <v>14183</v>
      </c>
      <c r="J5085" s="4">
        <f>IFERROR(__xludf.DUMMYFUNCTION("DATE(INDEX(SPLIT(I5085,""/""),,3),INDEX(SPLIT(I5085,""/""),,2),INDEX(SPLIT(I5085,""/""),,1))"),45131.0)</f>
        <v>45131</v>
      </c>
      <c r="L5085" s="1">
        <v>0.0</v>
      </c>
      <c r="M5085" s="1" t="s">
        <v>1610</v>
      </c>
      <c r="N5085" s="1"/>
      <c r="O5085" s="1" t="s">
        <v>30</v>
      </c>
      <c r="P5085" s="1" t="s">
        <v>31</v>
      </c>
      <c r="Q5085" s="1" t="s">
        <v>53</v>
      </c>
      <c r="R5085" s="1" t="s">
        <v>53</v>
      </c>
      <c r="S5085" s="1" t="s">
        <v>54</v>
      </c>
      <c r="U5085" s="1">
        <v>1.01141441E8</v>
      </c>
      <c r="V5085" s="1" t="s">
        <v>14174</v>
      </c>
      <c r="W5085" s="1" t="s">
        <v>2556</v>
      </c>
      <c r="X5085" s="1" t="s">
        <v>81</v>
      </c>
      <c r="Y5085" s="1" t="s">
        <v>14184</v>
      </c>
      <c r="Z5085" s="1" t="s">
        <v>37</v>
      </c>
    </row>
    <row r="5086">
      <c r="A5086" s="1" t="s">
        <v>14185</v>
      </c>
      <c r="B5086" s="1" t="s">
        <v>2121</v>
      </c>
      <c r="C5086" s="1" t="s">
        <v>14186</v>
      </c>
      <c r="D5086" s="1" t="s">
        <v>68</v>
      </c>
      <c r="E5086" s="1" t="s">
        <v>28</v>
      </c>
      <c r="F5086" s="2">
        <v>65000.0</v>
      </c>
      <c r="G5086" s="1" t="s">
        <v>935</v>
      </c>
      <c r="H5086" s="4">
        <f>IFERROR(__xludf.DUMMYFUNCTION("DATE(INDEX(SPLIT(G5086,""/""),,3),INDEX(SPLIT(G5086,""/""),,2),INDEX(SPLIT(G5086,""/""),,1))"),44764.0)</f>
        <v>44764</v>
      </c>
      <c r="I5086" s="1" t="s">
        <v>226</v>
      </c>
      <c r="J5086" s="4">
        <f>IFERROR(__xludf.DUMMYFUNCTION("DATE(INDEX(SPLIT(I5086,""/""),,3),INDEX(SPLIT(I5086,""/""),,2),INDEX(SPLIT(I5086,""/""),,1))"),44771.0)</f>
        <v>44771</v>
      </c>
      <c r="L5086" s="1">
        <v>0.0</v>
      </c>
      <c r="M5086" s="1" t="s">
        <v>11254</v>
      </c>
      <c r="N5086" s="1"/>
      <c r="O5086" s="1" t="s">
        <v>30</v>
      </c>
      <c r="P5086" s="1" t="s">
        <v>31</v>
      </c>
      <c r="Q5086" s="1" t="s">
        <v>228</v>
      </c>
      <c r="R5086" s="1" t="s">
        <v>228</v>
      </c>
      <c r="S5086" s="1" t="s">
        <v>229</v>
      </c>
      <c r="T5086" s="1" t="s">
        <v>513</v>
      </c>
      <c r="U5086" s="1">
        <v>1.00602248E8</v>
      </c>
      <c r="X5086" s="1" t="s">
        <v>88</v>
      </c>
      <c r="Y5086" s="1" t="s">
        <v>13896</v>
      </c>
      <c r="Z5086" s="1" t="s">
        <v>37</v>
      </c>
    </row>
    <row r="5087">
      <c r="A5087" s="1" t="s">
        <v>14187</v>
      </c>
      <c r="B5087" s="1" t="s">
        <v>14188</v>
      </c>
      <c r="C5087" s="1" t="s">
        <v>14189</v>
      </c>
      <c r="D5087" s="1" t="s">
        <v>78</v>
      </c>
      <c r="E5087" s="1" t="s">
        <v>28</v>
      </c>
      <c r="F5087" s="2">
        <v>65000.0</v>
      </c>
      <c r="G5087" s="4">
        <v>44657.0</v>
      </c>
      <c r="H5087" s="4">
        <f>IFERROR(__xludf.DUMMYFUNCTION("DATE(INDEX(SPLIT(G5087,""/""),,3),INDEX(SPLIT(G5087,""/""),,2),INDEX(SPLIT(G5087,""/""),,1))"),44716.0)</f>
        <v>44716</v>
      </c>
      <c r="I5087" s="1" t="s">
        <v>226</v>
      </c>
      <c r="J5087" s="4">
        <f>IFERROR(__xludf.DUMMYFUNCTION("DATE(INDEX(SPLIT(I5087,""/""),,3),INDEX(SPLIT(I5087,""/""),,2),INDEX(SPLIT(I5087,""/""),,1))"),44771.0)</f>
        <v>44771</v>
      </c>
      <c r="L5087" s="1">
        <v>0.0</v>
      </c>
      <c r="M5087" s="1" t="s">
        <v>7598</v>
      </c>
      <c r="N5087" s="1"/>
      <c r="O5087" s="1" t="s">
        <v>30</v>
      </c>
      <c r="P5087" s="1" t="s">
        <v>31</v>
      </c>
      <c r="Q5087" s="1" t="s">
        <v>32</v>
      </c>
      <c r="R5087" s="1" t="s">
        <v>32</v>
      </c>
      <c r="S5087" s="1" t="s">
        <v>33</v>
      </c>
      <c r="U5087" s="1">
        <v>1.00644939E8</v>
      </c>
      <c r="X5087" s="1" t="s">
        <v>63</v>
      </c>
      <c r="Y5087" s="1" t="s">
        <v>3626</v>
      </c>
      <c r="Z5087" s="1" t="s">
        <v>37</v>
      </c>
    </row>
    <row r="5088" hidden="1">
      <c r="A5088" s="1" t="s">
        <v>14190</v>
      </c>
      <c r="B5088" s="1" t="s">
        <v>14191</v>
      </c>
      <c r="C5088" s="1" t="s">
        <v>14192</v>
      </c>
      <c r="D5088" s="1" t="s">
        <v>122</v>
      </c>
      <c r="E5088" s="1" t="s">
        <v>28</v>
      </c>
      <c r="F5088" s="2">
        <v>64800.0</v>
      </c>
      <c r="G5088" s="1" t="s">
        <v>935</v>
      </c>
      <c r="H5088" s="4">
        <f>IFERROR(__xludf.DUMMYFUNCTION("DATE(INDEX(SPLIT(G5088,""/""),,3),INDEX(SPLIT(G5088,""/""),,2),INDEX(SPLIT(G5088,""/""),,1))"),44764.0)</f>
        <v>44764</v>
      </c>
      <c r="I5088" s="1" t="s">
        <v>109</v>
      </c>
      <c r="J5088" s="4">
        <f>IFERROR(__xludf.DUMMYFUNCTION("DATE(INDEX(SPLIT(I5088,""/""),,3),INDEX(SPLIT(I5088,""/""),,2),INDEX(SPLIT(I5088,""/""),,1))"),44834.0)</f>
        <v>44834</v>
      </c>
      <c r="L5088" s="1">
        <v>0.0</v>
      </c>
      <c r="M5088" s="1" t="s">
        <v>4735</v>
      </c>
      <c r="N5088" s="1"/>
      <c r="O5088" s="1" t="s">
        <v>30</v>
      </c>
      <c r="P5088" s="1" t="s">
        <v>31</v>
      </c>
      <c r="Q5088" s="1" t="s">
        <v>71</v>
      </c>
      <c r="R5088" s="1" t="s">
        <v>71</v>
      </c>
      <c r="S5088" s="1" t="s">
        <v>72</v>
      </c>
      <c r="T5088" s="1" t="s">
        <v>136</v>
      </c>
      <c r="U5088" s="1">
        <v>1.00609615E8</v>
      </c>
      <c r="X5088" s="1" t="s">
        <v>74</v>
      </c>
      <c r="Y5088" s="1" t="s">
        <v>2593</v>
      </c>
      <c r="Z5088" s="1" t="s">
        <v>206</v>
      </c>
    </row>
    <row r="5089" hidden="1">
      <c r="A5089" s="1" t="s">
        <v>14193</v>
      </c>
      <c r="B5089" s="1" t="s">
        <v>9103</v>
      </c>
      <c r="C5089" s="1" t="s">
        <v>14194</v>
      </c>
      <c r="D5089" s="1" t="s">
        <v>27</v>
      </c>
      <c r="E5089" s="1" t="s">
        <v>28</v>
      </c>
      <c r="F5089" s="2">
        <v>64800.0</v>
      </c>
      <c r="G5089" s="1" t="s">
        <v>935</v>
      </c>
      <c r="H5089" s="4">
        <f>IFERROR(__xludf.DUMMYFUNCTION("DATE(INDEX(SPLIT(G5089,""/""),,3),INDEX(SPLIT(G5089,""/""),,2),INDEX(SPLIT(G5089,""/""),,1))"),44764.0)</f>
        <v>44764</v>
      </c>
      <c r="I5089" s="1" t="s">
        <v>9702</v>
      </c>
      <c r="J5089" s="4">
        <f>IFERROR(__xludf.DUMMYFUNCTION("DATE(INDEX(SPLIT(I5089,""/""),,3),INDEX(SPLIT(I5089,""/""),,2),INDEX(SPLIT(I5089,""/""),,1))"),45260.0)</f>
        <v>45260</v>
      </c>
      <c r="L5089" s="1">
        <v>0.0</v>
      </c>
      <c r="M5089" s="1" t="s">
        <v>211</v>
      </c>
      <c r="N5089" s="1"/>
      <c r="O5089" s="1" t="s">
        <v>30</v>
      </c>
      <c r="P5089" s="1" t="s">
        <v>31</v>
      </c>
      <c r="Q5089" s="1" t="s">
        <v>71</v>
      </c>
      <c r="R5089" s="1" t="s">
        <v>71</v>
      </c>
      <c r="S5089" s="1" t="s">
        <v>72</v>
      </c>
      <c r="T5089" s="1" t="s">
        <v>136</v>
      </c>
      <c r="U5089" s="1">
        <v>1.00590896E8</v>
      </c>
      <c r="X5089" s="1" t="s">
        <v>74</v>
      </c>
      <c r="Y5089" s="1" t="s">
        <v>2593</v>
      </c>
      <c r="Z5089" s="1" t="s">
        <v>37</v>
      </c>
    </row>
    <row r="5090" hidden="1">
      <c r="A5090" s="1" t="s">
        <v>14195</v>
      </c>
      <c r="B5090" s="1" t="s">
        <v>14196</v>
      </c>
      <c r="C5090" s="1" t="s">
        <v>14197</v>
      </c>
      <c r="D5090" s="1" t="s">
        <v>27</v>
      </c>
      <c r="E5090" s="1" t="s">
        <v>28</v>
      </c>
      <c r="F5090" s="2">
        <v>64800.0</v>
      </c>
      <c r="G5090" s="1" t="s">
        <v>418</v>
      </c>
      <c r="H5090" s="4">
        <f>IFERROR(__xludf.DUMMYFUNCTION("DATE(INDEX(SPLIT(G5090,""/""),,3),INDEX(SPLIT(G5090,""/""),,2),INDEX(SPLIT(G5090,""/""),,1))"),44755.0)</f>
        <v>44755</v>
      </c>
      <c r="I5090" s="1" t="s">
        <v>430</v>
      </c>
      <c r="J5090" s="4">
        <f>IFERROR(__xludf.DUMMYFUNCTION("DATE(INDEX(SPLIT(I5090,""/""),,3),INDEX(SPLIT(I5090,""/""),,2),INDEX(SPLIT(I5090,""/""),,1))"),44985.0)</f>
        <v>44985</v>
      </c>
      <c r="L5090" s="1">
        <v>0.0</v>
      </c>
      <c r="M5090" s="1" t="s">
        <v>2592</v>
      </c>
      <c r="N5090" s="1"/>
      <c r="O5090" s="1" t="s">
        <v>30</v>
      </c>
      <c r="P5090" s="1" t="s">
        <v>31</v>
      </c>
      <c r="Q5090" s="1" t="s">
        <v>71</v>
      </c>
      <c r="R5090" s="1" t="s">
        <v>71</v>
      </c>
      <c r="S5090" s="1" t="s">
        <v>72</v>
      </c>
      <c r="T5090" s="1" t="s">
        <v>136</v>
      </c>
      <c r="U5090" s="1">
        <v>1.00586452E8</v>
      </c>
      <c r="X5090" s="1" t="s">
        <v>74</v>
      </c>
      <c r="Y5090" s="1" t="s">
        <v>2593</v>
      </c>
      <c r="Z5090" s="1" t="s">
        <v>37</v>
      </c>
    </row>
    <row r="5091">
      <c r="A5091" s="1" t="s">
        <v>14198</v>
      </c>
      <c r="B5091" s="1" t="s">
        <v>14199</v>
      </c>
      <c r="C5091" s="1" t="s">
        <v>14200</v>
      </c>
      <c r="D5091" s="1" t="s">
        <v>78</v>
      </c>
      <c r="E5091" s="1" t="s">
        <v>28</v>
      </c>
      <c r="F5091" s="2">
        <v>62000.0</v>
      </c>
      <c r="G5091" s="1" t="s">
        <v>2324</v>
      </c>
      <c r="H5091" s="4">
        <f>IFERROR(__xludf.DUMMYFUNCTION("DATE(INDEX(SPLIT(G5091,""/""),,3),INDEX(SPLIT(G5091,""/""),,2),INDEX(SPLIT(G5091,""/""),,1))"),44705.0)</f>
        <v>44705</v>
      </c>
      <c r="I5091" s="1" t="s">
        <v>1244</v>
      </c>
      <c r="J5091" s="4">
        <f>IFERROR(__xludf.DUMMYFUNCTION("DATE(INDEX(SPLIT(I5091,""/""),,3),INDEX(SPLIT(I5091,""/""),,2),INDEX(SPLIT(I5091,""/""),,1))"),44742.0)</f>
        <v>44742</v>
      </c>
      <c r="L5091" s="1">
        <v>0.0</v>
      </c>
      <c r="M5091" s="1" t="s">
        <v>6050</v>
      </c>
      <c r="N5091" s="1"/>
      <c r="O5091" s="1" t="s">
        <v>30</v>
      </c>
      <c r="P5091" s="1" t="s">
        <v>31</v>
      </c>
      <c r="Q5091" s="1" t="s">
        <v>228</v>
      </c>
      <c r="R5091" s="1" t="s">
        <v>228</v>
      </c>
      <c r="S5091" s="1" t="s">
        <v>229</v>
      </c>
      <c r="T5091" s="1" t="s">
        <v>513</v>
      </c>
      <c r="U5091" s="1">
        <v>1.0058798E8</v>
      </c>
      <c r="X5091" s="1" t="s">
        <v>5049</v>
      </c>
      <c r="Y5091" s="1" t="s">
        <v>5688</v>
      </c>
      <c r="Z5091" s="1" t="s">
        <v>37</v>
      </c>
    </row>
    <row r="5092">
      <c r="A5092" s="1" t="s">
        <v>14201</v>
      </c>
      <c r="B5092" s="1" t="s">
        <v>1562</v>
      </c>
      <c r="C5092" s="1" t="s">
        <v>14202</v>
      </c>
      <c r="D5092" s="1" t="s">
        <v>78</v>
      </c>
      <c r="E5092" s="1" t="s">
        <v>28</v>
      </c>
      <c r="F5092" s="2">
        <v>62000.0</v>
      </c>
      <c r="G5092" s="4">
        <v>43536.0</v>
      </c>
      <c r="H5092" s="4">
        <f>IFERROR(__xludf.DUMMYFUNCTION("DATE(INDEX(SPLIT(G5092,""/""),,3),INDEX(SPLIT(G5092,""/""),,2),INDEX(SPLIT(G5092,""/""),,1))"),43802.0)</f>
        <v>43802</v>
      </c>
      <c r="I5092" s="1" t="s">
        <v>226</v>
      </c>
      <c r="J5092" s="4">
        <f>IFERROR(__xludf.DUMMYFUNCTION("DATE(INDEX(SPLIT(I5092,""/""),,3),INDEX(SPLIT(I5092,""/""),,2),INDEX(SPLIT(I5092,""/""),,1))"),44771.0)</f>
        <v>44771</v>
      </c>
      <c r="L5092" s="1">
        <v>0.0</v>
      </c>
      <c r="M5092" s="1" t="s">
        <v>2696</v>
      </c>
      <c r="N5092" s="1"/>
      <c r="O5092" s="1" t="s">
        <v>30</v>
      </c>
      <c r="P5092" s="1" t="s">
        <v>31</v>
      </c>
      <c r="Q5092" s="1" t="s">
        <v>157</v>
      </c>
      <c r="R5092" s="1" t="s">
        <v>157</v>
      </c>
      <c r="S5092" s="1" t="s">
        <v>158</v>
      </c>
      <c r="T5092" s="1" t="s">
        <v>402</v>
      </c>
      <c r="U5092" s="1">
        <v>1.00611351E8</v>
      </c>
      <c r="X5092" s="1" t="s">
        <v>781</v>
      </c>
      <c r="Y5092" s="1" t="s">
        <v>3016</v>
      </c>
      <c r="Z5092" s="1" t="s">
        <v>37</v>
      </c>
    </row>
    <row r="5093" hidden="1">
      <c r="A5093" s="1" t="s">
        <v>14203</v>
      </c>
      <c r="B5093" s="1" t="s">
        <v>14204</v>
      </c>
      <c r="C5093" s="1" t="s">
        <v>14205</v>
      </c>
      <c r="D5093" s="1" t="s">
        <v>27</v>
      </c>
      <c r="E5093" s="1" t="s">
        <v>28</v>
      </c>
      <c r="F5093" s="2">
        <v>61200.0</v>
      </c>
      <c r="G5093" s="1" t="s">
        <v>418</v>
      </c>
      <c r="H5093" s="4">
        <f>IFERROR(__xludf.DUMMYFUNCTION("DATE(INDEX(SPLIT(G5093,""/""),,3),INDEX(SPLIT(G5093,""/""),,2),INDEX(SPLIT(G5093,""/""),,1))"),44755.0)</f>
        <v>44755</v>
      </c>
      <c r="I5093" s="1" t="s">
        <v>569</v>
      </c>
      <c r="J5093" s="4">
        <f>IFERROR(__xludf.DUMMYFUNCTION("DATE(INDEX(SPLIT(I5093,""/""),,3),INDEX(SPLIT(I5093,""/""),,2),INDEX(SPLIT(I5093,""/""),,1))"),45016.0)</f>
        <v>45016</v>
      </c>
      <c r="L5093" s="1">
        <v>0.0</v>
      </c>
      <c r="M5093" s="1" t="s">
        <v>211</v>
      </c>
      <c r="N5093" s="1"/>
      <c r="O5093" s="1" t="s">
        <v>30</v>
      </c>
      <c r="P5093" s="1" t="s">
        <v>31</v>
      </c>
      <c r="Q5093" s="1" t="s">
        <v>71</v>
      </c>
      <c r="R5093" s="1" t="s">
        <v>71</v>
      </c>
      <c r="S5093" s="1" t="s">
        <v>72</v>
      </c>
      <c r="T5093" s="1" t="s">
        <v>136</v>
      </c>
      <c r="U5093" s="1">
        <v>1.00590896E8</v>
      </c>
      <c r="X5093" s="1" t="s">
        <v>74</v>
      </c>
      <c r="Y5093" s="1" t="s">
        <v>2593</v>
      </c>
      <c r="Z5093" s="1" t="s">
        <v>37</v>
      </c>
    </row>
    <row r="5094" hidden="1">
      <c r="A5094" s="1" t="s">
        <v>14206</v>
      </c>
      <c r="B5094" s="1" t="s">
        <v>12818</v>
      </c>
      <c r="C5094" s="1" t="s">
        <v>14207</v>
      </c>
      <c r="D5094" s="1" t="s">
        <v>78</v>
      </c>
      <c r="E5094" s="1" t="s">
        <v>28</v>
      </c>
      <c r="F5094" s="2">
        <v>60000.0</v>
      </c>
      <c r="G5094" s="1" t="s">
        <v>935</v>
      </c>
      <c r="H5094" s="4">
        <f>IFERROR(__xludf.DUMMYFUNCTION("DATE(INDEX(SPLIT(G5094,""/""),,3),INDEX(SPLIT(G5094,""/""),,2),INDEX(SPLIT(G5094,""/""),,1))"),44764.0)</f>
        <v>44764</v>
      </c>
      <c r="I5094" s="1" t="s">
        <v>203</v>
      </c>
      <c r="J5094" s="4">
        <f>IFERROR(__xludf.DUMMYFUNCTION("DATE(INDEX(SPLIT(I5094,""/""),,3),INDEX(SPLIT(I5094,""/""),,2),INDEX(SPLIT(I5094,""/""),,1))"),44925.0)</f>
        <v>44925</v>
      </c>
      <c r="L5094" s="1">
        <v>0.0</v>
      </c>
      <c r="M5094" s="1" t="s">
        <v>4735</v>
      </c>
      <c r="N5094" s="1"/>
      <c r="O5094" s="1" t="s">
        <v>30</v>
      </c>
      <c r="P5094" s="1" t="s">
        <v>31</v>
      </c>
      <c r="Q5094" s="1" t="s">
        <v>71</v>
      </c>
      <c r="R5094" s="1" t="s">
        <v>71</v>
      </c>
      <c r="S5094" s="1" t="s">
        <v>72</v>
      </c>
      <c r="T5094" s="1" t="s">
        <v>136</v>
      </c>
      <c r="U5094" s="1">
        <v>1.00609615E8</v>
      </c>
      <c r="X5094" s="1" t="s">
        <v>74</v>
      </c>
      <c r="Y5094" s="1" t="s">
        <v>2593</v>
      </c>
      <c r="Z5094" s="1" t="s">
        <v>206</v>
      </c>
    </row>
    <row r="5095" hidden="1">
      <c r="A5095" s="1" t="s">
        <v>14208</v>
      </c>
      <c r="B5095" s="1" t="s">
        <v>4063</v>
      </c>
      <c r="C5095" s="1" t="s">
        <v>14209</v>
      </c>
      <c r="D5095" s="1" t="s">
        <v>122</v>
      </c>
      <c r="E5095" s="1" t="s">
        <v>28</v>
      </c>
      <c r="F5095" s="2">
        <v>60000.0</v>
      </c>
      <c r="G5095" s="4">
        <v>44840.0</v>
      </c>
      <c r="H5095" s="4">
        <f>IFERROR(__xludf.DUMMYFUNCTION("DATE(INDEX(SPLIT(G5095,""/""),,3),INDEX(SPLIT(G5095,""/""),,2),INDEX(SPLIT(G5095,""/""),,1))"),44722.0)</f>
        <v>44722</v>
      </c>
      <c r="I5095" s="1" t="s">
        <v>1678</v>
      </c>
      <c r="J5095" s="4">
        <f>IFERROR(__xludf.DUMMYFUNCTION("DATE(INDEX(SPLIT(I5095,""/""),,3),INDEX(SPLIT(I5095,""/""),,2),INDEX(SPLIT(I5095,""/""),,1))"),44819.0)</f>
        <v>44819</v>
      </c>
      <c r="L5095" s="1">
        <v>0.0</v>
      </c>
      <c r="M5095" s="1" t="s">
        <v>1959</v>
      </c>
      <c r="N5095" s="1"/>
      <c r="O5095" s="1" t="s">
        <v>30</v>
      </c>
      <c r="P5095" s="1" t="s">
        <v>31</v>
      </c>
      <c r="Q5095" s="1" t="s">
        <v>228</v>
      </c>
      <c r="R5095" s="1" t="s">
        <v>228</v>
      </c>
      <c r="S5095" s="1" t="s">
        <v>229</v>
      </c>
      <c r="T5095" s="1" t="s">
        <v>640</v>
      </c>
      <c r="U5095" s="1">
        <v>1.00955805E8</v>
      </c>
      <c r="X5095" s="1" t="s">
        <v>117</v>
      </c>
      <c r="Y5095" s="1" t="s">
        <v>1959</v>
      </c>
      <c r="Z5095" s="1" t="s">
        <v>37</v>
      </c>
    </row>
    <row r="5096" hidden="1">
      <c r="A5096" s="1" t="s">
        <v>14210</v>
      </c>
      <c r="B5096" s="1" t="s">
        <v>5574</v>
      </c>
      <c r="C5096" s="1" t="s">
        <v>14211</v>
      </c>
      <c r="D5096" s="1" t="s">
        <v>122</v>
      </c>
      <c r="E5096" s="1" t="s">
        <v>28</v>
      </c>
      <c r="F5096" s="2">
        <v>60000.0</v>
      </c>
      <c r="G5096" s="1" t="s">
        <v>2419</v>
      </c>
      <c r="H5096" s="4">
        <f>IFERROR(__xludf.DUMMYFUNCTION("DATE(INDEX(SPLIT(G5096,""/""),,3),INDEX(SPLIT(G5096,""/""),,2),INDEX(SPLIT(G5096,""/""),,1))"),44482.0)</f>
        <v>44482</v>
      </c>
      <c r="I5096" s="4">
        <v>44903.0</v>
      </c>
      <c r="J5096" s="4">
        <f>IFERROR(__xludf.DUMMYFUNCTION("DATE(INDEX(SPLIT(I5096,""/""),,3),INDEX(SPLIT(I5096,""/""),,2),INDEX(SPLIT(I5096,""/""),,1))"),44785.0)</f>
        <v>44785</v>
      </c>
      <c r="L5096" s="1">
        <v>0.0</v>
      </c>
      <c r="M5096" s="1" t="s">
        <v>6587</v>
      </c>
      <c r="N5096" s="1"/>
      <c r="O5096" s="1" t="s">
        <v>30</v>
      </c>
      <c r="P5096" s="1" t="s">
        <v>31</v>
      </c>
      <c r="Q5096" s="1" t="s">
        <v>71</v>
      </c>
      <c r="R5096" s="1" t="s">
        <v>71</v>
      </c>
      <c r="S5096" s="1" t="s">
        <v>72</v>
      </c>
      <c r="T5096" s="1" t="s">
        <v>136</v>
      </c>
      <c r="U5096" s="1">
        <v>1.00618376E8</v>
      </c>
      <c r="X5096" s="1" t="s">
        <v>74</v>
      </c>
      <c r="Y5096" s="1" t="s">
        <v>6587</v>
      </c>
      <c r="Z5096" s="1" t="s">
        <v>37</v>
      </c>
    </row>
    <row r="5097">
      <c r="A5097" s="1" t="s">
        <v>14212</v>
      </c>
      <c r="B5097" s="1" t="s">
        <v>14213</v>
      </c>
      <c r="C5097" s="1" t="s">
        <v>14214</v>
      </c>
      <c r="D5097" s="1" t="s">
        <v>68</v>
      </c>
      <c r="E5097" s="1" t="s">
        <v>28</v>
      </c>
      <c r="F5097" s="2">
        <v>60000.0</v>
      </c>
      <c r="G5097" s="1" t="s">
        <v>185</v>
      </c>
      <c r="H5097" s="4">
        <f>IFERROR(__xludf.DUMMYFUNCTION("DATE(INDEX(SPLIT(G5097,""/""),,3),INDEX(SPLIT(G5097,""/""),,2),INDEX(SPLIT(G5097,""/""),,1))"),44741.0)</f>
        <v>44741</v>
      </c>
      <c r="I5097" s="1" t="s">
        <v>359</v>
      </c>
      <c r="J5097" s="4">
        <f>IFERROR(__xludf.DUMMYFUNCTION("DATE(INDEX(SPLIT(I5097,""/""),,3),INDEX(SPLIT(I5097,""/""),,2),INDEX(SPLIT(I5097,""/""),,1))"),44740.0)</f>
        <v>44740</v>
      </c>
      <c r="L5097" s="1">
        <v>0.0</v>
      </c>
      <c r="M5097" s="1" t="s">
        <v>11623</v>
      </c>
      <c r="N5097" s="1"/>
      <c r="O5097" s="1" t="s">
        <v>30</v>
      </c>
      <c r="P5097" s="1" t="s">
        <v>31</v>
      </c>
      <c r="Q5097" s="1" t="s">
        <v>228</v>
      </c>
      <c r="R5097" s="1" t="s">
        <v>228</v>
      </c>
      <c r="S5097" s="1" t="s">
        <v>229</v>
      </c>
      <c r="T5097" s="1" t="s">
        <v>513</v>
      </c>
      <c r="U5097" s="1">
        <v>1.01154609E8</v>
      </c>
      <c r="Y5097" s="1" t="s">
        <v>13845</v>
      </c>
      <c r="Z5097" s="1" t="s">
        <v>37</v>
      </c>
    </row>
    <row r="5098">
      <c r="A5098" s="1" t="s">
        <v>14215</v>
      </c>
      <c r="B5098" s="1" t="s">
        <v>4090</v>
      </c>
      <c r="C5098" s="1" t="s">
        <v>14216</v>
      </c>
      <c r="D5098" s="1" t="s">
        <v>122</v>
      </c>
      <c r="E5098" s="1" t="s">
        <v>28</v>
      </c>
      <c r="F5098" s="2">
        <v>60000.0</v>
      </c>
      <c r="G5098" s="4">
        <v>44839.0</v>
      </c>
      <c r="H5098" s="4">
        <f>IFERROR(__xludf.DUMMYFUNCTION("DATE(INDEX(SPLIT(G5098,""/""),,3),INDEX(SPLIT(G5098,""/""),,2),INDEX(SPLIT(G5098,""/""),,1))"),44691.0)</f>
        <v>44691</v>
      </c>
      <c r="I5098" s="1" t="s">
        <v>226</v>
      </c>
      <c r="J5098" s="4">
        <f>IFERROR(__xludf.DUMMYFUNCTION("DATE(INDEX(SPLIT(I5098,""/""),,3),INDEX(SPLIT(I5098,""/""),,2),INDEX(SPLIT(I5098,""/""),,1))"),44771.0)</f>
        <v>44771</v>
      </c>
      <c r="L5098" s="1">
        <v>0.0</v>
      </c>
      <c r="M5098" s="1" t="s">
        <v>6691</v>
      </c>
      <c r="N5098" s="1"/>
      <c r="O5098" s="1" t="s">
        <v>30</v>
      </c>
      <c r="P5098" s="1" t="s">
        <v>31</v>
      </c>
      <c r="Q5098" s="1" t="s">
        <v>95</v>
      </c>
      <c r="R5098" s="1" t="s">
        <v>95</v>
      </c>
      <c r="S5098" s="1" t="s">
        <v>96</v>
      </c>
      <c r="T5098" s="1" t="s">
        <v>311</v>
      </c>
      <c r="U5098" s="1">
        <v>1.00694651E8</v>
      </c>
      <c r="X5098" s="1" t="s">
        <v>190</v>
      </c>
      <c r="Y5098" s="1" t="s">
        <v>8740</v>
      </c>
      <c r="Z5098" s="1" t="s">
        <v>37</v>
      </c>
    </row>
    <row r="5099">
      <c r="A5099" s="1" t="s">
        <v>14217</v>
      </c>
      <c r="B5099" s="1" t="s">
        <v>14218</v>
      </c>
      <c r="C5099" s="1" t="s">
        <v>11068</v>
      </c>
      <c r="D5099" s="1" t="s">
        <v>122</v>
      </c>
      <c r="E5099" s="1" t="s">
        <v>28</v>
      </c>
      <c r="F5099" s="2">
        <v>60000.0</v>
      </c>
      <c r="G5099" s="1" t="s">
        <v>154</v>
      </c>
      <c r="H5099" s="4">
        <f>IFERROR(__xludf.DUMMYFUNCTION("DATE(INDEX(SPLIT(G5099,""/""),,3),INDEX(SPLIT(G5099,""/""),,2),INDEX(SPLIT(G5099,""/""),,1))"),44670.0)</f>
        <v>44670</v>
      </c>
      <c r="I5099" s="1" t="s">
        <v>2300</v>
      </c>
      <c r="J5099" s="4">
        <f>IFERROR(__xludf.DUMMYFUNCTION("DATE(INDEX(SPLIT(I5099,""/""),,3),INDEX(SPLIT(I5099,""/""),,2),INDEX(SPLIT(I5099,""/""),,1))"),44712.0)</f>
        <v>44712</v>
      </c>
      <c r="L5099" s="1">
        <v>0.0</v>
      </c>
      <c r="M5099" s="1" t="s">
        <v>12314</v>
      </c>
      <c r="N5099" s="1"/>
      <c r="O5099" s="1" t="s">
        <v>30</v>
      </c>
      <c r="P5099" s="1" t="s">
        <v>31</v>
      </c>
      <c r="Q5099" s="1" t="s">
        <v>228</v>
      </c>
      <c r="R5099" s="1" t="s">
        <v>228</v>
      </c>
      <c r="S5099" s="1" t="s">
        <v>229</v>
      </c>
      <c r="U5099" s="1">
        <v>1.00642273E8</v>
      </c>
      <c r="X5099" s="1" t="s">
        <v>239</v>
      </c>
      <c r="Y5099" s="1" t="s">
        <v>10576</v>
      </c>
      <c r="Z5099" s="1" t="s">
        <v>37</v>
      </c>
    </row>
    <row r="5100">
      <c r="A5100" s="1" t="s">
        <v>14219</v>
      </c>
      <c r="B5100" s="1" t="s">
        <v>14220</v>
      </c>
      <c r="C5100" s="1" t="s">
        <v>14221</v>
      </c>
      <c r="D5100" s="1" t="s">
        <v>78</v>
      </c>
      <c r="E5100" s="1" t="s">
        <v>28</v>
      </c>
      <c r="F5100" s="2">
        <v>60000.0</v>
      </c>
      <c r="G5100" s="4">
        <v>44294.0</v>
      </c>
      <c r="H5100" s="4">
        <f>IFERROR(__xludf.DUMMYFUNCTION("DATE(INDEX(SPLIT(G5100,""/""),,3),INDEX(SPLIT(G5100,""/""),,2),INDEX(SPLIT(G5100,""/""),,1))"),44412.0)</f>
        <v>44412</v>
      </c>
      <c r="I5100" s="1" t="s">
        <v>1244</v>
      </c>
      <c r="J5100" s="4">
        <f>IFERROR(__xludf.DUMMYFUNCTION("DATE(INDEX(SPLIT(I5100,""/""),,3),INDEX(SPLIT(I5100,""/""),,2),INDEX(SPLIT(I5100,""/""),,1))"),44742.0)</f>
        <v>44742</v>
      </c>
      <c r="L5100" s="1">
        <v>0.0</v>
      </c>
      <c r="M5100" s="1" t="s">
        <v>6045</v>
      </c>
      <c r="N5100" s="1"/>
      <c r="O5100" s="1" t="s">
        <v>30</v>
      </c>
      <c r="P5100" s="1" t="s">
        <v>31</v>
      </c>
      <c r="Q5100" s="1" t="s">
        <v>228</v>
      </c>
      <c r="R5100" s="1" t="s">
        <v>228</v>
      </c>
      <c r="S5100" s="1" t="s">
        <v>229</v>
      </c>
      <c r="T5100" s="1" t="s">
        <v>513</v>
      </c>
      <c r="U5100" s="1">
        <v>1.00652479E8</v>
      </c>
      <c r="X5100" s="1" t="s">
        <v>375</v>
      </c>
      <c r="Y5100" s="1" t="s">
        <v>11076</v>
      </c>
      <c r="Z5100" s="1" t="s">
        <v>37</v>
      </c>
    </row>
    <row r="5101" hidden="1">
      <c r="A5101" s="1" t="s">
        <v>14222</v>
      </c>
      <c r="B5101" s="1" t="s">
        <v>14223</v>
      </c>
      <c r="C5101" s="1" t="s">
        <v>14224</v>
      </c>
      <c r="D5101" s="1" t="s">
        <v>78</v>
      </c>
      <c r="E5101" s="1" t="s">
        <v>28</v>
      </c>
      <c r="F5101" s="2">
        <v>60000.0</v>
      </c>
      <c r="G5101" s="4">
        <v>43901.0</v>
      </c>
      <c r="H5101" s="4">
        <f>IFERROR(__xludf.DUMMYFUNCTION("DATE(INDEX(SPLIT(G5101,""/""),,3),INDEX(SPLIT(G5101,""/""),,2),INDEX(SPLIT(G5101,""/""),,1))"),44138.0)</f>
        <v>44138</v>
      </c>
      <c r="I5101" s="1" t="s">
        <v>1097</v>
      </c>
      <c r="J5101" s="4">
        <f>IFERROR(__xludf.DUMMYFUNCTION("DATE(INDEX(SPLIT(I5101,""/""),,3),INDEX(SPLIT(I5101,""/""),,2),INDEX(SPLIT(I5101,""/""),,1))"),45107.0)</f>
        <v>45107</v>
      </c>
      <c r="L5101" s="1">
        <v>0.0</v>
      </c>
      <c r="M5101" s="1" t="s">
        <v>4735</v>
      </c>
      <c r="N5101" s="1"/>
      <c r="O5101" s="1" t="s">
        <v>30</v>
      </c>
      <c r="P5101" s="1" t="s">
        <v>31</v>
      </c>
      <c r="Q5101" s="1" t="s">
        <v>71</v>
      </c>
      <c r="R5101" s="1" t="s">
        <v>71</v>
      </c>
      <c r="S5101" s="1" t="s">
        <v>72</v>
      </c>
      <c r="T5101" s="1" t="s">
        <v>136</v>
      </c>
      <c r="U5101" s="1">
        <v>1.00609615E8</v>
      </c>
      <c r="X5101" s="1" t="s">
        <v>74</v>
      </c>
      <c r="Y5101" s="1" t="s">
        <v>2593</v>
      </c>
      <c r="Z5101" s="1" t="s">
        <v>206</v>
      </c>
    </row>
    <row r="5102">
      <c r="A5102" s="1" t="s">
        <v>14225</v>
      </c>
      <c r="B5102" s="1" t="s">
        <v>14226</v>
      </c>
      <c r="C5102" s="1" t="s">
        <v>14227</v>
      </c>
      <c r="D5102" s="1" t="s">
        <v>68</v>
      </c>
      <c r="E5102" s="1" t="s">
        <v>28</v>
      </c>
      <c r="F5102" s="2">
        <v>60000.0</v>
      </c>
      <c r="G5102" s="4">
        <v>44022.0</v>
      </c>
      <c r="H5102" s="4">
        <f>IFERROR(__xludf.DUMMYFUNCTION("DATE(INDEX(SPLIT(G5102,""/""),,3),INDEX(SPLIT(G5102,""/""),,2),INDEX(SPLIT(G5102,""/""),,1))"),44111.0)</f>
        <v>44111</v>
      </c>
      <c r="I5102" s="1" t="s">
        <v>1244</v>
      </c>
      <c r="J5102" s="4">
        <f>IFERROR(__xludf.DUMMYFUNCTION("DATE(INDEX(SPLIT(I5102,""/""),,3),INDEX(SPLIT(I5102,""/""),,2),INDEX(SPLIT(I5102,""/""),,1))"),44742.0)</f>
        <v>44742</v>
      </c>
      <c r="L5102" s="1">
        <v>0.0</v>
      </c>
      <c r="M5102" s="1" t="s">
        <v>7088</v>
      </c>
      <c r="N5102" s="1"/>
      <c r="O5102" s="1" t="s">
        <v>30</v>
      </c>
      <c r="P5102" s="1" t="s">
        <v>31</v>
      </c>
      <c r="Q5102" s="1" t="s">
        <v>228</v>
      </c>
      <c r="R5102" s="1" t="s">
        <v>228</v>
      </c>
      <c r="S5102" s="1" t="s">
        <v>229</v>
      </c>
      <c r="T5102" s="1" t="s">
        <v>513</v>
      </c>
      <c r="U5102" s="1">
        <v>1.00597339E8</v>
      </c>
      <c r="X5102" s="1" t="s">
        <v>490</v>
      </c>
      <c r="Y5102" s="1" t="s">
        <v>7089</v>
      </c>
      <c r="Z5102" s="1" t="s">
        <v>37</v>
      </c>
    </row>
    <row r="5103" hidden="1">
      <c r="A5103" s="1" t="s">
        <v>14228</v>
      </c>
      <c r="B5103" s="1" t="s">
        <v>7868</v>
      </c>
      <c r="C5103" s="1" t="s">
        <v>14229</v>
      </c>
      <c r="D5103" s="1" t="s">
        <v>122</v>
      </c>
      <c r="E5103" s="1" t="s">
        <v>28</v>
      </c>
      <c r="F5103" s="2">
        <v>60000.0</v>
      </c>
      <c r="G5103" s="4">
        <v>44481.0</v>
      </c>
      <c r="H5103" s="4">
        <f>IFERROR(__xludf.DUMMYFUNCTION("DATE(INDEX(SPLIT(G5103,""/""),,3),INDEX(SPLIT(G5103,""/""),,2),INDEX(SPLIT(G5103,""/""),,1))"),44540.0)</f>
        <v>44540</v>
      </c>
      <c r="I5103" s="1" t="s">
        <v>109</v>
      </c>
      <c r="J5103" s="4">
        <f>IFERROR(__xludf.DUMMYFUNCTION("DATE(INDEX(SPLIT(I5103,""/""),,3),INDEX(SPLIT(I5103,""/""),,2),INDEX(SPLIT(I5103,""/""),,1))"),44834.0)</f>
        <v>44834</v>
      </c>
      <c r="L5103" s="1">
        <v>0.0</v>
      </c>
      <c r="M5103" s="1" t="s">
        <v>1398</v>
      </c>
      <c r="N5103" s="1"/>
      <c r="O5103" s="1" t="s">
        <v>30</v>
      </c>
      <c r="P5103" s="1" t="s">
        <v>31</v>
      </c>
      <c r="Q5103" s="1" t="s">
        <v>95</v>
      </c>
      <c r="R5103" s="1" t="s">
        <v>95</v>
      </c>
      <c r="S5103" s="1" t="s">
        <v>96</v>
      </c>
      <c r="T5103" s="1" t="s">
        <v>111</v>
      </c>
      <c r="U5103" s="1">
        <v>1.0061941E8</v>
      </c>
      <c r="X5103" s="1" t="s">
        <v>63</v>
      </c>
      <c r="Y5103" s="1" t="s">
        <v>7871</v>
      </c>
      <c r="Z5103" s="1" t="s">
        <v>37</v>
      </c>
    </row>
    <row r="5104">
      <c r="A5104" s="1" t="s">
        <v>14230</v>
      </c>
      <c r="B5104" s="1" t="s">
        <v>14231</v>
      </c>
      <c r="C5104" s="1" t="s">
        <v>14232</v>
      </c>
      <c r="D5104" s="1" t="s">
        <v>122</v>
      </c>
      <c r="E5104" s="1" t="s">
        <v>28</v>
      </c>
      <c r="F5104" s="2">
        <v>60000.0</v>
      </c>
      <c r="G5104" s="4">
        <v>44898.0</v>
      </c>
      <c r="H5104" s="4">
        <f>IFERROR(__xludf.DUMMYFUNCTION("DATE(INDEX(SPLIT(G5104,""/""),,3),INDEX(SPLIT(G5104,""/""),,2),INDEX(SPLIT(G5104,""/""),,1))"),44632.0)</f>
        <v>44632</v>
      </c>
      <c r="I5104" s="1" t="s">
        <v>226</v>
      </c>
      <c r="J5104" s="4">
        <f>IFERROR(__xludf.DUMMYFUNCTION("DATE(INDEX(SPLIT(I5104,""/""),,3),INDEX(SPLIT(I5104,""/""),,2),INDEX(SPLIT(I5104,""/""),,1))"),44771.0)</f>
        <v>44771</v>
      </c>
      <c r="L5104" s="1">
        <v>0.0</v>
      </c>
      <c r="M5104" s="1" t="s">
        <v>10697</v>
      </c>
      <c r="N5104" s="1"/>
      <c r="O5104" s="1" t="s">
        <v>30</v>
      </c>
      <c r="P5104" s="1" t="s">
        <v>31</v>
      </c>
      <c r="Q5104" s="1" t="s">
        <v>228</v>
      </c>
      <c r="R5104" s="1" t="s">
        <v>228</v>
      </c>
      <c r="S5104" s="1" t="s">
        <v>229</v>
      </c>
      <c r="T5104" s="1" t="s">
        <v>513</v>
      </c>
      <c r="U5104" s="1">
        <v>1.00612201E8</v>
      </c>
      <c r="X5104" s="1" t="s">
        <v>490</v>
      </c>
      <c r="Y5104" s="1" t="s">
        <v>9454</v>
      </c>
      <c r="Z5104" s="1" t="s">
        <v>37</v>
      </c>
    </row>
    <row r="5105">
      <c r="A5105" s="1" t="s">
        <v>14233</v>
      </c>
      <c r="B5105" s="1" t="s">
        <v>1586</v>
      </c>
      <c r="C5105" s="1" t="s">
        <v>14234</v>
      </c>
      <c r="D5105" s="1" t="s">
        <v>122</v>
      </c>
      <c r="E5105" s="1" t="s">
        <v>28</v>
      </c>
      <c r="F5105" s="2">
        <v>60000.0</v>
      </c>
      <c r="G5105" s="1" t="s">
        <v>233</v>
      </c>
      <c r="H5105" s="4">
        <f>IFERROR(__xludf.DUMMYFUNCTION("DATE(INDEX(SPLIT(G5105,""/""),,3),INDEX(SPLIT(G5105,""/""),,2),INDEX(SPLIT(G5105,""/""),,1))"),44729.0)</f>
        <v>44729</v>
      </c>
      <c r="I5105" s="1" t="s">
        <v>1244</v>
      </c>
      <c r="J5105" s="4">
        <f>IFERROR(__xludf.DUMMYFUNCTION("DATE(INDEX(SPLIT(I5105,""/""),,3),INDEX(SPLIT(I5105,""/""),,2),INDEX(SPLIT(I5105,""/""),,1))"),44742.0)</f>
        <v>44742</v>
      </c>
      <c r="L5105" s="1">
        <v>0.0</v>
      </c>
      <c r="M5105" s="1" t="s">
        <v>6045</v>
      </c>
      <c r="N5105" s="1"/>
      <c r="O5105" s="1" t="s">
        <v>30</v>
      </c>
      <c r="P5105" s="1" t="s">
        <v>31</v>
      </c>
      <c r="Q5105" s="1" t="s">
        <v>228</v>
      </c>
      <c r="R5105" s="1" t="s">
        <v>228</v>
      </c>
      <c r="S5105" s="1" t="s">
        <v>229</v>
      </c>
      <c r="T5105" s="1" t="s">
        <v>513</v>
      </c>
      <c r="U5105" s="1">
        <v>1.00652479E8</v>
      </c>
      <c r="X5105" s="1" t="s">
        <v>117</v>
      </c>
      <c r="Y5105" s="1" t="s">
        <v>12692</v>
      </c>
      <c r="Z5105" s="1" t="s">
        <v>37</v>
      </c>
    </row>
    <row r="5106" hidden="1">
      <c r="A5106" s="1" t="s">
        <v>14235</v>
      </c>
      <c r="B5106" s="1" t="s">
        <v>9168</v>
      </c>
      <c r="C5106" s="1" t="s">
        <v>14236</v>
      </c>
      <c r="D5106" s="1" t="s">
        <v>122</v>
      </c>
      <c r="E5106" s="1" t="s">
        <v>28</v>
      </c>
      <c r="F5106" s="2">
        <v>60000.0</v>
      </c>
      <c r="G5106" s="1" t="s">
        <v>1128</v>
      </c>
      <c r="H5106" s="4">
        <f>IFERROR(__xludf.DUMMYFUNCTION("DATE(INDEX(SPLIT(G5106,""/""),,3),INDEX(SPLIT(G5106,""/""),,2),INDEX(SPLIT(G5106,""/""),,1))"),44737.0)</f>
        <v>44737</v>
      </c>
      <c r="I5106" s="1" t="s">
        <v>130</v>
      </c>
      <c r="J5106" s="4">
        <f>IFERROR(__xludf.DUMMYFUNCTION("DATE(INDEX(SPLIT(I5106,""/""),,3),INDEX(SPLIT(I5106,""/""),,2),INDEX(SPLIT(I5106,""/""),,1))"),44804.0)</f>
        <v>44804</v>
      </c>
      <c r="L5106" s="1">
        <v>0.0</v>
      </c>
      <c r="M5106" s="1" t="s">
        <v>211</v>
      </c>
      <c r="N5106" s="1"/>
      <c r="O5106" s="1" t="s">
        <v>30</v>
      </c>
      <c r="P5106" s="1" t="s">
        <v>31</v>
      </c>
      <c r="Q5106" s="1" t="s">
        <v>71</v>
      </c>
      <c r="R5106" s="1" t="s">
        <v>71</v>
      </c>
      <c r="S5106" s="1" t="s">
        <v>72</v>
      </c>
      <c r="T5106" s="1" t="s">
        <v>136</v>
      </c>
      <c r="U5106" s="1">
        <v>1.00590896E8</v>
      </c>
      <c r="X5106" s="1" t="s">
        <v>74</v>
      </c>
      <c r="Y5106" s="1" t="s">
        <v>2593</v>
      </c>
      <c r="Z5106" s="1" t="s">
        <v>37</v>
      </c>
    </row>
    <row r="5107" hidden="1">
      <c r="A5107" s="1" t="s">
        <v>14237</v>
      </c>
      <c r="B5107" s="1" t="s">
        <v>14238</v>
      </c>
      <c r="C5107" s="1" t="s">
        <v>14239</v>
      </c>
      <c r="D5107" s="1" t="s">
        <v>122</v>
      </c>
      <c r="E5107" s="1" t="s">
        <v>28</v>
      </c>
      <c r="F5107" s="2">
        <v>60000.0</v>
      </c>
      <c r="G5107" s="1" t="s">
        <v>2300</v>
      </c>
      <c r="H5107" s="4">
        <f>IFERROR(__xludf.DUMMYFUNCTION("DATE(INDEX(SPLIT(G5107,""/""),,3),INDEX(SPLIT(G5107,""/""),,2),INDEX(SPLIT(G5107,""/""),,1))"),44712.0)</f>
        <v>44712</v>
      </c>
      <c r="I5107" s="1" t="s">
        <v>109</v>
      </c>
      <c r="J5107" s="4">
        <f>IFERROR(__xludf.DUMMYFUNCTION("DATE(INDEX(SPLIT(I5107,""/""),,3),INDEX(SPLIT(I5107,""/""),,2),INDEX(SPLIT(I5107,""/""),,1))"),44834.0)</f>
        <v>44834</v>
      </c>
      <c r="L5107" s="1">
        <v>0.0</v>
      </c>
      <c r="M5107" s="1" t="s">
        <v>8088</v>
      </c>
      <c r="N5107" s="1"/>
      <c r="O5107" s="1" t="s">
        <v>30</v>
      </c>
      <c r="P5107" s="1" t="s">
        <v>31</v>
      </c>
      <c r="Q5107" s="1" t="s">
        <v>228</v>
      </c>
      <c r="R5107" s="1" t="s">
        <v>228</v>
      </c>
      <c r="S5107" s="1" t="s">
        <v>229</v>
      </c>
      <c r="T5107" s="1" t="s">
        <v>640</v>
      </c>
      <c r="U5107" s="1">
        <v>1.00882877E8</v>
      </c>
      <c r="X5107" s="1" t="s">
        <v>375</v>
      </c>
      <c r="Y5107" s="1" t="s">
        <v>8088</v>
      </c>
      <c r="Z5107" s="1" t="s">
        <v>206</v>
      </c>
    </row>
    <row r="5108" hidden="1">
      <c r="A5108" s="1" t="s">
        <v>14240</v>
      </c>
      <c r="B5108" s="1" t="s">
        <v>784</v>
      </c>
      <c r="C5108" s="1" t="s">
        <v>14241</v>
      </c>
      <c r="D5108" s="1" t="s">
        <v>27</v>
      </c>
      <c r="E5108" s="1" t="s">
        <v>28</v>
      </c>
      <c r="F5108" s="2">
        <v>60000.0</v>
      </c>
      <c r="G5108" s="4">
        <v>44599.0</v>
      </c>
      <c r="H5108" s="4">
        <f>IFERROR(__xludf.DUMMYFUNCTION("DATE(INDEX(SPLIT(G5108,""/""),,3),INDEX(SPLIT(G5108,""/""),,2),INDEX(SPLIT(G5108,""/""),,1))"),44744.0)</f>
        <v>44744</v>
      </c>
      <c r="I5108" s="1" t="s">
        <v>1097</v>
      </c>
      <c r="J5108" s="4">
        <f>IFERROR(__xludf.DUMMYFUNCTION("DATE(INDEX(SPLIT(I5108,""/""),,3),INDEX(SPLIT(I5108,""/""),,2),INDEX(SPLIT(I5108,""/""),,1))"),45107.0)</f>
        <v>45107</v>
      </c>
      <c r="L5108" s="1">
        <v>0.0</v>
      </c>
      <c r="M5108" s="1" t="s">
        <v>11254</v>
      </c>
      <c r="N5108" s="1"/>
      <c r="O5108" s="1" t="s">
        <v>30</v>
      </c>
      <c r="P5108" s="1" t="s">
        <v>31</v>
      </c>
      <c r="Q5108" s="1" t="s">
        <v>228</v>
      </c>
      <c r="R5108" s="1" t="s">
        <v>228</v>
      </c>
      <c r="S5108" s="1" t="s">
        <v>229</v>
      </c>
      <c r="T5108" s="1" t="s">
        <v>513</v>
      </c>
      <c r="U5108" s="1">
        <v>1.00602248E8</v>
      </c>
      <c r="X5108" s="1" t="s">
        <v>63</v>
      </c>
      <c r="Y5108" s="1" t="s">
        <v>12640</v>
      </c>
      <c r="Z5108" s="1" t="s">
        <v>37</v>
      </c>
    </row>
    <row r="5109" hidden="1">
      <c r="A5109" s="1" t="s">
        <v>14242</v>
      </c>
      <c r="B5109" s="1" t="s">
        <v>932</v>
      </c>
      <c r="C5109" s="1" t="s">
        <v>14243</v>
      </c>
      <c r="D5109" s="1" t="s">
        <v>27</v>
      </c>
      <c r="E5109" s="1" t="s">
        <v>28</v>
      </c>
      <c r="F5109" s="2">
        <v>60000.0</v>
      </c>
      <c r="G5109" s="1" t="s">
        <v>9159</v>
      </c>
      <c r="H5109" s="4">
        <f>IFERROR(__xludf.DUMMYFUNCTION("DATE(INDEX(SPLIT(G5109,""/""),,3),INDEX(SPLIT(G5109,""/""),,2),INDEX(SPLIT(G5109,""/""),,1))"),44515.0)</f>
        <v>44515</v>
      </c>
      <c r="I5109" s="1" t="s">
        <v>109</v>
      </c>
      <c r="J5109" s="4">
        <f>IFERROR(__xludf.DUMMYFUNCTION("DATE(INDEX(SPLIT(I5109,""/""),,3),INDEX(SPLIT(I5109,""/""),,2),INDEX(SPLIT(I5109,""/""),,1))"),44834.0)</f>
        <v>44834</v>
      </c>
      <c r="L5109" s="1">
        <v>0.0</v>
      </c>
      <c r="M5109" s="1" t="s">
        <v>5120</v>
      </c>
      <c r="N5109" s="1"/>
      <c r="O5109" s="1" t="s">
        <v>30</v>
      </c>
      <c r="P5109" s="1" t="s">
        <v>31</v>
      </c>
      <c r="Q5109" s="1" t="s">
        <v>71</v>
      </c>
      <c r="R5109" s="1" t="s">
        <v>71</v>
      </c>
      <c r="S5109" s="1" t="s">
        <v>72</v>
      </c>
      <c r="T5109" s="1" t="s">
        <v>159</v>
      </c>
      <c r="U5109" s="1">
        <v>1.0059101E8</v>
      </c>
      <c r="X5109" s="1" t="s">
        <v>74</v>
      </c>
      <c r="Y5109" s="1" t="s">
        <v>2504</v>
      </c>
      <c r="Z5109" s="1" t="s">
        <v>37</v>
      </c>
    </row>
    <row r="5110" hidden="1">
      <c r="A5110" s="1" t="s">
        <v>14244</v>
      </c>
      <c r="B5110" s="1" t="s">
        <v>14245</v>
      </c>
      <c r="C5110" s="1" t="s">
        <v>14246</v>
      </c>
      <c r="D5110" s="1" t="s">
        <v>27</v>
      </c>
      <c r="E5110" s="1" t="s">
        <v>28</v>
      </c>
      <c r="F5110" s="2">
        <v>60000.0</v>
      </c>
      <c r="G5110" s="1" t="s">
        <v>324</v>
      </c>
      <c r="H5110" s="4">
        <f>IFERROR(__xludf.DUMMYFUNCTION("DATE(INDEX(SPLIT(G5110,""/""),,3),INDEX(SPLIT(G5110,""/""),,2),INDEX(SPLIT(G5110,""/""),,1))"),44636.0)</f>
        <v>44636</v>
      </c>
      <c r="I5110" s="1" t="s">
        <v>42</v>
      </c>
      <c r="J5110" s="4">
        <f>IFERROR(__xludf.DUMMYFUNCTION("DATE(INDEX(SPLIT(I5110,""/""),,3),INDEX(SPLIT(I5110,""/""),,2),INDEX(SPLIT(I5110,""/""),,1))"),44926.0)</f>
        <v>44926</v>
      </c>
      <c r="L5110" s="1">
        <v>0.0</v>
      </c>
      <c r="M5110" s="1" t="s">
        <v>4477</v>
      </c>
      <c r="N5110" s="1"/>
      <c r="O5110" s="1" t="s">
        <v>30</v>
      </c>
      <c r="P5110" s="1" t="s">
        <v>31</v>
      </c>
      <c r="Q5110" s="1" t="s">
        <v>228</v>
      </c>
      <c r="R5110" s="1" t="s">
        <v>228</v>
      </c>
      <c r="S5110" s="1" t="s">
        <v>229</v>
      </c>
      <c r="T5110" s="1" t="s">
        <v>513</v>
      </c>
      <c r="U5110" s="1">
        <v>1.00592715E8</v>
      </c>
      <c r="X5110" s="1" t="s">
        <v>375</v>
      </c>
      <c r="Y5110" s="1" t="s">
        <v>4477</v>
      </c>
      <c r="Z5110" s="1" t="s">
        <v>37</v>
      </c>
    </row>
    <row r="5111">
      <c r="A5111" s="1" t="s">
        <v>14247</v>
      </c>
      <c r="B5111" s="1" t="s">
        <v>14248</v>
      </c>
      <c r="C5111" s="1" t="s">
        <v>14249</v>
      </c>
      <c r="D5111" s="1" t="s">
        <v>122</v>
      </c>
      <c r="E5111" s="1" t="s">
        <v>28</v>
      </c>
      <c r="F5111" s="2">
        <v>60000.0</v>
      </c>
      <c r="G5111" s="1" t="s">
        <v>1259</v>
      </c>
      <c r="H5111" s="4">
        <f>IFERROR(__xludf.DUMMYFUNCTION("DATE(INDEX(SPLIT(G5111,""/""),,3),INDEX(SPLIT(G5111,""/""),,2),INDEX(SPLIT(G5111,""/""),,1))"),44763.0)</f>
        <v>44763</v>
      </c>
      <c r="I5111" s="1" t="s">
        <v>226</v>
      </c>
      <c r="J5111" s="4">
        <f>IFERROR(__xludf.DUMMYFUNCTION("DATE(INDEX(SPLIT(I5111,""/""),,3),INDEX(SPLIT(I5111,""/""),,2),INDEX(SPLIT(I5111,""/""),,1))"),44771.0)</f>
        <v>44771</v>
      </c>
      <c r="L5111" s="1">
        <v>0.0</v>
      </c>
      <c r="M5111" s="1" t="s">
        <v>4016</v>
      </c>
      <c r="N5111" s="1"/>
      <c r="O5111" s="1" t="s">
        <v>30</v>
      </c>
      <c r="P5111" s="1" t="s">
        <v>31</v>
      </c>
      <c r="Q5111" s="1" t="s">
        <v>95</v>
      </c>
      <c r="R5111" s="1" t="s">
        <v>95</v>
      </c>
      <c r="S5111" s="1" t="s">
        <v>96</v>
      </c>
      <c r="T5111" s="1" t="s">
        <v>260</v>
      </c>
      <c r="U5111" s="1">
        <v>1.00628223E8</v>
      </c>
      <c r="X5111" s="1" t="s">
        <v>239</v>
      </c>
      <c r="Y5111" s="1" t="s">
        <v>10559</v>
      </c>
      <c r="Z5111" s="1" t="s">
        <v>206</v>
      </c>
    </row>
    <row r="5112" hidden="1">
      <c r="A5112" s="1" t="s">
        <v>14250</v>
      </c>
      <c r="B5112" s="1" t="s">
        <v>5583</v>
      </c>
      <c r="C5112" s="1" t="s">
        <v>14251</v>
      </c>
      <c r="D5112" s="1" t="s">
        <v>122</v>
      </c>
      <c r="E5112" s="1" t="s">
        <v>28</v>
      </c>
      <c r="F5112" s="2">
        <v>60000.0</v>
      </c>
      <c r="G5112" s="1" t="s">
        <v>935</v>
      </c>
      <c r="H5112" s="4">
        <f>IFERROR(__xludf.DUMMYFUNCTION("DATE(INDEX(SPLIT(G5112,""/""),,3),INDEX(SPLIT(G5112,""/""),,2),INDEX(SPLIT(G5112,""/""),,1))"),44764.0)</f>
        <v>44764</v>
      </c>
      <c r="I5112" s="1" t="s">
        <v>281</v>
      </c>
      <c r="J5112" s="4">
        <f>IFERROR(__xludf.DUMMYFUNCTION("DATE(INDEX(SPLIT(I5112,""/""),,3),INDEX(SPLIT(I5112,""/""),,2),INDEX(SPLIT(I5112,""/""),,1))"),44865.0)</f>
        <v>44865</v>
      </c>
      <c r="L5112" s="1">
        <v>0.0</v>
      </c>
      <c r="M5112" s="1" t="s">
        <v>2592</v>
      </c>
      <c r="N5112" s="1"/>
      <c r="O5112" s="1" t="s">
        <v>30</v>
      </c>
      <c r="P5112" s="1" t="s">
        <v>31</v>
      </c>
      <c r="Q5112" s="1" t="s">
        <v>71</v>
      </c>
      <c r="R5112" s="1" t="s">
        <v>71</v>
      </c>
      <c r="S5112" s="1" t="s">
        <v>72</v>
      </c>
      <c r="T5112" s="1" t="s">
        <v>136</v>
      </c>
      <c r="U5112" s="1">
        <v>1.00586452E8</v>
      </c>
      <c r="X5112" s="1" t="s">
        <v>74</v>
      </c>
      <c r="Y5112" s="1" t="s">
        <v>2593</v>
      </c>
      <c r="Z5112" s="1" t="s">
        <v>37</v>
      </c>
    </row>
    <row r="5113">
      <c r="A5113" s="1" t="s">
        <v>14252</v>
      </c>
      <c r="B5113" s="1" t="s">
        <v>8289</v>
      </c>
      <c r="C5113" s="1" t="s">
        <v>14253</v>
      </c>
      <c r="D5113" s="1" t="s">
        <v>68</v>
      </c>
      <c r="E5113" s="1" t="s">
        <v>28</v>
      </c>
      <c r="F5113" s="2">
        <v>60000.0</v>
      </c>
      <c r="G5113" s="4">
        <v>44598.0</v>
      </c>
      <c r="H5113" s="4">
        <f>IFERROR(__xludf.DUMMYFUNCTION("DATE(INDEX(SPLIT(G5113,""/""),,3),INDEX(SPLIT(G5113,""/""),,2),INDEX(SPLIT(G5113,""/""),,1))"),44714.0)</f>
        <v>44714</v>
      </c>
      <c r="I5113" s="1" t="s">
        <v>935</v>
      </c>
      <c r="J5113" s="4">
        <f>IFERROR(__xludf.DUMMYFUNCTION("DATE(INDEX(SPLIT(I5113,""/""),,3),INDEX(SPLIT(I5113,""/""),,2),INDEX(SPLIT(I5113,""/""),,1))"),44764.0)</f>
        <v>44764</v>
      </c>
      <c r="L5113" s="1">
        <v>0.0</v>
      </c>
      <c r="M5113" s="1" t="s">
        <v>1260</v>
      </c>
      <c r="N5113" s="1"/>
      <c r="O5113" s="1" t="s">
        <v>30</v>
      </c>
      <c r="P5113" s="1" t="s">
        <v>31</v>
      </c>
      <c r="Q5113" s="1" t="s">
        <v>228</v>
      </c>
      <c r="R5113" s="1" t="s">
        <v>228</v>
      </c>
      <c r="S5113" s="1" t="s">
        <v>229</v>
      </c>
      <c r="U5113" s="1">
        <v>1.01211068E8</v>
      </c>
      <c r="X5113" s="1" t="s">
        <v>239</v>
      </c>
      <c r="Y5113" s="1" t="s">
        <v>5386</v>
      </c>
      <c r="Z5113" s="1" t="s">
        <v>37</v>
      </c>
    </row>
    <row r="5114" hidden="1">
      <c r="A5114" s="1" t="s">
        <v>14254</v>
      </c>
      <c r="B5114" s="1" t="s">
        <v>5445</v>
      </c>
      <c r="C5114" s="1" t="s">
        <v>14255</v>
      </c>
      <c r="D5114" s="1" t="s">
        <v>78</v>
      </c>
      <c r="E5114" s="1" t="s">
        <v>28</v>
      </c>
      <c r="F5114" s="2">
        <v>59052.0</v>
      </c>
      <c r="G5114" s="4">
        <v>44902.0</v>
      </c>
      <c r="H5114" s="4">
        <f>IFERROR(__xludf.DUMMYFUNCTION("DATE(INDEX(SPLIT(G5114,""/""),,3),INDEX(SPLIT(G5114,""/""),,2),INDEX(SPLIT(G5114,""/""),,1))"),44754.0)</f>
        <v>44754</v>
      </c>
      <c r="I5114" s="4">
        <v>44873.0</v>
      </c>
      <c r="J5114" s="4">
        <f>IFERROR(__xludf.DUMMYFUNCTION("DATE(INDEX(SPLIT(I5114,""/""),,3),INDEX(SPLIT(I5114,""/""),,2),INDEX(SPLIT(I5114,""/""),,1))"),44784.0)</f>
        <v>44784</v>
      </c>
      <c r="L5114" s="1">
        <v>0.0</v>
      </c>
      <c r="M5114" s="1" t="s">
        <v>7252</v>
      </c>
      <c r="N5114" s="1"/>
      <c r="O5114" s="1" t="s">
        <v>30</v>
      </c>
      <c r="P5114" s="1" t="s">
        <v>31</v>
      </c>
      <c r="Q5114" s="1" t="s">
        <v>157</v>
      </c>
      <c r="R5114" s="1" t="s">
        <v>157</v>
      </c>
      <c r="S5114" s="1" t="s">
        <v>158</v>
      </c>
      <c r="U5114" s="1">
        <v>1.00599152E8</v>
      </c>
      <c r="X5114" s="1" t="s">
        <v>74</v>
      </c>
      <c r="Y5114" s="1" t="s">
        <v>7252</v>
      </c>
      <c r="Z5114" s="1" t="s">
        <v>37</v>
      </c>
    </row>
    <row r="5115">
      <c r="A5115" s="1" t="s">
        <v>14256</v>
      </c>
      <c r="B5115" s="1" t="s">
        <v>5816</v>
      </c>
      <c r="C5115" s="1" t="s">
        <v>14257</v>
      </c>
      <c r="D5115" s="1" t="s">
        <v>122</v>
      </c>
      <c r="E5115" s="1" t="s">
        <v>28</v>
      </c>
      <c r="F5115" s="2">
        <v>59000.0</v>
      </c>
      <c r="G5115" s="1" t="s">
        <v>1154</v>
      </c>
      <c r="H5115" s="4">
        <f>IFERROR(__xludf.DUMMYFUNCTION("DATE(INDEX(SPLIT(G5115,""/""),,3),INDEX(SPLIT(G5115,""/""),,2),INDEX(SPLIT(G5115,""/""),,1))"),44735.0)</f>
        <v>44735</v>
      </c>
      <c r="I5115" s="1" t="s">
        <v>1521</v>
      </c>
      <c r="J5115" s="4">
        <f>IFERROR(__xludf.DUMMYFUNCTION("DATE(INDEX(SPLIT(I5115,""/""),,3),INDEX(SPLIT(I5115,""/""),,2),INDEX(SPLIT(I5115,""/""),,1))"),44756.0)</f>
        <v>44756</v>
      </c>
      <c r="L5115" s="1">
        <v>0.0</v>
      </c>
      <c r="M5115" s="1" t="s">
        <v>878</v>
      </c>
      <c r="N5115" s="1"/>
      <c r="O5115" s="1" t="s">
        <v>30</v>
      </c>
      <c r="P5115" s="1" t="s">
        <v>31</v>
      </c>
      <c r="Q5115" s="1" t="s">
        <v>32</v>
      </c>
      <c r="R5115" s="1" t="s">
        <v>32</v>
      </c>
      <c r="S5115" s="1" t="s">
        <v>33</v>
      </c>
      <c r="U5115" s="1">
        <v>1.00686761E8</v>
      </c>
      <c r="X5115" s="1" t="s">
        <v>35</v>
      </c>
      <c r="Y5115" s="1" t="s">
        <v>878</v>
      </c>
      <c r="Z5115" s="1" t="s">
        <v>527</v>
      </c>
    </row>
    <row r="5116" hidden="1">
      <c r="A5116" s="1" t="s">
        <v>14258</v>
      </c>
      <c r="B5116" s="1" t="s">
        <v>14259</v>
      </c>
      <c r="C5116" s="1" t="s">
        <v>14260</v>
      </c>
      <c r="D5116" s="1" t="s">
        <v>78</v>
      </c>
      <c r="E5116" s="1" t="s">
        <v>28</v>
      </c>
      <c r="F5116" s="2">
        <v>57000.0</v>
      </c>
      <c r="G5116" s="1" t="s">
        <v>935</v>
      </c>
      <c r="H5116" s="4">
        <f>IFERROR(__xludf.DUMMYFUNCTION("DATE(INDEX(SPLIT(G5116,""/""),,3),INDEX(SPLIT(G5116,""/""),,2),INDEX(SPLIT(G5116,""/""),,1))"),44764.0)</f>
        <v>44764</v>
      </c>
      <c r="I5116" s="1" t="s">
        <v>171</v>
      </c>
      <c r="J5116" s="4">
        <f>IFERROR(__xludf.DUMMYFUNCTION("DATE(INDEX(SPLIT(I5116,""/""),,3),INDEX(SPLIT(I5116,""/""),,2),INDEX(SPLIT(I5116,""/""),,1))"),45077.0)</f>
        <v>45077</v>
      </c>
      <c r="L5116" s="1">
        <v>0.0</v>
      </c>
      <c r="M5116" s="1" t="s">
        <v>4735</v>
      </c>
      <c r="N5116" s="1"/>
      <c r="O5116" s="1" t="s">
        <v>30</v>
      </c>
      <c r="P5116" s="1" t="s">
        <v>31</v>
      </c>
      <c r="Q5116" s="1" t="s">
        <v>71</v>
      </c>
      <c r="R5116" s="1" t="s">
        <v>71</v>
      </c>
      <c r="S5116" s="1" t="s">
        <v>72</v>
      </c>
      <c r="T5116" s="1" t="s">
        <v>136</v>
      </c>
      <c r="U5116" s="1">
        <v>1.00609615E8</v>
      </c>
      <c r="X5116" s="1" t="s">
        <v>74</v>
      </c>
      <c r="Y5116" s="1" t="s">
        <v>2593</v>
      </c>
      <c r="Z5116" s="1" t="s">
        <v>206</v>
      </c>
    </row>
    <row r="5117" hidden="1">
      <c r="A5117" s="1" t="s">
        <v>14261</v>
      </c>
      <c r="B5117" s="1" t="s">
        <v>14262</v>
      </c>
      <c r="C5117" s="1" t="s">
        <v>14263</v>
      </c>
      <c r="D5117" s="1" t="s">
        <v>122</v>
      </c>
      <c r="E5117" s="1" t="s">
        <v>28</v>
      </c>
      <c r="F5117" s="2">
        <v>57000.0</v>
      </c>
      <c r="G5117" s="1" t="s">
        <v>935</v>
      </c>
      <c r="H5117" s="4">
        <f>IFERROR(__xludf.DUMMYFUNCTION("DATE(INDEX(SPLIT(G5117,""/""),,3),INDEX(SPLIT(G5117,""/""),,2),INDEX(SPLIT(G5117,""/""),,1))"),44764.0)</f>
        <v>44764</v>
      </c>
      <c r="I5117" s="1" t="s">
        <v>430</v>
      </c>
      <c r="J5117" s="4">
        <f>IFERROR(__xludf.DUMMYFUNCTION("DATE(INDEX(SPLIT(I5117,""/""),,3),INDEX(SPLIT(I5117,""/""),,2),INDEX(SPLIT(I5117,""/""),,1))"),44985.0)</f>
        <v>44985</v>
      </c>
      <c r="L5117" s="1">
        <v>0.0</v>
      </c>
      <c r="M5117" s="1" t="s">
        <v>4735</v>
      </c>
      <c r="N5117" s="1"/>
      <c r="O5117" s="1" t="s">
        <v>30</v>
      </c>
      <c r="P5117" s="1" t="s">
        <v>31</v>
      </c>
      <c r="Q5117" s="1" t="s">
        <v>71</v>
      </c>
      <c r="R5117" s="1" t="s">
        <v>71</v>
      </c>
      <c r="S5117" s="1" t="s">
        <v>72</v>
      </c>
      <c r="T5117" s="1" t="s">
        <v>136</v>
      </c>
      <c r="U5117" s="1">
        <v>1.00609615E8</v>
      </c>
      <c r="X5117" s="1" t="s">
        <v>74</v>
      </c>
      <c r="Y5117" s="1" t="s">
        <v>2593</v>
      </c>
      <c r="Z5117" s="1" t="s">
        <v>206</v>
      </c>
    </row>
    <row r="5118" hidden="1">
      <c r="A5118" s="1" t="s">
        <v>14264</v>
      </c>
      <c r="B5118" s="1" t="s">
        <v>14265</v>
      </c>
      <c r="C5118" s="1" t="s">
        <v>14266</v>
      </c>
      <c r="D5118" s="1" t="s">
        <v>27</v>
      </c>
      <c r="E5118" s="1" t="s">
        <v>28</v>
      </c>
      <c r="F5118" s="2">
        <v>56000.0</v>
      </c>
      <c r="G5118" s="1" t="s">
        <v>935</v>
      </c>
      <c r="H5118" s="4">
        <f>IFERROR(__xludf.DUMMYFUNCTION("DATE(INDEX(SPLIT(G5118,""/""),,3),INDEX(SPLIT(G5118,""/""),,2),INDEX(SPLIT(G5118,""/""),,1))"),44764.0)</f>
        <v>44764</v>
      </c>
      <c r="I5118" s="1" t="s">
        <v>569</v>
      </c>
      <c r="J5118" s="4">
        <f>IFERROR(__xludf.DUMMYFUNCTION("DATE(INDEX(SPLIT(I5118,""/""),,3),INDEX(SPLIT(I5118,""/""),,2),INDEX(SPLIT(I5118,""/""),,1))"),45016.0)</f>
        <v>45016</v>
      </c>
      <c r="L5118" s="1">
        <v>0.0</v>
      </c>
      <c r="M5118" s="1" t="s">
        <v>2592</v>
      </c>
      <c r="N5118" s="1"/>
      <c r="O5118" s="1" t="s">
        <v>30</v>
      </c>
      <c r="P5118" s="1" t="s">
        <v>31</v>
      </c>
      <c r="Q5118" s="1" t="s">
        <v>71</v>
      </c>
      <c r="R5118" s="1" t="s">
        <v>71</v>
      </c>
      <c r="S5118" s="1" t="s">
        <v>72</v>
      </c>
      <c r="T5118" s="1" t="s">
        <v>136</v>
      </c>
      <c r="U5118" s="1">
        <v>1.00586452E8</v>
      </c>
      <c r="X5118" s="1" t="s">
        <v>74</v>
      </c>
      <c r="Y5118" s="1" t="s">
        <v>2593</v>
      </c>
      <c r="Z5118" s="1" t="s">
        <v>37</v>
      </c>
    </row>
    <row r="5119" hidden="1">
      <c r="A5119" s="1" t="s">
        <v>14267</v>
      </c>
      <c r="B5119" s="1" t="s">
        <v>1113</v>
      </c>
      <c r="C5119" s="1" t="s">
        <v>14268</v>
      </c>
      <c r="D5119" s="1" t="s">
        <v>122</v>
      </c>
      <c r="E5119" s="1" t="s">
        <v>28</v>
      </c>
      <c r="F5119" s="2">
        <v>55000.0</v>
      </c>
      <c r="G5119" s="1" t="s">
        <v>1521</v>
      </c>
      <c r="H5119" s="4">
        <f>IFERROR(__xludf.DUMMYFUNCTION("DATE(INDEX(SPLIT(G5119,""/""),,3),INDEX(SPLIT(G5119,""/""),,2),INDEX(SPLIT(G5119,""/""),,1))"),44756.0)</f>
        <v>44756</v>
      </c>
      <c r="I5119" s="4">
        <v>44813.0</v>
      </c>
      <c r="J5119" s="4">
        <f>IFERROR(__xludf.DUMMYFUNCTION("DATE(INDEX(SPLIT(I5119,""/""),,3),INDEX(SPLIT(I5119,""/""),,2),INDEX(SPLIT(I5119,""/""),,1))"),44813.0)</f>
        <v>44813</v>
      </c>
      <c r="L5119" s="1">
        <v>0.0</v>
      </c>
      <c r="M5119" s="1" t="s">
        <v>633</v>
      </c>
      <c r="N5119" s="1"/>
      <c r="O5119" s="1" t="s">
        <v>30</v>
      </c>
      <c r="P5119" s="1" t="s">
        <v>31</v>
      </c>
      <c r="Q5119" s="1" t="s">
        <v>53</v>
      </c>
      <c r="R5119" s="1" t="s">
        <v>53</v>
      </c>
      <c r="S5119" s="1" t="s">
        <v>54</v>
      </c>
      <c r="T5119" s="1" t="s">
        <v>634</v>
      </c>
      <c r="U5119" s="1">
        <v>1.00997154E8</v>
      </c>
      <c r="X5119" s="1" t="s">
        <v>490</v>
      </c>
      <c r="Y5119" s="1" t="s">
        <v>3788</v>
      </c>
      <c r="Z5119" s="1" t="s">
        <v>37</v>
      </c>
    </row>
    <row r="5120" hidden="1">
      <c r="A5120" s="1" t="s">
        <v>14269</v>
      </c>
      <c r="B5120" s="1" t="s">
        <v>1355</v>
      </c>
      <c r="C5120" s="1" t="s">
        <v>14270</v>
      </c>
      <c r="D5120" s="1" t="s">
        <v>122</v>
      </c>
      <c r="E5120" s="1" t="s">
        <v>28</v>
      </c>
      <c r="F5120" s="2">
        <v>55000.0</v>
      </c>
      <c r="G5120" s="1" t="s">
        <v>343</v>
      </c>
      <c r="H5120" s="4">
        <f>IFERROR(__xludf.DUMMYFUNCTION("DATE(INDEX(SPLIT(G5120,""/""),,3),INDEX(SPLIT(G5120,""/""),,2),INDEX(SPLIT(G5120,""/""),,1))"),44761.0)</f>
        <v>44761</v>
      </c>
      <c r="I5120" s="1" t="s">
        <v>109</v>
      </c>
      <c r="J5120" s="4">
        <f>IFERROR(__xludf.DUMMYFUNCTION("DATE(INDEX(SPLIT(I5120,""/""),,3),INDEX(SPLIT(I5120,""/""),,2),INDEX(SPLIT(I5120,""/""),,1))"),44834.0)</f>
        <v>44834</v>
      </c>
      <c r="L5120" s="1">
        <v>0.0</v>
      </c>
      <c r="M5120" s="1" t="s">
        <v>5636</v>
      </c>
      <c r="N5120" s="1"/>
      <c r="O5120" s="1" t="s">
        <v>30</v>
      </c>
      <c r="P5120" s="1" t="s">
        <v>31</v>
      </c>
      <c r="Q5120" s="1" t="s">
        <v>228</v>
      </c>
      <c r="R5120" s="1" t="s">
        <v>228</v>
      </c>
      <c r="S5120" s="1" t="s">
        <v>229</v>
      </c>
      <c r="U5120" s="1">
        <v>1.00605581E8</v>
      </c>
      <c r="X5120" s="1" t="s">
        <v>35</v>
      </c>
      <c r="Y5120" s="1" t="s">
        <v>14271</v>
      </c>
      <c r="Z5120" s="1" t="s">
        <v>37</v>
      </c>
    </row>
    <row r="5121" hidden="1">
      <c r="A5121" s="1" t="s">
        <v>14272</v>
      </c>
      <c r="B5121" s="1" t="s">
        <v>14273</v>
      </c>
      <c r="C5121" s="1" t="s">
        <v>14274</v>
      </c>
      <c r="D5121" s="1" t="s">
        <v>27</v>
      </c>
      <c r="E5121" s="1" t="s">
        <v>28</v>
      </c>
      <c r="F5121" s="2">
        <v>55000.0</v>
      </c>
      <c r="G5121" s="1" t="s">
        <v>1141</v>
      </c>
      <c r="H5121" s="4">
        <f>IFERROR(__xludf.DUMMYFUNCTION("DATE(INDEX(SPLIT(G5121,""/""),,3),INDEX(SPLIT(G5121,""/""),,2),INDEX(SPLIT(G5121,""/""),,1))"),44767.0)</f>
        <v>44767</v>
      </c>
      <c r="I5121" s="1" t="s">
        <v>130</v>
      </c>
      <c r="J5121" s="4">
        <f>IFERROR(__xludf.DUMMYFUNCTION("DATE(INDEX(SPLIT(I5121,""/""),,3),INDEX(SPLIT(I5121,""/""),,2),INDEX(SPLIT(I5121,""/""),,1))"),44804.0)</f>
        <v>44804</v>
      </c>
      <c r="L5121" s="1">
        <v>0.0</v>
      </c>
      <c r="M5121" s="1" t="s">
        <v>12468</v>
      </c>
      <c r="N5121" s="1"/>
      <c r="O5121" s="1" t="s">
        <v>30</v>
      </c>
      <c r="P5121" s="1" t="s">
        <v>31</v>
      </c>
      <c r="Q5121" s="1" t="s">
        <v>228</v>
      </c>
      <c r="R5121" s="1" t="s">
        <v>228</v>
      </c>
      <c r="S5121" s="1" t="s">
        <v>229</v>
      </c>
      <c r="U5121" s="1">
        <v>1.00626837E8</v>
      </c>
      <c r="Y5121" s="1" t="s">
        <v>2208</v>
      </c>
      <c r="Z5121" s="1" t="s">
        <v>206</v>
      </c>
    </row>
    <row r="5122">
      <c r="A5122" s="1" t="s">
        <v>14275</v>
      </c>
      <c r="B5122" s="1" t="s">
        <v>9442</v>
      </c>
      <c r="C5122" s="1" t="s">
        <v>14276</v>
      </c>
      <c r="D5122" s="1" t="s">
        <v>78</v>
      </c>
      <c r="E5122" s="1" t="s">
        <v>28</v>
      </c>
      <c r="F5122" s="2">
        <v>55000.0</v>
      </c>
      <c r="G5122" s="1" t="s">
        <v>2324</v>
      </c>
      <c r="H5122" s="4">
        <f>IFERROR(__xludf.DUMMYFUNCTION("DATE(INDEX(SPLIT(G5122,""/""),,3),INDEX(SPLIT(G5122,""/""),,2),INDEX(SPLIT(G5122,""/""),,1))"),44705.0)</f>
        <v>44705</v>
      </c>
      <c r="I5122" s="4">
        <v>44840.0</v>
      </c>
      <c r="J5122" s="4">
        <f>IFERROR(__xludf.DUMMYFUNCTION("DATE(INDEX(SPLIT(I5122,""/""),,3),INDEX(SPLIT(I5122,""/""),,2),INDEX(SPLIT(I5122,""/""),,1))"),44722.0)</f>
        <v>44722</v>
      </c>
      <c r="L5122" s="1">
        <v>0.0</v>
      </c>
      <c r="M5122" s="1" t="s">
        <v>6833</v>
      </c>
      <c r="N5122" s="1"/>
      <c r="O5122" s="1" t="s">
        <v>30</v>
      </c>
      <c r="P5122" s="1" t="s">
        <v>31</v>
      </c>
      <c r="Q5122" s="1" t="s">
        <v>32</v>
      </c>
      <c r="R5122" s="1" t="s">
        <v>32</v>
      </c>
      <c r="S5122" s="1" t="s">
        <v>33</v>
      </c>
      <c r="T5122" s="1" t="s">
        <v>1195</v>
      </c>
      <c r="U5122" s="1">
        <v>1.01210545E8</v>
      </c>
      <c r="X5122" s="1" t="s">
        <v>125</v>
      </c>
      <c r="Y5122" s="1" t="s">
        <v>7653</v>
      </c>
      <c r="Z5122" s="1" t="s">
        <v>206</v>
      </c>
    </row>
    <row r="5123" hidden="1">
      <c r="A5123" s="1" t="s">
        <v>14277</v>
      </c>
      <c r="B5123" s="1" t="s">
        <v>645</v>
      </c>
      <c r="C5123" s="1" t="s">
        <v>14278</v>
      </c>
      <c r="D5123" s="1" t="s">
        <v>122</v>
      </c>
      <c r="E5123" s="1" t="s">
        <v>28</v>
      </c>
      <c r="F5123" s="2">
        <v>55000.0</v>
      </c>
      <c r="G5123" s="4">
        <v>44748.0</v>
      </c>
      <c r="H5123" s="4">
        <f>IFERROR(__xludf.DUMMYFUNCTION("DATE(INDEX(SPLIT(G5123,""/""),,3),INDEX(SPLIT(G5123,""/""),,2),INDEX(SPLIT(G5123,""/""),,1))"),44719.0)</f>
        <v>44719</v>
      </c>
      <c r="I5123" s="4">
        <v>44569.0</v>
      </c>
      <c r="J5123" s="4">
        <f>IFERROR(__xludf.DUMMYFUNCTION("DATE(INDEX(SPLIT(I5123,""/""),,3),INDEX(SPLIT(I5123,""/""),,2),INDEX(SPLIT(I5123,""/""),,1))"),44774.0)</f>
        <v>44774</v>
      </c>
      <c r="L5123" s="1">
        <v>0.0</v>
      </c>
      <c r="M5123" s="1" t="s">
        <v>7088</v>
      </c>
      <c r="N5123" s="1"/>
      <c r="O5123" s="1" t="s">
        <v>30</v>
      </c>
      <c r="P5123" s="1" t="s">
        <v>31</v>
      </c>
      <c r="Q5123" s="1" t="s">
        <v>228</v>
      </c>
      <c r="R5123" s="1" t="s">
        <v>228</v>
      </c>
      <c r="S5123" s="1" t="s">
        <v>229</v>
      </c>
      <c r="T5123" s="1" t="s">
        <v>513</v>
      </c>
      <c r="U5123" s="1">
        <v>1.00597339E8</v>
      </c>
      <c r="X5123" s="1" t="s">
        <v>239</v>
      </c>
      <c r="Y5123" s="1" t="s">
        <v>14279</v>
      </c>
      <c r="Z5123" s="1" t="s">
        <v>37</v>
      </c>
    </row>
    <row r="5124" hidden="1">
      <c r="A5124" s="1" t="s">
        <v>14280</v>
      </c>
      <c r="B5124" s="1" t="s">
        <v>14281</v>
      </c>
      <c r="C5124" s="1" t="s">
        <v>14282</v>
      </c>
      <c r="D5124" s="1" t="s">
        <v>122</v>
      </c>
      <c r="E5124" s="1" t="s">
        <v>28</v>
      </c>
      <c r="F5124" s="2">
        <v>55000.0</v>
      </c>
      <c r="G5124" s="4">
        <v>44808.0</v>
      </c>
      <c r="H5124" s="4">
        <f>IFERROR(__xludf.DUMMYFUNCTION("DATE(INDEX(SPLIT(G5124,""/""),,3),INDEX(SPLIT(G5124,""/""),,2),INDEX(SPLIT(G5124,""/""),,1))"),44660.0)</f>
        <v>44660</v>
      </c>
      <c r="I5124" s="1" t="s">
        <v>360</v>
      </c>
      <c r="J5124" s="4">
        <f>IFERROR(__xludf.DUMMYFUNCTION("DATE(INDEX(SPLIT(I5124,""/""),,3),INDEX(SPLIT(I5124,""/""),,2),INDEX(SPLIT(I5124,""/""),,1))"),44895.0)</f>
        <v>44895</v>
      </c>
      <c r="L5124" s="1">
        <v>0.0</v>
      </c>
      <c r="M5124" s="1" t="s">
        <v>1319</v>
      </c>
      <c r="N5124" s="1"/>
      <c r="O5124" s="1" t="s">
        <v>30</v>
      </c>
      <c r="P5124" s="1" t="s">
        <v>31</v>
      </c>
      <c r="Q5124" s="1" t="s">
        <v>1320</v>
      </c>
      <c r="R5124" s="1" t="s">
        <v>1320</v>
      </c>
      <c r="S5124" s="1" t="s">
        <v>96</v>
      </c>
      <c r="U5124" s="1">
        <v>1.0065052E8</v>
      </c>
      <c r="Y5124" s="1" t="s">
        <v>1321</v>
      </c>
      <c r="Z5124" s="1" t="s">
        <v>37</v>
      </c>
    </row>
    <row r="5125" hidden="1">
      <c r="A5125" s="1" t="s">
        <v>14283</v>
      </c>
      <c r="B5125" s="1" t="s">
        <v>14284</v>
      </c>
      <c r="C5125" s="1" t="s">
        <v>14285</v>
      </c>
      <c r="D5125" s="1" t="s">
        <v>68</v>
      </c>
      <c r="E5125" s="1" t="s">
        <v>28</v>
      </c>
      <c r="F5125" s="2">
        <v>55000.0</v>
      </c>
      <c r="G5125" s="4">
        <v>44297.0</v>
      </c>
      <c r="H5125" s="4">
        <f>IFERROR(__xludf.DUMMYFUNCTION("DATE(INDEX(SPLIT(G5125,""/""),,3),INDEX(SPLIT(G5125,""/""),,2),INDEX(SPLIT(G5125,""/""),,1))"),44504.0)</f>
        <v>44504</v>
      </c>
      <c r="I5125" s="1" t="s">
        <v>203</v>
      </c>
      <c r="J5125" s="4">
        <f>IFERROR(__xludf.DUMMYFUNCTION("DATE(INDEX(SPLIT(I5125,""/""),,3),INDEX(SPLIT(I5125,""/""),,2),INDEX(SPLIT(I5125,""/""),,1))"),44925.0)</f>
        <v>44925</v>
      </c>
      <c r="L5125" s="1">
        <v>0.0</v>
      </c>
      <c r="M5125" s="1" t="s">
        <v>9551</v>
      </c>
      <c r="N5125" s="1"/>
      <c r="O5125" s="1" t="s">
        <v>30</v>
      </c>
      <c r="P5125" s="1" t="s">
        <v>31</v>
      </c>
      <c r="Q5125" s="1" t="s">
        <v>228</v>
      </c>
      <c r="R5125" s="1" t="s">
        <v>228</v>
      </c>
      <c r="S5125" s="1" t="s">
        <v>229</v>
      </c>
      <c r="T5125" s="1" t="s">
        <v>513</v>
      </c>
      <c r="U5125" s="1">
        <v>1.00616752E8</v>
      </c>
      <c r="X5125" s="1" t="s">
        <v>74</v>
      </c>
      <c r="Y5125" s="1" t="s">
        <v>9551</v>
      </c>
      <c r="Z5125" s="1" t="s">
        <v>4777</v>
      </c>
    </row>
    <row r="5126">
      <c r="A5126" s="1" t="s">
        <v>14286</v>
      </c>
      <c r="B5126" s="1" t="s">
        <v>14287</v>
      </c>
      <c r="C5126" s="1" t="s">
        <v>14288</v>
      </c>
      <c r="D5126" s="1" t="s">
        <v>68</v>
      </c>
      <c r="E5126" s="1" t="s">
        <v>28</v>
      </c>
      <c r="F5126" s="2">
        <v>55000.0</v>
      </c>
      <c r="G5126" s="4">
        <v>44625.0</v>
      </c>
      <c r="H5126" s="4">
        <f>IFERROR(__xludf.DUMMYFUNCTION("DATE(INDEX(SPLIT(G5126,""/""),,3),INDEX(SPLIT(G5126,""/""),,2),INDEX(SPLIT(G5126,""/""),,1))"),44684.0)</f>
        <v>44684</v>
      </c>
      <c r="I5126" s="1" t="s">
        <v>1244</v>
      </c>
      <c r="J5126" s="4">
        <f>IFERROR(__xludf.DUMMYFUNCTION("DATE(INDEX(SPLIT(I5126,""/""),,3),INDEX(SPLIT(I5126,""/""),,2),INDEX(SPLIT(I5126,""/""),,1))"),44742.0)</f>
        <v>44742</v>
      </c>
      <c r="L5126" s="1">
        <v>0.0</v>
      </c>
      <c r="M5126" s="1" t="s">
        <v>9406</v>
      </c>
      <c r="N5126" s="1"/>
      <c r="O5126" s="1" t="s">
        <v>30</v>
      </c>
      <c r="P5126" s="1" t="s">
        <v>31</v>
      </c>
      <c r="Q5126" s="1" t="s">
        <v>228</v>
      </c>
      <c r="R5126" s="1" t="s">
        <v>228</v>
      </c>
      <c r="S5126" s="1" t="s">
        <v>229</v>
      </c>
      <c r="T5126" s="1" t="s">
        <v>513</v>
      </c>
      <c r="U5126" s="1">
        <v>1.01000708E8</v>
      </c>
      <c r="X5126" s="1" t="s">
        <v>375</v>
      </c>
      <c r="Y5126" s="1" t="s">
        <v>14289</v>
      </c>
      <c r="Z5126" s="1" t="s">
        <v>37</v>
      </c>
    </row>
    <row r="5127" hidden="1">
      <c r="A5127" s="1" t="s">
        <v>14290</v>
      </c>
      <c r="B5127" s="1" t="s">
        <v>14291</v>
      </c>
      <c r="C5127" s="1" t="s">
        <v>14292</v>
      </c>
      <c r="D5127" s="1" t="s">
        <v>27</v>
      </c>
      <c r="E5127" s="1" t="s">
        <v>28</v>
      </c>
      <c r="F5127" s="2">
        <v>54300.0</v>
      </c>
      <c r="G5127" s="1" t="s">
        <v>418</v>
      </c>
      <c r="H5127" s="4">
        <f>IFERROR(__xludf.DUMMYFUNCTION("DATE(INDEX(SPLIT(G5127,""/""),,3),INDEX(SPLIT(G5127,""/""),,2),INDEX(SPLIT(G5127,""/""),,1))"),44755.0)</f>
        <v>44755</v>
      </c>
      <c r="I5127" s="1" t="s">
        <v>430</v>
      </c>
      <c r="J5127" s="4">
        <f>IFERROR(__xludf.DUMMYFUNCTION("DATE(INDEX(SPLIT(I5127,""/""),,3),INDEX(SPLIT(I5127,""/""),,2),INDEX(SPLIT(I5127,""/""),,1))"),44985.0)</f>
        <v>44985</v>
      </c>
      <c r="L5127" s="1">
        <v>0.0</v>
      </c>
      <c r="M5127" s="1" t="s">
        <v>2592</v>
      </c>
      <c r="N5127" s="1"/>
      <c r="O5127" s="1" t="s">
        <v>30</v>
      </c>
      <c r="P5127" s="1" t="s">
        <v>31</v>
      </c>
      <c r="Q5127" s="1" t="s">
        <v>71</v>
      </c>
      <c r="R5127" s="1" t="s">
        <v>71</v>
      </c>
      <c r="S5127" s="1" t="s">
        <v>72</v>
      </c>
      <c r="T5127" s="1" t="s">
        <v>136</v>
      </c>
      <c r="U5127" s="1">
        <v>1.00586452E8</v>
      </c>
      <c r="X5127" s="1" t="s">
        <v>74</v>
      </c>
      <c r="Y5127" s="1" t="s">
        <v>2593</v>
      </c>
      <c r="Z5127" s="1" t="s">
        <v>37</v>
      </c>
    </row>
    <row r="5128" hidden="1">
      <c r="A5128" s="1" t="s">
        <v>14293</v>
      </c>
      <c r="B5128" s="1" t="s">
        <v>14294</v>
      </c>
      <c r="C5128" s="1" t="s">
        <v>14295</v>
      </c>
      <c r="D5128" s="1" t="s">
        <v>122</v>
      </c>
      <c r="E5128" s="1" t="s">
        <v>28</v>
      </c>
      <c r="F5128" s="2">
        <v>54000.0</v>
      </c>
      <c r="G5128" s="4">
        <v>44777.0</v>
      </c>
      <c r="H5128" s="4">
        <f>IFERROR(__xludf.DUMMYFUNCTION("DATE(INDEX(SPLIT(G5128,""/""),,3),INDEX(SPLIT(G5128,""/""),,2),INDEX(SPLIT(G5128,""/""),,1))"),44659.0)</f>
        <v>44659</v>
      </c>
      <c r="I5128" s="1" t="s">
        <v>130</v>
      </c>
      <c r="J5128" s="4">
        <f>IFERROR(__xludf.DUMMYFUNCTION("DATE(INDEX(SPLIT(I5128,""/""),,3),INDEX(SPLIT(I5128,""/""),,2),INDEX(SPLIT(I5128,""/""),,1))"),44804.0)</f>
        <v>44804</v>
      </c>
      <c r="L5128" s="1">
        <v>0.0</v>
      </c>
      <c r="M5128" s="1" t="s">
        <v>11254</v>
      </c>
      <c r="N5128" s="1"/>
      <c r="O5128" s="1" t="s">
        <v>30</v>
      </c>
      <c r="P5128" s="1" t="s">
        <v>31</v>
      </c>
      <c r="Q5128" s="1" t="s">
        <v>228</v>
      </c>
      <c r="R5128" s="1" t="s">
        <v>228</v>
      </c>
      <c r="S5128" s="1" t="s">
        <v>229</v>
      </c>
      <c r="T5128" s="1" t="s">
        <v>513</v>
      </c>
      <c r="U5128" s="1">
        <v>1.00602248E8</v>
      </c>
      <c r="X5128" s="1" t="s">
        <v>63</v>
      </c>
      <c r="Y5128" s="1" t="s">
        <v>13638</v>
      </c>
      <c r="Z5128" s="1" t="s">
        <v>37</v>
      </c>
    </row>
    <row r="5129" hidden="1">
      <c r="A5129" s="1" t="s">
        <v>14296</v>
      </c>
      <c r="B5129" s="1" t="s">
        <v>1021</v>
      </c>
      <c r="C5129" s="1" t="s">
        <v>14297</v>
      </c>
      <c r="D5129" s="1" t="s">
        <v>78</v>
      </c>
      <c r="E5129" s="1" t="s">
        <v>28</v>
      </c>
      <c r="F5129" s="2">
        <v>54000.0</v>
      </c>
      <c r="G5129" s="1" t="s">
        <v>619</v>
      </c>
      <c r="H5129" s="4">
        <f>IFERROR(__xludf.DUMMYFUNCTION("DATE(INDEX(SPLIT(G5129,""/""),,3),INDEX(SPLIT(G5129,""/""),,2),INDEX(SPLIT(G5129,""/""),,1))"),44490.0)</f>
        <v>44490</v>
      </c>
      <c r="I5129" s="1" t="s">
        <v>130</v>
      </c>
      <c r="J5129" s="4">
        <f>IFERROR(__xludf.DUMMYFUNCTION("DATE(INDEX(SPLIT(I5129,""/""),,3),INDEX(SPLIT(I5129,""/""),,2),INDEX(SPLIT(I5129,""/""),,1))"),44804.0)</f>
        <v>44804</v>
      </c>
      <c r="L5129" s="1">
        <v>0.0</v>
      </c>
      <c r="M5129" s="1" t="s">
        <v>2096</v>
      </c>
      <c r="N5129" s="1"/>
      <c r="O5129" s="1" t="s">
        <v>30</v>
      </c>
      <c r="P5129" s="1" t="s">
        <v>31</v>
      </c>
      <c r="Q5129" s="1" t="s">
        <v>228</v>
      </c>
      <c r="R5129" s="1" t="s">
        <v>228</v>
      </c>
      <c r="S5129" s="1" t="s">
        <v>229</v>
      </c>
      <c r="T5129" s="1" t="s">
        <v>505</v>
      </c>
      <c r="U5129" s="1">
        <v>1.00619128E8</v>
      </c>
      <c r="X5129" s="1" t="s">
        <v>46</v>
      </c>
      <c r="Y5129" s="1" t="s">
        <v>8740</v>
      </c>
      <c r="Z5129" s="1" t="s">
        <v>37</v>
      </c>
    </row>
    <row r="5130">
      <c r="A5130" s="1" t="s">
        <v>14298</v>
      </c>
      <c r="B5130" s="1" t="s">
        <v>14299</v>
      </c>
      <c r="C5130" s="1" t="s">
        <v>14300</v>
      </c>
      <c r="D5130" s="1" t="s">
        <v>78</v>
      </c>
      <c r="E5130" s="1" t="s">
        <v>28</v>
      </c>
      <c r="F5130" s="2">
        <v>54000.0</v>
      </c>
      <c r="G5130" s="1" t="s">
        <v>2324</v>
      </c>
      <c r="H5130" s="4">
        <f>IFERROR(__xludf.DUMMYFUNCTION("DATE(INDEX(SPLIT(G5130,""/""),,3),INDEX(SPLIT(G5130,""/""),,2),INDEX(SPLIT(G5130,""/""),,1))"),44705.0)</f>
        <v>44705</v>
      </c>
      <c r="I5130" s="1" t="s">
        <v>1244</v>
      </c>
      <c r="J5130" s="4">
        <f>IFERROR(__xludf.DUMMYFUNCTION("DATE(INDEX(SPLIT(I5130,""/""),,3),INDEX(SPLIT(I5130,""/""),,2),INDEX(SPLIT(I5130,""/""),,1))"),44742.0)</f>
        <v>44742</v>
      </c>
      <c r="L5130" s="1">
        <v>0.0</v>
      </c>
      <c r="M5130" s="1" t="s">
        <v>4534</v>
      </c>
      <c r="N5130" s="1"/>
      <c r="O5130" s="1" t="s">
        <v>30</v>
      </c>
      <c r="P5130" s="1" t="s">
        <v>31</v>
      </c>
      <c r="Q5130" s="1" t="s">
        <v>228</v>
      </c>
      <c r="R5130" s="1" t="s">
        <v>228</v>
      </c>
      <c r="S5130" s="1" t="s">
        <v>229</v>
      </c>
      <c r="T5130" s="1" t="s">
        <v>513</v>
      </c>
      <c r="U5130" s="1">
        <v>1.0065605E8</v>
      </c>
      <c r="X5130" s="1" t="s">
        <v>117</v>
      </c>
      <c r="Y5130" s="1" t="s">
        <v>5688</v>
      </c>
      <c r="Z5130" s="1" t="s">
        <v>37</v>
      </c>
    </row>
    <row r="5131" hidden="1">
      <c r="A5131" s="1" t="s">
        <v>14301</v>
      </c>
      <c r="B5131" s="1" t="s">
        <v>6402</v>
      </c>
      <c r="C5131" s="1" t="s">
        <v>14302</v>
      </c>
      <c r="D5131" s="1" t="s">
        <v>27</v>
      </c>
      <c r="E5131" s="1" t="s">
        <v>28</v>
      </c>
      <c r="F5131" s="2">
        <v>54000.0</v>
      </c>
      <c r="G5131" s="4">
        <v>44599.0</v>
      </c>
      <c r="H5131" s="4">
        <f>IFERROR(__xludf.DUMMYFUNCTION("DATE(INDEX(SPLIT(G5131,""/""),,3),INDEX(SPLIT(G5131,""/""),,2),INDEX(SPLIT(G5131,""/""),,1))"),44744.0)</f>
        <v>44744</v>
      </c>
      <c r="I5131" s="1" t="s">
        <v>1097</v>
      </c>
      <c r="J5131" s="4">
        <f>IFERROR(__xludf.DUMMYFUNCTION("DATE(INDEX(SPLIT(I5131,""/""),,3),INDEX(SPLIT(I5131,""/""),,2),INDEX(SPLIT(I5131,""/""),,1))"),45107.0)</f>
        <v>45107</v>
      </c>
      <c r="L5131" s="1">
        <v>0.0</v>
      </c>
      <c r="M5131" s="1" t="s">
        <v>11254</v>
      </c>
      <c r="N5131" s="1"/>
      <c r="O5131" s="1" t="s">
        <v>30</v>
      </c>
      <c r="P5131" s="1" t="s">
        <v>31</v>
      </c>
      <c r="Q5131" s="1" t="s">
        <v>228</v>
      </c>
      <c r="R5131" s="1" t="s">
        <v>228</v>
      </c>
      <c r="S5131" s="1" t="s">
        <v>229</v>
      </c>
      <c r="T5131" s="1" t="s">
        <v>513</v>
      </c>
      <c r="U5131" s="1">
        <v>1.00602248E8</v>
      </c>
      <c r="X5131" s="1" t="s">
        <v>239</v>
      </c>
      <c r="Y5131" s="1" t="s">
        <v>12640</v>
      </c>
      <c r="Z5131" s="1" t="s">
        <v>37</v>
      </c>
    </row>
    <row r="5132">
      <c r="A5132" s="1" t="s">
        <v>14303</v>
      </c>
      <c r="B5132" s="1" t="s">
        <v>14304</v>
      </c>
      <c r="C5132" s="1" t="s">
        <v>14305</v>
      </c>
      <c r="D5132" s="1" t="s">
        <v>78</v>
      </c>
      <c r="E5132" s="1" t="s">
        <v>28</v>
      </c>
      <c r="F5132" s="2">
        <v>53265.4</v>
      </c>
      <c r="G5132" s="4">
        <v>44568.0</v>
      </c>
      <c r="H5132" s="4">
        <f>IFERROR(__xludf.DUMMYFUNCTION("DATE(INDEX(SPLIT(G5132,""/""),,3),INDEX(SPLIT(G5132,""/""),,2),INDEX(SPLIT(G5132,""/""),,1))"),44743.0)</f>
        <v>44743</v>
      </c>
      <c r="I5132" s="1" t="s">
        <v>518</v>
      </c>
      <c r="J5132" s="4">
        <f>IFERROR(__xludf.DUMMYFUNCTION("DATE(INDEX(SPLIT(I5132,""/""),,3),INDEX(SPLIT(I5132,""/""),,2),INDEX(SPLIT(I5132,""/""),,1))"),44757.0)</f>
        <v>44757</v>
      </c>
      <c r="L5132" s="1">
        <v>0.0</v>
      </c>
      <c r="M5132" s="1" t="s">
        <v>8053</v>
      </c>
      <c r="N5132" s="1"/>
      <c r="O5132" s="1" t="s">
        <v>30</v>
      </c>
      <c r="P5132" s="1" t="s">
        <v>31</v>
      </c>
      <c r="Q5132" s="1" t="s">
        <v>1320</v>
      </c>
      <c r="R5132" s="1" t="s">
        <v>1320</v>
      </c>
      <c r="S5132" s="1" t="s">
        <v>33</v>
      </c>
      <c r="U5132" s="1">
        <v>1.00613849E8</v>
      </c>
      <c r="X5132" s="1" t="s">
        <v>117</v>
      </c>
      <c r="Y5132" s="1" t="s">
        <v>14306</v>
      </c>
      <c r="Z5132" s="1" t="s">
        <v>37</v>
      </c>
    </row>
    <row r="5133" hidden="1">
      <c r="A5133" s="1" t="s">
        <v>14307</v>
      </c>
      <c r="B5133" s="1" t="s">
        <v>8861</v>
      </c>
      <c r="C5133" s="1" t="s">
        <v>14308</v>
      </c>
      <c r="D5133" s="1" t="s">
        <v>122</v>
      </c>
      <c r="E5133" s="1" t="s">
        <v>28</v>
      </c>
      <c r="F5133" s="2">
        <v>53000.0</v>
      </c>
      <c r="G5133" s="4">
        <v>44806.0</v>
      </c>
      <c r="H5133" s="4">
        <f>IFERROR(__xludf.DUMMYFUNCTION("DATE(INDEX(SPLIT(G5133,""/""),,3),INDEX(SPLIT(G5133,""/""),,2),INDEX(SPLIT(G5133,""/""),,1))"),44601.0)</f>
        <v>44601</v>
      </c>
      <c r="I5133" s="1" t="s">
        <v>430</v>
      </c>
      <c r="J5133" s="4">
        <f>IFERROR(__xludf.DUMMYFUNCTION("DATE(INDEX(SPLIT(I5133,""/""),,3),INDEX(SPLIT(I5133,""/""),,2),INDEX(SPLIT(I5133,""/""),,1))"),44985.0)</f>
        <v>44985</v>
      </c>
      <c r="L5133" s="1">
        <v>0.0</v>
      </c>
      <c r="M5133" s="1" t="s">
        <v>10697</v>
      </c>
      <c r="N5133" s="1"/>
      <c r="O5133" s="1" t="s">
        <v>30</v>
      </c>
      <c r="P5133" s="1" t="s">
        <v>31</v>
      </c>
      <c r="Q5133" s="1" t="s">
        <v>228</v>
      </c>
      <c r="R5133" s="1" t="s">
        <v>228</v>
      </c>
      <c r="S5133" s="1" t="s">
        <v>229</v>
      </c>
      <c r="T5133" s="1" t="s">
        <v>513</v>
      </c>
      <c r="U5133" s="1">
        <v>1.00612201E8</v>
      </c>
      <c r="X5133" s="1" t="s">
        <v>289</v>
      </c>
      <c r="Y5133" s="1" t="s">
        <v>5031</v>
      </c>
      <c r="Z5133" s="1" t="s">
        <v>37</v>
      </c>
    </row>
    <row r="5134">
      <c r="A5134" s="1" t="s">
        <v>14309</v>
      </c>
      <c r="B5134" s="1" t="s">
        <v>14310</v>
      </c>
      <c r="C5134" s="1" t="s">
        <v>14311</v>
      </c>
      <c r="D5134" s="1" t="s">
        <v>78</v>
      </c>
      <c r="E5134" s="1" t="s">
        <v>28</v>
      </c>
      <c r="F5134" s="2">
        <v>52000.0</v>
      </c>
      <c r="G5134" s="1" t="s">
        <v>2324</v>
      </c>
      <c r="H5134" s="4">
        <f>IFERROR(__xludf.DUMMYFUNCTION("DATE(INDEX(SPLIT(G5134,""/""),,3),INDEX(SPLIT(G5134,""/""),,2),INDEX(SPLIT(G5134,""/""),,1))"),44705.0)</f>
        <v>44705</v>
      </c>
      <c r="I5134" s="1" t="s">
        <v>1244</v>
      </c>
      <c r="J5134" s="4">
        <f>IFERROR(__xludf.DUMMYFUNCTION("DATE(INDEX(SPLIT(I5134,""/""),,3),INDEX(SPLIT(I5134,""/""),,2),INDEX(SPLIT(I5134,""/""),,1))"),44742.0)</f>
        <v>44742</v>
      </c>
      <c r="L5134" s="1">
        <v>0.0</v>
      </c>
      <c r="M5134" s="1" t="s">
        <v>4534</v>
      </c>
      <c r="N5134" s="1"/>
      <c r="O5134" s="1" t="s">
        <v>30</v>
      </c>
      <c r="P5134" s="1" t="s">
        <v>31</v>
      </c>
      <c r="Q5134" s="1" t="s">
        <v>228</v>
      </c>
      <c r="R5134" s="1" t="s">
        <v>228</v>
      </c>
      <c r="S5134" s="1" t="s">
        <v>229</v>
      </c>
      <c r="T5134" s="1" t="s">
        <v>513</v>
      </c>
      <c r="U5134" s="1">
        <v>1.0065605E8</v>
      </c>
      <c r="X5134" s="1" t="s">
        <v>46</v>
      </c>
      <c r="Y5134" s="1" t="s">
        <v>5688</v>
      </c>
      <c r="Z5134" s="1" t="s">
        <v>37</v>
      </c>
    </row>
    <row r="5135">
      <c r="A5135" s="1" t="s">
        <v>14312</v>
      </c>
      <c r="B5135" s="1" t="s">
        <v>14313</v>
      </c>
      <c r="C5135" s="1" t="s">
        <v>14314</v>
      </c>
      <c r="D5135" s="1" t="s">
        <v>122</v>
      </c>
      <c r="E5135" s="1" t="s">
        <v>28</v>
      </c>
      <c r="F5135" s="2">
        <v>52000.0</v>
      </c>
      <c r="G5135" s="1" t="s">
        <v>13924</v>
      </c>
      <c r="H5135" s="4">
        <f>IFERROR(__xludf.DUMMYFUNCTION("DATE(INDEX(SPLIT(G5135,""/""),,3),INDEX(SPLIT(G5135,""/""),,2),INDEX(SPLIT(G5135,""/""),,1))"),43858.0)</f>
        <v>43858</v>
      </c>
      <c r="I5135" s="1" t="s">
        <v>226</v>
      </c>
      <c r="J5135" s="4">
        <f>IFERROR(__xludf.DUMMYFUNCTION("DATE(INDEX(SPLIT(I5135,""/""),,3),INDEX(SPLIT(I5135,""/""),,2),INDEX(SPLIT(I5135,""/""),,1))"),44771.0)</f>
        <v>44771</v>
      </c>
      <c r="L5135" s="1">
        <v>0.0</v>
      </c>
      <c r="M5135" s="1" t="s">
        <v>2696</v>
      </c>
      <c r="N5135" s="1"/>
      <c r="O5135" s="1" t="s">
        <v>30</v>
      </c>
      <c r="P5135" s="1" t="s">
        <v>31</v>
      </c>
      <c r="Q5135" s="1" t="s">
        <v>157</v>
      </c>
      <c r="R5135" s="1" t="s">
        <v>157</v>
      </c>
      <c r="S5135" s="1" t="s">
        <v>158</v>
      </c>
      <c r="T5135" s="1" t="s">
        <v>402</v>
      </c>
      <c r="U5135" s="1">
        <v>1.00611351E8</v>
      </c>
      <c r="X5135" s="1" t="s">
        <v>781</v>
      </c>
      <c r="Y5135" s="1" t="s">
        <v>3016</v>
      </c>
      <c r="Z5135" s="1" t="s">
        <v>37</v>
      </c>
    </row>
    <row r="5136">
      <c r="A5136" s="1" t="s">
        <v>14315</v>
      </c>
      <c r="B5136" s="1" t="s">
        <v>7868</v>
      </c>
      <c r="C5136" s="1" t="s">
        <v>14316</v>
      </c>
      <c r="D5136" s="1" t="s">
        <v>78</v>
      </c>
      <c r="E5136" s="1" t="s">
        <v>28</v>
      </c>
      <c r="F5136" s="2">
        <v>51000.0</v>
      </c>
      <c r="G5136" s="1" t="s">
        <v>382</v>
      </c>
      <c r="H5136" s="4">
        <f>IFERROR(__xludf.DUMMYFUNCTION("DATE(INDEX(SPLIT(G5136,""/""),,3),INDEX(SPLIT(G5136,""/""),,2),INDEX(SPLIT(G5136,""/""),,1))"),44758.0)</f>
        <v>44758</v>
      </c>
      <c r="I5136" s="1" t="s">
        <v>935</v>
      </c>
      <c r="J5136" s="4">
        <f>IFERROR(__xludf.DUMMYFUNCTION("DATE(INDEX(SPLIT(I5136,""/""),,3),INDEX(SPLIT(I5136,""/""),,2),INDEX(SPLIT(I5136,""/""),,1))"),44764.0)</f>
        <v>44764</v>
      </c>
      <c r="L5136" s="1">
        <v>0.0</v>
      </c>
      <c r="M5136" s="1" t="s">
        <v>2207</v>
      </c>
      <c r="N5136" s="1"/>
      <c r="O5136" s="1" t="s">
        <v>30</v>
      </c>
      <c r="P5136" s="1" t="s">
        <v>31</v>
      </c>
      <c r="Q5136" s="1" t="s">
        <v>228</v>
      </c>
      <c r="R5136" s="1" t="s">
        <v>228</v>
      </c>
      <c r="S5136" s="1" t="s">
        <v>229</v>
      </c>
      <c r="T5136" s="1" t="s">
        <v>513</v>
      </c>
      <c r="U5136" s="1">
        <v>1.00596618E8</v>
      </c>
      <c r="X5136" s="1" t="s">
        <v>63</v>
      </c>
      <c r="Y5136" s="1" t="s">
        <v>14317</v>
      </c>
      <c r="Z5136" s="1" t="s">
        <v>37</v>
      </c>
    </row>
    <row r="5137">
      <c r="A5137" s="1" t="s">
        <v>14318</v>
      </c>
      <c r="B5137" s="1" t="s">
        <v>14319</v>
      </c>
      <c r="C5137" s="1" t="s">
        <v>14320</v>
      </c>
      <c r="D5137" s="1" t="s">
        <v>68</v>
      </c>
      <c r="E5137" s="1" t="s">
        <v>28</v>
      </c>
      <c r="F5137" s="2">
        <v>50400.0</v>
      </c>
      <c r="G5137" s="1" t="s">
        <v>3853</v>
      </c>
      <c r="H5137" s="4">
        <f>IFERROR(__xludf.DUMMYFUNCTION("DATE(INDEX(SPLIT(G5137,""/""),,3),INDEX(SPLIT(G5137,""/""),,2),INDEX(SPLIT(G5137,""/""),,1))"),44679.0)</f>
        <v>44679</v>
      </c>
      <c r="I5137" s="1" t="s">
        <v>69</v>
      </c>
      <c r="J5137" s="4">
        <f>IFERROR(__xludf.DUMMYFUNCTION("DATE(INDEX(SPLIT(I5137,""/""),,3),INDEX(SPLIT(I5137,""/""),,2),INDEX(SPLIT(I5137,""/""),,1))"),44773.0)</f>
        <v>44773</v>
      </c>
      <c r="L5137" s="1">
        <v>0.0</v>
      </c>
      <c r="M5137" s="1" t="s">
        <v>13893</v>
      </c>
      <c r="N5137" s="1"/>
      <c r="O5137" s="1" t="s">
        <v>30</v>
      </c>
      <c r="P5137" s="1" t="s">
        <v>31</v>
      </c>
      <c r="Q5137" s="1" t="s">
        <v>228</v>
      </c>
      <c r="R5137" s="1" t="s">
        <v>228</v>
      </c>
      <c r="S5137" s="1" t="s">
        <v>229</v>
      </c>
      <c r="T5137" s="1" t="s">
        <v>513</v>
      </c>
      <c r="U5137" s="1">
        <v>1.00660529E8</v>
      </c>
      <c r="X5137" s="1" t="s">
        <v>88</v>
      </c>
      <c r="Y5137" s="1" t="s">
        <v>14321</v>
      </c>
      <c r="Z5137" s="1" t="s">
        <v>206</v>
      </c>
    </row>
    <row r="5138" hidden="1">
      <c r="A5138" s="1" t="s">
        <v>14322</v>
      </c>
      <c r="B5138" s="1" t="s">
        <v>14323</v>
      </c>
      <c r="C5138" s="1" t="s">
        <v>14324</v>
      </c>
      <c r="D5138" s="1" t="s">
        <v>122</v>
      </c>
      <c r="E5138" s="1" t="s">
        <v>28</v>
      </c>
      <c r="F5138" s="2">
        <v>50000.0</v>
      </c>
      <c r="G5138" s="4">
        <v>44899.0</v>
      </c>
      <c r="H5138" s="4">
        <f>IFERROR(__xludf.DUMMYFUNCTION("DATE(INDEX(SPLIT(G5138,""/""),,3),INDEX(SPLIT(G5138,""/""),,2),INDEX(SPLIT(G5138,""/""),,1))"),44663.0)</f>
        <v>44663</v>
      </c>
      <c r="I5138" s="1" t="s">
        <v>42</v>
      </c>
      <c r="J5138" s="4">
        <f>IFERROR(__xludf.DUMMYFUNCTION("DATE(INDEX(SPLIT(I5138,""/""),,3),INDEX(SPLIT(I5138,""/""),,2),INDEX(SPLIT(I5138,""/""),,1))"),44926.0)</f>
        <v>44926</v>
      </c>
      <c r="L5138" s="1">
        <v>0.0</v>
      </c>
      <c r="M5138" s="1" t="s">
        <v>14325</v>
      </c>
      <c r="N5138" s="1"/>
      <c r="O5138" s="1" t="s">
        <v>30</v>
      </c>
      <c r="P5138" s="1" t="s">
        <v>31</v>
      </c>
      <c r="Q5138" s="1" t="s">
        <v>228</v>
      </c>
      <c r="R5138" s="1" t="s">
        <v>228</v>
      </c>
      <c r="S5138" s="1" t="s">
        <v>229</v>
      </c>
      <c r="U5138" s="1">
        <v>1.00623235E8</v>
      </c>
      <c r="X5138" s="1" t="s">
        <v>117</v>
      </c>
      <c r="Y5138" s="1" t="s">
        <v>14326</v>
      </c>
      <c r="Z5138" s="1" t="s">
        <v>37</v>
      </c>
    </row>
    <row r="5139" hidden="1">
      <c r="A5139" s="1" t="s">
        <v>14327</v>
      </c>
      <c r="B5139" s="1" t="s">
        <v>14328</v>
      </c>
      <c r="C5139" s="1" t="s">
        <v>14329</v>
      </c>
      <c r="D5139" s="1" t="s">
        <v>27</v>
      </c>
      <c r="E5139" s="1" t="s">
        <v>28</v>
      </c>
      <c r="F5139" s="2">
        <v>50000.0</v>
      </c>
      <c r="G5139" s="1" t="s">
        <v>2116</v>
      </c>
      <c r="H5139" s="4">
        <f>IFERROR(__xludf.DUMMYFUNCTION("DATE(INDEX(SPLIT(G5139,""/""),,3),INDEX(SPLIT(G5139,""/""),,2),INDEX(SPLIT(G5139,""/""),,1))"),44620.0)</f>
        <v>44620</v>
      </c>
      <c r="I5139" s="1" t="s">
        <v>109</v>
      </c>
      <c r="J5139" s="4">
        <f>IFERROR(__xludf.DUMMYFUNCTION("DATE(INDEX(SPLIT(I5139,""/""),,3),INDEX(SPLIT(I5139,""/""),,2),INDEX(SPLIT(I5139,""/""),,1))"),44834.0)</f>
        <v>44834</v>
      </c>
      <c r="L5139" s="1">
        <v>0.0</v>
      </c>
      <c r="M5139" s="1" t="s">
        <v>2592</v>
      </c>
      <c r="N5139" s="1"/>
      <c r="O5139" s="1" t="s">
        <v>30</v>
      </c>
      <c r="P5139" s="1" t="s">
        <v>31</v>
      </c>
      <c r="Q5139" s="1" t="s">
        <v>71</v>
      </c>
      <c r="R5139" s="1" t="s">
        <v>71</v>
      </c>
      <c r="S5139" s="1" t="s">
        <v>72</v>
      </c>
      <c r="T5139" s="1" t="s">
        <v>136</v>
      </c>
      <c r="U5139" s="1">
        <v>1.00586452E8</v>
      </c>
      <c r="X5139" s="1" t="s">
        <v>74</v>
      </c>
      <c r="Y5139" s="1" t="s">
        <v>12121</v>
      </c>
      <c r="Z5139" s="1" t="s">
        <v>37</v>
      </c>
    </row>
    <row r="5140" hidden="1">
      <c r="A5140" s="1" t="s">
        <v>14330</v>
      </c>
      <c r="B5140" s="1" t="s">
        <v>7930</v>
      </c>
      <c r="C5140" s="1" t="s">
        <v>14331</v>
      </c>
      <c r="D5140" s="1" t="s">
        <v>27</v>
      </c>
      <c r="E5140" s="1" t="s">
        <v>28</v>
      </c>
      <c r="F5140" s="2">
        <v>50000.0</v>
      </c>
      <c r="G5140" s="1" t="s">
        <v>2455</v>
      </c>
      <c r="H5140" s="4">
        <f>IFERROR(__xludf.DUMMYFUNCTION("DATE(INDEX(SPLIT(G5140,""/""),,3),INDEX(SPLIT(G5140,""/""),,2),INDEX(SPLIT(G5140,""/""),,1))"),44606.0)</f>
        <v>44606</v>
      </c>
      <c r="I5140" s="4">
        <v>44569.0</v>
      </c>
      <c r="J5140" s="4">
        <f>IFERROR(__xludf.DUMMYFUNCTION("DATE(INDEX(SPLIT(I5140,""/""),,3),INDEX(SPLIT(I5140,""/""),,2),INDEX(SPLIT(I5140,""/""),,1))"),44774.0)</f>
        <v>44774</v>
      </c>
      <c r="L5140" s="1">
        <v>0.0</v>
      </c>
      <c r="M5140" s="1" t="s">
        <v>2277</v>
      </c>
      <c r="N5140" s="1"/>
      <c r="O5140" s="1" t="s">
        <v>30</v>
      </c>
      <c r="P5140" s="1" t="s">
        <v>31</v>
      </c>
      <c r="Q5140" s="1" t="s">
        <v>71</v>
      </c>
      <c r="R5140" s="1" t="s">
        <v>71</v>
      </c>
      <c r="S5140" s="1" t="s">
        <v>72</v>
      </c>
      <c r="T5140" s="1" t="s">
        <v>136</v>
      </c>
      <c r="U5140" s="1">
        <v>1.00619607E8</v>
      </c>
      <c r="X5140" s="1" t="s">
        <v>2028</v>
      </c>
      <c r="Y5140" s="1" t="s">
        <v>2277</v>
      </c>
      <c r="Z5140" s="1" t="s">
        <v>37</v>
      </c>
    </row>
    <row r="5141" hidden="1">
      <c r="A5141" s="1" t="s">
        <v>14332</v>
      </c>
      <c r="B5141" s="1" t="s">
        <v>14333</v>
      </c>
      <c r="C5141" s="1" t="s">
        <v>14334</v>
      </c>
      <c r="D5141" s="1" t="s">
        <v>68</v>
      </c>
      <c r="E5141" s="1" t="s">
        <v>28</v>
      </c>
      <c r="F5141" s="2">
        <v>50000.0</v>
      </c>
      <c r="G5141" s="4">
        <v>44598.0</v>
      </c>
      <c r="H5141" s="4">
        <f>IFERROR(__xludf.DUMMYFUNCTION("DATE(INDEX(SPLIT(G5141,""/""),,3),INDEX(SPLIT(G5141,""/""),,2),INDEX(SPLIT(G5141,""/""),,1))"),44714.0)</f>
        <v>44714</v>
      </c>
      <c r="I5141" s="1" t="s">
        <v>130</v>
      </c>
      <c r="J5141" s="4">
        <f>IFERROR(__xludf.DUMMYFUNCTION("DATE(INDEX(SPLIT(I5141,""/""),,3),INDEX(SPLIT(I5141,""/""),,2),INDEX(SPLIT(I5141,""/""),,1))"),44804.0)</f>
        <v>44804</v>
      </c>
      <c r="L5141" s="1">
        <v>0.0</v>
      </c>
      <c r="M5141" s="1" t="s">
        <v>10436</v>
      </c>
      <c r="N5141" s="1"/>
      <c r="O5141" s="1" t="s">
        <v>30</v>
      </c>
      <c r="P5141" s="1" t="s">
        <v>31</v>
      </c>
      <c r="Q5141" s="1" t="s">
        <v>71</v>
      </c>
      <c r="R5141" s="1" t="s">
        <v>71</v>
      </c>
      <c r="S5141" s="1" t="s">
        <v>72</v>
      </c>
      <c r="U5141" s="1">
        <v>1.01248391E8</v>
      </c>
      <c r="X5141" s="1" t="s">
        <v>63</v>
      </c>
      <c r="Y5141" s="1" t="s">
        <v>14335</v>
      </c>
      <c r="Z5141" s="1" t="s">
        <v>37</v>
      </c>
    </row>
    <row r="5142" hidden="1">
      <c r="A5142" s="1" t="s">
        <v>14336</v>
      </c>
      <c r="B5142" s="1" t="s">
        <v>1355</v>
      </c>
      <c r="C5142" s="1" t="s">
        <v>14337</v>
      </c>
      <c r="D5142" s="1" t="s">
        <v>122</v>
      </c>
      <c r="E5142" s="1" t="s">
        <v>28</v>
      </c>
      <c r="F5142" s="2">
        <v>50000.0</v>
      </c>
      <c r="G5142" s="1" t="s">
        <v>3391</v>
      </c>
      <c r="H5142" s="4">
        <f>IFERROR(__xludf.DUMMYFUNCTION("DATE(INDEX(SPLIT(G5142,""/""),,3),INDEX(SPLIT(G5142,""/""),,2),INDEX(SPLIT(G5142,""/""),,1))"),44272.0)</f>
        <v>44272</v>
      </c>
      <c r="I5142" s="1" t="s">
        <v>130</v>
      </c>
      <c r="J5142" s="4">
        <f>IFERROR(__xludf.DUMMYFUNCTION("DATE(INDEX(SPLIT(I5142,""/""),,3),INDEX(SPLIT(I5142,""/""),,2),INDEX(SPLIT(I5142,""/""),,1))"),44804.0)</f>
        <v>44804</v>
      </c>
      <c r="L5142" s="1">
        <v>0.0</v>
      </c>
      <c r="M5142" s="1" t="s">
        <v>6050</v>
      </c>
      <c r="N5142" s="1"/>
      <c r="O5142" s="1" t="s">
        <v>30</v>
      </c>
      <c r="P5142" s="1" t="s">
        <v>31</v>
      </c>
      <c r="Q5142" s="1" t="s">
        <v>228</v>
      </c>
      <c r="R5142" s="1" t="s">
        <v>228</v>
      </c>
      <c r="S5142" s="1" t="s">
        <v>229</v>
      </c>
      <c r="T5142" s="1" t="s">
        <v>513</v>
      </c>
      <c r="U5142" s="1">
        <v>1.0058798E8</v>
      </c>
      <c r="X5142" s="1" t="s">
        <v>35</v>
      </c>
      <c r="Y5142" s="1" t="s">
        <v>6050</v>
      </c>
      <c r="Z5142" s="1" t="s">
        <v>37</v>
      </c>
    </row>
    <row r="5143" hidden="1">
      <c r="A5143" s="1" t="s">
        <v>14338</v>
      </c>
      <c r="B5143" s="1" t="s">
        <v>5128</v>
      </c>
      <c r="C5143" s="1" t="s">
        <v>14339</v>
      </c>
      <c r="D5143" s="1" t="s">
        <v>78</v>
      </c>
      <c r="E5143" s="1" t="s">
        <v>28</v>
      </c>
      <c r="F5143" s="2">
        <v>50000.0</v>
      </c>
      <c r="G5143" s="4">
        <v>44597.0</v>
      </c>
      <c r="H5143" s="4">
        <f>IFERROR(__xludf.DUMMYFUNCTION("DATE(INDEX(SPLIT(G5143,""/""),,3),INDEX(SPLIT(G5143,""/""),,2),INDEX(SPLIT(G5143,""/""),,1))"),44683.0)</f>
        <v>44683</v>
      </c>
      <c r="I5143" s="1" t="s">
        <v>109</v>
      </c>
      <c r="J5143" s="4">
        <f>IFERROR(__xludf.DUMMYFUNCTION("DATE(INDEX(SPLIT(I5143,""/""),,3),INDEX(SPLIT(I5143,""/""),,2),INDEX(SPLIT(I5143,""/""),,1))"),44834.0)</f>
        <v>44834</v>
      </c>
      <c r="L5143" s="1">
        <v>0.0</v>
      </c>
      <c r="M5143" s="1" t="s">
        <v>211</v>
      </c>
      <c r="N5143" s="1"/>
      <c r="O5143" s="1" t="s">
        <v>30</v>
      </c>
      <c r="P5143" s="1" t="s">
        <v>31</v>
      </c>
      <c r="Q5143" s="1" t="s">
        <v>71</v>
      </c>
      <c r="R5143" s="1" t="s">
        <v>71</v>
      </c>
      <c r="S5143" s="1" t="s">
        <v>72</v>
      </c>
      <c r="T5143" s="1" t="s">
        <v>136</v>
      </c>
      <c r="U5143" s="1">
        <v>1.00590896E8</v>
      </c>
      <c r="X5143" s="1" t="s">
        <v>2028</v>
      </c>
      <c r="Y5143" s="1" t="s">
        <v>3280</v>
      </c>
      <c r="Z5143" s="1" t="s">
        <v>37</v>
      </c>
    </row>
    <row r="5144" hidden="1">
      <c r="A5144" s="1" t="s">
        <v>14340</v>
      </c>
      <c r="B5144" s="1" t="s">
        <v>9527</v>
      </c>
      <c r="C5144" s="1" t="s">
        <v>14341</v>
      </c>
      <c r="D5144" s="1" t="s">
        <v>27</v>
      </c>
      <c r="E5144" s="1" t="s">
        <v>28</v>
      </c>
      <c r="F5144" s="2">
        <v>50000.0</v>
      </c>
      <c r="G5144" s="1" t="s">
        <v>1467</v>
      </c>
      <c r="H5144" s="4">
        <f>IFERROR(__xludf.DUMMYFUNCTION("DATE(INDEX(SPLIT(G5144,""/""),,3),INDEX(SPLIT(G5144,""/""),,2),INDEX(SPLIT(G5144,""/""),,1))"),44396.0)</f>
        <v>44396</v>
      </c>
      <c r="I5144" s="1" t="s">
        <v>85</v>
      </c>
      <c r="J5144" s="4">
        <f>IFERROR(__xludf.DUMMYFUNCTION("DATE(INDEX(SPLIT(I5144,""/""),,3),INDEX(SPLIT(I5144,""/""),,2),INDEX(SPLIT(I5144,""/""),,1))"),44799.0)</f>
        <v>44799</v>
      </c>
      <c r="L5144" s="1">
        <v>0.0</v>
      </c>
      <c r="M5144" s="1" t="s">
        <v>5814</v>
      </c>
      <c r="N5144" s="1"/>
      <c r="O5144" s="1" t="s">
        <v>30</v>
      </c>
      <c r="P5144" s="1" t="s">
        <v>31</v>
      </c>
      <c r="Q5144" s="1" t="s">
        <v>53</v>
      </c>
      <c r="R5144" s="1" t="s">
        <v>53</v>
      </c>
      <c r="S5144" s="1" t="s">
        <v>54</v>
      </c>
      <c r="T5144" s="1" t="s">
        <v>2372</v>
      </c>
      <c r="U5144" s="1">
        <v>1.00910509E8</v>
      </c>
      <c r="X5144" s="1" t="s">
        <v>239</v>
      </c>
      <c r="Y5144" s="1" t="s">
        <v>5814</v>
      </c>
      <c r="Z5144" s="1" t="s">
        <v>37</v>
      </c>
    </row>
    <row r="5145" hidden="1">
      <c r="A5145" s="1" t="s">
        <v>14342</v>
      </c>
      <c r="B5145" s="1" t="s">
        <v>6955</v>
      </c>
      <c r="C5145" s="1" t="s">
        <v>14343</v>
      </c>
      <c r="D5145" s="1" t="s">
        <v>27</v>
      </c>
      <c r="E5145" s="1" t="s">
        <v>28</v>
      </c>
      <c r="F5145" s="2">
        <v>50000.0</v>
      </c>
      <c r="G5145" s="1" t="s">
        <v>41</v>
      </c>
      <c r="H5145" s="4">
        <f>IFERROR(__xludf.DUMMYFUNCTION("DATE(INDEX(SPLIT(G5145,""/""),,3),INDEX(SPLIT(G5145,""/""),,2),INDEX(SPLIT(G5145,""/""),,1))"),44607.0)</f>
        <v>44607</v>
      </c>
      <c r="I5145" s="1" t="s">
        <v>109</v>
      </c>
      <c r="J5145" s="4">
        <f>IFERROR(__xludf.DUMMYFUNCTION("DATE(INDEX(SPLIT(I5145,""/""),,3),INDEX(SPLIT(I5145,""/""),,2),INDEX(SPLIT(I5145,""/""),,1))"),44834.0)</f>
        <v>44834</v>
      </c>
      <c r="L5145" s="1">
        <v>0.0</v>
      </c>
      <c r="M5145" s="1" t="s">
        <v>808</v>
      </c>
      <c r="N5145" s="1"/>
      <c r="O5145" s="1" t="s">
        <v>30</v>
      </c>
      <c r="P5145" s="1" t="s">
        <v>31</v>
      </c>
      <c r="Q5145" s="1" t="s">
        <v>228</v>
      </c>
      <c r="R5145" s="1" t="s">
        <v>228</v>
      </c>
      <c r="S5145" s="1" t="s">
        <v>229</v>
      </c>
      <c r="T5145" s="1" t="s">
        <v>505</v>
      </c>
      <c r="U5145" s="1">
        <v>1.00609871E8</v>
      </c>
      <c r="X5145" s="1" t="s">
        <v>239</v>
      </c>
      <c r="Y5145" s="1" t="s">
        <v>1533</v>
      </c>
      <c r="Z5145" s="1" t="s">
        <v>37</v>
      </c>
    </row>
    <row r="5146">
      <c r="A5146" s="1" t="s">
        <v>14344</v>
      </c>
      <c r="B5146" s="1" t="s">
        <v>4080</v>
      </c>
      <c r="C5146" s="1" t="s">
        <v>14345</v>
      </c>
      <c r="D5146" s="1" t="s">
        <v>68</v>
      </c>
      <c r="E5146" s="1" t="s">
        <v>28</v>
      </c>
      <c r="F5146" s="2">
        <v>50000.0</v>
      </c>
      <c r="G5146" s="1" t="s">
        <v>2455</v>
      </c>
      <c r="H5146" s="4">
        <f>IFERROR(__xludf.DUMMYFUNCTION("DATE(INDEX(SPLIT(G5146,""/""),,3),INDEX(SPLIT(G5146,""/""),,2),INDEX(SPLIT(G5146,""/""),,1))"),44606.0)</f>
        <v>44606</v>
      </c>
      <c r="I5146" s="1" t="s">
        <v>935</v>
      </c>
      <c r="J5146" s="4">
        <f>IFERROR(__xludf.DUMMYFUNCTION("DATE(INDEX(SPLIT(I5146,""/""),,3),INDEX(SPLIT(I5146,""/""),,2),INDEX(SPLIT(I5146,""/""),,1))"),44764.0)</f>
        <v>44764</v>
      </c>
      <c r="L5146" s="1">
        <v>0.0</v>
      </c>
      <c r="M5146" s="1" t="s">
        <v>1385</v>
      </c>
      <c r="N5146" s="1"/>
      <c r="O5146" s="1" t="s">
        <v>30</v>
      </c>
      <c r="P5146" s="1" t="s">
        <v>31</v>
      </c>
      <c r="Q5146" s="1" t="s">
        <v>235</v>
      </c>
      <c r="R5146" s="1" t="s">
        <v>235</v>
      </c>
      <c r="S5146" s="1" t="s">
        <v>236</v>
      </c>
      <c r="T5146" s="1" t="s">
        <v>237</v>
      </c>
      <c r="U5146" s="1">
        <v>1.00594397E8</v>
      </c>
      <c r="X5146" s="1" t="s">
        <v>239</v>
      </c>
      <c r="Y5146" s="1" t="s">
        <v>14346</v>
      </c>
      <c r="Z5146" s="1" t="s">
        <v>37</v>
      </c>
    </row>
    <row r="5147" hidden="1">
      <c r="A5147" s="1" t="s">
        <v>14347</v>
      </c>
      <c r="B5147" s="1" t="s">
        <v>1562</v>
      </c>
      <c r="C5147" s="1" t="s">
        <v>14348</v>
      </c>
      <c r="D5147" s="1" t="s">
        <v>27</v>
      </c>
      <c r="E5147" s="1" t="s">
        <v>28</v>
      </c>
      <c r="F5147" s="2">
        <v>50000.0</v>
      </c>
      <c r="G5147" s="1" t="s">
        <v>1501</v>
      </c>
      <c r="H5147" s="4">
        <f>IFERROR(__xludf.DUMMYFUNCTION("DATE(INDEX(SPLIT(G5147,""/""),,3),INDEX(SPLIT(G5147,""/""),,2),INDEX(SPLIT(G5147,""/""),,1))"),44711.0)</f>
        <v>44711</v>
      </c>
      <c r="I5147" s="1" t="s">
        <v>109</v>
      </c>
      <c r="J5147" s="4">
        <f>IFERROR(__xludf.DUMMYFUNCTION("DATE(INDEX(SPLIT(I5147,""/""),,3),INDEX(SPLIT(I5147,""/""),,2),INDEX(SPLIT(I5147,""/""),,1))"),44834.0)</f>
        <v>44834</v>
      </c>
      <c r="L5147" s="1">
        <v>0.0</v>
      </c>
      <c r="M5147" s="1" t="s">
        <v>1565</v>
      </c>
      <c r="N5147" s="1"/>
      <c r="O5147" s="1" t="s">
        <v>30</v>
      </c>
      <c r="P5147" s="1" t="s">
        <v>31</v>
      </c>
      <c r="Q5147" s="1" t="s">
        <v>157</v>
      </c>
      <c r="R5147" s="1" t="s">
        <v>157</v>
      </c>
      <c r="S5147" s="1" t="s">
        <v>158</v>
      </c>
      <c r="U5147" s="1">
        <v>1.00646908E8</v>
      </c>
      <c r="X5147" s="1" t="s">
        <v>781</v>
      </c>
      <c r="Y5147" s="1" t="s">
        <v>1533</v>
      </c>
      <c r="Z5147" s="1" t="s">
        <v>37</v>
      </c>
    </row>
    <row r="5148" hidden="1">
      <c r="A5148" s="1" t="s">
        <v>14349</v>
      </c>
      <c r="B5148" s="1" t="s">
        <v>14350</v>
      </c>
      <c r="C5148" s="1" t="s">
        <v>14351</v>
      </c>
      <c r="D5148" s="1" t="s">
        <v>122</v>
      </c>
      <c r="E5148" s="1" t="s">
        <v>28</v>
      </c>
      <c r="F5148" s="2">
        <v>50000.0</v>
      </c>
      <c r="G5148" s="1" t="s">
        <v>1259</v>
      </c>
      <c r="H5148" s="4">
        <f>IFERROR(__xludf.DUMMYFUNCTION("DATE(INDEX(SPLIT(G5148,""/""),,3),INDEX(SPLIT(G5148,""/""),,2),INDEX(SPLIT(G5148,""/""),,1))"),44763.0)</f>
        <v>44763</v>
      </c>
      <c r="I5148" s="1" t="s">
        <v>109</v>
      </c>
      <c r="J5148" s="4">
        <f>IFERROR(__xludf.DUMMYFUNCTION("DATE(INDEX(SPLIT(I5148,""/""),,3),INDEX(SPLIT(I5148,""/""),,2),INDEX(SPLIT(I5148,""/""),,1))"),44834.0)</f>
        <v>44834</v>
      </c>
      <c r="L5148" s="1">
        <v>0.0</v>
      </c>
      <c r="M5148" s="1" t="s">
        <v>2207</v>
      </c>
      <c r="N5148" s="1"/>
      <c r="O5148" s="1" t="s">
        <v>30</v>
      </c>
      <c r="P5148" s="1" t="s">
        <v>31</v>
      </c>
      <c r="Q5148" s="1" t="s">
        <v>228</v>
      </c>
      <c r="R5148" s="1" t="s">
        <v>228</v>
      </c>
      <c r="S5148" s="1" t="s">
        <v>229</v>
      </c>
      <c r="T5148" s="1" t="s">
        <v>513</v>
      </c>
      <c r="U5148" s="1">
        <v>1.00596618E8</v>
      </c>
      <c r="X5148" s="1" t="s">
        <v>63</v>
      </c>
      <c r="Y5148" s="1" t="s">
        <v>13491</v>
      </c>
      <c r="Z5148" s="1" t="s">
        <v>37</v>
      </c>
    </row>
    <row r="5149" hidden="1">
      <c r="A5149" s="1" t="s">
        <v>14352</v>
      </c>
      <c r="B5149" s="1" t="s">
        <v>981</v>
      </c>
      <c r="C5149" s="1" t="s">
        <v>14353</v>
      </c>
      <c r="D5149" s="1" t="s">
        <v>27</v>
      </c>
      <c r="E5149" s="1" t="s">
        <v>28</v>
      </c>
      <c r="F5149" s="2">
        <v>50000.0</v>
      </c>
      <c r="G5149" s="4">
        <v>44626.0</v>
      </c>
      <c r="H5149" s="4">
        <f>IFERROR(__xludf.DUMMYFUNCTION("DATE(INDEX(SPLIT(G5149,""/""),,3),INDEX(SPLIT(G5149,""/""),,2),INDEX(SPLIT(G5149,""/""),,1))"),44715.0)</f>
        <v>44715</v>
      </c>
      <c r="I5149" s="1" t="s">
        <v>1097</v>
      </c>
      <c r="J5149" s="4">
        <f>IFERROR(__xludf.DUMMYFUNCTION("DATE(INDEX(SPLIT(I5149,""/""),,3),INDEX(SPLIT(I5149,""/""),,2),INDEX(SPLIT(I5149,""/""),,1))"),45107.0)</f>
        <v>45107</v>
      </c>
      <c r="L5149" s="1">
        <v>0.0</v>
      </c>
      <c r="M5149" s="1" t="s">
        <v>2856</v>
      </c>
      <c r="N5149" s="1"/>
      <c r="O5149" s="1" t="s">
        <v>30</v>
      </c>
      <c r="P5149" s="1" t="s">
        <v>31</v>
      </c>
      <c r="Q5149" s="1" t="s">
        <v>71</v>
      </c>
      <c r="R5149" s="1" t="s">
        <v>71</v>
      </c>
      <c r="S5149" s="1" t="s">
        <v>72</v>
      </c>
      <c r="U5149" s="1">
        <v>1.00637221E8</v>
      </c>
      <c r="X5149" s="1" t="s">
        <v>490</v>
      </c>
      <c r="Y5149" s="1" t="s">
        <v>985</v>
      </c>
      <c r="Z5149" s="1" t="s">
        <v>37</v>
      </c>
    </row>
    <row r="5150">
      <c r="A5150" s="1" t="s">
        <v>14354</v>
      </c>
      <c r="B5150" s="1" t="s">
        <v>12203</v>
      </c>
      <c r="C5150" s="1" t="s">
        <v>14355</v>
      </c>
      <c r="D5150" s="1" t="s">
        <v>68</v>
      </c>
      <c r="E5150" s="1" t="s">
        <v>28</v>
      </c>
      <c r="F5150" s="2">
        <v>50000.0</v>
      </c>
      <c r="G5150" s="1" t="s">
        <v>1381</v>
      </c>
      <c r="H5150" s="4">
        <f>IFERROR(__xludf.DUMMYFUNCTION("DATE(INDEX(SPLIT(G5150,""/""),,3),INDEX(SPLIT(G5150,""/""),,2),INDEX(SPLIT(G5150,""/""),,1))"),44643.0)</f>
        <v>44643</v>
      </c>
      <c r="I5150" s="1" t="s">
        <v>1244</v>
      </c>
      <c r="J5150" s="4">
        <f>IFERROR(__xludf.DUMMYFUNCTION("DATE(INDEX(SPLIT(I5150,""/""),,3),INDEX(SPLIT(I5150,""/""),,2),INDEX(SPLIT(I5150,""/""),,1))"),44742.0)</f>
        <v>44742</v>
      </c>
      <c r="L5150" s="1">
        <v>0.0</v>
      </c>
      <c r="M5150" s="1" t="s">
        <v>6045</v>
      </c>
      <c r="N5150" s="1"/>
      <c r="O5150" s="1" t="s">
        <v>30</v>
      </c>
      <c r="P5150" s="1" t="s">
        <v>31</v>
      </c>
      <c r="Q5150" s="1" t="s">
        <v>228</v>
      </c>
      <c r="R5150" s="1" t="s">
        <v>228</v>
      </c>
      <c r="S5150" s="1" t="s">
        <v>229</v>
      </c>
      <c r="T5150" s="1" t="s">
        <v>513</v>
      </c>
      <c r="U5150" s="1">
        <v>1.00652479E8</v>
      </c>
      <c r="X5150" s="1" t="s">
        <v>239</v>
      </c>
      <c r="Y5150" s="1" t="s">
        <v>12692</v>
      </c>
      <c r="Z5150" s="1" t="s">
        <v>37</v>
      </c>
    </row>
    <row r="5151">
      <c r="A5151" s="1" t="s">
        <v>14356</v>
      </c>
      <c r="B5151" s="1" t="s">
        <v>14357</v>
      </c>
      <c r="C5151" s="1" t="s">
        <v>14358</v>
      </c>
      <c r="D5151" s="1" t="s">
        <v>78</v>
      </c>
      <c r="E5151" s="1" t="s">
        <v>28</v>
      </c>
      <c r="F5151" s="2">
        <v>50000.0</v>
      </c>
      <c r="G5151" s="1" t="s">
        <v>6301</v>
      </c>
      <c r="H5151" s="4">
        <f>IFERROR(__xludf.DUMMYFUNCTION("DATE(INDEX(SPLIT(G5151,""/""),,3),INDEX(SPLIT(G5151,""/""),,2),INDEX(SPLIT(G5151,""/""),,1))"),44635.0)</f>
        <v>44635</v>
      </c>
      <c r="I5151" s="1" t="s">
        <v>1244</v>
      </c>
      <c r="J5151" s="4">
        <f>IFERROR(__xludf.DUMMYFUNCTION("DATE(INDEX(SPLIT(I5151,""/""),,3),INDEX(SPLIT(I5151,""/""),,2),INDEX(SPLIT(I5151,""/""),,1))"),44742.0)</f>
        <v>44742</v>
      </c>
      <c r="L5151" s="1">
        <v>0.0</v>
      </c>
      <c r="M5151" s="1" t="s">
        <v>9478</v>
      </c>
      <c r="N5151" s="1"/>
      <c r="O5151" s="1" t="s">
        <v>30</v>
      </c>
      <c r="P5151" s="1" t="s">
        <v>31</v>
      </c>
      <c r="Q5151" s="1" t="s">
        <v>228</v>
      </c>
      <c r="R5151" s="1" t="s">
        <v>228</v>
      </c>
      <c r="S5151" s="1" t="s">
        <v>229</v>
      </c>
      <c r="T5151" s="1" t="s">
        <v>513</v>
      </c>
      <c r="U5151" s="1">
        <v>1.00589357E8</v>
      </c>
      <c r="X5151" s="1" t="s">
        <v>46</v>
      </c>
      <c r="Y5151" s="1" t="s">
        <v>9478</v>
      </c>
      <c r="Z5151" s="1" t="s">
        <v>37</v>
      </c>
    </row>
    <row r="5152" hidden="1">
      <c r="A5152" s="1" t="s">
        <v>14359</v>
      </c>
      <c r="B5152" s="1" t="s">
        <v>645</v>
      </c>
      <c r="C5152" s="1" t="s">
        <v>14360</v>
      </c>
      <c r="D5152" s="1" t="s">
        <v>78</v>
      </c>
      <c r="E5152" s="1" t="s">
        <v>28</v>
      </c>
      <c r="F5152" s="2">
        <v>50000.0</v>
      </c>
      <c r="G5152" s="1" t="s">
        <v>624</v>
      </c>
      <c r="H5152" s="4">
        <f>IFERROR(__xludf.DUMMYFUNCTION("DATE(INDEX(SPLIT(G5152,""/""),,3),INDEX(SPLIT(G5152,""/""),,2),INDEX(SPLIT(G5152,""/""),,1))"),44642.0)</f>
        <v>44642</v>
      </c>
      <c r="I5152" s="1" t="s">
        <v>130</v>
      </c>
      <c r="J5152" s="4">
        <f>IFERROR(__xludf.DUMMYFUNCTION("DATE(INDEX(SPLIT(I5152,""/""),,3),INDEX(SPLIT(I5152,""/""),,2),INDEX(SPLIT(I5152,""/""),,1))"),44804.0)</f>
        <v>44804</v>
      </c>
      <c r="L5152" s="1">
        <v>0.0</v>
      </c>
      <c r="M5152" s="1" t="s">
        <v>2067</v>
      </c>
      <c r="N5152" s="1"/>
      <c r="O5152" s="1" t="s">
        <v>30</v>
      </c>
      <c r="P5152" s="1" t="s">
        <v>31</v>
      </c>
      <c r="Q5152" s="1" t="s">
        <v>95</v>
      </c>
      <c r="R5152" s="1" t="s">
        <v>95</v>
      </c>
      <c r="S5152" s="1" t="s">
        <v>96</v>
      </c>
      <c r="T5152" s="1" t="s">
        <v>97</v>
      </c>
      <c r="U5152" s="1">
        <v>1.00631322E8</v>
      </c>
      <c r="X5152" s="1" t="s">
        <v>125</v>
      </c>
      <c r="Y5152" s="1" t="s">
        <v>7026</v>
      </c>
      <c r="Z5152" s="1" t="s">
        <v>37</v>
      </c>
    </row>
    <row r="5153">
      <c r="A5153" s="1" t="s">
        <v>14361</v>
      </c>
      <c r="B5153" s="1" t="s">
        <v>14362</v>
      </c>
      <c r="C5153" s="1" t="s">
        <v>14363</v>
      </c>
      <c r="D5153" s="1" t="s">
        <v>122</v>
      </c>
      <c r="E5153" s="1" t="s">
        <v>28</v>
      </c>
      <c r="F5153" s="2">
        <v>50000.0</v>
      </c>
      <c r="G5153" s="1" t="s">
        <v>1501</v>
      </c>
      <c r="H5153" s="4">
        <f>IFERROR(__xludf.DUMMYFUNCTION("DATE(INDEX(SPLIT(G5153,""/""),,3),INDEX(SPLIT(G5153,""/""),,2),INDEX(SPLIT(G5153,""/""),,1))"),44711.0)</f>
        <v>44711</v>
      </c>
      <c r="I5153" s="1" t="s">
        <v>69</v>
      </c>
      <c r="J5153" s="4">
        <f>IFERROR(__xludf.DUMMYFUNCTION("DATE(INDEX(SPLIT(I5153,""/""),,3),INDEX(SPLIT(I5153,""/""),,2),INDEX(SPLIT(I5153,""/""),,1))"),44773.0)</f>
        <v>44773</v>
      </c>
      <c r="L5153" s="1">
        <v>0.0</v>
      </c>
      <c r="M5153" s="1" t="s">
        <v>7088</v>
      </c>
      <c r="N5153" s="1"/>
      <c r="O5153" s="1" t="s">
        <v>30</v>
      </c>
      <c r="P5153" s="1" t="s">
        <v>31</v>
      </c>
      <c r="Q5153" s="1" t="s">
        <v>228</v>
      </c>
      <c r="R5153" s="1" t="s">
        <v>228</v>
      </c>
      <c r="S5153" s="1" t="s">
        <v>229</v>
      </c>
      <c r="T5153" s="1" t="s">
        <v>513</v>
      </c>
      <c r="U5153" s="1">
        <v>1.00597339E8</v>
      </c>
      <c r="X5153" s="1" t="s">
        <v>239</v>
      </c>
      <c r="Y5153" s="1" t="s">
        <v>7089</v>
      </c>
      <c r="Z5153" s="1" t="s">
        <v>37</v>
      </c>
    </row>
    <row r="5154" hidden="1">
      <c r="A5154" s="1" t="s">
        <v>14364</v>
      </c>
      <c r="B5154" s="1" t="s">
        <v>14365</v>
      </c>
      <c r="C5154" s="1" t="s">
        <v>14366</v>
      </c>
      <c r="D5154" s="1" t="s">
        <v>78</v>
      </c>
      <c r="E5154" s="1" t="s">
        <v>28</v>
      </c>
      <c r="F5154" s="2">
        <v>50000.0</v>
      </c>
      <c r="G5154" s="1" t="s">
        <v>2116</v>
      </c>
      <c r="H5154" s="4">
        <f>IFERROR(__xludf.DUMMYFUNCTION("DATE(INDEX(SPLIT(G5154,""/""),,3),INDEX(SPLIT(G5154,""/""),,2),INDEX(SPLIT(G5154,""/""),,1))"),44620.0)</f>
        <v>44620</v>
      </c>
      <c r="I5154" s="1" t="s">
        <v>109</v>
      </c>
      <c r="J5154" s="4">
        <f>IFERROR(__xludf.DUMMYFUNCTION("DATE(INDEX(SPLIT(I5154,""/""),,3),INDEX(SPLIT(I5154,""/""),,2),INDEX(SPLIT(I5154,""/""),,1))"),44834.0)</f>
        <v>44834</v>
      </c>
      <c r="L5154" s="1">
        <v>0.0</v>
      </c>
      <c r="M5154" s="1" t="s">
        <v>2592</v>
      </c>
      <c r="N5154" s="1"/>
      <c r="O5154" s="1" t="s">
        <v>30</v>
      </c>
      <c r="P5154" s="1" t="s">
        <v>31</v>
      </c>
      <c r="Q5154" s="1" t="s">
        <v>71</v>
      </c>
      <c r="R5154" s="1" t="s">
        <v>71</v>
      </c>
      <c r="S5154" s="1" t="s">
        <v>72</v>
      </c>
      <c r="T5154" s="1" t="s">
        <v>136</v>
      </c>
      <c r="U5154" s="1">
        <v>1.00586452E8</v>
      </c>
      <c r="X5154" s="1" t="s">
        <v>74</v>
      </c>
      <c r="Y5154" s="1" t="s">
        <v>12121</v>
      </c>
      <c r="Z5154" s="1" t="s">
        <v>37</v>
      </c>
    </row>
    <row r="5155">
      <c r="A5155" s="1" t="s">
        <v>14367</v>
      </c>
      <c r="B5155" s="1" t="s">
        <v>14368</v>
      </c>
      <c r="C5155" s="1" t="s">
        <v>14369</v>
      </c>
      <c r="D5155" s="1" t="s">
        <v>122</v>
      </c>
      <c r="E5155" s="1" t="s">
        <v>28</v>
      </c>
      <c r="F5155" s="2">
        <v>50000.0</v>
      </c>
      <c r="G5155" s="1" t="s">
        <v>2077</v>
      </c>
      <c r="H5155" s="4">
        <f>IFERROR(__xludf.DUMMYFUNCTION("DATE(INDEX(SPLIT(G5155,""/""),,3),INDEX(SPLIT(G5155,""/""),,2),INDEX(SPLIT(G5155,""/""),,1))"),44700.0)</f>
        <v>44700</v>
      </c>
      <c r="I5155" s="1" t="s">
        <v>2300</v>
      </c>
      <c r="J5155" s="4">
        <f>IFERROR(__xludf.DUMMYFUNCTION("DATE(INDEX(SPLIT(I5155,""/""),,3),INDEX(SPLIT(I5155,""/""),,2),INDEX(SPLIT(I5155,""/""),,1))"),44712.0)</f>
        <v>44712</v>
      </c>
      <c r="L5155" s="1">
        <v>0.0</v>
      </c>
      <c r="M5155" s="1" t="s">
        <v>2207</v>
      </c>
      <c r="N5155" s="1"/>
      <c r="O5155" s="1" t="s">
        <v>30</v>
      </c>
      <c r="P5155" s="1" t="s">
        <v>31</v>
      </c>
      <c r="Q5155" s="1" t="s">
        <v>228</v>
      </c>
      <c r="R5155" s="1" t="s">
        <v>228</v>
      </c>
      <c r="S5155" s="1" t="s">
        <v>229</v>
      </c>
      <c r="T5155" s="1" t="s">
        <v>513</v>
      </c>
      <c r="U5155" s="1">
        <v>1.00596618E8</v>
      </c>
      <c r="X5155" s="1" t="s">
        <v>63</v>
      </c>
      <c r="Y5155" s="1" t="s">
        <v>2208</v>
      </c>
      <c r="Z5155" s="1" t="s">
        <v>37</v>
      </c>
    </row>
    <row r="5156" hidden="1">
      <c r="A5156" s="1" t="s">
        <v>14370</v>
      </c>
      <c r="B5156" s="1" t="s">
        <v>1355</v>
      </c>
      <c r="C5156" s="1" t="s">
        <v>14371</v>
      </c>
      <c r="D5156" s="1" t="s">
        <v>27</v>
      </c>
      <c r="E5156" s="1" t="s">
        <v>28</v>
      </c>
      <c r="F5156" s="2">
        <v>50000.0</v>
      </c>
      <c r="G5156" s="1" t="s">
        <v>969</v>
      </c>
      <c r="H5156" s="4">
        <f>IFERROR(__xludf.DUMMYFUNCTION("DATE(INDEX(SPLIT(G5156,""/""),,3),INDEX(SPLIT(G5156,""/""),,2),INDEX(SPLIT(G5156,""/""),,1))"),44306.0)</f>
        <v>44306</v>
      </c>
      <c r="I5156" s="1" t="s">
        <v>130</v>
      </c>
      <c r="J5156" s="4">
        <f>IFERROR(__xludf.DUMMYFUNCTION("DATE(INDEX(SPLIT(I5156,""/""),,3),INDEX(SPLIT(I5156,""/""),,2),INDEX(SPLIT(I5156,""/""),,1))"),44804.0)</f>
        <v>44804</v>
      </c>
      <c r="L5156" s="1">
        <v>0.0</v>
      </c>
      <c r="M5156" s="1" t="s">
        <v>6050</v>
      </c>
      <c r="N5156" s="1"/>
      <c r="O5156" s="1" t="s">
        <v>30</v>
      </c>
      <c r="P5156" s="1" t="s">
        <v>31</v>
      </c>
      <c r="Q5156" s="1" t="s">
        <v>228</v>
      </c>
      <c r="R5156" s="1" t="s">
        <v>228</v>
      </c>
      <c r="S5156" s="1" t="s">
        <v>229</v>
      </c>
      <c r="T5156" s="1" t="s">
        <v>513</v>
      </c>
      <c r="U5156" s="1">
        <v>1.0058798E8</v>
      </c>
      <c r="X5156" s="1" t="s">
        <v>35</v>
      </c>
      <c r="Y5156" s="1" t="s">
        <v>6050</v>
      </c>
      <c r="Z5156" s="1" t="s">
        <v>37</v>
      </c>
    </row>
    <row r="5157">
      <c r="A5157" s="1" t="s">
        <v>14372</v>
      </c>
      <c r="B5157" s="1" t="s">
        <v>6099</v>
      </c>
      <c r="C5157" s="1" t="s">
        <v>14373</v>
      </c>
      <c r="D5157" s="1" t="s">
        <v>27</v>
      </c>
      <c r="E5157" s="1" t="s">
        <v>28</v>
      </c>
      <c r="F5157" s="2">
        <v>50000.0</v>
      </c>
      <c r="G5157" s="4">
        <v>44869.0</v>
      </c>
      <c r="H5157" s="4">
        <f>IFERROR(__xludf.DUMMYFUNCTION("DATE(INDEX(SPLIT(G5157,""/""),,3),INDEX(SPLIT(G5157,""/""),,2),INDEX(SPLIT(G5157,""/""),,1))"),44662.0)</f>
        <v>44662</v>
      </c>
      <c r="I5157" s="1" t="s">
        <v>69</v>
      </c>
      <c r="J5157" s="4">
        <f>IFERROR(__xludf.DUMMYFUNCTION("DATE(INDEX(SPLIT(I5157,""/""),,3),INDEX(SPLIT(I5157,""/""),,2),INDEX(SPLIT(I5157,""/""),,1))"),44773.0)</f>
        <v>44773</v>
      </c>
      <c r="L5157" s="1">
        <v>0.0</v>
      </c>
      <c r="M5157" s="1" t="s">
        <v>563</v>
      </c>
      <c r="N5157" s="1"/>
      <c r="O5157" s="1" t="s">
        <v>30</v>
      </c>
      <c r="P5157" s="1" t="s">
        <v>31</v>
      </c>
      <c r="Q5157" s="1" t="s">
        <v>95</v>
      </c>
      <c r="R5157" s="1" t="s">
        <v>95</v>
      </c>
      <c r="S5157" s="1" t="s">
        <v>96</v>
      </c>
      <c r="T5157" s="1" t="s">
        <v>103</v>
      </c>
      <c r="U5157" s="1">
        <v>1.00646702E8</v>
      </c>
      <c r="X5157" s="1" t="s">
        <v>361</v>
      </c>
      <c r="Y5157" s="1" t="s">
        <v>1231</v>
      </c>
      <c r="Z5157" s="1" t="s">
        <v>37</v>
      </c>
    </row>
    <row r="5158" hidden="1">
      <c r="A5158" s="1" t="s">
        <v>14374</v>
      </c>
      <c r="B5158" s="1" t="s">
        <v>4361</v>
      </c>
      <c r="C5158" s="1" t="s">
        <v>14375</v>
      </c>
      <c r="D5158" s="1" t="s">
        <v>27</v>
      </c>
      <c r="E5158" s="1" t="s">
        <v>28</v>
      </c>
      <c r="F5158" s="2">
        <v>50000.0</v>
      </c>
      <c r="G5158" s="1" t="s">
        <v>1190</v>
      </c>
      <c r="H5158" s="4">
        <f>IFERROR(__xludf.DUMMYFUNCTION("DATE(INDEX(SPLIT(G5158,""/""),,3),INDEX(SPLIT(G5158,""/""),,2),INDEX(SPLIT(G5158,""/""),,1))"),44397.0)</f>
        <v>44397</v>
      </c>
      <c r="I5158" s="1" t="s">
        <v>130</v>
      </c>
      <c r="J5158" s="4">
        <f>IFERROR(__xludf.DUMMYFUNCTION("DATE(INDEX(SPLIT(I5158,""/""),,3),INDEX(SPLIT(I5158,""/""),,2),INDEX(SPLIT(I5158,""/""),,1))"),44804.0)</f>
        <v>44804</v>
      </c>
      <c r="L5158" s="1">
        <v>0.0</v>
      </c>
      <c r="M5158" s="1" t="s">
        <v>8315</v>
      </c>
      <c r="N5158" s="1"/>
      <c r="O5158" s="1" t="s">
        <v>30</v>
      </c>
      <c r="P5158" s="1" t="s">
        <v>31</v>
      </c>
      <c r="Q5158" s="1" t="s">
        <v>95</v>
      </c>
      <c r="R5158" s="1" t="s">
        <v>95</v>
      </c>
      <c r="S5158" s="1" t="s">
        <v>96</v>
      </c>
      <c r="T5158" s="1" t="s">
        <v>111</v>
      </c>
      <c r="U5158" s="1">
        <v>1.00625107E8</v>
      </c>
      <c r="X5158" s="1" t="s">
        <v>63</v>
      </c>
      <c r="Y5158" s="1" t="s">
        <v>985</v>
      </c>
      <c r="Z5158" s="1" t="s">
        <v>206</v>
      </c>
    </row>
    <row r="5159" hidden="1">
      <c r="A5159" s="1" t="s">
        <v>14376</v>
      </c>
      <c r="B5159" s="1" t="s">
        <v>14377</v>
      </c>
      <c r="C5159" s="1" t="s">
        <v>14378</v>
      </c>
      <c r="D5159" s="1" t="s">
        <v>27</v>
      </c>
      <c r="E5159" s="1" t="s">
        <v>28</v>
      </c>
      <c r="F5159" s="2">
        <v>50000.0</v>
      </c>
      <c r="G5159" s="4">
        <v>44870.0</v>
      </c>
      <c r="H5159" s="4">
        <f>IFERROR(__xludf.DUMMYFUNCTION("DATE(INDEX(SPLIT(G5159,""/""),,3),INDEX(SPLIT(G5159,""/""),,2),INDEX(SPLIT(G5159,""/""),,1))"),44692.0)</f>
        <v>44692</v>
      </c>
      <c r="I5159" s="1" t="s">
        <v>109</v>
      </c>
      <c r="J5159" s="4">
        <f>IFERROR(__xludf.DUMMYFUNCTION("DATE(INDEX(SPLIT(I5159,""/""),,3),INDEX(SPLIT(I5159,""/""),,2),INDEX(SPLIT(I5159,""/""),,1))"),44834.0)</f>
        <v>44834</v>
      </c>
      <c r="L5159" s="1">
        <v>0.0</v>
      </c>
      <c r="M5159" s="1" t="s">
        <v>11254</v>
      </c>
      <c r="N5159" s="1"/>
      <c r="O5159" s="1" t="s">
        <v>30</v>
      </c>
      <c r="P5159" s="1" t="s">
        <v>31</v>
      </c>
      <c r="Q5159" s="1" t="s">
        <v>228</v>
      </c>
      <c r="R5159" s="1" t="s">
        <v>228</v>
      </c>
      <c r="S5159" s="1" t="s">
        <v>229</v>
      </c>
      <c r="T5159" s="1" t="s">
        <v>640</v>
      </c>
      <c r="U5159" s="1">
        <v>1.00602248E8</v>
      </c>
      <c r="X5159" s="1" t="s">
        <v>289</v>
      </c>
      <c r="Y5159" s="1" t="s">
        <v>11485</v>
      </c>
      <c r="Z5159" s="1" t="s">
        <v>37</v>
      </c>
    </row>
    <row r="5160" hidden="1">
      <c r="A5160" s="1" t="s">
        <v>14379</v>
      </c>
      <c r="B5160" s="1" t="s">
        <v>1371</v>
      </c>
      <c r="C5160" s="1" t="s">
        <v>14380</v>
      </c>
      <c r="D5160" s="1" t="s">
        <v>27</v>
      </c>
      <c r="E5160" s="1" t="s">
        <v>28</v>
      </c>
      <c r="F5160" s="2">
        <v>50000.0</v>
      </c>
      <c r="G5160" s="1" t="s">
        <v>624</v>
      </c>
      <c r="H5160" s="4">
        <f>IFERROR(__xludf.DUMMYFUNCTION("DATE(INDEX(SPLIT(G5160,""/""),,3),INDEX(SPLIT(G5160,""/""),,2),INDEX(SPLIT(G5160,""/""),,1))"),44642.0)</f>
        <v>44642</v>
      </c>
      <c r="I5160" s="1" t="s">
        <v>42</v>
      </c>
      <c r="J5160" s="4">
        <f>IFERROR(__xludf.DUMMYFUNCTION("DATE(INDEX(SPLIT(I5160,""/""),,3),INDEX(SPLIT(I5160,""/""),,2),INDEX(SPLIT(I5160,""/""),,1))"),44926.0)</f>
        <v>44926</v>
      </c>
      <c r="L5160" s="1">
        <v>0.0</v>
      </c>
      <c r="M5160" s="1" t="s">
        <v>1484</v>
      </c>
      <c r="N5160" s="1"/>
      <c r="O5160" s="1" t="s">
        <v>30</v>
      </c>
      <c r="P5160" s="1" t="s">
        <v>31</v>
      </c>
      <c r="Q5160" s="1" t="s">
        <v>95</v>
      </c>
      <c r="R5160" s="1" t="s">
        <v>95</v>
      </c>
      <c r="S5160" s="1" t="s">
        <v>96</v>
      </c>
      <c r="T5160" s="1" t="s">
        <v>111</v>
      </c>
      <c r="U5160" s="1">
        <v>1.00585718E8</v>
      </c>
      <c r="X5160" s="1" t="s">
        <v>63</v>
      </c>
      <c r="Y5160" s="1" t="s">
        <v>14381</v>
      </c>
      <c r="Z5160" s="1" t="s">
        <v>37</v>
      </c>
    </row>
    <row r="5161" hidden="1">
      <c r="A5161" s="1" t="s">
        <v>14382</v>
      </c>
      <c r="B5161" s="1" t="s">
        <v>876</v>
      </c>
      <c r="C5161" s="1" t="s">
        <v>14383</v>
      </c>
      <c r="D5161" s="1" t="s">
        <v>78</v>
      </c>
      <c r="E5161" s="1" t="s">
        <v>28</v>
      </c>
      <c r="F5161" s="2">
        <v>50000.0</v>
      </c>
      <c r="G5161" s="1" t="s">
        <v>729</v>
      </c>
      <c r="H5161" s="4">
        <f>IFERROR(__xludf.DUMMYFUNCTION("DATE(INDEX(SPLIT(G5161,""/""),,3),INDEX(SPLIT(G5161,""/""),,2),INDEX(SPLIT(G5161,""/""),,1))"),44098.0)</f>
        <v>44098</v>
      </c>
      <c r="I5161" s="1" t="s">
        <v>109</v>
      </c>
      <c r="J5161" s="4">
        <f>IFERROR(__xludf.DUMMYFUNCTION("DATE(INDEX(SPLIT(I5161,""/""),,3),INDEX(SPLIT(I5161,""/""),,2),INDEX(SPLIT(I5161,""/""),,1))"),44834.0)</f>
        <v>44834</v>
      </c>
      <c r="L5161" s="1">
        <v>0.0</v>
      </c>
      <c r="M5161" s="1" t="s">
        <v>13523</v>
      </c>
      <c r="N5161" s="1"/>
      <c r="O5161" s="1" t="s">
        <v>30</v>
      </c>
      <c r="P5161" s="1" t="s">
        <v>31</v>
      </c>
      <c r="Q5161" s="1" t="s">
        <v>157</v>
      </c>
      <c r="R5161" s="1" t="s">
        <v>157</v>
      </c>
      <c r="S5161" s="1" t="s">
        <v>158</v>
      </c>
      <c r="U5161" s="1">
        <v>1.00640093E8</v>
      </c>
      <c r="X5161" s="1" t="s">
        <v>35</v>
      </c>
      <c r="Y5161" s="1" t="s">
        <v>1533</v>
      </c>
      <c r="Z5161" s="1" t="s">
        <v>37</v>
      </c>
    </row>
    <row r="5162" hidden="1">
      <c r="A5162" s="1" t="s">
        <v>14384</v>
      </c>
      <c r="B5162" s="1" t="s">
        <v>14385</v>
      </c>
      <c r="C5162" s="1" t="s">
        <v>14386</v>
      </c>
      <c r="D5162" s="1" t="s">
        <v>78</v>
      </c>
      <c r="E5162" s="1" t="s">
        <v>28</v>
      </c>
      <c r="F5162" s="2">
        <v>50000.0</v>
      </c>
      <c r="G5162" s="1" t="s">
        <v>7274</v>
      </c>
      <c r="H5162" s="4">
        <f>IFERROR(__xludf.DUMMYFUNCTION("DATE(INDEX(SPLIT(G5162,""/""),,3),INDEX(SPLIT(G5162,""/""),,2),INDEX(SPLIT(G5162,""/""),,1))"),44403.0)</f>
        <v>44403</v>
      </c>
      <c r="I5162" s="1" t="s">
        <v>109</v>
      </c>
      <c r="J5162" s="4">
        <f>IFERROR(__xludf.DUMMYFUNCTION("DATE(INDEX(SPLIT(I5162,""/""),,3),INDEX(SPLIT(I5162,""/""),,2),INDEX(SPLIT(I5162,""/""),,1))"),44834.0)</f>
        <v>44834</v>
      </c>
      <c r="L5162" s="1">
        <v>0.0</v>
      </c>
      <c r="M5162" s="1" t="s">
        <v>11254</v>
      </c>
      <c r="N5162" s="1"/>
      <c r="O5162" s="1" t="s">
        <v>30</v>
      </c>
      <c r="P5162" s="1" t="s">
        <v>31</v>
      </c>
      <c r="Q5162" s="1" t="s">
        <v>228</v>
      </c>
      <c r="R5162" s="1" t="s">
        <v>228</v>
      </c>
      <c r="S5162" s="1" t="s">
        <v>229</v>
      </c>
      <c r="T5162" s="1" t="s">
        <v>513</v>
      </c>
      <c r="U5162" s="1">
        <v>1.00602248E8</v>
      </c>
      <c r="X5162" s="1" t="s">
        <v>98</v>
      </c>
      <c r="Y5162" s="1" t="s">
        <v>12637</v>
      </c>
      <c r="Z5162" s="1" t="s">
        <v>37</v>
      </c>
    </row>
    <row r="5163" hidden="1">
      <c r="A5163" s="1" t="s">
        <v>14387</v>
      </c>
      <c r="B5163" s="1" t="s">
        <v>1275</v>
      </c>
      <c r="C5163" s="1" t="s">
        <v>14388</v>
      </c>
      <c r="D5163" s="1" t="s">
        <v>122</v>
      </c>
      <c r="E5163" s="1" t="s">
        <v>28</v>
      </c>
      <c r="F5163" s="2">
        <v>50000.0</v>
      </c>
      <c r="G5163" s="1" t="s">
        <v>418</v>
      </c>
      <c r="H5163" s="4">
        <f>IFERROR(__xludf.DUMMYFUNCTION("DATE(INDEX(SPLIT(G5163,""/""),,3),INDEX(SPLIT(G5163,""/""),,2),INDEX(SPLIT(G5163,""/""),,1))"),44755.0)</f>
        <v>44755</v>
      </c>
      <c r="I5163" s="4">
        <v>44601.0</v>
      </c>
      <c r="J5163" s="4">
        <f>IFERROR(__xludf.DUMMYFUNCTION("DATE(INDEX(SPLIT(I5163,""/""),,3),INDEX(SPLIT(I5163,""/""),,2),INDEX(SPLIT(I5163,""/""),,1))"),44806.0)</f>
        <v>44806</v>
      </c>
      <c r="L5163" s="1">
        <v>0.0</v>
      </c>
      <c r="M5163" s="1" t="s">
        <v>2592</v>
      </c>
      <c r="N5163" s="1"/>
      <c r="O5163" s="1" t="s">
        <v>30</v>
      </c>
      <c r="P5163" s="1" t="s">
        <v>31</v>
      </c>
      <c r="Q5163" s="1" t="s">
        <v>71</v>
      </c>
      <c r="R5163" s="1" t="s">
        <v>71</v>
      </c>
      <c r="S5163" s="1" t="s">
        <v>72</v>
      </c>
      <c r="T5163" s="1" t="s">
        <v>136</v>
      </c>
      <c r="U5163" s="1">
        <v>1.00586452E8</v>
      </c>
      <c r="X5163" s="1" t="s">
        <v>74</v>
      </c>
      <c r="Y5163" s="1" t="s">
        <v>2592</v>
      </c>
      <c r="Z5163" s="1" t="s">
        <v>37</v>
      </c>
    </row>
    <row r="5164" hidden="1">
      <c r="A5164" s="1" t="s">
        <v>14389</v>
      </c>
      <c r="B5164" s="1" t="s">
        <v>5325</v>
      </c>
      <c r="C5164" s="1" t="s">
        <v>14390</v>
      </c>
      <c r="D5164" s="1" t="s">
        <v>27</v>
      </c>
      <c r="E5164" s="1" t="s">
        <v>28</v>
      </c>
      <c r="F5164" s="2">
        <v>50000.0</v>
      </c>
      <c r="G5164" s="1" t="s">
        <v>737</v>
      </c>
      <c r="H5164" s="4">
        <f>IFERROR(__xludf.DUMMYFUNCTION("DATE(INDEX(SPLIT(G5164,""/""),,3),INDEX(SPLIT(G5164,""/""),,2),INDEX(SPLIT(G5164,""/""),,1))"),44544.0)</f>
        <v>44544</v>
      </c>
      <c r="I5164" s="1" t="s">
        <v>109</v>
      </c>
      <c r="J5164" s="4">
        <f>IFERROR(__xludf.DUMMYFUNCTION("DATE(INDEX(SPLIT(I5164,""/""),,3),INDEX(SPLIT(I5164,""/""),,2),INDEX(SPLIT(I5164,""/""),,1))"),44834.0)</f>
        <v>44834</v>
      </c>
      <c r="L5164" s="1">
        <v>0.0</v>
      </c>
      <c r="M5164" s="1" t="s">
        <v>2724</v>
      </c>
      <c r="N5164" s="1"/>
      <c r="O5164" s="1" t="s">
        <v>30</v>
      </c>
      <c r="P5164" s="1" t="s">
        <v>31</v>
      </c>
      <c r="Q5164" s="1" t="s">
        <v>32</v>
      </c>
      <c r="R5164" s="1" t="s">
        <v>32</v>
      </c>
      <c r="S5164" s="1" t="s">
        <v>33</v>
      </c>
      <c r="T5164" s="1" t="s">
        <v>1195</v>
      </c>
      <c r="U5164" s="1">
        <v>1.00606975E8</v>
      </c>
      <c r="X5164" s="1" t="s">
        <v>490</v>
      </c>
      <c r="Y5164" s="1" t="s">
        <v>8809</v>
      </c>
      <c r="Z5164" s="1" t="s">
        <v>37</v>
      </c>
    </row>
    <row r="5165">
      <c r="A5165" s="1" t="s">
        <v>14391</v>
      </c>
      <c r="B5165" s="1" t="s">
        <v>844</v>
      </c>
      <c r="C5165" s="1" t="s">
        <v>14392</v>
      </c>
      <c r="D5165" s="1" t="s">
        <v>68</v>
      </c>
      <c r="E5165" s="1" t="s">
        <v>28</v>
      </c>
      <c r="F5165" s="2">
        <v>50000.0</v>
      </c>
      <c r="G5165" s="4">
        <v>44902.0</v>
      </c>
      <c r="H5165" s="4">
        <f>IFERROR(__xludf.DUMMYFUNCTION("DATE(INDEX(SPLIT(G5165,""/""),,3),INDEX(SPLIT(G5165,""/""),,2),INDEX(SPLIT(G5165,""/""),,1))"),44754.0)</f>
        <v>44754</v>
      </c>
      <c r="I5165" s="1" t="s">
        <v>518</v>
      </c>
      <c r="J5165" s="4">
        <f>IFERROR(__xludf.DUMMYFUNCTION("DATE(INDEX(SPLIT(I5165,""/""),,3),INDEX(SPLIT(I5165,""/""),,2),INDEX(SPLIT(I5165,""/""),,1))"),44757.0)</f>
        <v>44757</v>
      </c>
      <c r="L5165" s="1">
        <v>0.0</v>
      </c>
      <c r="M5165" s="1" t="s">
        <v>14393</v>
      </c>
      <c r="N5165" s="1"/>
      <c r="O5165" s="1" t="s">
        <v>30</v>
      </c>
      <c r="P5165" s="1" t="s">
        <v>31</v>
      </c>
      <c r="Q5165" s="1" t="s">
        <v>228</v>
      </c>
      <c r="R5165" s="1" t="s">
        <v>228</v>
      </c>
      <c r="S5165" s="1" t="s">
        <v>229</v>
      </c>
      <c r="U5165" s="1">
        <v>1.00628004E8</v>
      </c>
      <c r="X5165" s="1" t="s">
        <v>609</v>
      </c>
      <c r="Y5165" s="1" t="s">
        <v>14394</v>
      </c>
      <c r="Z5165" s="1" t="s">
        <v>37</v>
      </c>
    </row>
    <row r="5166" hidden="1">
      <c r="A5166" s="1" t="s">
        <v>14395</v>
      </c>
      <c r="B5166" s="1" t="s">
        <v>14396</v>
      </c>
      <c r="C5166" s="1" t="s">
        <v>14397</v>
      </c>
      <c r="D5166" s="1" t="s">
        <v>78</v>
      </c>
      <c r="E5166" s="1" t="s">
        <v>28</v>
      </c>
      <c r="F5166" s="2">
        <v>50000.0</v>
      </c>
      <c r="G5166" s="4">
        <v>44902.0</v>
      </c>
      <c r="H5166" s="4">
        <f>IFERROR(__xludf.DUMMYFUNCTION("DATE(INDEX(SPLIT(G5166,""/""),,3),INDEX(SPLIT(G5166,""/""),,2),INDEX(SPLIT(G5166,""/""),,1))"),44754.0)</f>
        <v>44754</v>
      </c>
      <c r="I5166" s="4">
        <v>44569.0</v>
      </c>
      <c r="J5166" s="4">
        <f>IFERROR(__xludf.DUMMYFUNCTION("DATE(INDEX(SPLIT(I5166,""/""),,3),INDEX(SPLIT(I5166,""/""),,2),INDEX(SPLIT(I5166,""/""),,1))"),44774.0)</f>
        <v>44774</v>
      </c>
      <c r="L5166" s="1">
        <v>0.0</v>
      </c>
      <c r="M5166" s="1" t="s">
        <v>11206</v>
      </c>
      <c r="N5166" s="1"/>
      <c r="O5166" s="1" t="s">
        <v>30</v>
      </c>
      <c r="P5166" s="1" t="s">
        <v>31</v>
      </c>
      <c r="Q5166" s="1" t="s">
        <v>228</v>
      </c>
      <c r="R5166" s="1" t="s">
        <v>228</v>
      </c>
      <c r="S5166" s="1" t="s">
        <v>229</v>
      </c>
      <c r="T5166" s="1" t="s">
        <v>640</v>
      </c>
      <c r="U5166" s="1">
        <v>1.01147686E8</v>
      </c>
      <c r="X5166" s="1" t="s">
        <v>63</v>
      </c>
      <c r="Y5166" s="1" t="s">
        <v>14398</v>
      </c>
      <c r="Z5166" s="1" t="s">
        <v>37</v>
      </c>
    </row>
    <row r="5167">
      <c r="A5167" s="1" t="s">
        <v>14399</v>
      </c>
      <c r="B5167" s="1" t="s">
        <v>14400</v>
      </c>
      <c r="C5167" s="1" t="s">
        <v>14401</v>
      </c>
      <c r="D5167" s="1" t="s">
        <v>27</v>
      </c>
      <c r="E5167" s="1" t="s">
        <v>28</v>
      </c>
      <c r="F5167" s="2">
        <v>50000.0</v>
      </c>
      <c r="G5167" s="1" t="s">
        <v>1767</v>
      </c>
      <c r="H5167" s="4">
        <f>IFERROR(__xludf.DUMMYFUNCTION("DATE(INDEX(SPLIT(G5167,""/""),,3),INDEX(SPLIT(G5167,""/""),,2),INDEX(SPLIT(G5167,""/""),,1))"),44698.0)</f>
        <v>44698</v>
      </c>
      <c r="I5167" s="1" t="s">
        <v>1141</v>
      </c>
      <c r="J5167" s="4">
        <f>IFERROR(__xludf.DUMMYFUNCTION("DATE(INDEX(SPLIT(I5167,""/""),,3),INDEX(SPLIT(I5167,""/""),,2),INDEX(SPLIT(I5167,""/""),,1))"),44767.0)</f>
        <v>44767</v>
      </c>
      <c r="L5167" s="1">
        <v>0.0</v>
      </c>
      <c r="M5167" s="1" t="s">
        <v>94</v>
      </c>
      <c r="N5167" s="1"/>
      <c r="O5167" s="1" t="s">
        <v>30</v>
      </c>
      <c r="P5167" s="1" t="s">
        <v>31</v>
      </c>
      <c r="Q5167" s="1" t="s">
        <v>95</v>
      </c>
      <c r="R5167" s="1" t="s">
        <v>95</v>
      </c>
      <c r="S5167" s="1" t="s">
        <v>96</v>
      </c>
      <c r="T5167" s="1" t="s">
        <v>14402</v>
      </c>
      <c r="U5167" s="1">
        <v>1.00596941E8</v>
      </c>
      <c r="X5167" s="1" t="s">
        <v>35</v>
      </c>
      <c r="Y5167" s="1" t="s">
        <v>94</v>
      </c>
      <c r="Z5167" s="1" t="s">
        <v>37</v>
      </c>
    </row>
    <row r="5168" hidden="1">
      <c r="A5168" s="1" t="s">
        <v>14403</v>
      </c>
      <c r="B5168" s="1" t="s">
        <v>555</v>
      </c>
      <c r="C5168" s="1" t="s">
        <v>14404</v>
      </c>
      <c r="D5168" s="1" t="s">
        <v>122</v>
      </c>
      <c r="E5168" s="1" t="s">
        <v>28</v>
      </c>
      <c r="F5168" s="2">
        <v>50000.0</v>
      </c>
      <c r="G5168" s="4">
        <v>44385.0</v>
      </c>
      <c r="H5168" s="4">
        <f>IFERROR(__xludf.DUMMYFUNCTION("DATE(INDEX(SPLIT(G5168,""/""),,3),INDEX(SPLIT(G5168,""/""),,2),INDEX(SPLIT(G5168,""/""),,1))"),44415.0)</f>
        <v>44415</v>
      </c>
      <c r="I5168" s="1" t="s">
        <v>109</v>
      </c>
      <c r="J5168" s="4">
        <f>IFERROR(__xludf.DUMMYFUNCTION("DATE(INDEX(SPLIT(I5168,""/""),,3),INDEX(SPLIT(I5168,""/""),,2),INDEX(SPLIT(I5168,""/""),,1))"),44834.0)</f>
        <v>44834</v>
      </c>
      <c r="L5168" s="1">
        <v>0.0</v>
      </c>
      <c r="M5168" s="1" t="s">
        <v>4339</v>
      </c>
      <c r="N5168" s="1"/>
      <c r="O5168" s="1" t="s">
        <v>30</v>
      </c>
      <c r="P5168" s="1" t="s">
        <v>31</v>
      </c>
      <c r="Q5168" s="1" t="s">
        <v>53</v>
      </c>
      <c r="R5168" s="1" t="s">
        <v>53</v>
      </c>
      <c r="S5168" s="1" t="s">
        <v>54</v>
      </c>
      <c r="U5168" s="1">
        <v>1.00655236E8</v>
      </c>
      <c r="X5168" s="1" t="s">
        <v>88</v>
      </c>
      <c r="Y5168" s="1" t="s">
        <v>13472</v>
      </c>
      <c r="Z5168" s="1" t="s">
        <v>37</v>
      </c>
    </row>
    <row r="5169" hidden="1">
      <c r="A5169" s="1" t="s">
        <v>14405</v>
      </c>
      <c r="B5169" s="1" t="s">
        <v>14406</v>
      </c>
      <c r="C5169" s="1" t="s">
        <v>14407</v>
      </c>
      <c r="D5169" s="1" t="s">
        <v>27</v>
      </c>
      <c r="E5169" s="1" t="s">
        <v>28</v>
      </c>
      <c r="F5169" s="2">
        <v>50000.0</v>
      </c>
      <c r="G5169" s="4">
        <v>44352.0</v>
      </c>
      <c r="H5169" s="4">
        <f>IFERROR(__xludf.DUMMYFUNCTION("DATE(INDEX(SPLIT(G5169,""/""),,3),INDEX(SPLIT(G5169,""/""),,2),INDEX(SPLIT(G5169,""/""),,1))"),44322.0)</f>
        <v>44322</v>
      </c>
      <c r="I5169" s="1" t="s">
        <v>109</v>
      </c>
      <c r="J5169" s="4">
        <f>IFERROR(__xludf.DUMMYFUNCTION("DATE(INDEX(SPLIT(I5169,""/""),,3),INDEX(SPLIT(I5169,""/""),,2),INDEX(SPLIT(I5169,""/""),,1))"),44834.0)</f>
        <v>44834</v>
      </c>
      <c r="L5169" s="1">
        <v>0.0</v>
      </c>
      <c r="M5169" s="1" t="s">
        <v>4129</v>
      </c>
      <c r="N5169" s="1"/>
      <c r="O5169" s="1" t="s">
        <v>30</v>
      </c>
      <c r="P5169" s="1" t="s">
        <v>31</v>
      </c>
      <c r="Q5169" s="1" t="s">
        <v>228</v>
      </c>
      <c r="R5169" s="1" t="s">
        <v>228</v>
      </c>
      <c r="S5169" s="1" t="s">
        <v>229</v>
      </c>
      <c r="T5169" s="1" t="s">
        <v>111</v>
      </c>
      <c r="U5169" s="1">
        <v>1.00599268E8</v>
      </c>
      <c r="X5169" s="1" t="s">
        <v>98</v>
      </c>
      <c r="Y5169" s="1" t="s">
        <v>4289</v>
      </c>
      <c r="Z5169" s="1" t="s">
        <v>37</v>
      </c>
    </row>
    <row r="5170" hidden="1">
      <c r="A5170" s="1" t="s">
        <v>14408</v>
      </c>
      <c r="B5170" s="1" t="s">
        <v>13935</v>
      </c>
      <c r="C5170" s="1" t="s">
        <v>14409</v>
      </c>
      <c r="D5170" s="1" t="s">
        <v>27</v>
      </c>
      <c r="E5170" s="1" t="s">
        <v>28</v>
      </c>
      <c r="F5170" s="2">
        <v>50000.0</v>
      </c>
      <c r="G5170" s="1" t="s">
        <v>6091</v>
      </c>
      <c r="H5170" s="4">
        <f>IFERROR(__xludf.DUMMYFUNCTION("DATE(INDEX(SPLIT(G5170,""/""),,3),INDEX(SPLIT(G5170,""/""),,2),INDEX(SPLIT(G5170,""/""),,1))"),44278.0)</f>
        <v>44278</v>
      </c>
      <c r="I5170" s="1" t="s">
        <v>42</v>
      </c>
      <c r="J5170" s="4">
        <f>IFERROR(__xludf.DUMMYFUNCTION("DATE(INDEX(SPLIT(I5170,""/""),,3),INDEX(SPLIT(I5170,""/""),,2),INDEX(SPLIT(I5170,""/""),,1))"),44926.0)</f>
        <v>44926</v>
      </c>
      <c r="L5170" s="1">
        <v>0.0</v>
      </c>
      <c r="M5170" s="1" t="s">
        <v>2752</v>
      </c>
      <c r="N5170" s="1"/>
      <c r="O5170" s="1" t="s">
        <v>30</v>
      </c>
      <c r="P5170" s="1" t="s">
        <v>31</v>
      </c>
      <c r="Q5170" s="1" t="s">
        <v>235</v>
      </c>
      <c r="R5170" s="1" t="s">
        <v>235</v>
      </c>
      <c r="S5170" s="1" t="s">
        <v>236</v>
      </c>
      <c r="T5170" s="1" t="s">
        <v>1349</v>
      </c>
      <c r="U5170" s="1">
        <v>1.0062606E8</v>
      </c>
      <c r="X5170" s="1" t="s">
        <v>375</v>
      </c>
      <c r="Y5170" s="1" t="s">
        <v>2752</v>
      </c>
      <c r="Z5170" s="1" t="s">
        <v>37</v>
      </c>
    </row>
    <row r="5171" hidden="1">
      <c r="A5171" s="1" t="s">
        <v>14410</v>
      </c>
      <c r="B5171" s="1" t="s">
        <v>14411</v>
      </c>
      <c r="C5171" s="1" t="s">
        <v>14412</v>
      </c>
      <c r="D5171" s="1" t="s">
        <v>27</v>
      </c>
      <c r="E5171" s="1" t="s">
        <v>28</v>
      </c>
      <c r="F5171" s="2">
        <v>50000.0</v>
      </c>
      <c r="G5171" s="1" t="s">
        <v>1364</v>
      </c>
      <c r="H5171" s="4">
        <f>IFERROR(__xludf.DUMMYFUNCTION("DATE(INDEX(SPLIT(G5171,""/""),,3),INDEX(SPLIT(G5171,""/""),,2),INDEX(SPLIT(G5171,""/""),,1))"),44676.0)</f>
        <v>44676</v>
      </c>
      <c r="I5171" s="1" t="s">
        <v>109</v>
      </c>
      <c r="J5171" s="4">
        <f>IFERROR(__xludf.DUMMYFUNCTION("DATE(INDEX(SPLIT(I5171,""/""),,3),INDEX(SPLIT(I5171,""/""),,2),INDEX(SPLIT(I5171,""/""),,1))"),44834.0)</f>
        <v>44834</v>
      </c>
      <c r="L5171" s="1">
        <v>0.0</v>
      </c>
      <c r="M5171" s="1" t="s">
        <v>2301</v>
      </c>
      <c r="N5171" s="1"/>
      <c r="O5171" s="1" t="s">
        <v>30</v>
      </c>
      <c r="P5171" s="1" t="s">
        <v>31</v>
      </c>
      <c r="Q5171" s="1" t="s">
        <v>188</v>
      </c>
      <c r="R5171" s="1" t="s">
        <v>188</v>
      </c>
      <c r="S5171" s="1" t="s">
        <v>189</v>
      </c>
      <c r="U5171" s="1">
        <v>1.00645538E8</v>
      </c>
      <c r="X5171" s="1" t="s">
        <v>254</v>
      </c>
      <c r="Y5171" s="1" t="s">
        <v>1533</v>
      </c>
      <c r="Z5171" s="1" t="s">
        <v>37</v>
      </c>
    </row>
    <row r="5172" hidden="1">
      <c r="A5172" s="1" t="s">
        <v>14413</v>
      </c>
      <c r="B5172" s="1" t="s">
        <v>308</v>
      </c>
      <c r="C5172" s="1" t="s">
        <v>14414</v>
      </c>
      <c r="D5172" s="1" t="s">
        <v>27</v>
      </c>
      <c r="E5172" s="1" t="s">
        <v>28</v>
      </c>
      <c r="F5172" s="2">
        <v>50000.0</v>
      </c>
      <c r="G5172" s="1" t="s">
        <v>836</v>
      </c>
      <c r="H5172" s="4">
        <f>IFERROR(__xludf.DUMMYFUNCTION("DATE(INDEX(SPLIT(G5172,""/""),,3),INDEX(SPLIT(G5172,""/""),,2),INDEX(SPLIT(G5172,""/""),,1))"),44610.0)</f>
        <v>44610</v>
      </c>
      <c r="I5172" s="1" t="s">
        <v>42</v>
      </c>
      <c r="J5172" s="4">
        <f>IFERROR(__xludf.DUMMYFUNCTION("DATE(INDEX(SPLIT(I5172,""/""),,3),INDEX(SPLIT(I5172,""/""),,2),INDEX(SPLIT(I5172,""/""),,1))"),44926.0)</f>
        <v>44926</v>
      </c>
      <c r="L5172" s="1">
        <v>0.0</v>
      </c>
      <c r="M5172" s="1" t="s">
        <v>43</v>
      </c>
      <c r="N5172" s="1"/>
      <c r="O5172" s="1" t="s">
        <v>30</v>
      </c>
      <c r="P5172" s="1" t="s">
        <v>31</v>
      </c>
      <c r="Q5172" s="1" t="s">
        <v>32</v>
      </c>
      <c r="R5172" s="1" t="s">
        <v>32</v>
      </c>
      <c r="S5172" s="1" t="s">
        <v>33</v>
      </c>
      <c r="T5172" s="1" t="s">
        <v>1386</v>
      </c>
      <c r="U5172" s="1">
        <v>1.00587944E8</v>
      </c>
      <c r="X5172" s="1" t="s">
        <v>312</v>
      </c>
      <c r="Y5172" s="1" t="s">
        <v>1231</v>
      </c>
      <c r="Z5172" s="1" t="s">
        <v>37</v>
      </c>
    </row>
    <row r="5173" hidden="1">
      <c r="A5173" s="1" t="s">
        <v>14415</v>
      </c>
      <c r="B5173" s="1" t="s">
        <v>9177</v>
      </c>
      <c r="C5173" s="1" t="s">
        <v>14416</v>
      </c>
      <c r="D5173" s="1" t="s">
        <v>27</v>
      </c>
      <c r="E5173" s="1" t="s">
        <v>28</v>
      </c>
      <c r="F5173" s="2">
        <v>50000.0</v>
      </c>
      <c r="G5173" s="1" t="s">
        <v>1364</v>
      </c>
      <c r="H5173" s="4">
        <f>IFERROR(__xludf.DUMMYFUNCTION("DATE(INDEX(SPLIT(G5173,""/""),,3),INDEX(SPLIT(G5173,""/""),,2),INDEX(SPLIT(G5173,""/""),,1))"),44676.0)</f>
        <v>44676</v>
      </c>
      <c r="I5173" s="1" t="s">
        <v>109</v>
      </c>
      <c r="J5173" s="4">
        <f>IFERROR(__xludf.DUMMYFUNCTION("DATE(INDEX(SPLIT(I5173,""/""),,3),INDEX(SPLIT(I5173,""/""),,2),INDEX(SPLIT(I5173,""/""),,1))"),44834.0)</f>
        <v>44834</v>
      </c>
      <c r="L5173" s="1">
        <v>0.0</v>
      </c>
      <c r="M5173" s="1" t="s">
        <v>2301</v>
      </c>
      <c r="N5173" s="1"/>
      <c r="O5173" s="1" t="s">
        <v>30</v>
      </c>
      <c r="P5173" s="1" t="s">
        <v>31</v>
      </c>
      <c r="Q5173" s="1" t="s">
        <v>188</v>
      </c>
      <c r="R5173" s="1" t="s">
        <v>188</v>
      </c>
      <c r="S5173" s="1" t="s">
        <v>189</v>
      </c>
      <c r="U5173" s="1">
        <v>1.00645538E8</v>
      </c>
      <c r="X5173" s="1" t="s">
        <v>375</v>
      </c>
      <c r="Y5173" s="1" t="s">
        <v>1533</v>
      </c>
      <c r="Z5173" s="1" t="s">
        <v>37</v>
      </c>
    </row>
    <row r="5174" hidden="1">
      <c r="A5174" s="1" t="s">
        <v>14417</v>
      </c>
      <c r="B5174" s="1" t="s">
        <v>14418</v>
      </c>
      <c r="C5174" s="1" t="s">
        <v>14419</v>
      </c>
      <c r="D5174" s="1" t="s">
        <v>27</v>
      </c>
      <c r="E5174" s="1" t="s">
        <v>28</v>
      </c>
      <c r="F5174" s="2">
        <v>50000.0</v>
      </c>
      <c r="G5174" s="1" t="s">
        <v>3834</v>
      </c>
      <c r="H5174" s="4">
        <f>IFERROR(__xludf.DUMMYFUNCTION("DATE(INDEX(SPLIT(G5174,""/""),,3),INDEX(SPLIT(G5174,""/""),,2),INDEX(SPLIT(G5174,""/""),,1))"),44246.0)</f>
        <v>44246</v>
      </c>
      <c r="I5174" s="1" t="s">
        <v>2111</v>
      </c>
      <c r="J5174" s="4">
        <f>IFERROR(__xludf.DUMMYFUNCTION("DATE(INDEX(SPLIT(I5174,""/""),,3),INDEX(SPLIT(I5174,""/""),,2),INDEX(SPLIT(I5174,""/""),,1))"),44914.0)</f>
        <v>44914</v>
      </c>
      <c r="L5174" s="1">
        <v>0.0</v>
      </c>
      <c r="M5174" s="1" t="s">
        <v>211</v>
      </c>
      <c r="N5174" s="1"/>
      <c r="O5174" s="1" t="s">
        <v>30</v>
      </c>
      <c r="P5174" s="1" t="s">
        <v>31</v>
      </c>
      <c r="Q5174" s="1" t="s">
        <v>71</v>
      </c>
      <c r="R5174" s="1" t="s">
        <v>71</v>
      </c>
      <c r="S5174" s="1" t="s">
        <v>72</v>
      </c>
      <c r="T5174" s="1" t="s">
        <v>136</v>
      </c>
      <c r="U5174" s="1">
        <v>1.00590896E8</v>
      </c>
      <c r="X5174" s="1" t="s">
        <v>74</v>
      </c>
      <c r="Y5174" s="1" t="s">
        <v>8809</v>
      </c>
      <c r="Z5174" s="1" t="s">
        <v>37</v>
      </c>
    </row>
    <row r="5175">
      <c r="A5175" s="1" t="s">
        <v>14420</v>
      </c>
      <c r="B5175" s="1" t="s">
        <v>14148</v>
      </c>
      <c r="C5175" s="1" t="s">
        <v>14421</v>
      </c>
      <c r="D5175" s="1" t="s">
        <v>122</v>
      </c>
      <c r="E5175" s="1" t="s">
        <v>28</v>
      </c>
      <c r="F5175" s="2">
        <v>50000.0</v>
      </c>
      <c r="G5175" s="4">
        <v>44598.0</v>
      </c>
      <c r="H5175" s="4">
        <f>IFERROR(__xludf.DUMMYFUNCTION("DATE(INDEX(SPLIT(G5175,""/""),,3),INDEX(SPLIT(G5175,""/""),,2),INDEX(SPLIT(G5175,""/""),,1))"),44714.0)</f>
        <v>44714</v>
      </c>
      <c r="I5175" s="4">
        <v>44626.0</v>
      </c>
      <c r="J5175" s="4">
        <f>IFERROR(__xludf.DUMMYFUNCTION("DATE(INDEX(SPLIT(I5175,""/""),,3),INDEX(SPLIT(I5175,""/""),,2),INDEX(SPLIT(I5175,""/""),,1))"),44715.0)</f>
        <v>44715</v>
      </c>
      <c r="L5175" s="1">
        <v>0.0</v>
      </c>
      <c r="M5175" s="1" t="s">
        <v>14422</v>
      </c>
      <c r="N5175" s="1"/>
      <c r="O5175" s="1" t="s">
        <v>30</v>
      </c>
      <c r="P5175" s="1" t="s">
        <v>31</v>
      </c>
      <c r="Q5175" s="1" t="s">
        <v>188</v>
      </c>
      <c r="R5175" s="1" t="s">
        <v>188</v>
      </c>
      <c r="S5175" s="1" t="s">
        <v>189</v>
      </c>
      <c r="U5175" s="1">
        <v>1.00619604E8</v>
      </c>
      <c r="X5175" s="1" t="s">
        <v>375</v>
      </c>
      <c r="Y5175" s="1" t="s">
        <v>14423</v>
      </c>
      <c r="Z5175" s="1" t="s">
        <v>37</v>
      </c>
    </row>
    <row r="5176" hidden="1">
      <c r="A5176" s="1" t="s">
        <v>14424</v>
      </c>
      <c r="B5176" s="1" t="s">
        <v>8184</v>
      </c>
      <c r="C5176" s="1" t="s">
        <v>14425</v>
      </c>
      <c r="D5176" s="1" t="s">
        <v>78</v>
      </c>
      <c r="E5176" s="1" t="s">
        <v>28</v>
      </c>
      <c r="F5176" s="2">
        <v>50000.0</v>
      </c>
      <c r="G5176" s="4">
        <v>44535.0</v>
      </c>
      <c r="H5176" s="4">
        <f>IFERROR(__xludf.DUMMYFUNCTION("DATE(INDEX(SPLIT(G5176,""/""),,3),INDEX(SPLIT(G5176,""/""),,2),INDEX(SPLIT(G5176,""/""),,1))"),44328.0)</f>
        <v>44328</v>
      </c>
      <c r="I5176" s="1" t="s">
        <v>42</v>
      </c>
      <c r="J5176" s="4">
        <f>IFERROR(__xludf.DUMMYFUNCTION("DATE(INDEX(SPLIT(I5176,""/""),,3),INDEX(SPLIT(I5176,""/""),,2),INDEX(SPLIT(I5176,""/""),,1))"),44926.0)</f>
        <v>44926</v>
      </c>
      <c r="L5176" s="1">
        <v>0.0</v>
      </c>
      <c r="M5176" s="1" t="s">
        <v>3133</v>
      </c>
      <c r="N5176" s="1"/>
      <c r="O5176" s="1" t="s">
        <v>30</v>
      </c>
      <c r="P5176" s="1" t="s">
        <v>31</v>
      </c>
      <c r="Q5176" s="1" t="s">
        <v>228</v>
      </c>
      <c r="R5176" s="1" t="s">
        <v>228</v>
      </c>
      <c r="S5176" s="1" t="s">
        <v>229</v>
      </c>
      <c r="T5176" s="1" t="s">
        <v>513</v>
      </c>
      <c r="U5176" s="1">
        <v>1.00611158E8</v>
      </c>
      <c r="X5176" s="1" t="s">
        <v>125</v>
      </c>
      <c r="Y5176" s="1" t="s">
        <v>3350</v>
      </c>
      <c r="Z5176" s="1" t="s">
        <v>37</v>
      </c>
    </row>
    <row r="5177" hidden="1">
      <c r="A5177" s="1" t="s">
        <v>14426</v>
      </c>
      <c r="B5177" s="1" t="s">
        <v>59</v>
      </c>
      <c r="C5177" s="1" t="s">
        <v>14427</v>
      </c>
      <c r="D5177" s="1" t="s">
        <v>27</v>
      </c>
      <c r="E5177" s="1" t="s">
        <v>28</v>
      </c>
      <c r="F5177" s="2">
        <v>50000.0</v>
      </c>
      <c r="G5177" s="1" t="s">
        <v>6074</v>
      </c>
      <c r="H5177" s="4">
        <f>IFERROR(__xludf.DUMMYFUNCTION("DATE(INDEX(SPLIT(G5177,""/""),,3),INDEX(SPLIT(G5177,""/""),,2),INDEX(SPLIT(G5177,""/""),,1))"),44284.0)</f>
        <v>44284</v>
      </c>
      <c r="I5177" s="1" t="s">
        <v>109</v>
      </c>
      <c r="J5177" s="4">
        <f>IFERROR(__xludf.DUMMYFUNCTION("DATE(INDEX(SPLIT(I5177,""/""),,3),INDEX(SPLIT(I5177,""/""),,2),INDEX(SPLIT(I5177,""/""),,1))"),44834.0)</f>
        <v>44834</v>
      </c>
      <c r="L5177" s="1">
        <v>0.0</v>
      </c>
      <c r="M5177" s="1" t="s">
        <v>5135</v>
      </c>
      <c r="N5177" s="1"/>
      <c r="O5177" s="1" t="s">
        <v>30</v>
      </c>
      <c r="P5177" s="1" t="s">
        <v>31</v>
      </c>
      <c r="Q5177" s="1" t="s">
        <v>228</v>
      </c>
      <c r="R5177" s="1" t="s">
        <v>228</v>
      </c>
      <c r="S5177" s="1" t="s">
        <v>229</v>
      </c>
      <c r="T5177" s="1" t="s">
        <v>640</v>
      </c>
      <c r="U5177" s="1">
        <v>1.0064195E8</v>
      </c>
      <c r="X5177" s="1" t="s">
        <v>63</v>
      </c>
      <c r="Y5177" s="1" t="s">
        <v>13472</v>
      </c>
      <c r="Z5177" s="1" t="s">
        <v>37</v>
      </c>
    </row>
    <row r="5178" hidden="1">
      <c r="A5178" s="1" t="s">
        <v>14428</v>
      </c>
      <c r="B5178" s="1" t="s">
        <v>3097</v>
      </c>
      <c r="C5178" s="1" t="s">
        <v>14429</v>
      </c>
      <c r="D5178" s="1" t="s">
        <v>27</v>
      </c>
      <c r="E5178" s="1" t="s">
        <v>28</v>
      </c>
      <c r="F5178" s="2">
        <v>50000.0</v>
      </c>
      <c r="G5178" s="1" t="s">
        <v>2116</v>
      </c>
      <c r="H5178" s="4">
        <f>IFERROR(__xludf.DUMMYFUNCTION("DATE(INDEX(SPLIT(G5178,""/""),,3),INDEX(SPLIT(G5178,""/""),,2),INDEX(SPLIT(G5178,""/""),,1))"),44620.0)</f>
        <v>44620</v>
      </c>
      <c r="I5178" s="1" t="s">
        <v>42</v>
      </c>
      <c r="J5178" s="4">
        <f>IFERROR(__xludf.DUMMYFUNCTION("DATE(INDEX(SPLIT(I5178,""/""),,3),INDEX(SPLIT(I5178,""/""),,2),INDEX(SPLIT(I5178,""/""),,1))"),44926.0)</f>
        <v>44926</v>
      </c>
      <c r="L5178" s="1">
        <v>0.0</v>
      </c>
      <c r="M5178" s="1" t="s">
        <v>3099</v>
      </c>
      <c r="N5178" s="1"/>
      <c r="O5178" s="1" t="s">
        <v>30</v>
      </c>
      <c r="P5178" s="1" t="s">
        <v>31</v>
      </c>
      <c r="Q5178" s="1" t="s">
        <v>95</v>
      </c>
      <c r="R5178" s="1" t="s">
        <v>95</v>
      </c>
      <c r="S5178" s="1" t="s">
        <v>96</v>
      </c>
      <c r="T5178" s="1" t="s">
        <v>8075</v>
      </c>
      <c r="U5178" s="1">
        <v>1.00589299E8</v>
      </c>
      <c r="X5178" s="1" t="s">
        <v>117</v>
      </c>
      <c r="Y5178" s="1" t="s">
        <v>2402</v>
      </c>
      <c r="Z5178" s="1" t="s">
        <v>37</v>
      </c>
    </row>
    <row r="5179" hidden="1">
      <c r="A5179" s="1" t="s">
        <v>14430</v>
      </c>
      <c r="B5179" s="1" t="s">
        <v>120</v>
      </c>
      <c r="C5179" s="1" t="s">
        <v>14431</v>
      </c>
      <c r="D5179" s="1" t="s">
        <v>122</v>
      </c>
      <c r="E5179" s="1" t="s">
        <v>28</v>
      </c>
      <c r="F5179" s="2">
        <v>50000.0</v>
      </c>
      <c r="G5179" s="1" t="s">
        <v>4402</v>
      </c>
      <c r="H5179" s="4">
        <f>IFERROR(__xludf.DUMMYFUNCTION("DATE(INDEX(SPLIT(G5179,""/""),,3),INDEX(SPLIT(G5179,""/""),,2),INDEX(SPLIT(G5179,""/""),,1))"),44390.0)</f>
        <v>44390</v>
      </c>
      <c r="I5179" s="1" t="s">
        <v>109</v>
      </c>
      <c r="J5179" s="4">
        <f>IFERROR(__xludf.DUMMYFUNCTION("DATE(INDEX(SPLIT(I5179,""/""),,3),INDEX(SPLIT(I5179,""/""),,2),INDEX(SPLIT(I5179,""/""),,1))"),44834.0)</f>
        <v>44834</v>
      </c>
      <c r="L5179" s="1">
        <v>0.0</v>
      </c>
      <c r="M5179" s="1" t="s">
        <v>3133</v>
      </c>
      <c r="N5179" s="1"/>
      <c r="O5179" s="1" t="s">
        <v>30</v>
      </c>
      <c r="P5179" s="1" t="s">
        <v>31</v>
      </c>
      <c r="Q5179" s="1" t="s">
        <v>228</v>
      </c>
      <c r="R5179" s="1" t="s">
        <v>228</v>
      </c>
      <c r="S5179" s="1" t="s">
        <v>229</v>
      </c>
      <c r="T5179" s="1" t="s">
        <v>513</v>
      </c>
      <c r="U5179" s="1">
        <v>1.00611158E8</v>
      </c>
      <c r="X5179" s="1" t="s">
        <v>125</v>
      </c>
      <c r="Y5179" s="1" t="s">
        <v>3133</v>
      </c>
      <c r="Z5179" s="1" t="s">
        <v>37</v>
      </c>
    </row>
    <row r="5180">
      <c r="A5180" s="1" t="s">
        <v>14432</v>
      </c>
      <c r="B5180" s="1" t="s">
        <v>12290</v>
      </c>
      <c r="C5180" s="1" t="s">
        <v>14433</v>
      </c>
      <c r="D5180" s="1" t="s">
        <v>122</v>
      </c>
      <c r="E5180" s="1" t="s">
        <v>28</v>
      </c>
      <c r="F5180" s="2">
        <v>50000.0</v>
      </c>
      <c r="G5180" s="1" t="s">
        <v>867</v>
      </c>
      <c r="H5180" s="4">
        <f>IFERROR(__xludf.DUMMYFUNCTION("DATE(INDEX(SPLIT(G5180,""/""),,3),INDEX(SPLIT(G5180,""/""),,2),INDEX(SPLIT(G5180,""/""),,1))"),44363.0)</f>
        <v>44363</v>
      </c>
      <c r="I5180" s="1" t="s">
        <v>69</v>
      </c>
      <c r="J5180" s="4">
        <f>IFERROR(__xludf.DUMMYFUNCTION("DATE(INDEX(SPLIT(I5180,""/""),,3),INDEX(SPLIT(I5180,""/""),,2),INDEX(SPLIT(I5180,""/""),,1))"),44773.0)</f>
        <v>44773</v>
      </c>
      <c r="L5180" s="1">
        <v>0.0</v>
      </c>
      <c r="M5180" s="1" t="s">
        <v>11638</v>
      </c>
      <c r="N5180" s="1"/>
      <c r="O5180" s="1" t="s">
        <v>30</v>
      </c>
      <c r="P5180" s="1" t="s">
        <v>31</v>
      </c>
      <c r="Q5180" s="1" t="s">
        <v>228</v>
      </c>
      <c r="R5180" s="1" t="s">
        <v>228</v>
      </c>
      <c r="S5180" s="1" t="s">
        <v>229</v>
      </c>
      <c r="T5180" s="1" t="s">
        <v>513</v>
      </c>
      <c r="U5180" s="1">
        <v>1.00592873E8</v>
      </c>
      <c r="X5180" s="1" t="s">
        <v>98</v>
      </c>
      <c r="Y5180" s="1" t="s">
        <v>4535</v>
      </c>
      <c r="Z5180" s="1" t="s">
        <v>206</v>
      </c>
    </row>
    <row r="5181">
      <c r="A5181" s="1" t="s">
        <v>14434</v>
      </c>
      <c r="B5181" s="1" t="s">
        <v>106</v>
      </c>
      <c r="C5181" s="1" t="s">
        <v>14435</v>
      </c>
      <c r="D5181" s="1" t="s">
        <v>122</v>
      </c>
      <c r="E5181" s="1" t="s">
        <v>28</v>
      </c>
      <c r="F5181" s="2">
        <v>50000.0</v>
      </c>
      <c r="G5181" s="4">
        <v>44318.0</v>
      </c>
      <c r="H5181" s="4">
        <f>IFERROR(__xludf.DUMMYFUNCTION("DATE(INDEX(SPLIT(G5181,""/""),,3),INDEX(SPLIT(G5181,""/""),,2),INDEX(SPLIT(G5181,""/""),,1))"),44232.0)</f>
        <v>44232</v>
      </c>
      <c r="I5181" s="1" t="s">
        <v>69</v>
      </c>
      <c r="J5181" s="4">
        <f>IFERROR(__xludf.DUMMYFUNCTION("DATE(INDEX(SPLIT(I5181,""/""),,3),INDEX(SPLIT(I5181,""/""),,2),INDEX(SPLIT(I5181,""/""),,1))"),44773.0)</f>
        <v>44773</v>
      </c>
      <c r="L5181" s="1">
        <v>0.0</v>
      </c>
      <c r="M5181" s="1" t="s">
        <v>2107</v>
      </c>
      <c r="N5181" s="1"/>
      <c r="O5181" s="1" t="s">
        <v>30</v>
      </c>
      <c r="P5181" s="1" t="s">
        <v>31</v>
      </c>
      <c r="Q5181" s="1" t="s">
        <v>71</v>
      </c>
      <c r="R5181" s="1" t="s">
        <v>71</v>
      </c>
      <c r="S5181" s="1" t="s">
        <v>72</v>
      </c>
      <c r="T5181" s="1" t="s">
        <v>73</v>
      </c>
      <c r="U5181" s="1">
        <v>1.0061233E8</v>
      </c>
      <c r="X5181" s="1" t="s">
        <v>63</v>
      </c>
      <c r="Y5181" s="1" t="s">
        <v>14436</v>
      </c>
      <c r="Z5181" s="1" t="s">
        <v>37</v>
      </c>
    </row>
    <row r="5182" hidden="1">
      <c r="A5182" s="1" t="s">
        <v>14437</v>
      </c>
      <c r="B5182" s="1" t="s">
        <v>3110</v>
      </c>
      <c r="C5182" s="1" t="s">
        <v>14438</v>
      </c>
      <c r="D5182" s="1" t="s">
        <v>27</v>
      </c>
      <c r="E5182" s="1" t="s">
        <v>28</v>
      </c>
      <c r="F5182" s="2">
        <v>50000.0</v>
      </c>
      <c r="G5182" s="1" t="s">
        <v>321</v>
      </c>
      <c r="H5182" s="4">
        <f>IFERROR(__xludf.DUMMYFUNCTION("DATE(INDEX(SPLIT(G5182,""/""),,3),INDEX(SPLIT(G5182,""/""),,2),INDEX(SPLIT(G5182,""/""),,1))"),44586.0)</f>
        <v>44586</v>
      </c>
      <c r="I5182" s="1" t="s">
        <v>683</v>
      </c>
      <c r="J5182" s="4">
        <f>IFERROR(__xludf.DUMMYFUNCTION("DATE(INDEX(SPLIT(I5182,""/""),,3),INDEX(SPLIT(I5182,""/""),,2),INDEX(SPLIT(I5182,""/""),,1))"),45015.0)</f>
        <v>45015</v>
      </c>
      <c r="L5182" s="1">
        <v>0.0</v>
      </c>
      <c r="M5182" s="1" t="s">
        <v>172</v>
      </c>
      <c r="N5182" s="1"/>
      <c r="O5182" s="1" t="s">
        <v>30</v>
      </c>
      <c r="P5182" s="1" t="s">
        <v>31</v>
      </c>
      <c r="Q5182" s="1" t="s">
        <v>95</v>
      </c>
      <c r="R5182" s="1" t="s">
        <v>95</v>
      </c>
      <c r="S5182" s="1" t="s">
        <v>96</v>
      </c>
      <c r="T5182" s="1" t="s">
        <v>159</v>
      </c>
      <c r="U5182" s="1">
        <v>1.00658519E8</v>
      </c>
      <c r="X5182" s="1" t="s">
        <v>312</v>
      </c>
      <c r="Y5182" s="1" t="s">
        <v>1231</v>
      </c>
      <c r="Z5182" s="1" t="s">
        <v>37</v>
      </c>
    </row>
    <row r="5183" hidden="1">
      <c r="A5183" s="1" t="s">
        <v>14439</v>
      </c>
      <c r="B5183" s="1" t="s">
        <v>14440</v>
      </c>
      <c r="C5183" s="1" t="s">
        <v>14441</v>
      </c>
      <c r="D5183" s="1" t="s">
        <v>27</v>
      </c>
      <c r="E5183" s="1" t="s">
        <v>28</v>
      </c>
      <c r="F5183" s="2">
        <v>50000.0</v>
      </c>
      <c r="G5183" s="4">
        <v>44413.0</v>
      </c>
      <c r="H5183" s="4">
        <f>IFERROR(__xludf.DUMMYFUNCTION("DATE(INDEX(SPLIT(G5183,""/""),,3),INDEX(SPLIT(G5183,""/""),,2),INDEX(SPLIT(G5183,""/""),,1))"),44324.0)</f>
        <v>44324</v>
      </c>
      <c r="I5183" s="1" t="s">
        <v>109</v>
      </c>
      <c r="J5183" s="4">
        <f>IFERROR(__xludf.DUMMYFUNCTION("DATE(INDEX(SPLIT(I5183,""/""),,3),INDEX(SPLIT(I5183,""/""),,2),INDEX(SPLIT(I5183,""/""),,1))"),44834.0)</f>
        <v>44834</v>
      </c>
      <c r="L5183" s="1">
        <v>0.0</v>
      </c>
      <c r="M5183" s="1" t="s">
        <v>2472</v>
      </c>
      <c r="N5183" s="1"/>
      <c r="O5183" s="1" t="s">
        <v>30</v>
      </c>
      <c r="P5183" s="1" t="s">
        <v>31</v>
      </c>
      <c r="Q5183" s="1" t="s">
        <v>228</v>
      </c>
      <c r="R5183" s="1" t="s">
        <v>228</v>
      </c>
      <c r="S5183" s="1" t="s">
        <v>229</v>
      </c>
      <c r="T5183" s="1" t="s">
        <v>640</v>
      </c>
      <c r="U5183" s="1">
        <v>1.00645232E8</v>
      </c>
      <c r="X5183" s="1" t="s">
        <v>74</v>
      </c>
      <c r="Y5183" s="1" t="s">
        <v>13472</v>
      </c>
      <c r="Z5183" s="1" t="s">
        <v>37</v>
      </c>
    </row>
    <row r="5184" hidden="1">
      <c r="A5184" s="1" t="s">
        <v>14442</v>
      </c>
      <c r="B5184" s="1" t="s">
        <v>826</v>
      </c>
      <c r="C5184" s="1" t="s">
        <v>14443</v>
      </c>
      <c r="D5184" s="1" t="s">
        <v>27</v>
      </c>
      <c r="E5184" s="1" t="s">
        <v>28</v>
      </c>
      <c r="F5184" s="2">
        <v>50000.0</v>
      </c>
      <c r="G5184" s="4">
        <v>44382.0</v>
      </c>
      <c r="H5184" s="4">
        <f>IFERROR(__xludf.DUMMYFUNCTION("DATE(INDEX(SPLIT(G5184,""/""),,3),INDEX(SPLIT(G5184,""/""),,2),INDEX(SPLIT(G5184,""/""),,1))"),44323.0)</f>
        <v>44323</v>
      </c>
      <c r="I5184" s="1" t="s">
        <v>281</v>
      </c>
      <c r="J5184" s="4">
        <f>IFERROR(__xludf.DUMMYFUNCTION("DATE(INDEX(SPLIT(I5184,""/""),,3),INDEX(SPLIT(I5184,""/""),,2),INDEX(SPLIT(I5184,""/""),,1))"),44865.0)</f>
        <v>44865</v>
      </c>
      <c r="L5184" s="1">
        <v>0.0</v>
      </c>
      <c r="M5184" s="1" t="s">
        <v>587</v>
      </c>
      <c r="N5184" s="1"/>
      <c r="O5184" s="1" t="s">
        <v>30</v>
      </c>
      <c r="P5184" s="1" t="s">
        <v>31</v>
      </c>
      <c r="Q5184" s="1" t="s">
        <v>157</v>
      </c>
      <c r="R5184" s="1" t="s">
        <v>157</v>
      </c>
      <c r="S5184" s="1" t="s">
        <v>158</v>
      </c>
      <c r="T5184" s="1" t="s">
        <v>442</v>
      </c>
      <c r="U5184" s="1">
        <v>1.00700761E8</v>
      </c>
      <c r="X5184" s="1" t="s">
        <v>125</v>
      </c>
      <c r="Y5184" s="1" t="s">
        <v>7949</v>
      </c>
      <c r="Z5184" s="1" t="s">
        <v>37</v>
      </c>
    </row>
    <row r="5185">
      <c r="A5185" s="1" t="s">
        <v>14444</v>
      </c>
      <c r="B5185" s="1" t="s">
        <v>2012</v>
      </c>
      <c r="C5185" s="1" t="s">
        <v>14445</v>
      </c>
      <c r="D5185" s="1" t="s">
        <v>27</v>
      </c>
      <c r="E5185" s="1" t="s">
        <v>28</v>
      </c>
      <c r="F5185" s="2">
        <v>50000.0</v>
      </c>
      <c r="G5185" s="1" t="s">
        <v>5418</v>
      </c>
      <c r="H5185" s="4">
        <f>IFERROR(__xludf.DUMMYFUNCTION("DATE(INDEX(SPLIT(G5185,""/""),,3),INDEX(SPLIT(G5185,""/""),,2),INDEX(SPLIT(G5185,""/""),,1))"),44093.0)</f>
        <v>44093</v>
      </c>
      <c r="I5185" s="1" t="s">
        <v>226</v>
      </c>
      <c r="J5185" s="4">
        <f>IFERROR(__xludf.DUMMYFUNCTION("DATE(INDEX(SPLIT(I5185,""/""),,3),INDEX(SPLIT(I5185,""/""),,2),INDEX(SPLIT(I5185,""/""),,1))"),44771.0)</f>
        <v>44771</v>
      </c>
      <c r="L5185" s="1">
        <v>0.0</v>
      </c>
      <c r="M5185" s="1" t="s">
        <v>799</v>
      </c>
      <c r="N5185" s="1"/>
      <c r="O5185" s="1" t="s">
        <v>30</v>
      </c>
      <c r="P5185" s="1" t="s">
        <v>31</v>
      </c>
      <c r="Q5185" s="1" t="s">
        <v>71</v>
      </c>
      <c r="R5185" s="1" t="s">
        <v>71</v>
      </c>
      <c r="S5185" s="1" t="s">
        <v>72</v>
      </c>
      <c r="T5185" s="1" t="s">
        <v>136</v>
      </c>
      <c r="U5185" s="1">
        <v>1.00634752E8</v>
      </c>
      <c r="X5185" s="1" t="s">
        <v>74</v>
      </c>
      <c r="Y5185" s="1" t="s">
        <v>952</v>
      </c>
      <c r="Z5185" s="1" t="s">
        <v>37</v>
      </c>
    </row>
    <row r="5186">
      <c r="A5186" s="1" t="s">
        <v>14446</v>
      </c>
      <c r="B5186" s="1" t="s">
        <v>516</v>
      </c>
      <c r="C5186" s="1" t="s">
        <v>14447</v>
      </c>
      <c r="D5186" s="1" t="s">
        <v>27</v>
      </c>
      <c r="E5186" s="1" t="s">
        <v>28</v>
      </c>
      <c r="F5186" s="2">
        <v>50000.0</v>
      </c>
      <c r="G5186" s="1" t="s">
        <v>576</v>
      </c>
      <c r="H5186" s="4">
        <f>IFERROR(__xludf.DUMMYFUNCTION("DATE(INDEX(SPLIT(G5186,""/""),,3),INDEX(SPLIT(G5186,""/""),,2),INDEX(SPLIT(G5186,""/""),,1))"),44614.0)</f>
        <v>44614</v>
      </c>
      <c r="I5186" s="1" t="s">
        <v>69</v>
      </c>
      <c r="J5186" s="4">
        <f>IFERROR(__xludf.DUMMYFUNCTION("DATE(INDEX(SPLIT(I5186,""/""),,3),INDEX(SPLIT(I5186,""/""),,2),INDEX(SPLIT(I5186,""/""),,1))"),44773.0)</f>
        <v>44773</v>
      </c>
      <c r="L5186" s="1">
        <v>0.0</v>
      </c>
      <c r="M5186" s="1" t="s">
        <v>5493</v>
      </c>
      <c r="N5186" s="1"/>
      <c r="O5186" s="1" t="s">
        <v>30</v>
      </c>
      <c r="P5186" s="1" t="s">
        <v>31</v>
      </c>
      <c r="Q5186" s="1" t="s">
        <v>95</v>
      </c>
      <c r="R5186" s="1" t="s">
        <v>95</v>
      </c>
      <c r="S5186" s="1" t="s">
        <v>96</v>
      </c>
      <c r="T5186" s="1" t="s">
        <v>97</v>
      </c>
      <c r="U5186" s="1">
        <v>1.00591654E8</v>
      </c>
      <c r="X5186" s="1" t="s">
        <v>117</v>
      </c>
      <c r="Y5186" s="1" t="s">
        <v>7649</v>
      </c>
      <c r="Z5186" s="1" t="s">
        <v>37</v>
      </c>
    </row>
    <row r="5187" hidden="1">
      <c r="A5187" s="1" t="s">
        <v>14448</v>
      </c>
      <c r="B5187" s="1" t="s">
        <v>416</v>
      </c>
      <c r="C5187" s="1" t="s">
        <v>14449</v>
      </c>
      <c r="D5187" s="1" t="s">
        <v>78</v>
      </c>
      <c r="E5187" s="1" t="s">
        <v>28</v>
      </c>
      <c r="F5187" s="2">
        <v>50000.0</v>
      </c>
      <c r="G5187" s="1" t="s">
        <v>576</v>
      </c>
      <c r="H5187" s="4">
        <f>IFERROR(__xludf.DUMMYFUNCTION("DATE(INDEX(SPLIT(G5187,""/""),,3),INDEX(SPLIT(G5187,""/""),,2),INDEX(SPLIT(G5187,""/""),,1))"),44614.0)</f>
        <v>44614</v>
      </c>
      <c r="I5187" s="1" t="s">
        <v>203</v>
      </c>
      <c r="J5187" s="4">
        <f>IFERROR(__xludf.DUMMYFUNCTION("DATE(INDEX(SPLIT(I5187,""/""),,3),INDEX(SPLIT(I5187,""/""),,2),INDEX(SPLIT(I5187,""/""),,1))"),44925.0)</f>
        <v>44925</v>
      </c>
      <c r="L5187" s="1">
        <v>0.0</v>
      </c>
      <c r="M5187" s="1" t="s">
        <v>3197</v>
      </c>
      <c r="N5187" s="1"/>
      <c r="O5187" s="1" t="s">
        <v>30</v>
      </c>
      <c r="P5187" s="1" t="s">
        <v>31</v>
      </c>
      <c r="Q5187" s="1" t="s">
        <v>71</v>
      </c>
      <c r="R5187" s="1" t="s">
        <v>71</v>
      </c>
      <c r="S5187" s="1" t="s">
        <v>72</v>
      </c>
      <c r="T5187" s="1" t="s">
        <v>136</v>
      </c>
      <c r="U5187" s="1">
        <v>1.00593964E8</v>
      </c>
      <c r="X5187" s="1" t="s">
        <v>74</v>
      </c>
      <c r="Y5187" s="1" t="s">
        <v>8809</v>
      </c>
      <c r="Z5187" s="1" t="s">
        <v>37</v>
      </c>
    </row>
    <row r="5188" hidden="1">
      <c r="A5188" s="1" t="s">
        <v>14450</v>
      </c>
      <c r="B5188" s="1" t="s">
        <v>2012</v>
      </c>
      <c r="C5188" s="1" t="s">
        <v>14451</v>
      </c>
      <c r="D5188" s="1" t="s">
        <v>27</v>
      </c>
      <c r="E5188" s="1" t="s">
        <v>28</v>
      </c>
      <c r="F5188" s="2">
        <v>50000.0</v>
      </c>
      <c r="G5188" s="1" t="s">
        <v>1740</v>
      </c>
      <c r="H5188" s="4">
        <f>IFERROR(__xludf.DUMMYFUNCTION("DATE(INDEX(SPLIT(G5188,""/""),,3),INDEX(SPLIT(G5188,""/""),,2),INDEX(SPLIT(G5188,""/""),,1))"),44456.0)</f>
        <v>44456</v>
      </c>
      <c r="I5188" s="1" t="s">
        <v>109</v>
      </c>
      <c r="J5188" s="4">
        <f>IFERROR(__xludf.DUMMYFUNCTION("DATE(INDEX(SPLIT(I5188,""/""),,3),INDEX(SPLIT(I5188,""/""),,2),INDEX(SPLIT(I5188,""/""),,1))"),44834.0)</f>
        <v>44834</v>
      </c>
      <c r="L5188" s="1">
        <v>0.0</v>
      </c>
      <c r="M5188" s="1" t="s">
        <v>799</v>
      </c>
      <c r="N5188" s="1"/>
      <c r="O5188" s="1" t="s">
        <v>30</v>
      </c>
      <c r="P5188" s="1" t="s">
        <v>31</v>
      </c>
      <c r="Q5188" s="1" t="s">
        <v>71</v>
      </c>
      <c r="R5188" s="1" t="s">
        <v>71</v>
      </c>
      <c r="S5188" s="1" t="s">
        <v>72</v>
      </c>
      <c r="T5188" s="1" t="s">
        <v>136</v>
      </c>
      <c r="U5188" s="1">
        <v>1.00634752E8</v>
      </c>
      <c r="X5188" s="1" t="s">
        <v>74</v>
      </c>
      <c r="Y5188" s="1" t="s">
        <v>14452</v>
      </c>
      <c r="Z5188" s="1" t="s">
        <v>37</v>
      </c>
    </row>
    <row r="5189" hidden="1">
      <c r="A5189" s="1" t="s">
        <v>14453</v>
      </c>
      <c r="B5189" s="1" t="s">
        <v>14454</v>
      </c>
      <c r="C5189" s="1" t="s">
        <v>14455</v>
      </c>
      <c r="D5189" s="1" t="s">
        <v>27</v>
      </c>
      <c r="E5189" s="1" t="s">
        <v>28</v>
      </c>
      <c r="F5189" s="2">
        <v>50000.0</v>
      </c>
      <c r="G5189" s="1" t="s">
        <v>1740</v>
      </c>
      <c r="H5189" s="4">
        <f>IFERROR(__xludf.DUMMYFUNCTION("DATE(INDEX(SPLIT(G5189,""/""),,3),INDEX(SPLIT(G5189,""/""),,2),INDEX(SPLIT(G5189,""/""),,1))"),44456.0)</f>
        <v>44456</v>
      </c>
      <c r="I5189" s="1" t="s">
        <v>130</v>
      </c>
      <c r="J5189" s="4">
        <f>IFERROR(__xludf.DUMMYFUNCTION("DATE(INDEX(SPLIT(I5189,""/""),,3),INDEX(SPLIT(I5189,""/""),,2),INDEX(SPLIT(I5189,""/""),,1))"),44804.0)</f>
        <v>44804</v>
      </c>
      <c r="L5189" s="1">
        <v>0.0</v>
      </c>
      <c r="M5189" s="1" t="s">
        <v>14456</v>
      </c>
      <c r="N5189" s="1"/>
      <c r="O5189" s="1" t="s">
        <v>30</v>
      </c>
      <c r="P5189" s="1" t="s">
        <v>31</v>
      </c>
      <c r="Q5189" s="1" t="s">
        <v>53</v>
      </c>
      <c r="R5189" s="1" t="s">
        <v>53</v>
      </c>
      <c r="S5189" s="1" t="s">
        <v>54</v>
      </c>
      <c r="T5189" s="1" t="s">
        <v>14457</v>
      </c>
      <c r="U5189" s="1">
        <v>1.00650501E8</v>
      </c>
      <c r="X5189" s="1" t="s">
        <v>74</v>
      </c>
      <c r="Y5189" s="1" t="s">
        <v>8809</v>
      </c>
      <c r="Z5189" s="1" t="s">
        <v>37</v>
      </c>
    </row>
    <row r="5190" hidden="1">
      <c r="A5190" s="1" t="s">
        <v>14458</v>
      </c>
      <c r="B5190" s="1" t="s">
        <v>492</v>
      </c>
      <c r="C5190" s="1" t="s">
        <v>14459</v>
      </c>
      <c r="D5190" s="1" t="s">
        <v>27</v>
      </c>
      <c r="E5190" s="1" t="s">
        <v>28</v>
      </c>
      <c r="F5190" s="2">
        <v>50000.0</v>
      </c>
      <c r="G5190" s="1" t="s">
        <v>8519</v>
      </c>
      <c r="H5190" s="4">
        <f>IFERROR(__xludf.DUMMYFUNCTION("DATE(INDEX(SPLIT(G5190,""/""),,3),INDEX(SPLIT(G5190,""/""),,2),INDEX(SPLIT(G5190,""/""),,1))"),44392.0)</f>
        <v>44392</v>
      </c>
      <c r="I5190" s="1" t="s">
        <v>430</v>
      </c>
      <c r="J5190" s="4">
        <f>IFERROR(__xludf.DUMMYFUNCTION("DATE(INDEX(SPLIT(I5190,""/""),,3),INDEX(SPLIT(I5190,""/""),,2),INDEX(SPLIT(I5190,""/""),,1))"),44985.0)</f>
        <v>44985</v>
      </c>
      <c r="L5190" s="1">
        <v>0.0</v>
      </c>
      <c r="M5190" s="1" t="s">
        <v>4530</v>
      </c>
      <c r="N5190" s="1"/>
      <c r="O5190" s="1" t="s">
        <v>30</v>
      </c>
      <c r="P5190" s="1" t="s">
        <v>31</v>
      </c>
      <c r="Q5190" s="1" t="s">
        <v>157</v>
      </c>
      <c r="R5190" s="1" t="s">
        <v>157</v>
      </c>
      <c r="S5190" s="1" t="s">
        <v>158</v>
      </c>
      <c r="T5190" s="1" t="s">
        <v>80</v>
      </c>
      <c r="U5190" s="1">
        <v>1.00659846E8</v>
      </c>
      <c r="X5190" s="1" t="s">
        <v>46</v>
      </c>
      <c r="Y5190" s="1" t="s">
        <v>698</v>
      </c>
      <c r="Z5190" s="1" t="s">
        <v>37</v>
      </c>
    </row>
    <row r="5191" hidden="1">
      <c r="A5191" s="1" t="s">
        <v>14460</v>
      </c>
      <c r="B5191" s="1" t="s">
        <v>6923</v>
      </c>
      <c r="C5191" s="1" t="s">
        <v>14461</v>
      </c>
      <c r="D5191" s="1" t="s">
        <v>27</v>
      </c>
      <c r="E5191" s="1" t="s">
        <v>28</v>
      </c>
      <c r="F5191" s="2">
        <v>50000.0</v>
      </c>
      <c r="G5191" s="1" t="s">
        <v>1092</v>
      </c>
      <c r="H5191" s="4">
        <f>IFERROR(__xludf.DUMMYFUNCTION("DATE(INDEX(SPLIT(G5191,""/""),,3),INDEX(SPLIT(G5191,""/""),,2),INDEX(SPLIT(G5191,""/""),,1))"),44489.0)</f>
        <v>44489</v>
      </c>
      <c r="I5191" s="1" t="s">
        <v>109</v>
      </c>
      <c r="J5191" s="4">
        <f>IFERROR(__xludf.DUMMYFUNCTION("DATE(INDEX(SPLIT(I5191,""/""),,3),INDEX(SPLIT(I5191,""/""),,2),INDEX(SPLIT(I5191,""/""),,1))"),44834.0)</f>
        <v>44834</v>
      </c>
      <c r="L5191" s="1">
        <v>0.0</v>
      </c>
      <c r="M5191" s="1" t="s">
        <v>542</v>
      </c>
      <c r="N5191" s="1"/>
      <c r="O5191" s="1" t="s">
        <v>30</v>
      </c>
      <c r="P5191" s="1" t="s">
        <v>31</v>
      </c>
      <c r="Q5191" s="1" t="s">
        <v>53</v>
      </c>
      <c r="R5191" s="1" t="s">
        <v>53</v>
      </c>
      <c r="S5191" s="1" t="s">
        <v>54</v>
      </c>
      <c r="T5191" s="1" t="s">
        <v>14457</v>
      </c>
      <c r="U5191" s="1">
        <v>1.01001596E8</v>
      </c>
      <c r="X5191" s="1" t="s">
        <v>74</v>
      </c>
      <c r="Y5191" s="1" t="s">
        <v>14452</v>
      </c>
      <c r="Z5191" s="1" t="s">
        <v>37</v>
      </c>
    </row>
    <row r="5192">
      <c r="A5192" s="1" t="s">
        <v>14462</v>
      </c>
      <c r="B5192" s="1" t="s">
        <v>4938</v>
      </c>
      <c r="C5192" s="1" t="s">
        <v>14463</v>
      </c>
      <c r="D5192" s="1" t="s">
        <v>122</v>
      </c>
      <c r="E5192" s="1" t="s">
        <v>28</v>
      </c>
      <c r="F5192" s="2">
        <v>50000.0</v>
      </c>
      <c r="G5192" s="4">
        <v>44381.0</v>
      </c>
      <c r="H5192" s="4">
        <f>IFERROR(__xludf.DUMMYFUNCTION("DATE(INDEX(SPLIT(G5192,""/""),,3),INDEX(SPLIT(G5192,""/""),,2),INDEX(SPLIT(G5192,""/""),,1))"),44293.0)</f>
        <v>44293</v>
      </c>
      <c r="I5192" s="1" t="s">
        <v>1244</v>
      </c>
      <c r="J5192" s="4">
        <f>IFERROR(__xludf.DUMMYFUNCTION("DATE(INDEX(SPLIT(I5192,""/""),,3),INDEX(SPLIT(I5192,""/""),,2),INDEX(SPLIT(I5192,""/""),,1))"),44742.0)</f>
        <v>44742</v>
      </c>
      <c r="L5192" s="1">
        <v>0.0</v>
      </c>
      <c r="M5192" s="1" t="s">
        <v>4477</v>
      </c>
      <c r="N5192" s="1"/>
      <c r="O5192" s="1" t="s">
        <v>30</v>
      </c>
      <c r="P5192" s="1" t="s">
        <v>31</v>
      </c>
      <c r="Q5192" s="1" t="s">
        <v>228</v>
      </c>
      <c r="R5192" s="1" t="s">
        <v>228</v>
      </c>
      <c r="S5192" s="1" t="s">
        <v>229</v>
      </c>
      <c r="T5192" s="1" t="s">
        <v>513</v>
      </c>
      <c r="U5192" s="1">
        <v>1.00592715E8</v>
      </c>
      <c r="X5192" s="1" t="s">
        <v>98</v>
      </c>
      <c r="Y5192" s="1" t="s">
        <v>13107</v>
      </c>
      <c r="Z5192" s="1" t="s">
        <v>37</v>
      </c>
    </row>
    <row r="5193">
      <c r="A5193" s="1" t="s">
        <v>14464</v>
      </c>
      <c r="B5193" s="1" t="s">
        <v>695</v>
      </c>
      <c r="C5193" s="1" t="s">
        <v>14465</v>
      </c>
      <c r="D5193" s="1" t="s">
        <v>27</v>
      </c>
      <c r="E5193" s="1" t="s">
        <v>28</v>
      </c>
      <c r="F5193" s="2">
        <v>50000.0</v>
      </c>
      <c r="G5193" s="1" t="s">
        <v>1058</v>
      </c>
      <c r="H5193" s="4">
        <f>IFERROR(__xludf.DUMMYFUNCTION("DATE(INDEX(SPLIT(G5193,""/""),,3),INDEX(SPLIT(G5193,""/""),,2),INDEX(SPLIT(G5193,""/""),,1))"),44733.0)</f>
        <v>44733</v>
      </c>
      <c r="I5193" s="1" t="s">
        <v>226</v>
      </c>
      <c r="J5193" s="4">
        <f>IFERROR(__xludf.DUMMYFUNCTION("DATE(INDEX(SPLIT(I5193,""/""),,3),INDEX(SPLIT(I5193,""/""),,2),INDEX(SPLIT(I5193,""/""),,1))"),44771.0)</f>
        <v>44771</v>
      </c>
      <c r="L5193" s="1">
        <v>0.0</v>
      </c>
      <c r="M5193" s="1" t="s">
        <v>7054</v>
      </c>
      <c r="N5193" s="1"/>
      <c r="O5193" s="1" t="s">
        <v>30</v>
      </c>
      <c r="P5193" s="1" t="s">
        <v>31</v>
      </c>
      <c r="Q5193" s="1" t="s">
        <v>157</v>
      </c>
      <c r="R5193" s="1" t="s">
        <v>157</v>
      </c>
      <c r="S5193" s="1" t="s">
        <v>158</v>
      </c>
      <c r="U5193" s="1">
        <v>1.00648324E8</v>
      </c>
      <c r="X5193" s="1" t="s">
        <v>74</v>
      </c>
      <c r="Y5193" s="1" t="s">
        <v>14466</v>
      </c>
      <c r="Z5193" s="1" t="s">
        <v>37</v>
      </c>
    </row>
    <row r="5194" hidden="1">
      <c r="A5194" s="1" t="s">
        <v>14467</v>
      </c>
      <c r="B5194" s="1" t="s">
        <v>14468</v>
      </c>
      <c r="C5194" s="1" t="s">
        <v>14469</v>
      </c>
      <c r="D5194" s="1" t="s">
        <v>78</v>
      </c>
      <c r="E5194" s="1" t="s">
        <v>28</v>
      </c>
      <c r="F5194" s="2">
        <v>50000.0</v>
      </c>
      <c r="G5194" s="4">
        <v>44146.0</v>
      </c>
      <c r="H5194" s="4">
        <f>IFERROR(__xludf.DUMMYFUNCTION("DATE(INDEX(SPLIT(G5194,""/""),,3),INDEX(SPLIT(G5194,""/""),,2),INDEX(SPLIT(G5194,""/""),,1))"),44146.0)</f>
        <v>44146</v>
      </c>
      <c r="I5194" s="1" t="s">
        <v>203</v>
      </c>
      <c r="J5194" s="4">
        <f>IFERROR(__xludf.DUMMYFUNCTION("DATE(INDEX(SPLIT(I5194,""/""),,3),INDEX(SPLIT(I5194,""/""),,2),INDEX(SPLIT(I5194,""/""),,1))"),44925.0)</f>
        <v>44925</v>
      </c>
      <c r="L5194" s="1">
        <v>0.0</v>
      </c>
      <c r="M5194" s="1" t="s">
        <v>6045</v>
      </c>
      <c r="N5194" s="1"/>
      <c r="O5194" s="1" t="s">
        <v>30</v>
      </c>
      <c r="P5194" s="1" t="s">
        <v>31</v>
      </c>
      <c r="Q5194" s="1" t="s">
        <v>228</v>
      </c>
      <c r="R5194" s="1" t="s">
        <v>228</v>
      </c>
      <c r="S5194" s="1" t="s">
        <v>229</v>
      </c>
      <c r="T5194" s="1" t="s">
        <v>513</v>
      </c>
      <c r="U5194" s="1">
        <v>1.00652479E8</v>
      </c>
      <c r="X5194" s="1" t="s">
        <v>35</v>
      </c>
      <c r="Y5194" s="1" t="s">
        <v>14470</v>
      </c>
      <c r="Z5194" s="1" t="s">
        <v>37</v>
      </c>
    </row>
    <row r="5195">
      <c r="A5195" s="1" t="s">
        <v>14471</v>
      </c>
      <c r="B5195" s="1" t="s">
        <v>997</v>
      </c>
      <c r="C5195" s="1" t="s">
        <v>14472</v>
      </c>
      <c r="D5195" s="1" t="s">
        <v>122</v>
      </c>
      <c r="E5195" s="1" t="s">
        <v>28</v>
      </c>
      <c r="F5195" s="2">
        <v>50000.0</v>
      </c>
      <c r="G5195" s="1" t="s">
        <v>2329</v>
      </c>
      <c r="H5195" s="4">
        <f>IFERROR(__xludf.DUMMYFUNCTION("DATE(INDEX(SPLIT(G5195,""/""),,3),INDEX(SPLIT(G5195,""/""),,2),INDEX(SPLIT(G5195,""/""),,1))"),44732.0)</f>
        <v>44732</v>
      </c>
      <c r="I5195" s="4">
        <v>44568.0</v>
      </c>
      <c r="J5195" s="4">
        <f>IFERROR(__xludf.DUMMYFUNCTION("DATE(INDEX(SPLIT(I5195,""/""),,3),INDEX(SPLIT(I5195,""/""),,2),INDEX(SPLIT(I5195,""/""),,1))"),44743.0)</f>
        <v>44743</v>
      </c>
      <c r="L5195" s="1">
        <v>0.0</v>
      </c>
      <c r="M5195" s="1" t="s">
        <v>12039</v>
      </c>
      <c r="N5195" s="1"/>
      <c r="O5195" s="1" t="s">
        <v>30</v>
      </c>
      <c r="P5195" s="1" t="s">
        <v>31</v>
      </c>
      <c r="Q5195" s="1" t="s">
        <v>228</v>
      </c>
      <c r="R5195" s="1" t="s">
        <v>228</v>
      </c>
      <c r="S5195" s="1" t="s">
        <v>229</v>
      </c>
      <c r="T5195" s="1" t="s">
        <v>640</v>
      </c>
      <c r="U5195" s="1">
        <v>1.00612509E8</v>
      </c>
      <c r="X5195" s="1" t="s">
        <v>410</v>
      </c>
      <c r="Y5195" s="1" t="s">
        <v>12816</v>
      </c>
      <c r="Z5195" s="1" t="s">
        <v>37</v>
      </c>
    </row>
    <row r="5196">
      <c r="A5196" s="1" t="s">
        <v>14473</v>
      </c>
      <c r="B5196" s="1" t="s">
        <v>7868</v>
      </c>
      <c r="C5196" s="1" t="s">
        <v>14474</v>
      </c>
      <c r="D5196" s="1" t="s">
        <v>27</v>
      </c>
      <c r="E5196" s="1" t="s">
        <v>28</v>
      </c>
      <c r="F5196" s="2">
        <v>50000.0</v>
      </c>
      <c r="G5196" s="1" t="s">
        <v>7870</v>
      </c>
      <c r="H5196" s="4">
        <f>IFERROR(__xludf.DUMMYFUNCTION("DATE(INDEX(SPLIT(G5196,""/""),,3),INDEX(SPLIT(G5196,""/""),,2),INDEX(SPLIT(G5196,""/""),,1))"),44499.0)</f>
        <v>44499</v>
      </c>
      <c r="I5196" s="1" t="s">
        <v>414</v>
      </c>
      <c r="J5196" s="4">
        <f>IFERROR(__xludf.DUMMYFUNCTION("DATE(INDEX(SPLIT(I5196,""/""),,3),INDEX(SPLIT(I5196,""/""),,2),INDEX(SPLIT(I5196,""/""),,1))"),44772.0)</f>
        <v>44772</v>
      </c>
      <c r="L5196" s="1">
        <v>0.0</v>
      </c>
      <c r="M5196" s="1" t="s">
        <v>1398</v>
      </c>
      <c r="N5196" s="1"/>
      <c r="O5196" s="1" t="s">
        <v>30</v>
      </c>
      <c r="P5196" s="1" t="s">
        <v>31</v>
      </c>
      <c r="Q5196" s="1" t="s">
        <v>95</v>
      </c>
      <c r="R5196" s="1" t="s">
        <v>95</v>
      </c>
      <c r="S5196" s="1" t="s">
        <v>96</v>
      </c>
      <c r="T5196" s="1" t="s">
        <v>505</v>
      </c>
      <c r="U5196" s="1">
        <v>1.0061941E8</v>
      </c>
      <c r="X5196" s="1" t="s">
        <v>63</v>
      </c>
      <c r="Y5196" s="1" t="s">
        <v>7871</v>
      </c>
      <c r="Z5196" s="1" t="s">
        <v>37</v>
      </c>
    </row>
    <row r="5197">
      <c r="A5197" s="1" t="s">
        <v>14475</v>
      </c>
      <c r="B5197" s="1" t="s">
        <v>7868</v>
      </c>
      <c r="C5197" s="1" t="s">
        <v>14476</v>
      </c>
      <c r="D5197" s="1" t="s">
        <v>27</v>
      </c>
      <c r="E5197" s="1" t="s">
        <v>28</v>
      </c>
      <c r="F5197" s="2">
        <v>50000.0</v>
      </c>
      <c r="G5197" s="1" t="s">
        <v>7870</v>
      </c>
      <c r="H5197" s="4">
        <f>IFERROR(__xludf.DUMMYFUNCTION("DATE(INDEX(SPLIT(G5197,""/""),,3),INDEX(SPLIT(G5197,""/""),,2),INDEX(SPLIT(G5197,""/""),,1))"),44499.0)</f>
        <v>44499</v>
      </c>
      <c r="I5197" s="1" t="s">
        <v>414</v>
      </c>
      <c r="J5197" s="4">
        <f>IFERROR(__xludf.DUMMYFUNCTION("DATE(INDEX(SPLIT(I5197,""/""),,3),INDEX(SPLIT(I5197,""/""),,2),INDEX(SPLIT(I5197,""/""),,1))"),44772.0)</f>
        <v>44772</v>
      </c>
      <c r="L5197" s="1">
        <v>0.0</v>
      </c>
      <c r="M5197" s="1" t="s">
        <v>1398</v>
      </c>
      <c r="N5197" s="1"/>
      <c r="O5197" s="1" t="s">
        <v>30</v>
      </c>
      <c r="P5197" s="1" t="s">
        <v>31</v>
      </c>
      <c r="Q5197" s="1" t="s">
        <v>95</v>
      </c>
      <c r="R5197" s="1" t="s">
        <v>95</v>
      </c>
      <c r="S5197" s="1" t="s">
        <v>96</v>
      </c>
      <c r="T5197" s="1" t="s">
        <v>571</v>
      </c>
      <c r="U5197" s="1">
        <v>1.0061941E8</v>
      </c>
      <c r="X5197" s="1" t="s">
        <v>63</v>
      </c>
      <c r="Y5197" s="1" t="s">
        <v>7871</v>
      </c>
      <c r="Z5197" s="1" t="s">
        <v>37</v>
      </c>
    </row>
    <row r="5198" hidden="1">
      <c r="A5198" s="1" t="s">
        <v>14477</v>
      </c>
      <c r="B5198" s="1" t="s">
        <v>1609</v>
      </c>
      <c r="C5198" s="1" t="s">
        <v>14478</v>
      </c>
      <c r="D5198" s="1" t="s">
        <v>27</v>
      </c>
      <c r="E5198" s="1" t="s">
        <v>28</v>
      </c>
      <c r="F5198" s="2">
        <v>50000.0</v>
      </c>
      <c r="G5198" s="1" t="s">
        <v>4985</v>
      </c>
      <c r="H5198" s="4">
        <f>IFERROR(__xludf.DUMMYFUNCTION("DATE(INDEX(SPLIT(G5198,""/""),,3),INDEX(SPLIT(G5198,""/""),,2),INDEX(SPLIT(G5198,""/""),,1))"),44273.0)</f>
        <v>44273</v>
      </c>
      <c r="I5198" s="1" t="s">
        <v>281</v>
      </c>
      <c r="J5198" s="4">
        <f>IFERROR(__xludf.DUMMYFUNCTION("DATE(INDEX(SPLIT(I5198,""/""),,3),INDEX(SPLIT(I5198,""/""),,2),INDEX(SPLIT(I5198,""/""),,1))"),44865.0)</f>
        <v>44865</v>
      </c>
      <c r="L5198" s="1">
        <v>0.0</v>
      </c>
      <c r="M5198" s="1" t="s">
        <v>620</v>
      </c>
      <c r="N5198" s="1"/>
      <c r="O5198" s="1" t="s">
        <v>30</v>
      </c>
      <c r="P5198" s="1" t="s">
        <v>31</v>
      </c>
      <c r="Q5198" s="1" t="s">
        <v>32</v>
      </c>
      <c r="R5198" s="1" t="s">
        <v>32</v>
      </c>
      <c r="S5198" s="1" t="s">
        <v>33</v>
      </c>
      <c r="U5198" s="1">
        <v>1.00609607E8</v>
      </c>
      <c r="X5198" s="1" t="s">
        <v>81</v>
      </c>
      <c r="Y5198" s="1" t="s">
        <v>8740</v>
      </c>
      <c r="Z5198" s="1" t="s">
        <v>37</v>
      </c>
    </row>
    <row r="5199" hidden="1">
      <c r="A5199" s="1" t="s">
        <v>14479</v>
      </c>
      <c r="B5199" s="1" t="s">
        <v>1991</v>
      </c>
      <c r="C5199" s="1" t="s">
        <v>14480</v>
      </c>
      <c r="D5199" s="1" t="s">
        <v>27</v>
      </c>
      <c r="E5199" s="1" t="s">
        <v>28</v>
      </c>
      <c r="F5199" s="2">
        <v>50000.0</v>
      </c>
      <c r="G5199" s="4">
        <v>44257.0</v>
      </c>
      <c r="H5199" s="4">
        <f>IFERROR(__xludf.DUMMYFUNCTION("DATE(INDEX(SPLIT(G5199,""/""),,3),INDEX(SPLIT(G5199,""/""),,2),INDEX(SPLIT(G5199,""/""),,1))"),44230.0)</f>
        <v>44230</v>
      </c>
      <c r="I5199" s="1" t="s">
        <v>430</v>
      </c>
      <c r="J5199" s="4">
        <f>IFERROR(__xludf.DUMMYFUNCTION("DATE(INDEX(SPLIT(I5199,""/""),,3),INDEX(SPLIT(I5199,""/""),,2),INDEX(SPLIT(I5199,""/""),,1))"),44985.0)</f>
        <v>44985</v>
      </c>
      <c r="L5199" s="1">
        <v>0.0</v>
      </c>
      <c r="M5199" s="1" t="s">
        <v>4243</v>
      </c>
      <c r="N5199" s="1"/>
      <c r="O5199" s="1" t="s">
        <v>30</v>
      </c>
      <c r="P5199" s="1" t="s">
        <v>31</v>
      </c>
      <c r="Q5199" s="1" t="s">
        <v>157</v>
      </c>
      <c r="R5199" s="1" t="s">
        <v>157</v>
      </c>
      <c r="S5199" s="1" t="s">
        <v>158</v>
      </c>
      <c r="U5199" s="1">
        <v>1.0058537E8</v>
      </c>
      <c r="X5199" s="1" t="s">
        <v>490</v>
      </c>
      <c r="Y5199" s="1" t="s">
        <v>8809</v>
      </c>
      <c r="Z5199" s="1" t="s">
        <v>37</v>
      </c>
    </row>
    <row r="5200" hidden="1">
      <c r="A5200" s="1" t="s">
        <v>14481</v>
      </c>
      <c r="B5200" s="1" t="s">
        <v>1492</v>
      </c>
      <c r="C5200" s="1" t="s">
        <v>14482</v>
      </c>
      <c r="D5200" s="1" t="s">
        <v>78</v>
      </c>
      <c r="E5200" s="1" t="s">
        <v>28</v>
      </c>
      <c r="F5200" s="2">
        <v>50000.0</v>
      </c>
      <c r="G5200" s="4">
        <v>44326.0</v>
      </c>
      <c r="H5200" s="4">
        <f>IFERROR(__xludf.DUMMYFUNCTION("DATE(INDEX(SPLIT(G5200,""/""),,3),INDEX(SPLIT(G5200,""/""),,2),INDEX(SPLIT(G5200,""/""),,1))"),44474.0)</f>
        <v>44474</v>
      </c>
      <c r="I5200" s="1" t="s">
        <v>109</v>
      </c>
      <c r="J5200" s="4">
        <f>IFERROR(__xludf.DUMMYFUNCTION("DATE(INDEX(SPLIT(I5200,""/""),,3),INDEX(SPLIT(I5200,""/""),,2),INDEX(SPLIT(I5200,""/""),,1))"),44834.0)</f>
        <v>44834</v>
      </c>
      <c r="L5200" s="1">
        <v>0.0</v>
      </c>
      <c r="M5200" s="1" t="s">
        <v>1496</v>
      </c>
      <c r="N5200" s="1"/>
      <c r="O5200" s="1" t="s">
        <v>30</v>
      </c>
      <c r="P5200" s="1" t="s">
        <v>31</v>
      </c>
      <c r="Q5200" s="1" t="s">
        <v>53</v>
      </c>
      <c r="R5200" s="1" t="s">
        <v>53</v>
      </c>
      <c r="S5200" s="1" t="s">
        <v>54</v>
      </c>
      <c r="U5200" s="1">
        <v>1.00610014E8</v>
      </c>
      <c r="W5200" s="1" t="s">
        <v>389</v>
      </c>
      <c r="X5200" s="1" t="s">
        <v>81</v>
      </c>
      <c r="Y5200" s="1" t="s">
        <v>1533</v>
      </c>
      <c r="Z5200" s="1" t="s">
        <v>37</v>
      </c>
    </row>
    <row r="5201" hidden="1">
      <c r="A5201" s="1" t="s">
        <v>14483</v>
      </c>
      <c r="B5201" s="1" t="s">
        <v>14484</v>
      </c>
      <c r="C5201" s="1" t="s">
        <v>14485</v>
      </c>
      <c r="D5201" s="1" t="s">
        <v>78</v>
      </c>
      <c r="E5201" s="1" t="s">
        <v>28</v>
      </c>
      <c r="F5201" s="2">
        <v>50000.0</v>
      </c>
      <c r="G5201" s="4">
        <v>44807.0</v>
      </c>
      <c r="H5201" s="4">
        <f>IFERROR(__xludf.DUMMYFUNCTION("DATE(INDEX(SPLIT(G5201,""/""),,3),INDEX(SPLIT(G5201,""/""),,2),INDEX(SPLIT(G5201,""/""),,1))"),44629.0)</f>
        <v>44629</v>
      </c>
      <c r="I5201" s="1" t="s">
        <v>85</v>
      </c>
      <c r="J5201" s="4">
        <f>IFERROR(__xludf.DUMMYFUNCTION("DATE(INDEX(SPLIT(I5201,""/""),,3),INDEX(SPLIT(I5201,""/""),,2),INDEX(SPLIT(I5201,""/""),,1))"),44799.0)</f>
        <v>44799</v>
      </c>
      <c r="L5201" s="1">
        <v>0.0</v>
      </c>
      <c r="M5201" s="1" t="s">
        <v>2600</v>
      </c>
      <c r="N5201" s="1"/>
      <c r="O5201" s="1" t="s">
        <v>30</v>
      </c>
      <c r="P5201" s="1" t="s">
        <v>31</v>
      </c>
      <c r="Q5201" s="1" t="s">
        <v>32</v>
      </c>
      <c r="R5201" s="1" t="s">
        <v>32</v>
      </c>
      <c r="S5201" s="1" t="s">
        <v>33</v>
      </c>
      <c r="U5201" s="1">
        <v>1.00642238E8</v>
      </c>
      <c r="X5201" s="1" t="s">
        <v>2769</v>
      </c>
      <c r="Y5201" s="1" t="s">
        <v>14486</v>
      </c>
      <c r="Z5201" s="1" t="s">
        <v>37</v>
      </c>
    </row>
    <row r="5202" hidden="1">
      <c r="A5202" s="1" t="s">
        <v>14487</v>
      </c>
      <c r="B5202" s="1" t="s">
        <v>223</v>
      </c>
      <c r="C5202" s="1" t="s">
        <v>14488</v>
      </c>
      <c r="D5202" s="1" t="s">
        <v>78</v>
      </c>
      <c r="E5202" s="1" t="s">
        <v>28</v>
      </c>
      <c r="F5202" s="2">
        <v>50000.0</v>
      </c>
      <c r="G5202" s="1" t="s">
        <v>108</v>
      </c>
      <c r="H5202" s="4">
        <f>IFERROR(__xludf.DUMMYFUNCTION("DATE(INDEX(SPLIT(G5202,""/""),,3),INDEX(SPLIT(G5202,""/""),,2),INDEX(SPLIT(G5202,""/""),,1))"),44725.0)</f>
        <v>44725</v>
      </c>
      <c r="I5202" s="1" t="s">
        <v>109</v>
      </c>
      <c r="J5202" s="4">
        <f>IFERROR(__xludf.DUMMYFUNCTION("DATE(INDEX(SPLIT(I5202,""/""),,3),INDEX(SPLIT(I5202,""/""),,2),INDEX(SPLIT(I5202,""/""),,1))"),44834.0)</f>
        <v>44834</v>
      </c>
      <c r="L5202" s="1">
        <v>0.0</v>
      </c>
      <c r="M5202" s="1" t="s">
        <v>2869</v>
      </c>
      <c r="N5202" s="1"/>
      <c r="O5202" s="1" t="s">
        <v>30</v>
      </c>
      <c r="P5202" s="1" t="s">
        <v>31</v>
      </c>
      <c r="Q5202" s="1" t="s">
        <v>228</v>
      </c>
      <c r="R5202" s="1" t="s">
        <v>228</v>
      </c>
      <c r="S5202" s="1" t="s">
        <v>229</v>
      </c>
      <c r="T5202" s="1" t="s">
        <v>505</v>
      </c>
      <c r="U5202" s="1">
        <v>1.00641939E8</v>
      </c>
      <c r="X5202" s="1" t="s">
        <v>81</v>
      </c>
      <c r="Y5202" s="1" t="s">
        <v>1533</v>
      </c>
      <c r="Z5202" s="1" t="s">
        <v>37</v>
      </c>
    </row>
    <row r="5203" hidden="1">
      <c r="A5203" s="1" t="s">
        <v>14489</v>
      </c>
      <c r="B5203" s="1" t="s">
        <v>2000</v>
      </c>
      <c r="C5203" s="1" t="s">
        <v>14490</v>
      </c>
      <c r="D5203" s="1" t="s">
        <v>122</v>
      </c>
      <c r="E5203" s="1" t="s">
        <v>28</v>
      </c>
      <c r="F5203" s="2">
        <v>50000.0</v>
      </c>
      <c r="G5203" s="1" t="s">
        <v>2297</v>
      </c>
      <c r="H5203" s="4">
        <f>IFERROR(__xludf.DUMMYFUNCTION("DATE(INDEX(SPLIT(G5203,""/""),,3),INDEX(SPLIT(G5203,""/""),,2),INDEX(SPLIT(G5203,""/""),,1))"),44730.0)</f>
        <v>44730</v>
      </c>
      <c r="I5203" s="1" t="s">
        <v>130</v>
      </c>
      <c r="J5203" s="4">
        <f>IFERROR(__xludf.DUMMYFUNCTION("DATE(INDEX(SPLIT(I5203,""/""),,3),INDEX(SPLIT(I5203,""/""),,2),INDEX(SPLIT(I5203,""/""),,1))"),44804.0)</f>
        <v>44804</v>
      </c>
      <c r="L5203" s="1">
        <v>0.0</v>
      </c>
      <c r="M5203" s="1" t="s">
        <v>8088</v>
      </c>
      <c r="N5203" s="1"/>
      <c r="O5203" s="1" t="s">
        <v>30</v>
      </c>
      <c r="P5203" s="1" t="s">
        <v>31</v>
      </c>
      <c r="Q5203" s="1" t="s">
        <v>228</v>
      </c>
      <c r="R5203" s="1" t="s">
        <v>228</v>
      </c>
      <c r="S5203" s="1" t="s">
        <v>229</v>
      </c>
      <c r="T5203" s="1" t="s">
        <v>640</v>
      </c>
      <c r="U5203" s="1">
        <v>1.00882877E8</v>
      </c>
      <c r="X5203" s="1" t="s">
        <v>63</v>
      </c>
      <c r="Y5203" s="1" t="s">
        <v>8088</v>
      </c>
      <c r="Z5203" s="1" t="s">
        <v>206</v>
      </c>
    </row>
    <row r="5204" hidden="1">
      <c r="A5204" s="1" t="s">
        <v>14491</v>
      </c>
      <c r="B5204" s="1" t="s">
        <v>1371</v>
      </c>
      <c r="C5204" s="1" t="s">
        <v>14492</v>
      </c>
      <c r="D5204" s="1" t="s">
        <v>27</v>
      </c>
      <c r="E5204" s="1" t="s">
        <v>28</v>
      </c>
      <c r="F5204" s="2">
        <v>50000.0</v>
      </c>
      <c r="G5204" s="1" t="s">
        <v>2300</v>
      </c>
      <c r="H5204" s="4">
        <f>IFERROR(__xludf.DUMMYFUNCTION("DATE(INDEX(SPLIT(G5204,""/""),,3),INDEX(SPLIT(G5204,""/""),,2),INDEX(SPLIT(G5204,""/""),,1))"),44712.0)</f>
        <v>44712</v>
      </c>
      <c r="I5204" s="1" t="s">
        <v>109</v>
      </c>
      <c r="J5204" s="4">
        <f>IFERROR(__xludf.DUMMYFUNCTION("DATE(INDEX(SPLIT(I5204,""/""),,3),INDEX(SPLIT(I5204,""/""),,2),INDEX(SPLIT(I5204,""/""),,1))"),44834.0)</f>
        <v>44834</v>
      </c>
      <c r="L5204" s="1">
        <v>0.0</v>
      </c>
      <c r="M5204" s="1" t="s">
        <v>4129</v>
      </c>
      <c r="N5204" s="1"/>
      <c r="O5204" s="1" t="s">
        <v>30</v>
      </c>
      <c r="P5204" s="1" t="s">
        <v>31</v>
      </c>
      <c r="Q5204" s="1" t="s">
        <v>228</v>
      </c>
      <c r="R5204" s="1" t="s">
        <v>228</v>
      </c>
      <c r="S5204" s="1" t="s">
        <v>229</v>
      </c>
      <c r="T5204" s="1" t="s">
        <v>640</v>
      </c>
      <c r="U5204" s="1">
        <v>1.00599268E8</v>
      </c>
      <c r="X5204" s="1" t="s">
        <v>63</v>
      </c>
      <c r="Y5204" s="1" t="s">
        <v>13472</v>
      </c>
      <c r="Z5204" s="1" t="s">
        <v>37</v>
      </c>
    </row>
    <row r="5205" hidden="1">
      <c r="A5205" s="1" t="s">
        <v>14493</v>
      </c>
      <c r="B5205" s="1" t="s">
        <v>7161</v>
      </c>
      <c r="C5205" s="1" t="s">
        <v>14494</v>
      </c>
      <c r="D5205" s="1" t="s">
        <v>27</v>
      </c>
      <c r="E5205" s="1" t="s">
        <v>28</v>
      </c>
      <c r="F5205" s="2">
        <v>50000.0</v>
      </c>
      <c r="G5205" s="1" t="s">
        <v>8486</v>
      </c>
      <c r="H5205" s="4">
        <f>IFERROR(__xludf.DUMMYFUNCTION("DATE(INDEX(SPLIT(G5205,""/""),,3),INDEX(SPLIT(G5205,""/""),,2),INDEX(SPLIT(G5205,""/""),,1))"),44362.0)</f>
        <v>44362</v>
      </c>
      <c r="I5205" s="1" t="s">
        <v>109</v>
      </c>
      <c r="J5205" s="4">
        <f>IFERROR(__xludf.DUMMYFUNCTION("DATE(INDEX(SPLIT(I5205,""/""),,3),INDEX(SPLIT(I5205,""/""),,2),INDEX(SPLIT(I5205,""/""),,1))"),44834.0)</f>
        <v>44834</v>
      </c>
      <c r="L5205" s="1">
        <v>0.0</v>
      </c>
      <c r="M5205" s="1" t="s">
        <v>2107</v>
      </c>
      <c r="N5205" s="1"/>
      <c r="O5205" s="1" t="s">
        <v>30</v>
      </c>
      <c r="P5205" s="1" t="s">
        <v>31</v>
      </c>
      <c r="Q5205" s="1" t="s">
        <v>71</v>
      </c>
      <c r="R5205" s="1" t="s">
        <v>71</v>
      </c>
      <c r="S5205" s="1" t="s">
        <v>72</v>
      </c>
      <c r="T5205" s="1" t="s">
        <v>1386</v>
      </c>
      <c r="U5205" s="1">
        <v>1.0061233E8</v>
      </c>
      <c r="X5205" s="1" t="s">
        <v>74</v>
      </c>
      <c r="Y5205" s="1" t="s">
        <v>2107</v>
      </c>
      <c r="Z5205" s="1" t="s">
        <v>37</v>
      </c>
    </row>
    <row r="5206" hidden="1">
      <c r="A5206" s="1" t="s">
        <v>14495</v>
      </c>
      <c r="B5206" s="1" t="s">
        <v>2620</v>
      </c>
      <c r="C5206" s="1" t="s">
        <v>14496</v>
      </c>
      <c r="D5206" s="1" t="s">
        <v>27</v>
      </c>
      <c r="E5206" s="1" t="s">
        <v>28</v>
      </c>
      <c r="F5206" s="2">
        <v>50000.0</v>
      </c>
      <c r="G5206" s="1" t="s">
        <v>862</v>
      </c>
      <c r="H5206" s="4">
        <f>IFERROR(__xludf.DUMMYFUNCTION("DATE(INDEX(SPLIT(G5206,""/""),,3),INDEX(SPLIT(G5206,""/""),,2),INDEX(SPLIT(G5206,""/""),,1))"),44699.0)</f>
        <v>44699</v>
      </c>
      <c r="I5206" s="1" t="s">
        <v>130</v>
      </c>
      <c r="J5206" s="4">
        <f>IFERROR(__xludf.DUMMYFUNCTION("DATE(INDEX(SPLIT(I5206,""/""),,3),INDEX(SPLIT(I5206,""/""),,2),INDEX(SPLIT(I5206,""/""),,1))"),44804.0)</f>
        <v>44804</v>
      </c>
      <c r="L5206" s="1">
        <v>0.0</v>
      </c>
      <c r="M5206" s="1" t="s">
        <v>1527</v>
      </c>
      <c r="N5206" s="1"/>
      <c r="O5206" s="1" t="s">
        <v>30</v>
      </c>
      <c r="P5206" s="1" t="s">
        <v>31</v>
      </c>
      <c r="Q5206" s="1" t="s">
        <v>95</v>
      </c>
      <c r="R5206" s="1" t="s">
        <v>95</v>
      </c>
      <c r="S5206" s="1" t="s">
        <v>96</v>
      </c>
      <c r="T5206" s="1" t="s">
        <v>73</v>
      </c>
      <c r="U5206" s="1">
        <v>1.00651554E8</v>
      </c>
      <c r="X5206" s="1" t="s">
        <v>74</v>
      </c>
      <c r="Y5206" s="1" t="s">
        <v>8445</v>
      </c>
      <c r="Z5206" s="1" t="s">
        <v>37</v>
      </c>
    </row>
    <row r="5207" hidden="1">
      <c r="A5207" s="1" t="s">
        <v>14497</v>
      </c>
      <c r="B5207" s="1" t="s">
        <v>14498</v>
      </c>
      <c r="C5207" s="1" t="s">
        <v>14499</v>
      </c>
      <c r="D5207" s="1" t="s">
        <v>27</v>
      </c>
      <c r="E5207" s="1" t="s">
        <v>28</v>
      </c>
      <c r="F5207" s="2">
        <v>50000.0</v>
      </c>
      <c r="G5207" s="1" t="s">
        <v>4985</v>
      </c>
      <c r="H5207" s="4">
        <f>IFERROR(__xludf.DUMMYFUNCTION("DATE(INDEX(SPLIT(G5207,""/""),,3),INDEX(SPLIT(G5207,""/""),,2),INDEX(SPLIT(G5207,""/""),,1))"),44273.0)</f>
        <v>44273</v>
      </c>
      <c r="I5207" s="1" t="s">
        <v>109</v>
      </c>
      <c r="J5207" s="4">
        <f>IFERROR(__xludf.DUMMYFUNCTION("DATE(INDEX(SPLIT(I5207,""/""),,3),INDEX(SPLIT(I5207,""/""),,2),INDEX(SPLIT(I5207,""/""),,1))"),44834.0)</f>
        <v>44834</v>
      </c>
      <c r="L5207" s="1">
        <v>0.0</v>
      </c>
      <c r="M5207" s="1" t="s">
        <v>4563</v>
      </c>
      <c r="N5207" s="1"/>
      <c r="O5207" s="1" t="s">
        <v>30</v>
      </c>
      <c r="P5207" s="1" t="s">
        <v>31</v>
      </c>
      <c r="Q5207" s="1" t="s">
        <v>53</v>
      </c>
      <c r="R5207" s="1" t="s">
        <v>53</v>
      </c>
      <c r="S5207" s="1" t="s">
        <v>54</v>
      </c>
      <c r="T5207" s="1" t="s">
        <v>55</v>
      </c>
      <c r="U5207" s="1">
        <v>1.00651638E8</v>
      </c>
      <c r="X5207" s="1" t="s">
        <v>81</v>
      </c>
      <c r="Y5207" s="1" t="s">
        <v>1533</v>
      </c>
      <c r="Z5207" s="1" t="s">
        <v>37</v>
      </c>
    </row>
    <row r="5208" hidden="1">
      <c r="A5208" s="1" t="s">
        <v>14500</v>
      </c>
      <c r="B5208" s="1" t="s">
        <v>9814</v>
      </c>
      <c r="C5208" s="1" t="s">
        <v>14501</v>
      </c>
      <c r="D5208" s="1" t="s">
        <v>78</v>
      </c>
      <c r="E5208" s="1" t="s">
        <v>28</v>
      </c>
      <c r="F5208" s="2">
        <v>50000.0</v>
      </c>
      <c r="G5208" s="1" t="s">
        <v>14502</v>
      </c>
      <c r="H5208" s="4">
        <f>IFERROR(__xludf.DUMMYFUNCTION("DATE(INDEX(SPLIT(G5208,""/""),,3),INDEX(SPLIT(G5208,""/""),,2),INDEX(SPLIT(G5208,""/""),,1))"),44361.0)</f>
        <v>44361</v>
      </c>
      <c r="I5208" s="1" t="s">
        <v>203</v>
      </c>
      <c r="J5208" s="4">
        <f>IFERROR(__xludf.DUMMYFUNCTION("DATE(INDEX(SPLIT(I5208,""/""),,3),INDEX(SPLIT(I5208,""/""),,2),INDEX(SPLIT(I5208,""/""),,1))"),44925.0)</f>
        <v>44925</v>
      </c>
      <c r="L5208" s="1">
        <v>0.0</v>
      </c>
      <c r="M5208" s="1" t="s">
        <v>3860</v>
      </c>
      <c r="N5208" s="1"/>
      <c r="O5208" s="1" t="s">
        <v>30</v>
      </c>
      <c r="P5208" s="1" t="s">
        <v>31</v>
      </c>
      <c r="Q5208" s="1" t="s">
        <v>235</v>
      </c>
      <c r="R5208" s="1" t="s">
        <v>235</v>
      </c>
      <c r="S5208" s="1" t="s">
        <v>236</v>
      </c>
      <c r="T5208" s="1" t="s">
        <v>753</v>
      </c>
      <c r="U5208" s="1">
        <v>1.00636461E8</v>
      </c>
      <c r="X5208" s="1" t="s">
        <v>88</v>
      </c>
      <c r="Y5208" s="1" t="s">
        <v>3860</v>
      </c>
      <c r="Z5208" s="1" t="s">
        <v>37</v>
      </c>
    </row>
    <row r="5209">
      <c r="A5209" s="1" t="s">
        <v>14503</v>
      </c>
      <c r="B5209" s="1" t="s">
        <v>14504</v>
      </c>
      <c r="C5209" s="1" t="s">
        <v>14505</v>
      </c>
      <c r="D5209" s="1" t="s">
        <v>122</v>
      </c>
      <c r="E5209" s="1" t="s">
        <v>28</v>
      </c>
      <c r="F5209" s="2">
        <v>50000.0</v>
      </c>
      <c r="G5209" s="4">
        <v>44598.0</v>
      </c>
      <c r="H5209" s="4">
        <f>IFERROR(__xludf.DUMMYFUNCTION("DATE(INDEX(SPLIT(G5209,""/""),,3),INDEX(SPLIT(G5209,""/""),,2),INDEX(SPLIT(G5209,""/""),,1))"),44714.0)</f>
        <v>44714</v>
      </c>
      <c r="I5209" s="1" t="s">
        <v>1244</v>
      </c>
      <c r="J5209" s="4">
        <f>IFERROR(__xludf.DUMMYFUNCTION("DATE(INDEX(SPLIT(I5209,""/""),,3),INDEX(SPLIT(I5209,""/""),,2),INDEX(SPLIT(I5209,""/""),,1))"),44742.0)</f>
        <v>44742</v>
      </c>
      <c r="L5209" s="1">
        <v>0.0</v>
      </c>
      <c r="M5209" s="1" t="s">
        <v>6045</v>
      </c>
      <c r="N5209" s="1"/>
      <c r="O5209" s="1" t="s">
        <v>30</v>
      </c>
      <c r="P5209" s="1" t="s">
        <v>31</v>
      </c>
      <c r="Q5209" s="1" t="s">
        <v>228</v>
      </c>
      <c r="R5209" s="1" t="s">
        <v>228</v>
      </c>
      <c r="S5209" s="1" t="s">
        <v>229</v>
      </c>
      <c r="T5209" s="1" t="s">
        <v>513</v>
      </c>
      <c r="U5209" s="1">
        <v>1.00652479E8</v>
      </c>
      <c r="X5209" s="1" t="s">
        <v>239</v>
      </c>
      <c r="Y5209" s="1" t="s">
        <v>7089</v>
      </c>
      <c r="Z5209" s="1" t="s">
        <v>37</v>
      </c>
    </row>
    <row r="5210" hidden="1">
      <c r="A5210" s="1" t="s">
        <v>14506</v>
      </c>
      <c r="B5210" s="1" t="s">
        <v>14507</v>
      </c>
      <c r="C5210" s="1" t="s">
        <v>14508</v>
      </c>
      <c r="D5210" s="1" t="s">
        <v>122</v>
      </c>
      <c r="E5210" s="1" t="s">
        <v>28</v>
      </c>
      <c r="F5210" s="2">
        <v>50000.0</v>
      </c>
      <c r="G5210" s="4">
        <v>44568.0</v>
      </c>
      <c r="H5210" s="4">
        <f>IFERROR(__xludf.DUMMYFUNCTION("DATE(INDEX(SPLIT(G5210,""/""),,3),INDEX(SPLIT(G5210,""/""),,2),INDEX(SPLIT(G5210,""/""),,1))"),44743.0)</f>
        <v>44743</v>
      </c>
      <c r="I5210" s="1" t="s">
        <v>42</v>
      </c>
      <c r="J5210" s="4">
        <f>IFERROR(__xludf.DUMMYFUNCTION("DATE(INDEX(SPLIT(I5210,""/""),,3),INDEX(SPLIT(I5210,""/""),,2),INDEX(SPLIT(I5210,""/""),,1))"),44926.0)</f>
        <v>44926</v>
      </c>
      <c r="L5210" s="1">
        <v>0.0</v>
      </c>
      <c r="M5210" s="1" t="s">
        <v>2568</v>
      </c>
      <c r="N5210" s="1"/>
      <c r="O5210" s="1" t="s">
        <v>30</v>
      </c>
      <c r="P5210" s="1" t="s">
        <v>31</v>
      </c>
      <c r="Q5210" s="1" t="s">
        <v>228</v>
      </c>
      <c r="R5210" s="1" t="s">
        <v>228</v>
      </c>
      <c r="S5210" s="1" t="s">
        <v>229</v>
      </c>
      <c r="T5210" s="1" t="s">
        <v>513</v>
      </c>
      <c r="U5210" s="1">
        <v>1.00659458E8</v>
      </c>
      <c r="X5210" s="1" t="s">
        <v>117</v>
      </c>
      <c r="Y5210" s="1" t="s">
        <v>2568</v>
      </c>
      <c r="Z5210" s="1" t="s">
        <v>37</v>
      </c>
    </row>
    <row r="5211" hidden="1">
      <c r="A5211" s="1" t="s">
        <v>14509</v>
      </c>
      <c r="B5211" s="1" t="s">
        <v>2030</v>
      </c>
      <c r="C5211" s="1" t="s">
        <v>14510</v>
      </c>
      <c r="D5211" s="1" t="s">
        <v>27</v>
      </c>
      <c r="E5211" s="1" t="s">
        <v>28</v>
      </c>
      <c r="F5211" s="2">
        <v>50000.0</v>
      </c>
      <c r="G5211" s="4">
        <v>44540.0</v>
      </c>
      <c r="H5211" s="4">
        <f>IFERROR(__xludf.DUMMYFUNCTION("DATE(INDEX(SPLIT(G5211,""/""),,3),INDEX(SPLIT(G5211,""/""),,2),INDEX(SPLIT(G5211,""/""),,1))"),44481.0)</f>
        <v>44481</v>
      </c>
      <c r="I5211" s="1" t="s">
        <v>109</v>
      </c>
      <c r="J5211" s="4">
        <f>IFERROR(__xludf.DUMMYFUNCTION("DATE(INDEX(SPLIT(I5211,""/""),,3),INDEX(SPLIT(I5211,""/""),,2),INDEX(SPLIT(I5211,""/""),,1))"),44834.0)</f>
        <v>44834</v>
      </c>
      <c r="L5211" s="1">
        <v>0.0</v>
      </c>
      <c r="M5211" s="1" t="s">
        <v>1040</v>
      </c>
      <c r="N5211" s="1"/>
      <c r="O5211" s="1" t="s">
        <v>30</v>
      </c>
      <c r="P5211" s="1" t="s">
        <v>31</v>
      </c>
      <c r="Q5211" s="1" t="s">
        <v>71</v>
      </c>
      <c r="R5211" s="1" t="s">
        <v>71</v>
      </c>
      <c r="S5211" s="1" t="s">
        <v>72</v>
      </c>
      <c r="T5211" s="1" t="s">
        <v>73</v>
      </c>
      <c r="U5211" s="1">
        <v>1.00619899E8</v>
      </c>
      <c r="X5211" s="1" t="s">
        <v>74</v>
      </c>
      <c r="Y5211" s="1" t="s">
        <v>8809</v>
      </c>
      <c r="Z5211" s="1" t="s">
        <v>37</v>
      </c>
    </row>
    <row r="5212" hidden="1">
      <c r="A5212" s="1" t="s">
        <v>14511</v>
      </c>
      <c r="B5212" s="1" t="s">
        <v>4013</v>
      </c>
      <c r="C5212" s="1" t="s">
        <v>14512</v>
      </c>
      <c r="D5212" s="1" t="s">
        <v>27</v>
      </c>
      <c r="E5212" s="1" t="s">
        <v>28</v>
      </c>
      <c r="F5212" s="2">
        <v>50000.0</v>
      </c>
      <c r="G5212" s="1" t="s">
        <v>286</v>
      </c>
      <c r="H5212" s="4">
        <f>IFERROR(__xludf.DUMMYFUNCTION("DATE(INDEX(SPLIT(G5212,""/""),,3),INDEX(SPLIT(G5212,""/""),,2),INDEX(SPLIT(G5212,""/""),,1))"),44609.0)</f>
        <v>44609</v>
      </c>
      <c r="I5212" s="1" t="s">
        <v>999</v>
      </c>
      <c r="J5212" s="4">
        <f>IFERROR(__xludf.DUMMYFUNCTION("DATE(INDEX(SPLIT(I5212,""/""),,3),INDEX(SPLIT(I5212,""/""),,2),INDEX(SPLIT(I5212,""/""),,1))"),44953.0)</f>
        <v>44953</v>
      </c>
      <c r="L5212" s="1">
        <v>0.0</v>
      </c>
      <c r="M5212" s="1" t="s">
        <v>852</v>
      </c>
      <c r="N5212" s="1"/>
      <c r="O5212" s="1" t="s">
        <v>30</v>
      </c>
      <c r="P5212" s="1" t="s">
        <v>31</v>
      </c>
      <c r="Q5212" s="1" t="s">
        <v>157</v>
      </c>
      <c r="R5212" s="1" t="s">
        <v>157</v>
      </c>
      <c r="S5212" s="1" t="s">
        <v>158</v>
      </c>
      <c r="U5212" s="1">
        <v>1.00648457E8</v>
      </c>
      <c r="X5212" s="1" t="s">
        <v>190</v>
      </c>
      <c r="Y5212" s="1" t="s">
        <v>2402</v>
      </c>
      <c r="Z5212" s="1" t="s">
        <v>37</v>
      </c>
    </row>
    <row r="5213">
      <c r="A5213" s="1" t="s">
        <v>14513</v>
      </c>
      <c r="B5213" s="1" t="s">
        <v>7489</v>
      </c>
      <c r="C5213" s="1" t="s">
        <v>14514</v>
      </c>
      <c r="D5213" s="1" t="s">
        <v>122</v>
      </c>
      <c r="E5213" s="1" t="s">
        <v>28</v>
      </c>
      <c r="F5213" s="2">
        <v>50000.0</v>
      </c>
      <c r="G5213" s="1" t="s">
        <v>2025</v>
      </c>
      <c r="H5213" s="4">
        <f>IFERROR(__xludf.DUMMYFUNCTION("DATE(INDEX(SPLIT(G5213,""/""),,3),INDEX(SPLIT(G5213,""/""),,2),INDEX(SPLIT(G5213,""/""),,1))"),44664.0)</f>
        <v>44664</v>
      </c>
      <c r="I5213" s="1" t="s">
        <v>2300</v>
      </c>
      <c r="J5213" s="4">
        <f>IFERROR(__xludf.DUMMYFUNCTION("DATE(INDEX(SPLIT(I5213,""/""),,3),INDEX(SPLIT(I5213,""/""),,2),INDEX(SPLIT(I5213,""/""),,1))"),44712.0)</f>
        <v>44712</v>
      </c>
      <c r="L5213" s="1">
        <v>0.0</v>
      </c>
      <c r="M5213" s="1" t="s">
        <v>2207</v>
      </c>
      <c r="N5213" s="1"/>
      <c r="O5213" s="1" t="s">
        <v>30</v>
      </c>
      <c r="P5213" s="1" t="s">
        <v>31</v>
      </c>
      <c r="Q5213" s="1" t="s">
        <v>228</v>
      </c>
      <c r="R5213" s="1" t="s">
        <v>228</v>
      </c>
      <c r="S5213" s="1" t="s">
        <v>229</v>
      </c>
      <c r="T5213" s="1" t="s">
        <v>513</v>
      </c>
      <c r="U5213" s="1">
        <v>1.00596618E8</v>
      </c>
      <c r="X5213" s="1" t="s">
        <v>63</v>
      </c>
      <c r="Y5213" s="1" t="s">
        <v>13950</v>
      </c>
      <c r="Z5213" s="1" t="s">
        <v>37</v>
      </c>
    </row>
    <row r="5214" hidden="1">
      <c r="A5214" s="1" t="s">
        <v>14515</v>
      </c>
      <c r="B5214" s="1" t="s">
        <v>66</v>
      </c>
      <c r="C5214" s="1" t="s">
        <v>14516</v>
      </c>
      <c r="D5214" s="1" t="s">
        <v>27</v>
      </c>
      <c r="E5214" s="1" t="s">
        <v>28</v>
      </c>
      <c r="F5214" s="2">
        <v>50000.0</v>
      </c>
      <c r="G5214" s="4">
        <v>44563.0</v>
      </c>
      <c r="H5214" s="4">
        <f>IFERROR(__xludf.DUMMYFUNCTION("DATE(INDEX(SPLIT(G5214,""/""),,3),INDEX(SPLIT(G5214,""/""),,2),INDEX(SPLIT(G5214,""/""),,1))"),44593.0)</f>
        <v>44593</v>
      </c>
      <c r="I5214" s="1" t="s">
        <v>203</v>
      </c>
      <c r="J5214" s="4">
        <f>IFERROR(__xludf.DUMMYFUNCTION("DATE(INDEX(SPLIT(I5214,""/""),,3),INDEX(SPLIT(I5214,""/""),,2),INDEX(SPLIT(I5214,""/""),,1))"),44925.0)</f>
        <v>44925</v>
      </c>
      <c r="L5214" s="1">
        <v>0.0</v>
      </c>
      <c r="M5214" s="1" t="s">
        <v>2622</v>
      </c>
      <c r="N5214" s="1"/>
      <c r="O5214" s="1" t="s">
        <v>30</v>
      </c>
      <c r="P5214" s="1" t="s">
        <v>31</v>
      </c>
      <c r="Q5214" s="1" t="s">
        <v>71</v>
      </c>
      <c r="R5214" s="1" t="s">
        <v>71</v>
      </c>
      <c r="S5214" s="1" t="s">
        <v>72</v>
      </c>
      <c r="T5214" s="1" t="s">
        <v>73</v>
      </c>
      <c r="U5214" s="1">
        <v>1.01082364E8</v>
      </c>
      <c r="X5214" s="1" t="s">
        <v>74</v>
      </c>
      <c r="Y5214" s="1" t="s">
        <v>9788</v>
      </c>
      <c r="Z5214" s="1" t="s">
        <v>206</v>
      </c>
    </row>
    <row r="5215" hidden="1">
      <c r="A5215" s="1" t="s">
        <v>14517</v>
      </c>
      <c r="B5215" s="1" t="s">
        <v>6923</v>
      </c>
      <c r="C5215" s="1" t="s">
        <v>14518</v>
      </c>
      <c r="D5215" s="1" t="s">
        <v>27</v>
      </c>
      <c r="E5215" s="1" t="s">
        <v>28</v>
      </c>
      <c r="F5215" s="2">
        <v>50000.0</v>
      </c>
      <c r="G5215" s="1" t="s">
        <v>2055</v>
      </c>
      <c r="H5215" s="4">
        <f>IFERROR(__xludf.DUMMYFUNCTION("DATE(INDEX(SPLIT(G5215,""/""),,3),INDEX(SPLIT(G5215,""/""),,2),INDEX(SPLIT(G5215,""/""),,1))"),44497.0)</f>
        <v>44497</v>
      </c>
      <c r="I5215" s="1" t="s">
        <v>109</v>
      </c>
      <c r="J5215" s="4">
        <f>IFERROR(__xludf.DUMMYFUNCTION("DATE(INDEX(SPLIT(I5215,""/""),,3),INDEX(SPLIT(I5215,""/""),,2),INDEX(SPLIT(I5215,""/""),,1))"),44834.0)</f>
        <v>44834</v>
      </c>
      <c r="L5215" s="1">
        <v>0.0</v>
      </c>
      <c r="M5215" s="1" t="s">
        <v>542</v>
      </c>
      <c r="N5215" s="1"/>
      <c r="O5215" s="1" t="s">
        <v>30</v>
      </c>
      <c r="P5215" s="1" t="s">
        <v>31</v>
      </c>
      <c r="Q5215" s="1" t="s">
        <v>53</v>
      </c>
      <c r="R5215" s="1" t="s">
        <v>53</v>
      </c>
      <c r="S5215" s="1" t="s">
        <v>54</v>
      </c>
      <c r="T5215" s="1" t="s">
        <v>181</v>
      </c>
      <c r="U5215" s="1">
        <v>1.01001596E8</v>
      </c>
      <c r="X5215" s="1" t="s">
        <v>74</v>
      </c>
      <c r="Y5215" s="1" t="s">
        <v>952</v>
      </c>
      <c r="Z5215" s="1" t="s">
        <v>37</v>
      </c>
    </row>
    <row r="5216" hidden="1">
      <c r="A5216" s="1" t="s">
        <v>14519</v>
      </c>
      <c r="B5216" s="1" t="s">
        <v>14520</v>
      </c>
      <c r="C5216" s="1" t="s">
        <v>14521</v>
      </c>
      <c r="D5216" s="1" t="s">
        <v>122</v>
      </c>
      <c r="E5216" s="1" t="s">
        <v>28</v>
      </c>
      <c r="F5216" s="2">
        <v>50000.0</v>
      </c>
      <c r="G5216" s="1" t="s">
        <v>1806</v>
      </c>
      <c r="H5216" s="4">
        <f>IFERROR(__xludf.DUMMYFUNCTION("DATE(INDEX(SPLIT(G5216,""/""),,3),INDEX(SPLIT(G5216,""/""),,2),INDEX(SPLIT(G5216,""/""),,1))"),44694.0)</f>
        <v>44694</v>
      </c>
      <c r="I5216" s="1" t="s">
        <v>42</v>
      </c>
      <c r="J5216" s="4">
        <f>IFERROR(__xludf.DUMMYFUNCTION("DATE(INDEX(SPLIT(I5216,""/""),,3),INDEX(SPLIT(I5216,""/""),,2),INDEX(SPLIT(I5216,""/""),,1))"),44926.0)</f>
        <v>44926</v>
      </c>
      <c r="L5216" s="1">
        <v>0.0</v>
      </c>
      <c r="M5216" s="1" t="s">
        <v>11254</v>
      </c>
      <c r="N5216" s="1"/>
      <c r="O5216" s="1" t="s">
        <v>30</v>
      </c>
      <c r="P5216" s="1" t="s">
        <v>31</v>
      </c>
      <c r="Q5216" s="1" t="s">
        <v>228</v>
      </c>
      <c r="R5216" s="1" t="s">
        <v>228</v>
      </c>
      <c r="S5216" s="1" t="s">
        <v>229</v>
      </c>
      <c r="T5216" s="1" t="s">
        <v>640</v>
      </c>
      <c r="U5216" s="1">
        <v>1.00602248E8</v>
      </c>
      <c r="X5216" s="1" t="s">
        <v>375</v>
      </c>
      <c r="Y5216" s="1" t="s">
        <v>11255</v>
      </c>
      <c r="Z5216" s="1" t="s">
        <v>37</v>
      </c>
    </row>
    <row r="5217" hidden="1">
      <c r="A5217" s="1" t="s">
        <v>14522</v>
      </c>
      <c r="B5217" s="1" t="s">
        <v>14072</v>
      </c>
      <c r="C5217" s="1" t="s">
        <v>14523</v>
      </c>
      <c r="D5217" s="1" t="s">
        <v>27</v>
      </c>
      <c r="E5217" s="1" t="s">
        <v>28</v>
      </c>
      <c r="F5217" s="2">
        <v>50000.0</v>
      </c>
      <c r="G5217" s="1" t="s">
        <v>14524</v>
      </c>
      <c r="H5217" s="4">
        <f>IFERROR(__xludf.DUMMYFUNCTION("DATE(INDEX(SPLIT(G5217,""/""),,3),INDEX(SPLIT(G5217,""/""),,2),INDEX(SPLIT(G5217,""/""),,1))"),44181.0)</f>
        <v>44181</v>
      </c>
      <c r="I5217" s="1" t="s">
        <v>203</v>
      </c>
      <c r="J5217" s="4">
        <f>IFERROR(__xludf.DUMMYFUNCTION("DATE(INDEX(SPLIT(I5217,""/""),,3),INDEX(SPLIT(I5217,""/""),,2),INDEX(SPLIT(I5217,""/""),,1))"),44925.0)</f>
        <v>44925</v>
      </c>
      <c r="L5217" s="1">
        <v>0.0</v>
      </c>
      <c r="M5217" s="1" t="s">
        <v>5708</v>
      </c>
      <c r="N5217" s="1"/>
      <c r="O5217" s="1" t="s">
        <v>30</v>
      </c>
      <c r="P5217" s="1" t="s">
        <v>31</v>
      </c>
      <c r="Q5217" s="1" t="s">
        <v>71</v>
      </c>
      <c r="R5217" s="1" t="s">
        <v>71</v>
      </c>
      <c r="S5217" s="1" t="s">
        <v>72</v>
      </c>
      <c r="T5217" s="1" t="s">
        <v>640</v>
      </c>
      <c r="U5217" s="1">
        <v>1.00611377E8</v>
      </c>
      <c r="X5217" s="1" t="s">
        <v>490</v>
      </c>
      <c r="Y5217" s="1" t="s">
        <v>8809</v>
      </c>
      <c r="Z5217" s="1" t="s">
        <v>37</v>
      </c>
    </row>
    <row r="5218" hidden="1">
      <c r="A5218" s="1" t="s">
        <v>14525</v>
      </c>
      <c r="B5218" s="1" t="s">
        <v>10345</v>
      </c>
      <c r="C5218" s="1" t="s">
        <v>14526</v>
      </c>
      <c r="D5218" s="1" t="s">
        <v>27</v>
      </c>
      <c r="E5218" s="1" t="s">
        <v>28</v>
      </c>
      <c r="F5218" s="2">
        <v>50000.0</v>
      </c>
      <c r="G5218" s="1" t="s">
        <v>2942</v>
      </c>
      <c r="H5218" s="4">
        <f>IFERROR(__xludf.DUMMYFUNCTION("DATE(INDEX(SPLIT(G5218,""/""),,3),INDEX(SPLIT(G5218,""/""),,2),INDEX(SPLIT(G5218,""/""),,1))"),44223.0)</f>
        <v>44223</v>
      </c>
      <c r="I5218" s="1" t="s">
        <v>42</v>
      </c>
      <c r="J5218" s="4">
        <f>IFERROR(__xludf.DUMMYFUNCTION("DATE(INDEX(SPLIT(I5218,""/""),,3),INDEX(SPLIT(I5218,""/""),,2),INDEX(SPLIT(I5218,""/""),,1))"),44926.0)</f>
        <v>44926</v>
      </c>
      <c r="L5218" s="1">
        <v>0.0</v>
      </c>
      <c r="M5218" s="1" t="s">
        <v>3236</v>
      </c>
      <c r="N5218" s="1"/>
      <c r="O5218" s="1" t="s">
        <v>30</v>
      </c>
      <c r="P5218" s="1" t="s">
        <v>31</v>
      </c>
      <c r="Q5218" s="1" t="s">
        <v>53</v>
      </c>
      <c r="R5218" s="1" t="s">
        <v>53</v>
      </c>
      <c r="S5218" s="1" t="s">
        <v>54</v>
      </c>
      <c r="U5218" s="1">
        <v>1.00650453E8</v>
      </c>
      <c r="X5218" s="1" t="s">
        <v>88</v>
      </c>
      <c r="Y5218" s="1" t="s">
        <v>2445</v>
      </c>
      <c r="Z5218" s="1" t="s">
        <v>37</v>
      </c>
    </row>
    <row r="5219" hidden="1">
      <c r="A5219" s="1" t="s">
        <v>14527</v>
      </c>
      <c r="B5219" s="1" t="s">
        <v>14528</v>
      </c>
      <c r="C5219" s="1" t="s">
        <v>14529</v>
      </c>
      <c r="D5219" s="1" t="s">
        <v>27</v>
      </c>
      <c r="E5219" s="1" t="s">
        <v>28</v>
      </c>
      <c r="F5219" s="2">
        <v>50000.0</v>
      </c>
      <c r="G5219" s="1" t="s">
        <v>298</v>
      </c>
      <c r="H5219" s="4">
        <f>IFERROR(__xludf.DUMMYFUNCTION("DATE(INDEX(SPLIT(G5219,""/""),,3),INDEX(SPLIT(G5219,""/""),,2),INDEX(SPLIT(G5219,""/""),,1))"),44762.0)</f>
        <v>44762</v>
      </c>
      <c r="I5219" s="1" t="s">
        <v>109</v>
      </c>
      <c r="J5219" s="4">
        <f>IFERROR(__xludf.DUMMYFUNCTION("DATE(INDEX(SPLIT(I5219,""/""),,3),INDEX(SPLIT(I5219,""/""),,2),INDEX(SPLIT(I5219,""/""),,1))"),44834.0)</f>
        <v>44834</v>
      </c>
      <c r="L5219" s="1">
        <v>0.0</v>
      </c>
      <c r="M5219" s="1" t="s">
        <v>2535</v>
      </c>
      <c r="N5219" s="1"/>
      <c r="O5219" s="1" t="s">
        <v>30</v>
      </c>
      <c r="P5219" s="1" t="s">
        <v>31</v>
      </c>
      <c r="Q5219" s="1" t="s">
        <v>188</v>
      </c>
      <c r="R5219" s="1" t="s">
        <v>188</v>
      </c>
      <c r="S5219" s="1" t="s">
        <v>189</v>
      </c>
      <c r="U5219" s="1">
        <v>1.00603236E8</v>
      </c>
      <c r="Y5219" s="1" t="s">
        <v>14530</v>
      </c>
      <c r="Z5219" s="1" t="s">
        <v>37</v>
      </c>
    </row>
    <row r="5220" hidden="1">
      <c r="A5220" s="1" t="s">
        <v>14531</v>
      </c>
      <c r="B5220" s="1" t="s">
        <v>14528</v>
      </c>
      <c r="C5220" s="1" t="s">
        <v>14532</v>
      </c>
      <c r="D5220" s="1" t="s">
        <v>27</v>
      </c>
      <c r="E5220" s="1" t="s">
        <v>28</v>
      </c>
      <c r="F5220" s="2">
        <v>50000.0</v>
      </c>
      <c r="G5220" s="1" t="s">
        <v>298</v>
      </c>
      <c r="H5220" s="4">
        <f>IFERROR(__xludf.DUMMYFUNCTION("DATE(INDEX(SPLIT(G5220,""/""),,3),INDEX(SPLIT(G5220,""/""),,2),INDEX(SPLIT(G5220,""/""),,1))"),44762.0)</f>
        <v>44762</v>
      </c>
      <c r="I5220" s="1" t="s">
        <v>109</v>
      </c>
      <c r="J5220" s="4">
        <f>IFERROR(__xludf.DUMMYFUNCTION("DATE(INDEX(SPLIT(I5220,""/""),,3),INDEX(SPLIT(I5220,""/""),,2),INDEX(SPLIT(I5220,""/""),,1))"),44834.0)</f>
        <v>44834</v>
      </c>
      <c r="L5220" s="1">
        <v>0.0</v>
      </c>
      <c r="M5220" s="1" t="s">
        <v>3138</v>
      </c>
      <c r="N5220" s="1"/>
      <c r="O5220" s="1" t="s">
        <v>30</v>
      </c>
      <c r="P5220" s="1" t="s">
        <v>31</v>
      </c>
      <c r="Q5220" s="1" t="s">
        <v>157</v>
      </c>
      <c r="R5220" s="1" t="s">
        <v>157</v>
      </c>
      <c r="S5220" s="1" t="s">
        <v>158</v>
      </c>
      <c r="U5220" s="1">
        <v>1.00616377E8</v>
      </c>
      <c r="Y5220" s="1" t="s">
        <v>14530</v>
      </c>
      <c r="Z5220" s="1" t="s">
        <v>37</v>
      </c>
    </row>
    <row r="5221" hidden="1">
      <c r="A5221" s="1" t="s">
        <v>14533</v>
      </c>
      <c r="B5221" s="1" t="s">
        <v>1994</v>
      </c>
      <c r="C5221" s="1" t="s">
        <v>14534</v>
      </c>
      <c r="D5221" s="1" t="s">
        <v>78</v>
      </c>
      <c r="E5221" s="1" t="s">
        <v>28</v>
      </c>
      <c r="F5221" s="2">
        <v>50000.0</v>
      </c>
      <c r="G5221" s="1" t="s">
        <v>298</v>
      </c>
      <c r="H5221" s="4">
        <f>IFERROR(__xludf.DUMMYFUNCTION("DATE(INDEX(SPLIT(G5221,""/""),,3),INDEX(SPLIT(G5221,""/""),,2),INDEX(SPLIT(G5221,""/""),,1))"),44762.0)</f>
        <v>44762</v>
      </c>
      <c r="I5221" s="1" t="s">
        <v>1799</v>
      </c>
      <c r="J5221" s="4">
        <f>IFERROR(__xludf.DUMMYFUNCTION("DATE(INDEX(SPLIT(I5221,""/""),,3),INDEX(SPLIT(I5221,""/""),,2),INDEX(SPLIT(I5221,""/""),,1))"),44788.0)</f>
        <v>44788</v>
      </c>
      <c r="L5221" s="1">
        <v>0.0</v>
      </c>
      <c r="M5221" s="1" t="s">
        <v>2856</v>
      </c>
      <c r="N5221" s="1"/>
      <c r="O5221" s="1" t="s">
        <v>30</v>
      </c>
      <c r="P5221" s="1" t="s">
        <v>31</v>
      </c>
      <c r="Q5221" s="1" t="s">
        <v>71</v>
      </c>
      <c r="R5221" s="1" t="s">
        <v>71</v>
      </c>
      <c r="S5221" s="1" t="s">
        <v>72</v>
      </c>
      <c r="U5221" s="1">
        <v>1.00637221E8</v>
      </c>
      <c r="X5221" s="1" t="s">
        <v>490</v>
      </c>
      <c r="Y5221" s="1" t="s">
        <v>2856</v>
      </c>
      <c r="Z5221" s="1" t="s">
        <v>37</v>
      </c>
    </row>
    <row r="5222" hidden="1">
      <c r="A5222" s="1" t="s">
        <v>14535</v>
      </c>
      <c r="B5222" s="1" t="s">
        <v>1655</v>
      </c>
      <c r="C5222" s="1" t="s">
        <v>14536</v>
      </c>
      <c r="D5222" s="1" t="s">
        <v>27</v>
      </c>
      <c r="E5222" s="1" t="s">
        <v>28</v>
      </c>
      <c r="F5222" s="2">
        <v>50000.0</v>
      </c>
      <c r="G5222" s="4">
        <v>44239.0</v>
      </c>
      <c r="H5222" s="4">
        <f>IFERROR(__xludf.DUMMYFUNCTION("DATE(INDEX(SPLIT(G5222,""/""),,3),INDEX(SPLIT(G5222,""/""),,2),INDEX(SPLIT(G5222,""/""),,1))"),44532.0)</f>
        <v>44532</v>
      </c>
      <c r="I5222" s="1" t="s">
        <v>109</v>
      </c>
      <c r="J5222" s="4">
        <f>IFERROR(__xludf.DUMMYFUNCTION("DATE(INDEX(SPLIT(I5222,""/""),,3),INDEX(SPLIT(I5222,""/""),,2),INDEX(SPLIT(I5222,""/""),,1))"),44834.0)</f>
        <v>44834</v>
      </c>
      <c r="L5222" s="1">
        <v>0.0</v>
      </c>
      <c r="M5222" s="1" t="s">
        <v>5411</v>
      </c>
      <c r="N5222" s="1"/>
      <c r="O5222" s="1" t="s">
        <v>30</v>
      </c>
      <c r="P5222" s="1" t="s">
        <v>31</v>
      </c>
      <c r="Q5222" s="1" t="s">
        <v>53</v>
      </c>
      <c r="R5222" s="1" t="s">
        <v>53</v>
      </c>
      <c r="S5222" s="1" t="s">
        <v>54</v>
      </c>
      <c r="T5222" s="1" t="s">
        <v>1195</v>
      </c>
      <c r="U5222" s="1">
        <v>1.00610826E8</v>
      </c>
      <c r="X5222" s="1" t="s">
        <v>490</v>
      </c>
      <c r="Y5222" s="1" t="s">
        <v>8809</v>
      </c>
      <c r="Z5222" s="1" t="s">
        <v>37</v>
      </c>
    </row>
    <row r="5223" hidden="1">
      <c r="A5223" s="1" t="s">
        <v>14537</v>
      </c>
      <c r="B5223" s="1" t="s">
        <v>1371</v>
      </c>
      <c r="C5223" s="1" t="s">
        <v>14538</v>
      </c>
      <c r="D5223" s="1" t="s">
        <v>27</v>
      </c>
      <c r="E5223" s="1" t="s">
        <v>28</v>
      </c>
      <c r="F5223" s="2">
        <v>50000.0</v>
      </c>
      <c r="G5223" s="1" t="s">
        <v>6460</v>
      </c>
      <c r="H5223" s="4">
        <f>IFERROR(__xludf.DUMMYFUNCTION("DATE(INDEX(SPLIT(G5223,""/""),,3),INDEX(SPLIT(G5223,""/""),,2),INDEX(SPLIT(G5223,""/""),,1))"),44433.0)</f>
        <v>44433</v>
      </c>
      <c r="I5223" s="1" t="s">
        <v>1097</v>
      </c>
      <c r="J5223" s="4">
        <f>IFERROR(__xludf.DUMMYFUNCTION("DATE(INDEX(SPLIT(I5223,""/""),,3),INDEX(SPLIT(I5223,""/""),,2),INDEX(SPLIT(I5223,""/""),,1))"),45107.0)</f>
        <v>45107</v>
      </c>
      <c r="L5223" s="1">
        <v>0.0</v>
      </c>
      <c r="M5223" s="1" t="s">
        <v>1484</v>
      </c>
      <c r="N5223" s="1"/>
      <c r="O5223" s="1" t="s">
        <v>30</v>
      </c>
      <c r="P5223" s="1" t="s">
        <v>31</v>
      </c>
      <c r="Q5223" s="1" t="s">
        <v>95</v>
      </c>
      <c r="R5223" s="1" t="s">
        <v>95</v>
      </c>
      <c r="S5223" s="1" t="s">
        <v>96</v>
      </c>
      <c r="T5223" s="1" t="s">
        <v>111</v>
      </c>
      <c r="U5223" s="1">
        <v>1.00585718E8</v>
      </c>
      <c r="X5223" s="1" t="s">
        <v>63</v>
      </c>
      <c r="Y5223" s="1" t="s">
        <v>4201</v>
      </c>
      <c r="Z5223" s="1" t="s">
        <v>37</v>
      </c>
    </row>
    <row r="5224">
      <c r="A5224" s="1" t="s">
        <v>14539</v>
      </c>
      <c r="B5224" s="1" t="s">
        <v>1371</v>
      </c>
      <c r="C5224" s="1" t="s">
        <v>14540</v>
      </c>
      <c r="D5224" s="1" t="s">
        <v>27</v>
      </c>
      <c r="E5224" s="1" t="s">
        <v>28</v>
      </c>
      <c r="F5224" s="2">
        <v>50000.0</v>
      </c>
      <c r="G5224" s="1" t="s">
        <v>6460</v>
      </c>
      <c r="H5224" s="4">
        <f>IFERROR(__xludf.DUMMYFUNCTION("DATE(INDEX(SPLIT(G5224,""/""),,3),INDEX(SPLIT(G5224,""/""),,2),INDEX(SPLIT(G5224,""/""),,1))"),44433.0)</f>
        <v>44433</v>
      </c>
      <c r="I5224" s="1" t="s">
        <v>1244</v>
      </c>
      <c r="J5224" s="4">
        <f>IFERROR(__xludf.DUMMYFUNCTION("DATE(INDEX(SPLIT(I5224,""/""),,3),INDEX(SPLIT(I5224,""/""),,2),INDEX(SPLIT(I5224,""/""),,1))"),44742.0)</f>
        <v>44742</v>
      </c>
      <c r="L5224" s="1">
        <v>0.0</v>
      </c>
      <c r="M5224" s="1" t="s">
        <v>1484</v>
      </c>
      <c r="N5224" s="1"/>
      <c r="O5224" s="1" t="s">
        <v>30</v>
      </c>
      <c r="P5224" s="1" t="s">
        <v>31</v>
      </c>
      <c r="Q5224" s="1" t="s">
        <v>95</v>
      </c>
      <c r="R5224" s="1" t="s">
        <v>95</v>
      </c>
      <c r="S5224" s="1" t="s">
        <v>96</v>
      </c>
      <c r="T5224" s="1" t="s">
        <v>111</v>
      </c>
      <c r="U5224" s="1">
        <v>1.00585718E8</v>
      </c>
      <c r="X5224" s="1" t="s">
        <v>63</v>
      </c>
      <c r="Y5224" s="1" t="s">
        <v>4201</v>
      </c>
      <c r="Z5224" s="1" t="s">
        <v>37</v>
      </c>
    </row>
    <row r="5225">
      <c r="A5225" s="1" t="s">
        <v>14541</v>
      </c>
      <c r="B5225" s="1" t="s">
        <v>14542</v>
      </c>
      <c r="C5225" s="1" t="s">
        <v>14543</v>
      </c>
      <c r="D5225" s="1" t="s">
        <v>122</v>
      </c>
      <c r="E5225" s="1" t="s">
        <v>28</v>
      </c>
      <c r="F5225" s="2">
        <v>50000.0</v>
      </c>
      <c r="G5225" s="1" t="s">
        <v>1806</v>
      </c>
      <c r="H5225" s="4">
        <f>IFERROR(__xludf.DUMMYFUNCTION("DATE(INDEX(SPLIT(G5225,""/""),,3),INDEX(SPLIT(G5225,""/""),,2),INDEX(SPLIT(G5225,""/""),,1))"),44694.0)</f>
        <v>44694</v>
      </c>
      <c r="I5225" s="4">
        <v>44840.0</v>
      </c>
      <c r="J5225" s="4">
        <f>IFERROR(__xludf.DUMMYFUNCTION("DATE(INDEX(SPLIT(I5225,""/""),,3),INDEX(SPLIT(I5225,""/""),,2),INDEX(SPLIT(I5225,""/""),,1))"),44722.0)</f>
        <v>44722</v>
      </c>
      <c r="L5225" s="1">
        <v>0.0</v>
      </c>
      <c r="M5225" s="1" t="s">
        <v>12468</v>
      </c>
      <c r="N5225" s="1"/>
      <c r="O5225" s="1" t="s">
        <v>30</v>
      </c>
      <c r="P5225" s="1" t="s">
        <v>31</v>
      </c>
      <c r="Q5225" s="1" t="s">
        <v>228</v>
      </c>
      <c r="R5225" s="1" t="s">
        <v>228</v>
      </c>
      <c r="S5225" s="1" t="s">
        <v>229</v>
      </c>
      <c r="U5225" s="1">
        <v>1.00626837E8</v>
      </c>
      <c r="X5225" s="1" t="s">
        <v>63</v>
      </c>
      <c r="Y5225" s="1" t="s">
        <v>12703</v>
      </c>
      <c r="Z5225" s="1" t="s">
        <v>206</v>
      </c>
    </row>
    <row r="5226">
      <c r="A5226" s="1" t="s">
        <v>14544</v>
      </c>
      <c r="B5226" s="1" t="s">
        <v>12722</v>
      </c>
      <c r="C5226" s="1" t="s">
        <v>14545</v>
      </c>
      <c r="D5226" s="1" t="s">
        <v>78</v>
      </c>
      <c r="E5226" s="1" t="s">
        <v>28</v>
      </c>
      <c r="F5226" s="2">
        <v>50000.0</v>
      </c>
      <c r="G5226" s="1" t="s">
        <v>2025</v>
      </c>
      <c r="H5226" s="4">
        <f>IFERROR(__xludf.DUMMYFUNCTION("DATE(INDEX(SPLIT(G5226,""/""),,3),INDEX(SPLIT(G5226,""/""),,2),INDEX(SPLIT(G5226,""/""),,1))"),44664.0)</f>
        <v>44664</v>
      </c>
      <c r="I5226" s="1" t="s">
        <v>2300</v>
      </c>
      <c r="J5226" s="4">
        <f>IFERROR(__xludf.DUMMYFUNCTION("DATE(INDEX(SPLIT(I5226,""/""),,3),INDEX(SPLIT(I5226,""/""),,2),INDEX(SPLIT(I5226,""/""),,1))"),44712.0)</f>
        <v>44712</v>
      </c>
      <c r="L5226" s="1">
        <v>0.0</v>
      </c>
      <c r="M5226" s="1" t="s">
        <v>2207</v>
      </c>
      <c r="N5226" s="1"/>
      <c r="O5226" s="1" t="s">
        <v>30</v>
      </c>
      <c r="P5226" s="1" t="s">
        <v>31</v>
      </c>
      <c r="Q5226" s="1" t="s">
        <v>228</v>
      </c>
      <c r="R5226" s="1" t="s">
        <v>228</v>
      </c>
      <c r="S5226" s="1" t="s">
        <v>229</v>
      </c>
      <c r="T5226" s="1" t="s">
        <v>513</v>
      </c>
      <c r="U5226" s="1">
        <v>1.00596618E8</v>
      </c>
      <c r="X5226" s="1" t="s">
        <v>254</v>
      </c>
      <c r="Y5226" s="1" t="s">
        <v>13950</v>
      </c>
      <c r="Z5226" s="1" t="s">
        <v>37</v>
      </c>
    </row>
    <row r="5227">
      <c r="A5227" s="1" t="s">
        <v>14546</v>
      </c>
      <c r="B5227" s="1" t="s">
        <v>497</v>
      </c>
      <c r="C5227" s="1" t="s">
        <v>14547</v>
      </c>
      <c r="D5227" s="1" t="s">
        <v>78</v>
      </c>
      <c r="E5227" s="1" t="s">
        <v>28</v>
      </c>
      <c r="F5227" s="2">
        <v>50000.0</v>
      </c>
      <c r="G5227" s="1" t="s">
        <v>10195</v>
      </c>
      <c r="H5227" s="4">
        <f>IFERROR(__xludf.DUMMYFUNCTION("DATE(INDEX(SPLIT(G5227,""/""),,3),INDEX(SPLIT(G5227,""/""),,2),INDEX(SPLIT(G5227,""/""),,1))"),44513.0)</f>
        <v>44513</v>
      </c>
      <c r="I5227" s="1" t="s">
        <v>69</v>
      </c>
      <c r="J5227" s="4">
        <f>IFERROR(__xludf.DUMMYFUNCTION("DATE(INDEX(SPLIT(I5227,""/""),,3),INDEX(SPLIT(I5227,""/""),,2),INDEX(SPLIT(I5227,""/""),,1))"),44773.0)</f>
        <v>44773</v>
      </c>
      <c r="L5227" s="1">
        <v>0.0</v>
      </c>
      <c r="M5227" s="1" t="s">
        <v>2312</v>
      </c>
      <c r="N5227" s="1"/>
      <c r="O5227" s="1" t="s">
        <v>30</v>
      </c>
      <c r="P5227" s="1" t="s">
        <v>31</v>
      </c>
      <c r="Q5227" s="1" t="s">
        <v>32</v>
      </c>
      <c r="R5227" s="1" t="s">
        <v>32</v>
      </c>
      <c r="S5227" s="1" t="s">
        <v>33</v>
      </c>
      <c r="T5227" s="1" t="s">
        <v>34</v>
      </c>
      <c r="U5227" s="1">
        <v>1.00610903E8</v>
      </c>
      <c r="V5227" s="1" t="s">
        <v>3993</v>
      </c>
      <c r="W5227" s="1" t="s">
        <v>717</v>
      </c>
      <c r="X5227" s="1" t="s">
        <v>35</v>
      </c>
      <c r="Y5227" s="1" t="s">
        <v>4099</v>
      </c>
      <c r="Z5227" s="1" t="s">
        <v>37</v>
      </c>
    </row>
    <row r="5228" hidden="1">
      <c r="A5228" s="1" t="s">
        <v>14548</v>
      </c>
      <c r="B5228" s="1" t="s">
        <v>14549</v>
      </c>
      <c r="C5228" s="1" t="s">
        <v>14550</v>
      </c>
      <c r="D5228" s="1" t="s">
        <v>122</v>
      </c>
      <c r="E5228" s="1" t="s">
        <v>28</v>
      </c>
      <c r="F5228" s="2">
        <v>50000.0</v>
      </c>
      <c r="G5228" s="1" t="s">
        <v>4346</v>
      </c>
      <c r="H5228" s="4">
        <f>IFERROR(__xludf.DUMMYFUNCTION("DATE(INDEX(SPLIT(G5228,""/""),,3),INDEX(SPLIT(G5228,""/""),,2),INDEX(SPLIT(G5228,""/""),,1))"),44765.0)</f>
        <v>44765</v>
      </c>
      <c r="I5228" s="1" t="s">
        <v>130</v>
      </c>
      <c r="J5228" s="4">
        <f>IFERROR(__xludf.DUMMYFUNCTION("DATE(INDEX(SPLIT(I5228,""/""),,3),INDEX(SPLIT(I5228,""/""),,2),INDEX(SPLIT(I5228,""/""),,1))"),44804.0)</f>
        <v>44804</v>
      </c>
      <c r="L5228" s="1">
        <v>0.0</v>
      </c>
      <c r="M5228" s="1" t="s">
        <v>2207</v>
      </c>
      <c r="N5228" s="1"/>
      <c r="O5228" s="1" t="s">
        <v>30</v>
      </c>
      <c r="P5228" s="1" t="s">
        <v>31</v>
      </c>
      <c r="Q5228" s="1" t="s">
        <v>228</v>
      </c>
      <c r="R5228" s="1" t="s">
        <v>228</v>
      </c>
      <c r="S5228" s="1" t="s">
        <v>229</v>
      </c>
      <c r="U5228" s="1">
        <v>1.00596618E8</v>
      </c>
      <c r="X5228" s="1" t="s">
        <v>98</v>
      </c>
      <c r="Y5228" s="1" t="s">
        <v>2208</v>
      </c>
      <c r="Z5228" s="1" t="s">
        <v>37</v>
      </c>
    </row>
    <row r="5229">
      <c r="A5229" s="1" t="s">
        <v>14551</v>
      </c>
      <c r="B5229" s="1" t="s">
        <v>14552</v>
      </c>
      <c r="C5229" s="1" t="s">
        <v>14553</v>
      </c>
      <c r="D5229" s="1" t="s">
        <v>78</v>
      </c>
      <c r="E5229" s="1" t="s">
        <v>28</v>
      </c>
      <c r="F5229" s="2">
        <v>50000.0</v>
      </c>
      <c r="G5229" s="1" t="s">
        <v>2324</v>
      </c>
      <c r="H5229" s="4">
        <f>IFERROR(__xludf.DUMMYFUNCTION("DATE(INDEX(SPLIT(G5229,""/""),,3),INDEX(SPLIT(G5229,""/""),,2),INDEX(SPLIT(G5229,""/""),,1))"),44705.0)</f>
        <v>44705</v>
      </c>
      <c r="I5229" s="4">
        <v>44626.0</v>
      </c>
      <c r="J5229" s="4">
        <f>IFERROR(__xludf.DUMMYFUNCTION("DATE(INDEX(SPLIT(I5229,""/""),,3),INDEX(SPLIT(I5229,""/""),,2),INDEX(SPLIT(I5229,""/""),,1))"),44715.0)</f>
        <v>44715</v>
      </c>
      <c r="L5229" s="1">
        <v>0.0</v>
      </c>
      <c r="M5229" s="1" t="s">
        <v>12039</v>
      </c>
      <c r="N5229" s="1"/>
      <c r="O5229" s="1" t="s">
        <v>30</v>
      </c>
      <c r="P5229" s="1" t="s">
        <v>31</v>
      </c>
      <c r="Q5229" s="1" t="s">
        <v>228</v>
      </c>
      <c r="R5229" s="1" t="s">
        <v>228</v>
      </c>
      <c r="S5229" s="1" t="s">
        <v>229</v>
      </c>
      <c r="T5229" s="1" t="s">
        <v>640</v>
      </c>
      <c r="U5229" s="1">
        <v>1.00612509E8</v>
      </c>
      <c r="X5229" s="1" t="s">
        <v>117</v>
      </c>
      <c r="Y5229" s="1" t="s">
        <v>12039</v>
      </c>
      <c r="Z5229" s="1" t="s">
        <v>37</v>
      </c>
    </row>
    <row r="5230">
      <c r="A5230" s="1" t="s">
        <v>14554</v>
      </c>
      <c r="B5230" s="1" t="s">
        <v>555</v>
      </c>
      <c r="C5230" s="1" t="s">
        <v>14555</v>
      </c>
      <c r="D5230" s="1" t="s">
        <v>27</v>
      </c>
      <c r="E5230" s="1" t="s">
        <v>28</v>
      </c>
      <c r="F5230" s="2">
        <v>50000.0</v>
      </c>
      <c r="G5230" s="1" t="s">
        <v>10076</v>
      </c>
      <c r="H5230" s="4">
        <f>IFERROR(__xludf.DUMMYFUNCTION("DATE(INDEX(SPLIT(G5230,""/""),,3),INDEX(SPLIT(G5230,""/""),,2),INDEX(SPLIT(G5230,""/""),,1))"),44062.0)</f>
        <v>44062</v>
      </c>
      <c r="I5230" s="1" t="s">
        <v>226</v>
      </c>
      <c r="J5230" s="4">
        <f>IFERROR(__xludf.DUMMYFUNCTION("DATE(INDEX(SPLIT(I5230,""/""),,3),INDEX(SPLIT(I5230,""/""),,2),INDEX(SPLIT(I5230,""/""),,1))"),44771.0)</f>
        <v>44771</v>
      </c>
      <c r="L5230" s="1">
        <v>0.0</v>
      </c>
      <c r="M5230" s="1" t="s">
        <v>558</v>
      </c>
      <c r="N5230" s="1"/>
      <c r="O5230" s="1" t="s">
        <v>30</v>
      </c>
      <c r="P5230" s="1" t="s">
        <v>31</v>
      </c>
      <c r="Q5230" s="1" t="s">
        <v>53</v>
      </c>
      <c r="R5230" s="1" t="s">
        <v>53</v>
      </c>
      <c r="S5230" s="1" t="s">
        <v>54</v>
      </c>
      <c r="T5230" s="1" t="s">
        <v>87</v>
      </c>
      <c r="U5230" s="1">
        <v>1.00653597E8</v>
      </c>
      <c r="X5230" s="1" t="s">
        <v>88</v>
      </c>
      <c r="Y5230" s="1" t="s">
        <v>14556</v>
      </c>
      <c r="Z5230" s="1" t="s">
        <v>37</v>
      </c>
    </row>
    <row r="5231" hidden="1">
      <c r="A5231" s="1" t="s">
        <v>14557</v>
      </c>
      <c r="B5231" s="1" t="s">
        <v>14558</v>
      </c>
      <c r="C5231" s="1" t="s">
        <v>14559</v>
      </c>
      <c r="D5231" s="1" t="s">
        <v>27</v>
      </c>
      <c r="E5231" s="1" t="s">
        <v>28</v>
      </c>
      <c r="F5231" s="2">
        <v>50000.0</v>
      </c>
      <c r="G5231" s="1" t="s">
        <v>4943</v>
      </c>
      <c r="H5231" s="4">
        <f>IFERROR(__xludf.DUMMYFUNCTION("DATE(INDEX(SPLIT(G5231,""/""),,3),INDEX(SPLIT(G5231,""/""),,2),INDEX(SPLIT(G5231,""/""),,1))"),44212.0)</f>
        <v>44212</v>
      </c>
      <c r="I5231" s="1" t="s">
        <v>109</v>
      </c>
      <c r="J5231" s="4">
        <f>IFERROR(__xludf.DUMMYFUNCTION("DATE(INDEX(SPLIT(I5231,""/""),,3),INDEX(SPLIT(I5231,""/""),,2),INDEX(SPLIT(I5231,""/""),,1))"),44834.0)</f>
        <v>44834</v>
      </c>
      <c r="L5231" s="1">
        <v>0.0</v>
      </c>
      <c r="M5231" s="1" t="s">
        <v>2444</v>
      </c>
      <c r="N5231" s="1"/>
      <c r="O5231" s="1" t="s">
        <v>30</v>
      </c>
      <c r="P5231" s="1" t="s">
        <v>31</v>
      </c>
      <c r="Q5231" s="1" t="s">
        <v>71</v>
      </c>
      <c r="R5231" s="1" t="s">
        <v>71</v>
      </c>
      <c r="S5231" s="1" t="s">
        <v>72</v>
      </c>
      <c r="T5231" s="1" t="s">
        <v>640</v>
      </c>
      <c r="U5231" s="1">
        <v>1.00612395E8</v>
      </c>
      <c r="X5231" s="1" t="s">
        <v>74</v>
      </c>
      <c r="Y5231" s="1" t="s">
        <v>8809</v>
      </c>
      <c r="Z5231" s="1" t="s">
        <v>37</v>
      </c>
    </row>
    <row r="5232" hidden="1">
      <c r="A5232" s="1" t="s">
        <v>14560</v>
      </c>
      <c r="B5232" s="1" t="s">
        <v>2620</v>
      </c>
      <c r="C5232" s="1" t="s">
        <v>14561</v>
      </c>
      <c r="D5232" s="1" t="s">
        <v>27</v>
      </c>
      <c r="E5232" s="1" t="s">
        <v>28</v>
      </c>
      <c r="F5232" s="2">
        <v>50000.0</v>
      </c>
      <c r="G5232" s="1" t="s">
        <v>1136</v>
      </c>
      <c r="H5232" s="4">
        <f>IFERROR(__xludf.DUMMYFUNCTION("DATE(INDEX(SPLIT(G5232,""/""),,3),INDEX(SPLIT(G5232,""/""),,2),INDEX(SPLIT(G5232,""/""),,1))"),44608.0)</f>
        <v>44608</v>
      </c>
      <c r="I5232" s="4">
        <v>44690.0</v>
      </c>
      <c r="J5232" s="4">
        <f>IFERROR(__xludf.DUMMYFUNCTION("DATE(INDEX(SPLIT(I5232,""/""),,3),INDEX(SPLIT(I5232,""/""),,2),INDEX(SPLIT(I5232,""/""),,1))"),44809.0)</f>
        <v>44809</v>
      </c>
      <c r="L5232" s="1">
        <v>0.0</v>
      </c>
      <c r="M5232" s="1" t="s">
        <v>2476</v>
      </c>
      <c r="N5232" s="1"/>
      <c r="O5232" s="1" t="s">
        <v>30</v>
      </c>
      <c r="P5232" s="1" t="s">
        <v>31</v>
      </c>
      <c r="Q5232" s="1" t="s">
        <v>71</v>
      </c>
      <c r="R5232" s="1" t="s">
        <v>71</v>
      </c>
      <c r="S5232" s="1" t="s">
        <v>72</v>
      </c>
      <c r="U5232" s="1">
        <v>1.00649598E8</v>
      </c>
      <c r="X5232" s="1" t="s">
        <v>74</v>
      </c>
      <c r="Y5232" s="1" t="s">
        <v>2623</v>
      </c>
      <c r="Z5232" s="1" t="s">
        <v>37</v>
      </c>
    </row>
    <row r="5233" hidden="1">
      <c r="A5233" s="1" t="s">
        <v>14562</v>
      </c>
      <c r="B5233" s="1" t="s">
        <v>605</v>
      </c>
      <c r="C5233" s="1" t="s">
        <v>14563</v>
      </c>
      <c r="D5233" s="1" t="s">
        <v>68</v>
      </c>
      <c r="E5233" s="1" t="s">
        <v>28</v>
      </c>
      <c r="F5233" s="2">
        <v>50000.0</v>
      </c>
      <c r="G5233" s="1" t="s">
        <v>1136</v>
      </c>
      <c r="H5233" s="4">
        <f>IFERROR(__xludf.DUMMYFUNCTION("DATE(INDEX(SPLIT(G5233,""/""),,3),INDEX(SPLIT(G5233,""/""),,2),INDEX(SPLIT(G5233,""/""),,1))"),44608.0)</f>
        <v>44608</v>
      </c>
      <c r="I5233" s="1" t="s">
        <v>130</v>
      </c>
      <c r="J5233" s="4">
        <f>IFERROR(__xludf.DUMMYFUNCTION("DATE(INDEX(SPLIT(I5233,""/""),,3),INDEX(SPLIT(I5233,""/""),,2),INDEX(SPLIT(I5233,""/""),,1))"),44804.0)</f>
        <v>44804</v>
      </c>
      <c r="L5233" s="1">
        <v>0.0</v>
      </c>
      <c r="M5233" s="1" t="s">
        <v>7088</v>
      </c>
      <c r="N5233" s="1"/>
      <c r="O5233" s="1" t="s">
        <v>30</v>
      </c>
      <c r="P5233" s="1" t="s">
        <v>31</v>
      </c>
      <c r="Q5233" s="1" t="s">
        <v>228</v>
      </c>
      <c r="R5233" s="1" t="s">
        <v>228</v>
      </c>
      <c r="S5233" s="1" t="s">
        <v>229</v>
      </c>
      <c r="T5233" s="1" t="s">
        <v>513</v>
      </c>
      <c r="U5233" s="1">
        <v>1.00597339E8</v>
      </c>
      <c r="X5233" s="1" t="s">
        <v>63</v>
      </c>
      <c r="Y5233" s="1" t="s">
        <v>7089</v>
      </c>
      <c r="Z5233" s="1" t="s">
        <v>37</v>
      </c>
    </row>
    <row r="5234">
      <c r="A5234" s="1" t="s">
        <v>14564</v>
      </c>
      <c r="B5234" s="1" t="s">
        <v>6308</v>
      </c>
      <c r="C5234" s="1" t="s">
        <v>14565</v>
      </c>
      <c r="D5234" s="1" t="s">
        <v>122</v>
      </c>
      <c r="E5234" s="1" t="s">
        <v>28</v>
      </c>
      <c r="F5234" s="2">
        <v>50000.0</v>
      </c>
      <c r="G5234" s="1" t="s">
        <v>534</v>
      </c>
      <c r="H5234" s="4">
        <f>IFERROR(__xludf.DUMMYFUNCTION("DATE(INDEX(SPLIT(G5234,""/""),,3),INDEX(SPLIT(G5234,""/""),,2),INDEX(SPLIT(G5234,""/""),,1))"),44704.0)</f>
        <v>44704</v>
      </c>
      <c r="I5234" s="1" t="s">
        <v>69</v>
      </c>
      <c r="J5234" s="4">
        <f>IFERROR(__xludf.DUMMYFUNCTION("DATE(INDEX(SPLIT(I5234,""/""),,3),INDEX(SPLIT(I5234,""/""),,2),INDEX(SPLIT(I5234,""/""),,1))"),44773.0)</f>
        <v>44773</v>
      </c>
      <c r="L5234" s="1">
        <v>0.0</v>
      </c>
      <c r="M5234" s="1" t="s">
        <v>9406</v>
      </c>
      <c r="N5234" s="1"/>
      <c r="O5234" s="1" t="s">
        <v>30</v>
      </c>
      <c r="P5234" s="1" t="s">
        <v>31</v>
      </c>
      <c r="Q5234" s="1" t="s">
        <v>228</v>
      </c>
      <c r="R5234" s="1" t="s">
        <v>228</v>
      </c>
      <c r="S5234" s="1" t="s">
        <v>229</v>
      </c>
      <c r="T5234" s="1" t="s">
        <v>513</v>
      </c>
      <c r="U5234" s="1">
        <v>1.01000708E8</v>
      </c>
      <c r="X5234" s="1" t="s">
        <v>63</v>
      </c>
      <c r="Y5234" s="1" t="s">
        <v>9406</v>
      </c>
      <c r="Z5234" s="1" t="s">
        <v>37</v>
      </c>
    </row>
    <row r="5235">
      <c r="A5235" s="1" t="s">
        <v>14566</v>
      </c>
      <c r="B5235" s="1" t="s">
        <v>793</v>
      </c>
      <c r="C5235" s="1" t="s">
        <v>14567</v>
      </c>
      <c r="D5235" s="1" t="s">
        <v>122</v>
      </c>
      <c r="E5235" s="1" t="s">
        <v>28</v>
      </c>
      <c r="F5235" s="2">
        <v>50000.0</v>
      </c>
      <c r="G5235" s="1" t="s">
        <v>600</v>
      </c>
      <c r="H5235" s="4">
        <f>IFERROR(__xludf.DUMMYFUNCTION("DATE(INDEX(SPLIT(G5235,""/""),,3),INDEX(SPLIT(G5235,""/""),,2),INDEX(SPLIT(G5235,""/""),,1))"),44665.0)</f>
        <v>44665</v>
      </c>
      <c r="I5235" s="1" t="s">
        <v>518</v>
      </c>
      <c r="J5235" s="4">
        <f>IFERROR(__xludf.DUMMYFUNCTION("DATE(INDEX(SPLIT(I5235,""/""),,3),INDEX(SPLIT(I5235,""/""),,2),INDEX(SPLIT(I5235,""/""),,1))"),44757.0)</f>
        <v>44757</v>
      </c>
      <c r="L5235" s="1">
        <v>0.0</v>
      </c>
      <c r="M5235" s="1" t="s">
        <v>14568</v>
      </c>
      <c r="N5235" s="1"/>
      <c r="O5235" s="1" t="s">
        <v>30</v>
      </c>
      <c r="P5235" s="1" t="s">
        <v>31</v>
      </c>
      <c r="Q5235" s="1" t="s">
        <v>228</v>
      </c>
      <c r="R5235" s="1" t="s">
        <v>228</v>
      </c>
      <c r="S5235" s="1" t="s">
        <v>229</v>
      </c>
      <c r="T5235" s="1" t="s">
        <v>640</v>
      </c>
      <c r="U5235" s="1">
        <v>1.00596849E8</v>
      </c>
      <c r="X5235" s="1" t="s">
        <v>117</v>
      </c>
      <c r="Y5235" s="1" t="s">
        <v>14569</v>
      </c>
      <c r="Z5235" s="1" t="s">
        <v>206</v>
      </c>
    </row>
    <row r="5236" hidden="1">
      <c r="A5236" s="1" t="s">
        <v>14570</v>
      </c>
      <c r="B5236" s="1" t="s">
        <v>14571</v>
      </c>
      <c r="C5236" s="1" t="s">
        <v>14572</v>
      </c>
      <c r="D5236" s="1" t="s">
        <v>78</v>
      </c>
      <c r="E5236" s="1" t="s">
        <v>28</v>
      </c>
      <c r="F5236" s="2">
        <v>50000.0</v>
      </c>
      <c r="G5236" s="1" t="s">
        <v>164</v>
      </c>
      <c r="H5236" s="4">
        <f>IFERROR(__xludf.DUMMYFUNCTION("DATE(INDEX(SPLIT(G5236,""/""),,3),INDEX(SPLIT(G5236,""/""),,2),INDEX(SPLIT(G5236,""/""),,1))"),44706.0)</f>
        <v>44706</v>
      </c>
      <c r="I5236" s="1" t="s">
        <v>203</v>
      </c>
      <c r="J5236" s="4">
        <f>IFERROR(__xludf.DUMMYFUNCTION("DATE(INDEX(SPLIT(I5236,""/""),,3),INDEX(SPLIT(I5236,""/""),,2),INDEX(SPLIT(I5236,""/""),,1))"),44925.0)</f>
        <v>44925</v>
      </c>
      <c r="L5236" s="1">
        <v>0.0</v>
      </c>
      <c r="M5236" s="1" t="s">
        <v>12039</v>
      </c>
      <c r="N5236" s="1"/>
      <c r="O5236" s="1" t="s">
        <v>30</v>
      </c>
      <c r="P5236" s="1" t="s">
        <v>31</v>
      </c>
      <c r="Q5236" s="1" t="s">
        <v>228</v>
      </c>
      <c r="R5236" s="1" t="s">
        <v>228</v>
      </c>
      <c r="S5236" s="1" t="s">
        <v>229</v>
      </c>
      <c r="T5236" s="1" t="s">
        <v>640</v>
      </c>
      <c r="U5236" s="1">
        <v>1.00612509E8</v>
      </c>
      <c r="X5236" s="1" t="s">
        <v>74</v>
      </c>
      <c r="Y5236" s="1" t="s">
        <v>6966</v>
      </c>
      <c r="Z5236" s="1" t="s">
        <v>37</v>
      </c>
    </row>
    <row r="5237" hidden="1">
      <c r="A5237" s="1" t="s">
        <v>14573</v>
      </c>
      <c r="B5237" s="1" t="s">
        <v>14574</v>
      </c>
      <c r="C5237" s="1" t="s">
        <v>14575</v>
      </c>
      <c r="D5237" s="1" t="s">
        <v>27</v>
      </c>
      <c r="E5237" s="1" t="s">
        <v>28</v>
      </c>
      <c r="F5237" s="2">
        <v>50000.0</v>
      </c>
      <c r="G5237" s="4">
        <v>44298.0</v>
      </c>
      <c r="H5237" s="4">
        <f>IFERROR(__xludf.DUMMYFUNCTION("DATE(INDEX(SPLIT(G5237,""/""),,3),INDEX(SPLIT(G5237,""/""),,2),INDEX(SPLIT(G5237,""/""),,1))"),44534.0)</f>
        <v>44534</v>
      </c>
      <c r="I5237" s="1" t="s">
        <v>109</v>
      </c>
      <c r="J5237" s="4">
        <f>IFERROR(__xludf.DUMMYFUNCTION("DATE(INDEX(SPLIT(I5237,""/""),,3),INDEX(SPLIT(I5237,""/""),,2),INDEX(SPLIT(I5237,""/""),,1))"),44834.0)</f>
        <v>44834</v>
      </c>
      <c r="L5237" s="1">
        <v>0.0</v>
      </c>
      <c r="M5237" s="1" t="s">
        <v>823</v>
      </c>
      <c r="N5237" s="1"/>
      <c r="O5237" s="1" t="s">
        <v>30</v>
      </c>
      <c r="P5237" s="1" t="s">
        <v>31</v>
      </c>
      <c r="Q5237" s="1" t="s">
        <v>95</v>
      </c>
      <c r="R5237" s="1" t="s">
        <v>95</v>
      </c>
      <c r="S5237" s="1" t="s">
        <v>96</v>
      </c>
      <c r="T5237" s="1" t="s">
        <v>111</v>
      </c>
      <c r="U5237" s="1">
        <v>1.00629729E8</v>
      </c>
      <c r="X5237" s="1" t="s">
        <v>98</v>
      </c>
      <c r="Y5237" s="1" t="s">
        <v>2081</v>
      </c>
      <c r="Z5237" s="1" t="s">
        <v>37</v>
      </c>
    </row>
    <row r="5238" hidden="1">
      <c r="A5238" s="1" t="s">
        <v>14576</v>
      </c>
      <c r="B5238" s="1" t="s">
        <v>612</v>
      </c>
      <c r="C5238" s="1" t="s">
        <v>14577</v>
      </c>
      <c r="D5238" s="1" t="s">
        <v>78</v>
      </c>
      <c r="E5238" s="1" t="s">
        <v>28</v>
      </c>
      <c r="F5238" s="2">
        <v>50000.0</v>
      </c>
      <c r="G5238" s="4">
        <v>44899.0</v>
      </c>
      <c r="H5238" s="4">
        <f>IFERROR(__xludf.DUMMYFUNCTION("DATE(INDEX(SPLIT(G5238,""/""),,3),INDEX(SPLIT(G5238,""/""),,2),INDEX(SPLIT(G5238,""/""),,1))"),44663.0)</f>
        <v>44663</v>
      </c>
      <c r="I5238" s="1" t="s">
        <v>109</v>
      </c>
      <c r="J5238" s="4">
        <f>IFERROR(__xludf.DUMMYFUNCTION("DATE(INDEX(SPLIT(I5238,""/""),,3),INDEX(SPLIT(I5238,""/""),,2),INDEX(SPLIT(I5238,""/""),,1))"),44834.0)</f>
        <v>44834</v>
      </c>
      <c r="L5238" s="1">
        <v>0.0</v>
      </c>
      <c r="M5238" s="1" t="s">
        <v>9378</v>
      </c>
      <c r="N5238" s="1"/>
      <c r="O5238" s="1" t="s">
        <v>30</v>
      </c>
      <c r="P5238" s="1" t="s">
        <v>31</v>
      </c>
      <c r="Q5238" s="1" t="s">
        <v>188</v>
      </c>
      <c r="R5238" s="1" t="s">
        <v>188</v>
      </c>
      <c r="S5238" s="1" t="s">
        <v>189</v>
      </c>
      <c r="T5238" s="1" t="s">
        <v>1386</v>
      </c>
      <c r="U5238" s="1">
        <v>1.00660828E8</v>
      </c>
      <c r="X5238" s="1" t="s">
        <v>490</v>
      </c>
      <c r="Y5238" s="1" t="s">
        <v>14578</v>
      </c>
      <c r="Z5238" s="1" t="s">
        <v>37</v>
      </c>
    </row>
    <row r="5239" hidden="1">
      <c r="A5239" s="1" t="s">
        <v>14579</v>
      </c>
      <c r="B5239" s="1" t="s">
        <v>13493</v>
      </c>
      <c r="C5239" s="1" t="s">
        <v>14580</v>
      </c>
      <c r="D5239" s="1" t="s">
        <v>27</v>
      </c>
      <c r="E5239" s="1" t="s">
        <v>28</v>
      </c>
      <c r="F5239" s="2">
        <v>50000.0</v>
      </c>
      <c r="G5239" s="1" t="s">
        <v>394</v>
      </c>
      <c r="H5239" s="4">
        <f>IFERROR(__xludf.DUMMYFUNCTION("DATE(INDEX(SPLIT(G5239,""/""),,3),INDEX(SPLIT(G5239,""/""),,2),INDEX(SPLIT(G5239,""/""),,1))"),44677.0)</f>
        <v>44677</v>
      </c>
      <c r="I5239" s="1" t="s">
        <v>109</v>
      </c>
      <c r="J5239" s="4">
        <f>IFERROR(__xludf.DUMMYFUNCTION("DATE(INDEX(SPLIT(I5239,""/""),,3),INDEX(SPLIT(I5239,""/""),,2),INDEX(SPLIT(I5239,""/""),,1))"),44834.0)</f>
        <v>44834</v>
      </c>
      <c r="L5239" s="1">
        <v>0.0</v>
      </c>
      <c r="M5239" s="1" t="s">
        <v>2107</v>
      </c>
      <c r="N5239" s="1"/>
      <c r="O5239" s="1" t="s">
        <v>30</v>
      </c>
      <c r="P5239" s="1" t="s">
        <v>31</v>
      </c>
      <c r="Q5239" s="1" t="s">
        <v>71</v>
      </c>
      <c r="R5239" s="1" t="s">
        <v>71</v>
      </c>
      <c r="S5239" s="1" t="s">
        <v>72</v>
      </c>
      <c r="T5239" s="1" t="s">
        <v>73</v>
      </c>
      <c r="U5239" s="1">
        <v>1.0061233E8</v>
      </c>
      <c r="X5239" s="1" t="s">
        <v>74</v>
      </c>
      <c r="Y5239" s="1" t="s">
        <v>8809</v>
      </c>
      <c r="Z5239" s="1" t="s">
        <v>37</v>
      </c>
    </row>
    <row r="5240" hidden="1">
      <c r="A5240" s="1" t="s">
        <v>14581</v>
      </c>
      <c r="B5240" s="1" t="s">
        <v>13880</v>
      </c>
      <c r="C5240" s="1" t="s">
        <v>14582</v>
      </c>
      <c r="D5240" s="1" t="s">
        <v>78</v>
      </c>
      <c r="E5240" s="1" t="s">
        <v>28</v>
      </c>
      <c r="F5240" s="2">
        <v>50000.0</v>
      </c>
      <c r="G5240" s="4">
        <v>44868.0</v>
      </c>
      <c r="H5240" s="4">
        <f>IFERROR(__xludf.DUMMYFUNCTION("DATE(INDEX(SPLIT(G5240,""/""),,3),INDEX(SPLIT(G5240,""/""),,2),INDEX(SPLIT(G5240,""/""),,1))"),44631.0)</f>
        <v>44631</v>
      </c>
      <c r="I5240" s="4">
        <v>44569.0</v>
      </c>
      <c r="J5240" s="4">
        <f>IFERROR(__xludf.DUMMYFUNCTION("DATE(INDEX(SPLIT(I5240,""/""),,3),INDEX(SPLIT(I5240,""/""),,2),INDEX(SPLIT(I5240,""/""),,1))"),44774.0)</f>
        <v>44774</v>
      </c>
      <c r="L5240" s="1">
        <v>0.0</v>
      </c>
      <c r="M5240" s="1" t="s">
        <v>6045</v>
      </c>
      <c r="N5240" s="1"/>
      <c r="O5240" s="1" t="s">
        <v>30</v>
      </c>
      <c r="P5240" s="1" t="s">
        <v>31</v>
      </c>
      <c r="Q5240" s="1" t="s">
        <v>228</v>
      </c>
      <c r="R5240" s="1" t="s">
        <v>228</v>
      </c>
      <c r="S5240" s="1" t="s">
        <v>229</v>
      </c>
      <c r="T5240" s="1" t="s">
        <v>513</v>
      </c>
      <c r="U5240" s="1">
        <v>1.00652479E8</v>
      </c>
      <c r="X5240" s="1" t="s">
        <v>98</v>
      </c>
      <c r="Y5240" s="1" t="s">
        <v>13845</v>
      </c>
      <c r="Z5240" s="1" t="s">
        <v>37</v>
      </c>
    </row>
    <row r="5241">
      <c r="A5241" s="1" t="s">
        <v>14583</v>
      </c>
      <c r="B5241" s="1" t="s">
        <v>962</v>
      </c>
      <c r="C5241" s="1" t="s">
        <v>14584</v>
      </c>
      <c r="D5241" s="1" t="s">
        <v>68</v>
      </c>
      <c r="E5241" s="1" t="s">
        <v>28</v>
      </c>
      <c r="F5241" s="2">
        <v>50000.0</v>
      </c>
      <c r="G5241" s="4">
        <v>44717.0</v>
      </c>
      <c r="H5241" s="4">
        <f>IFERROR(__xludf.DUMMYFUNCTION("DATE(INDEX(SPLIT(G5241,""/""),,3),INDEX(SPLIT(G5241,""/""),,2),INDEX(SPLIT(G5241,""/""),,1))"),44687.0)</f>
        <v>44687</v>
      </c>
      <c r="I5241" s="4">
        <v>44568.0</v>
      </c>
      <c r="J5241" s="4">
        <f>IFERROR(__xludf.DUMMYFUNCTION("DATE(INDEX(SPLIT(I5241,""/""),,3),INDEX(SPLIT(I5241,""/""),,2),INDEX(SPLIT(I5241,""/""),,1))"),44743.0)</f>
        <v>44743</v>
      </c>
      <c r="L5241" s="1">
        <v>0.0</v>
      </c>
      <c r="M5241" s="1" t="s">
        <v>5359</v>
      </c>
      <c r="N5241" s="1"/>
      <c r="O5241" s="1" t="s">
        <v>30</v>
      </c>
      <c r="P5241" s="1" t="s">
        <v>31</v>
      </c>
      <c r="Q5241" s="1" t="s">
        <v>95</v>
      </c>
      <c r="R5241" s="1" t="s">
        <v>95</v>
      </c>
      <c r="S5241" s="1" t="s">
        <v>96</v>
      </c>
      <c r="T5241" s="1" t="s">
        <v>311</v>
      </c>
      <c r="U5241" s="1">
        <v>1.00656882E8</v>
      </c>
      <c r="X5241" s="1" t="s">
        <v>190</v>
      </c>
      <c r="Y5241" s="1" t="s">
        <v>14585</v>
      </c>
      <c r="Z5241" s="1" t="s">
        <v>37</v>
      </c>
    </row>
    <row r="5242" hidden="1">
      <c r="A5242" s="1" t="s">
        <v>14586</v>
      </c>
      <c r="B5242" s="1" t="s">
        <v>3957</v>
      </c>
      <c r="C5242" s="1" t="s">
        <v>14587</v>
      </c>
      <c r="D5242" s="1" t="s">
        <v>27</v>
      </c>
      <c r="E5242" s="1" t="s">
        <v>28</v>
      </c>
      <c r="F5242" s="2">
        <v>50000.0</v>
      </c>
      <c r="G5242" s="4">
        <v>44239.0</v>
      </c>
      <c r="H5242" s="4">
        <f>IFERROR(__xludf.DUMMYFUNCTION("DATE(INDEX(SPLIT(G5242,""/""),,3),INDEX(SPLIT(G5242,""/""),,2),INDEX(SPLIT(G5242,""/""),,1))"),44532.0)</f>
        <v>44532</v>
      </c>
      <c r="I5242" s="4">
        <v>44601.0</v>
      </c>
      <c r="J5242" s="4">
        <f>IFERROR(__xludf.DUMMYFUNCTION("DATE(INDEX(SPLIT(I5242,""/""),,3),INDEX(SPLIT(I5242,""/""),,2),INDEX(SPLIT(I5242,""/""),,1))"),44806.0)</f>
        <v>44806</v>
      </c>
      <c r="K5242" s="1" t="s">
        <v>14588</v>
      </c>
      <c r="L5242" s="1">
        <v>0.0</v>
      </c>
      <c r="M5242" s="1" t="s">
        <v>1614</v>
      </c>
      <c r="N5242" s="1"/>
      <c r="O5242" s="1" t="s">
        <v>30</v>
      </c>
      <c r="P5242" s="1" t="s">
        <v>31</v>
      </c>
      <c r="Q5242" s="1" t="s">
        <v>32</v>
      </c>
      <c r="R5242" s="1" t="s">
        <v>32</v>
      </c>
      <c r="S5242" s="1" t="s">
        <v>33</v>
      </c>
      <c r="T5242" s="1" t="s">
        <v>402</v>
      </c>
      <c r="U5242" s="1">
        <v>1.00587799E8</v>
      </c>
      <c r="X5242" s="1" t="s">
        <v>117</v>
      </c>
      <c r="Y5242" s="1" t="s">
        <v>3459</v>
      </c>
      <c r="Z5242" s="1" t="s">
        <v>37</v>
      </c>
    </row>
    <row r="5243" hidden="1">
      <c r="A5243" s="1" t="s">
        <v>14589</v>
      </c>
      <c r="B5243" s="1" t="s">
        <v>9115</v>
      </c>
      <c r="C5243" s="1" t="s">
        <v>14590</v>
      </c>
      <c r="D5243" s="1" t="s">
        <v>78</v>
      </c>
      <c r="E5243" s="1" t="s">
        <v>28</v>
      </c>
      <c r="F5243" s="2">
        <v>50000.0</v>
      </c>
      <c r="G5243" s="1" t="s">
        <v>2425</v>
      </c>
      <c r="H5243" s="4">
        <f>IFERROR(__xludf.DUMMYFUNCTION("DATE(INDEX(SPLIT(G5243,""/""),,3),INDEX(SPLIT(G5243,""/""),,2),INDEX(SPLIT(G5243,""/""),,1))"),44302.0)</f>
        <v>44302</v>
      </c>
      <c r="I5243" s="1" t="s">
        <v>109</v>
      </c>
      <c r="J5243" s="4">
        <f>IFERROR(__xludf.DUMMYFUNCTION("DATE(INDEX(SPLIT(I5243,""/""),,3),INDEX(SPLIT(I5243,""/""),,2),INDEX(SPLIT(I5243,""/""),,1))"),44834.0)</f>
        <v>44834</v>
      </c>
      <c r="L5243" s="1">
        <v>0.0</v>
      </c>
      <c r="M5243" s="1" t="s">
        <v>10257</v>
      </c>
      <c r="N5243" s="1"/>
      <c r="O5243" s="1" t="s">
        <v>30</v>
      </c>
      <c r="P5243" s="1" t="s">
        <v>31</v>
      </c>
      <c r="Q5243" s="1" t="s">
        <v>157</v>
      </c>
      <c r="R5243" s="1" t="s">
        <v>157</v>
      </c>
      <c r="S5243" s="1" t="s">
        <v>158</v>
      </c>
      <c r="T5243" s="1" t="s">
        <v>14591</v>
      </c>
      <c r="U5243" s="1">
        <v>1.0061717E8</v>
      </c>
      <c r="X5243" s="1" t="s">
        <v>375</v>
      </c>
      <c r="Y5243" s="1" t="s">
        <v>13472</v>
      </c>
      <c r="Z5243" s="1" t="s">
        <v>37</v>
      </c>
    </row>
    <row r="5244" hidden="1">
      <c r="A5244" s="1" t="s">
        <v>14592</v>
      </c>
      <c r="B5244" s="1" t="s">
        <v>7161</v>
      </c>
      <c r="C5244" s="1" t="s">
        <v>14593</v>
      </c>
      <c r="D5244" s="1" t="s">
        <v>27</v>
      </c>
      <c r="E5244" s="1" t="s">
        <v>28</v>
      </c>
      <c r="F5244" s="2">
        <v>50000.0</v>
      </c>
      <c r="G5244" s="4">
        <v>44055.0</v>
      </c>
      <c r="H5244" s="4">
        <f>IFERROR(__xludf.DUMMYFUNCTION("DATE(INDEX(SPLIT(G5244,""/""),,3),INDEX(SPLIT(G5244,""/""),,2),INDEX(SPLIT(G5244,""/""),,1))"),44173.0)</f>
        <v>44173</v>
      </c>
      <c r="I5244" s="1" t="s">
        <v>109</v>
      </c>
      <c r="J5244" s="4">
        <f>IFERROR(__xludf.DUMMYFUNCTION("DATE(INDEX(SPLIT(I5244,""/""),,3),INDEX(SPLIT(I5244,""/""),,2),INDEX(SPLIT(I5244,""/""),,1))"),44834.0)</f>
        <v>44834</v>
      </c>
      <c r="L5244" s="1">
        <v>0.0</v>
      </c>
      <c r="M5244" s="1" t="s">
        <v>2107</v>
      </c>
      <c r="N5244" s="1"/>
      <c r="O5244" s="1" t="s">
        <v>30</v>
      </c>
      <c r="P5244" s="1" t="s">
        <v>31</v>
      </c>
      <c r="Q5244" s="1" t="s">
        <v>71</v>
      </c>
      <c r="R5244" s="1" t="s">
        <v>71</v>
      </c>
      <c r="S5244" s="1" t="s">
        <v>72</v>
      </c>
      <c r="T5244" s="1" t="s">
        <v>14594</v>
      </c>
      <c r="U5244" s="1">
        <v>1.0061233E8</v>
      </c>
      <c r="X5244" s="1" t="s">
        <v>74</v>
      </c>
      <c r="Y5244" s="1" t="s">
        <v>2107</v>
      </c>
      <c r="Z5244" s="1" t="s">
        <v>37</v>
      </c>
    </row>
    <row r="5245" hidden="1">
      <c r="A5245" s="1" t="s">
        <v>14595</v>
      </c>
      <c r="B5245" s="1" t="s">
        <v>14596</v>
      </c>
      <c r="C5245" s="1" t="s">
        <v>14597</v>
      </c>
      <c r="D5245" s="1" t="s">
        <v>122</v>
      </c>
      <c r="E5245" s="1" t="s">
        <v>28</v>
      </c>
      <c r="F5245" s="2">
        <v>50000.0</v>
      </c>
      <c r="G5245" s="4">
        <v>44389.0</v>
      </c>
      <c r="H5245" s="4">
        <f>IFERROR(__xludf.DUMMYFUNCTION("DATE(INDEX(SPLIT(G5245,""/""),,3),INDEX(SPLIT(G5245,""/""),,2),INDEX(SPLIT(G5245,""/""),,1))"),44537.0)</f>
        <v>44537</v>
      </c>
      <c r="I5245" s="1" t="s">
        <v>42</v>
      </c>
      <c r="J5245" s="4">
        <f>IFERROR(__xludf.DUMMYFUNCTION("DATE(INDEX(SPLIT(I5245,""/""),,3),INDEX(SPLIT(I5245,""/""),,2),INDEX(SPLIT(I5245,""/""),,1))"),44926.0)</f>
        <v>44926</v>
      </c>
      <c r="L5245" s="1">
        <v>0.0</v>
      </c>
      <c r="M5245" s="1" t="s">
        <v>4039</v>
      </c>
      <c r="N5245" s="1"/>
      <c r="O5245" s="1" t="s">
        <v>30</v>
      </c>
      <c r="P5245" s="1" t="s">
        <v>31</v>
      </c>
      <c r="Q5245" s="1" t="s">
        <v>228</v>
      </c>
      <c r="R5245" s="1" t="s">
        <v>228</v>
      </c>
      <c r="S5245" s="1" t="s">
        <v>229</v>
      </c>
      <c r="T5245" s="1" t="s">
        <v>505</v>
      </c>
      <c r="U5245" s="1">
        <v>1.00662113E8</v>
      </c>
      <c r="X5245" s="1" t="s">
        <v>361</v>
      </c>
      <c r="Y5245" s="1" t="s">
        <v>4039</v>
      </c>
      <c r="Z5245" s="1" t="s">
        <v>37</v>
      </c>
    </row>
    <row r="5246" hidden="1">
      <c r="A5246" s="1" t="s">
        <v>14598</v>
      </c>
      <c r="B5246" s="1" t="s">
        <v>6332</v>
      </c>
      <c r="C5246" s="1" t="s">
        <v>14599</v>
      </c>
      <c r="D5246" s="1" t="s">
        <v>78</v>
      </c>
      <c r="E5246" s="1" t="s">
        <v>28</v>
      </c>
      <c r="F5246" s="2">
        <v>50000.0</v>
      </c>
      <c r="G5246" s="4">
        <v>44410.0</v>
      </c>
      <c r="H5246" s="4">
        <f>IFERROR(__xludf.DUMMYFUNCTION("DATE(INDEX(SPLIT(G5246,""/""),,3),INDEX(SPLIT(G5246,""/""),,2),INDEX(SPLIT(G5246,""/""),,1))"),44235.0)</f>
        <v>44235</v>
      </c>
      <c r="I5246" s="1" t="s">
        <v>109</v>
      </c>
      <c r="J5246" s="4">
        <f>IFERROR(__xludf.DUMMYFUNCTION("DATE(INDEX(SPLIT(I5246,""/""),,3),INDEX(SPLIT(I5246,""/""),,2),INDEX(SPLIT(I5246,""/""),,1))"),44834.0)</f>
        <v>44834</v>
      </c>
      <c r="L5246" s="1">
        <v>0.0</v>
      </c>
      <c r="M5246" s="1" t="s">
        <v>4418</v>
      </c>
      <c r="N5246" s="1"/>
      <c r="O5246" s="1" t="s">
        <v>30</v>
      </c>
      <c r="P5246" s="1" t="s">
        <v>31</v>
      </c>
      <c r="Q5246" s="1" t="s">
        <v>188</v>
      </c>
      <c r="R5246" s="1" t="s">
        <v>188</v>
      </c>
      <c r="S5246" s="1" t="s">
        <v>189</v>
      </c>
      <c r="T5246" s="1" t="s">
        <v>304</v>
      </c>
      <c r="U5246" s="1">
        <v>1.0066064E8</v>
      </c>
      <c r="X5246" s="1" t="s">
        <v>490</v>
      </c>
      <c r="Y5246" s="1" t="s">
        <v>8809</v>
      </c>
      <c r="Z5246" s="1" t="s">
        <v>37</v>
      </c>
    </row>
    <row r="5247">
      <c r="A5247" s="1" t="s">
        <v>14600</v>
      </c>
      <c r="B5247" s="1" t="s">
        <v>14148</v>
      </c>
      <c r="C5247" s="1" t="s">
        <v>14601</v>
      </c>
      <c r="D5247" s="1" t="s">
        <v>78</v>
      </c>
      <c r="E5247" s="1" t="s">
        <v>28</v>
      </c>
      <c r="F5247" s="2">
        <v>50000.0</v>
      </c>
      <c r="G5247" s="4">
        <v>44598.0</v>
      </c>
      <c r="H5247" s="4">
        <f>IFERROR(__xludf.DUMMYFUNCTION("DATE(INDEX(SPLIT(G5247,""/""),,3),INDEX(SPLIT(G5247,""/""),,2),INDEX(SPLIT(G5247,""/""),,1))"),44714.0)</f>
        <v>44714</v>
      </c>
      <c r="I5247" s="4">
        <v>44840.0</v>
      </c>
      <c r="J5247" s="4">
        <f>IFERROR(__xludf.DUMMYFUNCTION("DATE(INDEX(SPLIT(I5247,""/""),,3),INDEX(SPLIT(I5247,""/""),,2),INDEX(SPLIT(I5247,""/""),,1))"),44722.0)</f>
        <v>44722</v>
      </c>
      <c r="L5247" s="1">
        <v>0.0</v>
      </c>
      <c r="M5247" s="1" t="s">
        <v>14422</v>
      </c>
      <c r="N5247" s="1"/>
      <c r="O5247" s="1" t="s">
        <v>30</v>
      </c>
      <c r="P5247" s="1" t="s">
        <v>31</v>
      </c>
      <c r="Q5247" s="1" t="s">
        <v>188</v>
      </c>
      <c r="R5247" s="1" t="s">
        <v>188</v>
      </c>
      <c r="S5247" s="1" t="s">
        <v>189</v>
      </c>
      <c r="U5247" s="1">
        <v>1.00619604E8</v>
      </c>
      <c r="X5247" s="1" t="s">
        <v>88</v>
      </c>
      <c r="Y5247" s="1" t="s">
        <v>14602</v>
      </c>
      <c r="Z5247" s="1" t="s">
        <v>37</v>
      </c>
    </row>
    <row r="5248" hidden="1">
      <c r="A5248" s="1" t="s">
        <v>14603</v>
      </c>
      <c r="B5248" s="1" t="s">
        <v>1417</v>
      </c>
      <c r="C5248" s="1" t="s">
        <v>14604</v>
      </c>
      <c r="D5248" s="1" t="s">
        <v>27</v>
      </c>
      <c r="E5248" s="1" t="s">
        <v>28</v>
      </c>
      <c r="F5248" s="2">
        <v>50000.0</v>
      </c>
      <c r="G5248" s="4">
        <v>44260.0</v>
      </c>
      <c r="H5248" s="4">
        <f>IFERROR(__xludf.DUMMYFUNCTION("DATE(INDEX(SPLIT(G5248,""/""),,3),INDEX(SPLIT(G5248,""/""),,2),INDEX(SPLIT(G5248,""/""),,1))"),44319.0)</f>
        <v>44319</v>
      </c>
      <c r="I5248" s="4">
        <v>44570.0</v>
      </c>
      <c r="J5248" s="4">
        <f>IFERROR(__xludf.DUMMYFUNCTION("DATE(INDEX(SPLIT(I5248,""/""),,3),INDEX(SPLIT(I5248,""/""),,2),INDEX(SPLIT(I5248,""/""),,1))"),44805.0)</f>
        <v>44805</v>
      </c>
      <c r="L5248" s="1">
        <v>0.0</v>
      </c>
      <c r="M5248" s="1" t="s">
        <v>3663</v>
      </c>
      <c r="N5248" s="1"/>
      <c r="O5248" s="1" t="s">
        <v>30</v>
      </c>
      <c r="P5248" s="1" t="s">
        <v>31</v>
      </c>
      <c r="Q5248" s="1" t="s">
        <v>95</v>
      </c>
      <c r="R5248" s="1" t="s">
        <v>95</v>
      </c>
      <c r="S5248" s="1" t="s">
        <v>96</v>
      </c>
      <c r="T5248" s="1" t="s">
        <v>489</v>
      </c>
      <c r="U5248" s="1">
        <v>1.00620159E8</v>
      </c>
      <c r="X5248" s="1" t="s">
        <v>74</v>
      </c>
      <c r="Y5248" s="1" t="s">
        <v>3653</v>
      </c>
      <c r="Z5248" s="1" t="s">
        <v>37</v>
      </c>
    </row>
    <row r="5249" hidden="1">
      <c r="A5249" s="1" t="s">
        <v>14605</v>
      </c>
      <c r="B5249" s="1" t="s">
        <v>7339</v>
      </c>
      <c r="C5249" s="1" t="s">
        <v>14606</v>
      </c>
      <c r="D5249" s="1" t="s">
        <v>27</v>
      </c>
      <c r="E5249" s="1" t="s">
        <v>28</v>
      </c>
      <c r="F5249" s="2">
        <v>50000.0</v>
      </c>
      <c r="G5249" s="1" t="s">
        <v>6314</v>
      </c>
      <c r="H5249" s="4">
        <f>IFERROR(__xludf.DUMMYFUNCTION("DATE(INDEX(SPLIT(G5249,""/""),,3),INDEX(SPLIT(G5249,""/""),,2),INDEX(SPLIT(G5249,""/""),,1))"),44286.0)</f>
        <v>44286</v>
      </c>
      <c r="I5249" s="1" t="s">
        <v>130</v>
      </c>
      <c r="J5249" s="4">
        <f>IFERROR(__xludf.DUMMYFUNCTION("DATE(INDEX(SPLIT(I5249,""/""),,3),INDEX(SPLIT(I5249,""/""),,2),INDEX(SPLIT(I5249,""/""),,1))"),44804.0)</f>
        <v>44804</v>
      </c>
      <c r="L5249" s="1">
        <v>0.0</v>
      </c>
      <c r="M5249" s="1" t="s">
        <v>94</v>
      </c>
      <c r="N5249" s="1"/>
      <c r="O5249" s="1" t="s">
        <v>30</v>
      </c>
      <c r="P5249" s="1" t="s">
        <v>31</v>
      </c>
      <c r="Q5249" s="1" t="s">
        <v>95</v>
      </c>
      <c r="R5249" s="1" t="s">
        <v>95</v>
      </c>
      <c r="S5249" s="1" t="s">
        <v>96</v>
      </c>
      <c r="T5249" s="1" t="s">
        <v>489</v>
      </c>
      <c r="U5249" s="1">
        <v>1.00596941E8</v>
      </c>
      <c r="X5249" s="1" t="s">
        <v>490</v>
      </c>
      <c r="Y5249" s="1" t="s">
        <v>8809</v>
      </c>
      <c r="Z5249" s="1" t="s">
        <v>37</v>
      </c>
    </row>
    <row r="5250">
      <c r="A5250" s="1" t="s">
        <v>14607</v>
      </c>
      <c r="B5250" s="1" t="s">
        <v>509</v>
      </c>
      <c r="C5250" s="1" t="s">
        <v>14608</v>
      </c>
      <c r="D5250" s="1" t="s">
        <v>27</v>
      </c>
      <c r="E5250" s="1" t="s">
        <v>28</v>
      </c>
      <c r="F5250" s="2">
        <v>50000.0</v>
      </c>
      <c r="G5250" s="4">
        <v>44837.0</v>
      </c>
      <c r="H5250" s="4">
        <f>IFERROR(__xludf.DUMMYFUNCTION("DATE(INDEX(SPLIT(G5250,""/""),,3),INDEX(SPLIT(G5250,""/""),,2),INDEX(SPLIT(G5250,""/""),,1))"),44630.0)</f>
        <v>44630</v>
      </c>
      <c r="I5250" s="1" t="s">
        <v>69</v>
      </c>
      <c r="J5250" s="4">
        <f>IFERROR(__xludf.DUMMYFUNCTION("DATE(INDEX(SPLIT(I5250,""/""),,3),INDEX(SPLIT(I5250,""/""),,2),INDEX(SPLIT(I5250,""/""),,1))"),44773.0)</f>
        <v>44773</v>
      </c>
      <c r="L5250" s="1">
        <v>0.0</v>
      </c>
      <c r="M5250" s="1" t="s">
        <v>512</v>
      </c>
      <c r="N5250" s="1"/>
      <c r="O5250" s="1" t="s">
        <v>30</v>
      </c>
      <c r="P5250" s="1" t="s">
        <v>31</v>
      </c>
      <c r="Q5250" s="1" t="s">
        <v>228</v>
      </c>
      <c r="R5250" s="1" t="s">
        <v>228</v>
      </c>
      <c r="S5250" s="1" t="s">
        <v>229</v>
      </c>
      <c r="T5250" s="1" t="s">
        <v>505</v>
      </c>
      <c r="U5250" s="1">
        <v>1.00654864E8</v>
      </c>
      <c r="X5250" s="1" t="s">
        <v>410</v>
      </c>
      <c r="Y5250" s="1" t="s">
        <v>14609</v>
      </c>
      <c r="Z5250" s="1" t="s">
        <v>37</v>
      </c>
    </row>
    <row r="5251" hidden="1">
      <c r="A5251" s="1" t="s">
        <v>14610</v>
      </c>
      <c r="B5251" s="1" t="s">
        <v>637</v>
      </c>
      <c r="C5251" s="1" t="s">
        <v>14611</v>
      </c>
      <c r="D5251" s="1" t="s">
        <v>27</v>
      </c>
      <c r="E5251" s="1" t="s">
        <v>28</v>
      </c>
      <c r="F5251" s="2">
        <v>50000.0</v>
      </c>
      <c r="G5251" s="1" t="s">
        <v>14612</v>
      </c>
      <c r="H5251" s="4">
        <f>IFERROR(__xludf.DUMMYFUNCTION("DATE(INDEX(SPLIT(G5251,""/""),,3),INDEX(SPLIT(G5251,""/""),,2),INDEX(SPLIT(G5251,""/""),,1))"),44275.0)</f>
        <v>44275</v>
      </c>
      <c r="I5251" s="1" t="s">
        <v>281</v>
      </c>
      <c r="J5251" s="4">
        <f>IFERROR(__xludf.DUMMYFUNCTION("DATE(INDEX(SPLIT(I5251,""/""),,3),INDEX(SPLIT(I5251,""/""),,2),INDEX(SPLIT(I5251,""/""),,1))"),44865.0)</f>
        <v>44865</v>
      </c>
      <c r="L5251" s="1">
        <v>0.0</v>
      </c>
      <c r="M5251" s="1" t="s">
        <v>639</v>
      </c>
      <c r="N5251" s="1"/>
      <c r="O5251" s="1" t="s">
        <v>30</v>
      </c>
      <c r="P5251" s="1" t="s">
        <v>31</v>
      </c>
      <c r="Q5251" s="1" t="s">
        <v>228</v>
      </c>
      <c r="R5251" s="1" t="s">
        <v>228</v>
      </c>
      <c r="S5251" s="1" t="s">
        <v>229</v>
      </c>
      <c r="T5251" s="1" t="s">
        <v>62</v>
      </c>
      <c r="U5251" s="1">
        <v>1.00646519E8</v>
      </c>
      <c r="X5251" s="1" t="s">
        <v>35</v>
      </c>
      <c r="Y5251" s="1" t="s">
        <v>8740</v>
      </c>
      <c r="Z5251" s="1" t="s">
        <v>37</v>
      </c>
    </row>
    <row r="5252" hidden="1">
      <c r="A5252" s="1" t="s">
        <v>14613</v>
      </c>
      <c r="B5252" s="1" t="s">
        <v>13218</v>
      </c>
      <c r="C5252" s="1" t="s">
        <v>14614</v>
      </c>
      <c r="D5252" s="1" t="s">
        <v>27</v>
      </c>
      <c r="E5252" s="1" t="s">
        <v>28</v>
      </c>
      <c r="F5252" s="2">
        <v>50000.0</v>
      </c>
      <c r="G5252" s="1" t="s">
        <v>14612</v>
      </c>
      <c r="H5252" s="4">
        <f>IFERROR(__xludf.DUMMYFUNCTION("DATE(INDEX(SPLIT(G5252,""/""),,3),INDEX(SPLIT(G5252,""/""),,2),INDEX(SPLIT(G5252,""/""),,1))"),44275.0)</f>
        <v>44275</v>
      </c>
      <c r="I5252" s="1" t="s">
        <v>281</v>
      </c>
      <c r="J5252" s="4">
        <f>IFERROR(__xludf.DUMMYFUNCTION("DATE(INDEX(SPLIT(I5252,""/""),,3),INDEX(SPLIT(I5252,""/""),,2),INDEX(SPLIT(I5252,""/""),,1))"),44865.0)</f>
        <v>44865</v>
      </c>
      <c r="L5252" s="1">
        <v>0.0</v>
      </c>
      <c r="M5252" s="1" t="s">
        <v>639</v>
      </c>
      <c r="N5252" s="1"/>
      <c r="O5252" s="1" t="s">
        <v>30</v>
      </c>
      <c r="P5252" s="1" t="s">
        <v>31</v>
      </c>
      <c r="Q5252" s="1" t="s">
        <v>228</v>
      </c>
      <c r="R5252" s="1" t="s">
        <v>228</v>
      </c>
      <c r="S5252" s="1" t="s">
        <v>229</v>
      </c>
      <c r="T5252" s="1" t="s">
        <v>640</v>
      </c>
      <c r="U5252" s="1">
        <v>1.00646519E8</v>
      </c>
      <c r="X5252" s="1" t="s">
        <v>35</v>
      </c>
      <c r="Y5252" s="1" t="s">
        <v>8740</v>
      </c>
      <c r="Z5252" s="1" t="s">
        <v>37</v>
      </c>
    </row>
    <row r="5253" hidden="1">
      <c r="A5253" s="1" t="s">
        <v>14615</v>
      </c>
      <c r="B5253" s="1" t="s">
        <v>1748</v>
      </c>
      <c r="C5253" s="1" t="s">
        <v>14616</v>
      </c>
      <c r="D5253" s="1" t="s">
        <v>27</v>
      </c>
      <c r="E5253" s="1" t="s">
        <v>28</v>
      </c>
      <c r="F5253" s="2">
        <v>50000.0</v>
      </c>
      <c r="G5253" s="4">
        <v>44324.0</v>
      </c>
      <c r="H5253" s="4">
        <f>IFERROR(__xludf.DUMMYFUNCTION("DATE(INDEX(SPLIT(G5253,""/""),,3),INDEX(SPLIT(G5253,""/""),,2),INDEX(SPLIT(G5253,""/""),,1))"),44413.0)</f>
        <v>44413</v>
      </c>
      <c r="I5253" s="1" t="s">
        <v>3202</v>
      </c>
      <c r="J5253" s="4">
        <f>IFERROR(__xludf.DUMMYFUNCTION("DATE(INDEX(SPLIT(I5253,""/""),,3),INDEX(SPLIT(I5253,""/""),,2),INDEX(SPLIT(I5253,""/""),,1))"),44830.0)</f>
        <v>44830</v>
      </c>
      <c r="L5253" s="1">
        <v>0.0</v>
      </c>
      <c r="M5253" s="1" t="s">
        <v>6003</v>
      </c>
      <c r="N5253" s="1"/>
      <c r="O5253" s="1" t="s">
        <v>30</v>
      </c>
      <c r="P5253" s="1" t="s">
        <v>31</v>
      </c>
      <c r="Q5253" s="1" t="s">
        <v>235</v>
      </c>
      <c r="R5253" s="1" t="s">
        <v>235</v>
      </c>
      <c r="S5253" s="1" t="s">
        <v>236</v>
      </c>
      <c r="T5253" s="1" t="s">
        <v>753</v>
      </c>
      <c r="U5253" s="1">
        <v>1.00623535E8</v>
      </c>
      <c r="X5253" s="1" t="s">
        <v>88</v>
      </c>
      <c r="Y5253" s="1" t="s">
        <v>6003</v>
      </c>
      <c r="Z5253" s="1" t="s">
        <v>37</v>
      </c>
    </row>
    <row r="5254" hidden="1">
      <c r="A5254" s="1" t="s">
        <v>14617</v>
      </c>
      <c r="B5254" s="1" t="s">
        <v>826</v>
      </c>
      <c r="C5254" s="1" t="s">
        <v>14618</v>
      </c>
      <c r="D5254" s="1" t="s">
        <v>27</v>
      </c>
      <c r="E5254" s="1" t="s">
        <v>28</v>
      </c>
      <c r="F5254" s="2">
        <v>50000.0</v>
      </c>
      <c r="G5254" s="1" t="s">
        <v>14619</v>
      </c>
      <c r="H5254" s="4">
        <f>IFERROR(__xludf.DUMMYFUNCTION("DATE(INDEX(SPLIT(G5254,""/""),,3),INDEX(SPLIT(G5254,""/""),,2),INDEX(SPLIT(G5254,""/""),,1))"),44247.0)</f>
        <v>44247</v>
      </c>
      <c r="I5254" s="1" t="s">
        <v>281</v>
      </c>
      <c r="J5254" s="4">
        <f>IFERROR(__xludf.DUMMYFUNCTION("DATE(INDEX(SPLIT(I5254,""/""),,3),INDEX(SPLIT(I5254,""/""),,2),INDEX(SPLIT(I5254,""/""),,1))"),44865.0)</f>
        <v>44865</v>
      </c>
      <c r="L5254" s="1">
        <v>0.0</v>
      </c>
      <c r="M5254" s="1" t="s">
        <v>587</v>
      </c>
      <c r="N5254" s="1"/>
      <c r="O5254" s="1" t="s">
        <v>30</v>
      </c>
      <c r="P5254" s="1" t="s">
        <v>31</v>
      </c>
      <c r="Q5254" s="1" t="s">
        <v>157</v>
      </c>
      <c r="R5254" s="1" t="s">
        <v>157</v>
      </c>
      <c r="S5254" s="1" t="s">
        <v>158</v>
      </c>
      <c r="U5254" s="1">
        <v>1.00700761E8</v>
      </c>
      <c r="X5254" s="1" t="s">
        <v>125</v>
      </c>
      <c r="Y5254" s="1" t="s">
        <v>7949</v>
      </c>
      <c r="Z5254" s="1" t="s">
        <v>37</v>
      </c>
    </row>
    <row r="5255">
      <c r="A5255" s="1" t="s">
        <v>14620</v>
      </c>
      <c r="B5255" s="1" t="s">
        <v>14621</v>
      </c>
      <c r="C5255" s="1" t="s">
        <v>14622</v>
      </c>
      <c r="D5255" s="1" t="s">
        <v>78</v>
      </c>
      <c r="E5255" s="1" t="s">
        <v>28</v>
      </c>
      <c r="F5255" s="2">
        <v>50000.0</v>
      </c>
      <c r="G5255" s="4">
        <v>44237.0</v>
      </c>
      <c r="H5255" s="4">
        <f>IFERROR(__xludf.DUMMYFUNCTION("DATE(INDEX(SPLIT(G5255,""/""),,3),INDEX(SPLIT(G5255,""/""),,2),INDEX(SPLIT(G5255,""/""),,1))"),44471.0)</f>
        <v>44471</v>
      </c>
      <c r="I5255" s="1" t="s">
        <v>69</v>
      </c>
      <c r="J5255" s="4">
        <f>IFERROR(__xludf.DUMMYFUNCTION("DATE(INDEX(SPLIT(I5255,""/""),,3),INDEX(SPLIT(I5255,""/""),,2),INDEX(SPLIT(I5255,""/""),,1))"),44773.0)</f>
        <v>44773</v>
      </c>
      <c r="L5255" s="1">
        <v>0.0</v>
      </c>
      <c r="M5255" s="1" t="s">
        <v>2207</v>
      </c>
      <c r="N5255" s="1"/>
      <c r="O5255" s="1" t="s">
        <v>30</v>
      </c>
      <c r="P5255" s="1" t="s">
        <v>31</v>
      </c>
      <c r="Q5255" s="1" t="s">
        <v>228</v>
      </c>
      <c r="R5255" s="1" t="s">
        <v>228</v>
      </c>
      <c r="S5255" s="1" t="s">
        <v>229</v>
      </c>
      <c r="T5255" s="1" t="s">
        <v>513</v>
      </c>
      <c r="U5255" s="1">
        <v>1.00596618E8</v>
      </c>
      <c r="X5255" s="1" t="s">
        <v>88</v>
      </c>
      <c r="Y5255" s="1" t="s">
        <v>13950</v>
      </c>
      <c r="Z5255" s="1" t="s">
        <v>37</v>
      </c>
    </row>
    <row r="5256" hidden="1">
      <c r="A5256" s="1" t="s">
        <v>14623</v>
      </c>
      <c r="B5256" s="1" t="s">
        <v>1634</v>
      </c>
      <c r="C5256" s="1" t="s">
        <v>14624</v>
      </c>
      <c r="D5256" s="1" t="s">
        <v>27</v>
      </c>
      <c r="E5256" s="1" t="s">
        <v>28</v>
      </c>
      <c r="F5256" s="2">
        <v>50000.0</v>
      </c>
      <c r="G5256" s="4">
        <v>44378.0</v>
      </c>
      <c r="H5256" s="4">
        <f>IFERROR(__xludf.DUMMYFUNCTION("DATE(INDEX(SPLIT(G5256,""/""),,3),INDEX(SPLIT(G5256,""/""),,2),INDEX(SPLIT(G5256,""/""),,1))"),44203.0)</f>
        <v>44203</v>
      </c>
      <c r="I5256" s="1" t="s">
        <v>130</v>
      </c>
      <c r="J5256" s="4">
        <f>IFERROR(__xludf.DUMMYFUNCTION("DATE(INDEX(SPLIT(I5256,""/""),,3),INDEX(SPLIT(I5256,""/""),,2),INDEX(SPLIT(I5256,""/""),,1))"),44804.0)</f>
        <v>44804</v>
      </c>
      <c r="L5256" s="1">
        <v>0.0</v>
      </c>
      <c r="M5256" s="1" t="s">
        <v>5411</v>
      </c>
      <c r="N5256" s="1"/>
      <c r="O5256" s="1" t="s">
        <v>30</v>
      </c>
      <c r="P5256" s="1" t="s">
        <v>31</v>
      </c>
      <c r="Q5256" s="1" t="s">
        <v>53</v>
      </c>
      <c r="R5256" s="1" t="s">
        <v>53</v>
      </c>
      <c r="S5256" s="1" t="s">
        <v>54</v>
      </c>
      <c r="T5256" s="1" t="s">
        <v>640</v>
      </c>
      <c r="U5256" s="1">
        <v>1.00610826E8</v>
      </c>
      <c r="X5256" s="1" t="s">
        <v>490</v>
      </c>
      <c r="Y5256" s="1" t="s">
        <v>8809</v>
      </c>
      <c r="Z5256" s="1" t="s">
        <v>37</v>
      </c>
    </row>
    <row r="5257" hidden="1">
      <c r="A5257" s="1" t="s">
        <v>14625</v>
      </c>
      <c r="B5257" s="1" t="s">
        <v>532</v>
      </c>
      <c r="C5257" s="1" t="s">
        <v>14626</v>
      </c>
      <c r="D5257" s="1" t="s">
        <v>27</v>
      </c>
      <c r="E5257" s="1" t="s">
        <v>28</v>
      </c>
      <c r="F5257" s="2">
        <v>50000.0</v>
      </c>
      <c r="G5257" s="1" t="s">
        <v>3438</v>
      </c>
      <c r="H5257" s="4">
        <f>IFERROR(__xludf.DUMMYFUNCTION("DATE(INDEX(SPLIT(G5257,""/""),,3),INDEX(SPLIT(G5257,""/""),,2),INDEX(SPLIT(G5257,""/""),,1))"),44407.0)</f>
        <v>44407</v>
      </c>
      <c r="I5257" s="1" t="s">
        <v>109</v>
      </c>
      <c r="J5257" s="4">
        <f>IFERROR(__xludf.DUMMYFUNCTION("DATE(INDEX(SPLIT(I5257,""/""),,3),INDEX(SPLIT(I5257,""/""),,2),INDEX(SPLIT(I5257,""/""),,1))"),44834.0)</f>
        <v>44834</v>
      </c>
      <c r="L5257" s="1">
        <v>0.0</v>
      </c>
      <c r="M5257" s="1" t="s">
        <v>5880</v>
      </c>
      <c r="N5257" s="1"/>
      <c r="O5257" s="1" t="s">
        <v>30</v>
      </c>
      <c r="P5257" s="1" t="s">
        <v>31</v>
      </c>
      <c r="Q5257" s="1" t="s">
        <v>228</v>
      </c>
      <c r="R5257" s="1" t="s">
        <v>228</v>
      </c>
      <c r="S5257" s="1" t="s">
        <v>229</v>
      </c>
      <c r="T5257" s="1" t="s">
        <v>640</v>
      </c>
      <c r="U5257" s="1">
        <v>1.00933537E8</v>
      </c>
      <c r="X5257" s="1" t="s">
        <v>490</v>
      </c>
      <c r="Y5257" s="1" t="s">
        <v>8809</v>
      </c>
      <c r="Z5257" s="1" t="s">
        <v>37</v>
      </c>
    </row>
    <row r="5258" hidden="1">
      <c r="A5258" s="1" t="s">
        <v>14627</v>
      </c>
      <c r="B5258" s="1" t="s">
        <v>14628</v>
      </c>
      <c r="C5258" s="1" t="s">
        <v>14629</v>
      </c>
      <c r="D5258" s="1" t="s">
        <v>122</v>
      </c>
      <c r="E5258" s="1" t="s">
        <v>28</v>
      </c>
      <c r="F5258" s="2">
        <v>50000.0</v>
      </c>
      <c r="G5258" s="4">
        <v>44866.0</v>
      </c>
      <c r="H5258" s="4">
        <f>IFERROR(__xludf.DUMMYFUNCTION("DATE(INDEX(SPLIT(G5258,""/""),,3),INDEX(SPLIT(G5258,""/""),,2),INDEX(SPLIT(G5258,""/""),,1))"),44572.0)</f>
        <v>44572</v>
      </c>
      <c r="I5258" s="1" t="s">
        <v>11528</v>
      </c>
      <c r="J5258" s="4">
        <f>IFERROR(__xludf.DUMMYFUNCTION("DATE(INDEX(SPLIT(I5258,""/""),,3),INDEX(SPLIT(I5258,""/""),,2),INDEX(SPLIT(I5258,""/""),,1))"),44795.0)</f>
        <v>44795</v>
      </c>
      <c r="L5258" s="1">
        <v>0.0</v>
      </c>
      <c r="M5258" s="1" t="s">
        <v>2724</v>
      </c>
      <c r="N5258" s="1"/>
      <c r="O5258" s="1" t="s">
        <v>30</v>
      </c>
      <c r="P5258" s="1" t="s">
        <v>31</v>
      </c>
      <c r="Q5258" s="1" t="s">
        <v>32</v>
      </c>
      <c r="R5258" s="1" t="s">
        <v>32</v>
      </c>
      <c r="S5258" s="1" t="s">
        <v>33</v>
      </c>
      <c r="T5258" s="1" t="s">
        <v>1195</v>
      </c>
      <c r="U5258" s="1">
        <v>1.00606975E8</v>
      </c>
      <c r="X5258" s="1" t="s">
        <v>490</v>
      </c>
      <c r="Y5258" s="1" t="s">
        <v>282</v>
      </c>
      <c r="Z5258" s="1" t="s">
        <v>37</v>
      </c>
    </row>
    <row r="5259">
      <c r="A5259" s="1" t="s">
        <v>14630</v>
      </c>
      <c r="B5259" s="1" t="s">
        <v>12729</v>
      </c>
      <c r="C5259" s="1" t="s">
        <v>14631</v>
      </c>
      <c r="D5259" s="1" t="s">
        <v>27</v>
      </c>
      <c r="E5259" s="1" t="s">
        <v>28</v>
      </c>
      <c r="F5259" s="2">
        <v>50000.0</v>
      </c>
      <c r="G5259" s="1" t="s">
        <v>1438</v>
      </c>
      <c r="H5259" s="4">
        <f>IFERROR(__xludf.DUMMYFUNCTION("DATE(INDEX(SPLIT(G5259,""/""),,3),INDEX(SPLIT(G5259,""/""),,2),INDEX(SPLIT(G5259,""/""),,1))"),44708.0)</f>
        <v>44708</v>
      </c>
      <c r="I5259" s="1" t="s">
        <v>1244</v>
      </c>
      <c r="J5259" s="4">
        <f>IFERROR(__xludf.DUMMYFUNCTION("DATE(INDEX(SPLIT(I5259,""/""),,3),INDEX(SPLIT(I5259,""/""),,2),INDEX(SPLIT(I5259,""/""),,1))"),44742.0)</f>
        <v>44742</v>
      </c>
      <c r="L5259" s="1">
        <v>0.0</v>
      </c>
      <c r="M5259" s="1" t="s">
        <v>6045</v>
      </c>
      <c r="N5259" s="1"/>
      <c r="O5259" s="1" t="s">
        <v>30</v>
      </c>
      <c r="P5259" s="1" t="s">
        <v>31</v>
      </c>
      <c r="Q5259" s="1" t="s">
        <v>228</v>
      </c>
      <c r="R5259" s="1" t="s">
        <v>228</v>
      </c>
      <c r="S5259" s="1" t="s">
        <v>229</v>
      </c>
      <c r="T5259" s="1" t="s">
        <v>513</v>
      </c>
      <c r="U5259" s="1">
        <v>1.00652479E8</v>
      </c>
      <c r="X5259" s="1" t="s">
        <v>74</v>
      </c>
      <c r="Y5259" s="1" t="s">
        <v>7088</v>
      </c>
      <c r="Z5259" s="1" t="s">
        <v>37</v>
      </c>
    </row>
    <row r="5260" hidden="1">
      <c r="A5260" s="1" t="s">
        <v>14632</v>
      </c>
      <c r="B5260" s="1" t="s">
        <v>1709</v>
      </c>
      <c r="C5260" s="1" t="s">
        <v>14633</v>
      </c>
      <c r="D5260" s="1" t="s">
        <v>27</v>
      </c>
      <c r="E5260" s="1" t="s">
        <v>28</v>
      </c>
      <c r="F5260" s="2">
        <v>50000.0</v>
      </c>
      <c r="G5260" s="1" t="s">
        <v>1244</v>
      </c>
      <c r="H5260" s="4">
        <f>IFERROR(__xludf.DUMMYFUNCTION("DATE(INDEX(SPLIT(G5260,""/""),,3),INDEX(SPLIT(G5260,""/""),,2),INDEX(SPLIT(G5260,""/""),,1))"),44742.0)</f>
        <v>44742</v>
      </c>
      <c r="I5260" s="4">
        <v>44601.0</v>
      </c>
      <c r="J5260" s="4">
        <f>IFERROR(__xludf.DUMMYFUNCTION("DATE(INDEX(SPLIT(I5260,""/""),,3),INDEX(SPLIT(I5260,""/""),,2),INDEX(SPLIT(I5260,""/""),,1))"),44806.0)</f>
        <v>44806</v>
      </c>
      <c r="L5260" s="1">
        <v>0.0</v>
      </c>
      <c r="M5260" s="1" t="s">
        <v>2096</v>
      </c>
      <c r="N5260" s="1"/>
      <c r="O5260" s="1" t="s">
        <v>30</v>
      </c>
      <c r="P5260" s="1" t="s">
        <v>31</v>
      </c>
      <c r="Q5260" s="1" t="s">
        <v>228</v>
      </c>
      <c r="R5260" s="1" t="s">
        <v>228</v>
      </c>
      <c r="S5260" s="1" t="s">
        <v>229</v>
      </c>
      <c r="T5260" s="1" t="s">
        <v>505</v>
      </c>
      <c r="U5260" s="1">
        <v>1.00619128E8</v>
      </c>
      <c r="X5260" s="1" t="s">
        <v>312</v>
      </c>
      <c r="Y5260" s="1" t="s">
        <v>2950</v>
      </c>
      <c r="Z5260" s="1" t="s">
        <v>37</v>
      </c>
    </row>
    <row r="5261" hidden="1">
      <c r="A5261" s="1" t="s">
        <v>14634</v>
      </c>
      <c r="B5261" s="1" t="s">
        <v>6312</v>
      </c>
      <c r="C5261" s="1" t="s">
        <v>14635</v>
      </c>
      <c r="D5261" s="1" t="s">
        <v>27</v>
      </c>
      <c r="E5261" s="1" t="s">
        <v>28</v>
      </c>
      <c r="F5261" s="2">
        <v>50000.0</v>
      </c>
      <c r="G5261" s="1" t="s">
        <v>14636</v>
      </c>
      <c r="H5261" s="4">
        <f>IFERROR(__xludf.DUMMYFUNCTION("DATE(INDEX(SPLIT(G5261,""/""),,3),INDEX(SPLIT(G5261,""/""),,2),INDEX(SPLIT(G5261,""/""),,1))"),44220.0)</f>
        <v>44220</v>
      </c>
      <c r="I5261" s="1" t="s">
        <v>535</v>
      </c>
      <c r="J5261" s="4">
        <f>IFERROR(__xludf.DUMMYFUNCTION("DATE(INDEX(SPLIT(I5261,""/""),,3),INDEX(SPLIT(I5261,""/""),,2),INDEX(SPLIT(I5261,""/""),,1))"),44957.0)</f>
        <v>44957</v>
      </c>
      <c r="L5261" s="1">
        <v>0.0</v>
      </c>
      <c r="M5261" s="1" t="s">
        <v>9767</v>
      </c>
      <c r="N5261" s="1"/>
      <c r="O5261" s="1" t="s">
        <v>30</v>
      </c>
      <c r="P5261" s="1" t="s">
        <v>31</v>
      </c>
      <c r="Q5261" s="1" t="s">
        <v>228</v>
      </c>
      <c r="R5261" s="1" t="s">
        <v>228</v>
      </c>
      <c r="S5261" s="1" t="s">
        <v>229</v>
      </c>
      <c r="T5261" s="1" t="s">
        <v>287</v>
      </c>
      <c r="U5261" s="1">
        <v>1.00632043E8</v>
      </c>
      <c r="X5261" s="1" t="s">
        <v>46</v>
      </c>
      <c r="Y5261" s="1" t="s">
        <v>9767</v>
      </c>
      <c r="Z5261" s="1" t="s">
        <v>37</v>
      </c>
    </row>
    <row r="5262" hidden="1">
      <c r="A5262" s="1" t="s">
        <v>14637</v>
      </c>
      <c r="B5262" s="1" t="s">
        <v>2735</v>
      </c>
      <c r="C5262" s="1" t="s">
        <v>14638</v>
      </c>
      <c r="D5262" s="1" t="s">
        <v>78</v>
      </c>
      <c r="E5262" s="1" t="s">
        <v>28</v>
      </c>
      <c r="F5262" s="2">
        <v>50000.0</v>
      </c>
      <c r="G5262" s="4">
        <v>44688.0</v>
      </c>
      <c r="H5262" s="4">
        <f>IFERROR(__xludf.DUMMYFUNCTION("DATE(INDEX(SPLIT(G5262,""/""),,3),INDEX(SPLIT(G5262,""/""),,2),INDEX(SPLIT(G5262,""/""),,1))"),44747.0)</f>
        <v>44747</v>
      </c>
      <c r="I5262" s="1" t="s">
        <v>109</v>
      </c>
      <c r="J5262" s="4">
        <f>IFERROR(__xludf.DUMMYFUNCTION("DATE(INDEX(SPLIT(I5262,""/""),,3),INDEX(SPLIT(I5262,""/""),,2),INDEX(SPLIT(I5262,""/""),,1))"),44834.0)</f>
        <v>44834</v>
      </c>
      <c r="L5262" s="1">
        <v>0.0</v>
      </c>
      <c r="M5262" s="1" t="s">
        <v>3138</v>
      </c>
      <c r="N5262" s="1"/>
      <c r="O5262" s="1" t="s">
        <v>30</v>
      </c>
      <c r="P5262" s="1" t="s">
        <v>31</v>
      </c>
      <c r="Q5262" s="1" t="s">
        <v>157</v>
      </c>
      <c r="R5262" s="1" t="s">
        <v>157</v>
      </c>
      <c r="S5262" s="1" t="s">
        <v>158</v>
      </c>
      <c r="U5262" s="1">
        <v>1.00616377E8</v>
      </c>
      <c r="V5262" s="1" t="s">
        <v>3739</v>
      </c>
      <c r="W5262" s="1" t="s">
        <v>45</v>
      </c>
      <c r="X5262" s="1" t="s">
        <v>490</v>
      </c>
      <c r="Y5262" s="1" t="s">
        <v>4774</v>
      </c>
      <c r="Z5262" s="1" t="s">
        <v>37</v>
      </c>
    </row>
    <row r="5263" hidden="1">
      <c r="A5263" s="1" t="s">
        <v>14639</v>
      </c>
      <c r="B5263" s="1" t="s">
        <v>6036</v>
      </c>
      <c r="C5263" s="1" t="s">
        <v>14640</v>
      </c>
      <c r="D5263" s="1" t="s">
        <v>78</v>
      </c>
      <c r="E5263" s="1" t="s">
        <v>28</v>
      </c>
      <c r="F5263" s="2">
        <v>50000.0</v>
      </c>
      <c r="G5263" s="4">
        <v>44533.0</v>
      </c>
      <c r="H5263" s="4">
        <f>IFERROR(__xludf.DUMMYFUNCTION("DATE(INDEX(SPLIT(G5263,""/""),,3),INDEX(SPLIT(G5263,""/""),,2),INDEX(SPLIT(G5263,""/""),,1))"),44267.0)</f>
        <v>44267</v>
      </c>
      <c r="I5263" s="1" t="s">
        <v>281</v>
      </c>
      <c r="J5263" s="4">
        <f>IFERROR(__xludf.DUMMYFUNCTION("DATE(INDEX(SPLIT(I5263,""/""),,3),INDEX(SPLIT(I5263,""/""),,2),INDEX(SPLIT(I5263,""/""),,1))"),44865.0)</f>
        <v>44865</v>
      </c>
      <c r="L5263" s="1">
        <v>0.0</v>
      </c>
      <c r="M5263" s="1" t="s">
        <v>4477</v>
      </c>
      <c r="N5263" s="1"/>
      <c r="O5263" s="1" t="s">
        <v>30</v>
      </c>
      <c r="P5263" s="1" t="s">
        <v>31</v>
      </c>
      <c r="Q5263" s="1" t="s">
        <v>228</v>
      </c>
      <c r="R5263" s="1" t="s">
        <v>228</v>
      </c>
      <c r="S5263" s="1" t="s">
        <v>229</v>
      </c>
      <c r="T5263" s="1" t="s">
        <v>513</v>
      </c>
      <c r="U5263" s="1">
        <v>1.00592715E8</v>
      </c>
      <c r="X5263" s="1" t="s">
        <v>98</v>
      </c>
      <c r="Y5263" s="1" t="s">
        <v>10632</v>
      </c>
      <c r="Z5263" s="1" t="s">
        <v>37</v>
      </c>
    </row>
    <row r="5264">
      <c r="A5264" s="1" t="s">
        <v>14641</v>
      </c>
      <c r="B5264" s="1" t="s">
        <v>14642</v>
      </c>
      <c r="C5264" s="1" t="s">
        <v>14643</v>
      </c>
      <c r="D5264" s="1" t="s">
        <v>78</v>
      </c>
      <c r="E5264" s="1" t="s">
        <v>28</v>
      </c>
      <c r="F5264" s="2">
        <v>50000.0</v>
      </c>
      <c r="G5264" s="4">
        <v>44870.0</v>
      </c>
      <c r="H5264" s="4">
        <f>IFERROR(__xludf.DUMMYFUNCTION("DATE(INDEX(SPLIT(G5264,""/""),,3),INDEX(SPLIT(G5264,""/""),,2),INDEX(SPLIT(G5264,""/""),,1))"),44692.0)</f>
        <v>44692</v>
      </c>
      <c r="I5264" s="4">
        <v>44840.0</v>
      </c>
      <c r="J5264" s="4">
        <f>IFERROR(__xludf.DUMMYFUNCTION("DATE(INDEX(SPLIT(I5264,""/""),,3),INDEX(SPLIT(I5264,""/""),,2),INDEX(SPLIT(I5264,""/""),,1))"),44722.0)</f>
        <v>44722</v>
      </c>
      <c r="L5264" s="1">
        <v>0.0</v>
      </c>
      <c r="M5264" s="1" t="s">
        <v>5636</v>
      </c>
      <c r="N5264" s="1"/>
      <c r="O5264" s="1" t="s">
        <v>30</v>
      </c>
      <c r="P5264" s="1" t="s">
        <v>31</v>
      </c>
      <c r="Q5264" s="1" t="s">
        <v>228</v>
      </c>
      <c r="R5264" s="1" t="s">
        <v>228</v>
      </c>
      <c r="S5264" s="1" t="s">
        <v>229</v>
      </c>
      <c r="U5264" s="1">
        <v>1.00605581E8</v>
      </c>
      <c r="X5264" s="1" t="s">
        <v>74</v>
      </c>
      <c r="Y5264" s="1" t="s">
        <v>6795</v>
      </c>
      <c r="Z5264" s="1" t="s">
        <v>37</v>
      </c>
    </row>
    <row r="5265" hidden="1">
      <c r="A5265" s="1" t="s">
        <v>14644</v>
      </c>
      <c r="B5265" s="1" t="s">
        <v>612</v>
      </c>
      <c r="C5265" s="1" t="s">
        <v>14645</v>
      </c>
      <c r="D5265" s="1" t="s">
        <v>27</v>
      </c>
      <c r="E5265" s="1" t="s">
        <v>28</v>
      </c>
      <c r="F5265" s="2">
        <v>50000.0</v>
      </c>
      <c r="G5265" s="1" t="s">
        <v>185</v>
      </c>
      <c r="H5265" s="4">
        <f>IFERROR(__xludf.DUMMYFUNCTION("DATE(INDEX(SPLIT(G5265,""/""),,3),INDEX(SPLIT(G5265,""/""),,2),INDEX(SPLIT(G5265,""/""),,1))"),44741.0)</f>
        <v>44741</v>
      </c>
      <c r="I5265" s="1" t="s">
        <v>293</v>
      </c>
      <c r="J5265" s="4">
        <f>IFERROR(__xludf.DUMMYFUNCTION("DATE(INDEX(SPLIT(I5265,""/""),,3),INDEX(SPLIT(I5265,""/""),,2),INDEX(SPLIT(I5265,""/""),,1))"),44918.0)</f>
        <v>44918</v>
      </c>
      <c r="L5265" s="1">
        <v>0.0</v>
      </c>
      <c r="M5265" s="1" t="s">
        <v>14646</v>
      </c>
      <c r="N5265" s="1"/>
      <c r="O5265" s="1" t="s">
        <v>30</v>
      </c>
      <c r="P5265" s="1" t="s">
        <v>31</v>
      </c>
      <c r="Q5265" s="1" t="s">
        <v>157</v>
      </c>
      <c r="R5265" s="1" t="s">
        <v>157</v>
      </c>
      <c r="S5265" s="1" t="s">
        <v>158</v>
      </c>
      <c r="U5265" s="1">
        <v>1.01240927E8</v>
      </c>
      <c r="X5265" s="1" t="s">
        <v>490</v>
      </c>
      <c r="Y5265" s="1" t="s">
        <v>14646</v>
      </c>
      <c r="Z5265" s="1" t="s">
        <v>37</v>
      </c>
    </row>
    <row r="5266" hidden="1">
      <c r="A5266" s="1" t="s">
        <v>14647</v>
      </c>
      <c r="B5266" s="1" t="s">
        <v>14648</v>
      </c>
      <c r="C5266" s="1" t="s">
        <v>14649</v>
      </c>
      <c r="D5266" s="1" t="s">
        <v>27</v>
      </c>
      <c r="E5266" s="1" t="s">
        <v>28</v>
      </c>
      <c r="F5266" s="2">
        <v>50000.0</v>
      </c>
      <c r="G5266" s="1" t="s">
        <v>2629</v>
      </c>
      <c r="H5266" s="4">
        <f>IFERROR(__xludf.DUMMYFUNCTION("DATE(INDEX(SPLIT(G5266,""/""),,3),INDEX(SPLIT(G5266,""/""),,2),INDEX(SPLIT(G5266,""/""),,1))"),44651.0)</f>
        <v>44651</v>
      </c>
      <c r="I5266" s="1" t="s">
        <v>109</v>
      </c>
      <c r="J5266" s="4">
        <f>IFERROR(__xludf.DUMMYFUNCTION("DATE(INDEX(SPLIT(I5266,""/""),,3),INDEX(SPLIT(I5266,""/""),,2),INDEX(SPLIT(I5266,""/""),,1))"),44834.0)</f>
        <v>44834</v>
      </c>
      <c r="L5266" s="1">
        <v>0.0</v>
      </c>
      <c r="M5266" s="1" t="s">
        <v>1040</v>
      </c>
      <c r="N5266" s="1"/>
      <c r="O5266" s="1" t="s">
        <v>30</v>
      </c>
      <c r="P5266" s="1" t="s">
        <v>31</v>
      </c>
      <c r="Q5266" s="1" t="s">
        <v>71</v>
      </c>
      <c r="R5266" s="1" t="s">
        <v>71</v>
      </c>
      <c r="S5266" s="1" t="s">
        <v>72</v>
      </c>
      <c r="T5266" s="1" t="s">
        <v>73</v>
      </c>
      <c r="U5266" s="1">
        <v>1.00619899E8</v>
      </c>
      <c r="X5266" s="1" t="s">
        <v>239</v>
      </c>
      <c r="Y5266" s="1" t="s">
        <v>8809</v>
      </c>
      <c r="Z5266" s="1" t="s">
        <v>37</v>
      </c>
    </row>
    <row r="5267" hidden="1">
      <c r="A5267" s="1" t="s">
        <v>14650</v>
      </c>
      <c r="B5267" s="1" t="s">
        <v>14651</v>
      </c>
      <c r="C5267" s="1" t="s">
        <v>14652</v>
      </c>
      <c r="D5267" s="1" t="s">
        <v>27</v>
      </c>
      <c r="E5267" s="1" t="s">
        <v>28</v>
      </c>
      <c r="F5267" s="2">
        <v>50000.0</v>
      </c>
      <c r="G5267" s="1" t="s">
        <v>2629</v>
      </c>
      <c r="H5267" s="4">
        <f>IFERROR(__xludf.DUMMYFUNCTION("DATE(INDEX(SPLIT(G5267,""/""),,3),INDEX(SPLIT(G5267,""/""),,2),INDEX(SPLIT(G5267,""/""),,1))"),44651.0)</f>
        <v>44651</v>
      </c>
      <c r="I5267" s="1" t="s">
        <v>109</v>
      </c>
      <c r="J5267" s="4">
        <f>IFERROR(__xludf.DUMMYFUNCTION("DATE(INDEX(SPLIT(I5267,""/""),,3),INDEX(SPLIT(I5267,""/""),,2),INDEX(SPLIT(I5267,""/""),,1))"),44834.0)</f>
        <v>44834</v>
      </c>
      <c r="L5267" s="1">
        <v>0.0</v>
      </c>
      <c r="M5267" s="1" t="s">
        <v>1040</v>
      </c>
      <c r="N5267" s="1"/>
      <c r="O5267" s="1" t="s">
        <v>30</v>
      </c>
      <c r="P5267" s="1" t="s">
        <v>31</v>
      </c>
      <c r="Q5267" s="1" t="s">
        <v>71</v>
      </c>
      <c r="R5267" s="1" t="s">
        <v>71</v>
      </c>
      <c r="S5267" s="1" t="s">
        <v>72</v>
      </c>
      <c r="T5267" s="1" t="s">
        <v>73</v>
      </c>
      <c r="U5267" s="1">
        <v>1.00619899E8</v>
      </c>
      <c r="X5267" s="1" t="s">
        <v>239</v>
      </c>
      <c r="Y5267" s="1" t="s">
        <v>8809</v>
      </c>
      <c r="Z5267" s="1" t="s">
        <v>37</v>
      </c>
    </row>
    <row r="5268" hidden="1">
      <c r="A5268" s="1" t="s">
        <v>14653</v>
      </c>
      <c r="B5268" s="1" t="s">
        <v>5851</v>
      </c>
      <c r="C5268" s="1" t="s">
        <v>14654</v>
      </c>
      <c r="D5268" s="1" t="s">
        <v>78</v>
      </c>
      <c r="E5268" s="1" t="s">
        <v>28</v>
      </c>
      <c r="F5268" s="2">
        <v>50000.0</v>
      </c>
      <c r="G5268" s="1" t="s">
        <v>935</v>
      </c>
      <c r="H5268" s="4">
        <f>IFERROR(__xludf.DUMMYFUNCTION("DATE(INDEX(SPLIT(G5268,""/""),,3),INDEX(SPLIT(G5268,""/""),,2),INDEX(SPLIT(G5268,""/""),,1))"),44764.0)</f>
        <v>44764</v>
      </c>
      <c r="I5268" s="1" t="s">
        <v>535</v>
      </c>
      <c r="J5268" s="4">
        <f>IFERROR(__xludf.DUMMYFUNCTION("DATE(INDEX(SPLIT(I5268,""/""),,3),INDEX(SPLIT(I5268,""/""),,2),INDEX(SPLIT(I5268,""/""),,1))"),44957.0)</f>
        <v>44957</v>
      </c>
      <c r="L5268" s="1">
        <v>0.0</v>
      </c>
      <c r="M5268" s="1" t="s">
        <v>2592</v>
      </c>
      <c r="N5268" s="1"/>
      <c r="O5268" s="1" t="s">
        <v>30</v>
      </c>
      <c r="P5268" s="1" t="s">
        <v>31</v>
      </c>
      <c r="Q5268" s="1" t="s">
        <v>71</v>
      </c>
      <c r="R5268" s="1" t="s">
        <v>71</v>
      </c>
      <c r="S5268" s="1" t="s">
        <v>72</v>
      </c>
      <c r="T5268" s="1" t="s">
        <v>136</v>
      </c>
      <c r="U5268" s="1">
        <v>1.00586452E8</v>
      </c>
      <c r="X5268" s="1" t="s">
        <v>74</v>
      </c>
      <c r="Y5268" s="1" t="s">
        <v>2593</v>
      </c>
      <c r="Z5268" s="1" t="s">
        <v>37</v>
      </c>
    </row>
    <row r="5269" hidden="1">
      <c r="A5269" s="1" t="s">
        <v>14655</v>
      </c>
      <c r="B5269" s="1" t="s">
        <v>540</v>
      </c>
      <c r="C5269" s="1" t="s">
        <v>14656</v>
      </c>
      <c r="D5269" s="1" t="s">
        <v>27</v>
      </c>
      <c r="E5269" s="1" t="s">
        <v>28</v>
      </c>
      <c r="F5269" s="2">
        <v>50000.0</v>
      </c>
      <c r="G5269" s="4">
        <v>44807.0</v>
      </c>
      <c r="H5269" s="4">
        <f>IFERROR(__xludf.DUMMYFUNCTION("DATE(INDEX(SPLIT(G5269,""/""),,3),INDEX(SPLIT(G5269,""/""),,2),INDEX(SPLIT(G5269,""/""),,1))"),44629.0)</f>
        <v>44629</v>
      </c>
      <c r="I5269" s="1" t="s">
        <v>109</v>
      </c>
      <c r="J5269" s="4">
        <f>IFERROR(__xludf.DUMMYFUNCTION("DATE(INDEX(SPLIT(I5269,""/""),,3),INDEX(SPLIT(I5269,""/""),,2),INDEX(SPLIT(I5269,""/""),,1))"),44834.0)</f>
        <v>44834</v>
      </c>
      <c r="L5269" s="1">
        <v>0.0</v>
      </c>
      <c r="M5269" s="1" t="s">
        <v>7054</v>
      </c>
      <c r="N5269" s="1"/>
      <c r="O5269" s="1" t="s">
        <v>30</v>
      </c>
      <c r="P5269" s="1" t="s">
        <v>31</v>
      </c>
      <c r="Q5269" s="1" t="s">
        <v>157</v>
      </c>
      <c r="R5269" s="1" t="s">
        <v>157</v>
      </c>
      <c r="S5269" s="1" t="s">
        <v>158</v>
      </c>
      <c r="U5269" s="1">
        <v>1.00648324E8</v>
      </c>
      <c r="X5269" s="1" t="s">
        <v>74</v>
      </c>
      <c r="Y5269" s="1" t="s">
        <v>544</v>
      </c>
      <c r="Z5269" s="1" t="s">
        <v>37</v>
      </c>
    </row>
    <row r="5270" hidden="1">
      <c r="A5270" s="1" t="s">
        <v>14657</v>
      </c>
      <c r="B5270" s="1" t="s">
        <v>5260</v>
      </c>
      <c r="C5270" s="1" t="s">
        <v>14658</v>
      </c>
      <c r="D5270" s="1" t="s">
        <v>122</v>
      </c>
      <c r="E5270" s="1" t="s">
        <v>28</v>
      </c>
      <c r="F5270" s="2">
        <v>50000.0</v>
      </c>
      <c r="G5270" s="1" t="s">
        <v>935</v>
      </c>
      <c r="H5270" s="4">
        <f>IFERROR(__xludf.DUMMYFUNCTION("DATE(INDEX(SPLIT(G5270,""/""),,3),INDEX(SPLIT(G5270,""/""),,2),INDEX(SPLIT(G5270,""/""),,1))"),44764.0)</f>
        <v>44764</v>
      </c>
      <c r="I5270" s="1" t="s">
        <v>109</v>
      </c>
      <c r="J5270" s="4">
        <f>IFERROR(__xludf.DUMMYFUNCTION("DATE(INDEX(SPLIT(I5270,""/""),,3),INDEX(SPLIT(I5270,""/""),,2),INDEX(SPLIT(I5270,""/""),,1))"),44834.0)</f>
        <v>44834</v>
      </c>
      <c r="L5270" s="1">
        <v>0.0</v>
      </c>
      <c r="M5270" s="1" t="s">
        <v>2592</v>
      </c>
      <c r="N5270" s="1"/>
      <c r="O5270" s="1" t="s">
        <v>30</v>
      </c>
      <c r="P5270" s="1" t="s">
        <v>31</v>
      </c>
      <c r="Q5270" s="1" t="s">
        <v>71</v>
      </c>
      <c r="R5270" s="1" t="s">
        <v>71</v>
      </c>
      <c r="S5270" s="1" t="s">
        <v>72</v>
      </c>
      <c r="T5270" s="1" t="s">
        <v>136</v>
      </c>
      <c r="U5270" s="1">
        <v>1.00586452E8</v>
      </c>
      <c r="X5270" s="1" t="s">
        <v>74</v>
      </c>
      <c r="Y5270" s="1" t="s">
        <v>2593</v>
      </c>
      <c r="Z5270" s="1" t="s">
        <v>37</v>
      </c>
    </row>
    <row r="5271">
      <c r="A5271" s="1" t="s">
        <v>14659</v>
      </c>
      <c r="B5271" s="1" t="s">
        <v>14660</v>
      </c>
      <c r="C5271" s="1" t="s">
        <v>12099</v>
      </c>
      <c r="D5271" s="1" t="s">
        <v>27</v>
      </c>
      <c r="E5271" s="1" t="s">
        <v>28</v>
      </c>
      <c r="F5271" s="2">
        <v>50000.0</v>
      </c>
      <c r="G5271" s="4">
        <v>44598.0</v>
      </c>
      <c r="H5271" s="4">
        <f>IFERROR(__xludf.DUMMYFUNCTION("DATE(INDEX(SPLIT(G5271,""/""),,3),INDEX(SPLIT(G5271,""/""),,2),INDEX(SPLIT(G5271,""/""),,1))"),44714.0)</f>
        <v>44714</v>
      </c>
      <c r="I5271" s="1" t="s">
        <v>233</v>
      </c>
      <c r="J5271" s="4">
        <f>IFERROR(__xludf.DUMMYFUNCTION("DATE(INDEX(SPLIT(I5271,""/""),,3),INDEX(SPLIT(I5271,""/""),,2),INDEX(SPLIT(I5271,""/""),,1))"),44729.0)</f>
        <v>44729</v>
      </c>
      <c r="L5271" s="1">
        <v>0.0</v>
      </c>
      <c r="M5271" s="1" t="s">
        <v>14661</v>
      </c>
      <c r="N5271" s="1"/>
      <c r="O5271" s="1" t="s">
        <v>30</v>
      </c>
      <c r="P5271" s="1" t="s">
        <v>31</v>
      </c>
      <c r="Q5271" s="1" t="s">
        <v>228</v>
      </c>
      <c r="R5271" s="1" t="s">
        <v>228</v>
      </c>
      <c r="S5271" s="1" t="s">
        <v>229</v>
      </c>
      <c r="U5271" s="1">
        <v>1.00644048E8</v>
      </c>
      <c r="X5271" s="1" t="s">
        <v>254</v>
      </c>
      <c r="Y5271" s="1" t="s">
        <v>14662</v>
      </c>
      <c r="Z5271" s="1" t="s">
        <v>37</v>
      </c>
    </row>
    <row r="5272" hidden="1">
      <c r="A5272" s="1" t="s">
        <v>14663</v>
      </c>
      <c r="B5272" s="1" t="s">
        <v>427</v>
      </c>
      <c r="C5272" s="1" t="s">
        <v>14664</v>
      </c>
      <c r="D5272" s="1" t="s">
        <v>78</v>
      </c>
      <c r="E5272" s="1" t="s">
        <v>28</v>
      </c>
      <c r="F5272" s="2">
        <v>50000.0</v>
      </c>
      <c r="G5272" s="1" t="s">
        <v>472</v>
      </c>
      <c r="H5272" s="4">
        <f>IFERROR(__xludf.DUMMYFUNCTION("DATE(INDEX(SPLIT(G5272,""/""),,3),INDEX(SPLIT(G5272,""/""),,2),INDEX(SPLIT(G5272,""/""),,1))"),44760.0)</f>
        <v>44760</v>
      </c>
      <c r="I5272" s="1" t="s">
        <v>130</v>
      </c>
      <c r="J5272" s="4">
        <f>IFERROR(__xludf.DUMMYFUNCTION("DATE(INDEX(SPLIT(I5272,""/""),,3),INDEX(SPLIT(I5272,""/""),,2),INDEX(SPLIT(I5272,""/""),,1))"),44804.0)</f>
        <v>44804</v>
      </c>
      <c r="L5272" s="1">
        <v>0.0</v>
      </c>
      <c r="M5272" s="1" t="s">
        <v>11206</v>
      </c>
      <c r="N5272" s="1"/>
      <c r="O5272" s="1" t="s">
        <v>30</v>
      </c>
      <c r="P5272" s="1" t="s">
        <v>31</v>
      </c>
      <c r="Q5272" s="1" t="s">
        <v>228</v>
      </c>
      <c r="R5272" s="1" t="s">
        <v>228</v>
      </c>
      <c r="S5272" s="1" t="s">
        <v>229</v>
      </c>
      <c r="U5272" s="1">
        <v>1.01147686E8</v>
      </c>
      <c r="X5272" s="1" t="s">
        <v>125</v>
      </c>
      <c r="Y5272" s="1" t="s">
        <v>14398</v>
      </c>
      <c r="Z5272" s="1" t="s">
        <v>37</v>
      </c>
    </row>
    <row r="5273">
      <c r="A5273" s="1" t="s">
        <v>14665</v>
      </c>
      <c r="B5273" s="1" t="s">
        <v>14666</v>
      </c>
      <c r="C5273" s="1" t="s">
        <v>14667</v>
      </c>
      <c r="D5273" s="1" t="s">
        <v>27</v>
      </c>
      <c r="E5273" s="1" t="s">
        <v>28</v>
      </c>
      <c r="F5273" s="2">
        <v>50000.0</v>
      </c>
      <c r="G5273" s="1" t="s">
        <v>472</v>
      </c>
      <c r="H5273" s="4">
        <f>IFERROR(__xludf.DUMMYFUNCTION("DATE(INDEX(SPLIT(G5273,""/""),,3),INDEX(SPLIT(G5273,""/""),,2),INDEX(SPLIT(G5273,""/""),,1))"),44760.0)</f>
        <v>44760</v>
      </c>
      <c r="I5273" s="1" t="s">
        <v>226</v>
      </c>
      <c r="J5273" s="4">
        <f>IFERROR(__xludf.DUMMYFUNCTION("DATE(INDEX(SPLIT(I5273,""/""),,3),INDEX(SPLIT(I5273,""/""),,2),INDEX(SPLIT(I5273,""/""),,1))"),44771.0)</f>
        <v>44771</v>
      </c>
      <c r="L5273" s="1">
        <v>0.0</v>
      </c>
      <c r="M5273" s="1" t="s">
        <v>5120</v>
      </c>
      <c r="N5273" s="1"/>
      <c r="O5273" s="1" t="s">
        <v>30</v>
      </c>
      <c r="P5273" s="1" t="s">
        <v>31</v>
      </c>
      <c r="Q5273" s="1" t="s">
        <v>71</v>
      </c>
      <c r="R5273" s="1" t="s">
        <v>71</v>
      </c>
      <c r="S5273" s="1" t="s">
        <v>72</v>
      </c>
      <c r="T5273" s="1" t="s">
        <v>136</v>
      </c>
      <c r="U5273" s="1">
        <v>1.0059101E8</v>
      </c>
      <c r="X5273" s="1" t="s">
        <v>74</v>
      </c>
      <c r="Y5273" s="1" t="s">
        <v>12682</v>
      </c>
      <c r="Z5273" s="1" t="s">
        <v>37</v>
      </c>
    </row>
    <row r="5274" hidden="1">
      <c r="A5274" s="1" t="s">
        <v>14668</v>
      </c>
      <c r="B5274" s="1" t="s">
        <v>1131</v>
      </c>
      <c r="C5274" s="1" t="s">
        <v>14669</v>
      </c>
      <c r="D5274" s="1" t="s">
        <v>78</v>
      </c>
      <c r="E5274" s="1" t="s">
        <v>28</v>
      </c>
      <c r="F5274" s="2">
        <v>50000.0</v>
      </c>
      <c r="G5274" s="1" t="s">
        <v>343</v>
      </c>
      <c r="H5274" s="4">
        <f>IFERROR(__xludf.DUMMYFUNCTION("DATE(INDEX(SPLIT(G5274,""/""),,3),INDEX(SPLIT(G5274,""/""),,2),INDEX(SPLIT(G5274,""/""),,1))"),44761.0)</f>
        <v>44761</v>
      </c>
      <c r="I5274" s="1" t="s">
        <v>109</v>
      </c>
      <c r="J5274" s="4">
        <f>IFERROR(__xludf.DUMMYFUNCTION("DATE(INDEX(SPLIT(I5274,""/""),,3),INDEX(SPLIT(I5274,""/""),,2),INDEX(SPLIT(I5274,""/""),,1))"),44834.0)</f>
        <v>44834</v>
      </c>
      <c r="L5274" s="1">
        <v>0.0</v>
      </c>
      <c r="M5274" s="1" t="s">
        <v>11206</v>
      </c>
      <c r="N5274" s="1"/>
      <c r="O5274" s="1" t="s">
        <v>30</v>
      </c>
      <c r="P5274" s="1" t="s">
        <v>31</v>
      </c>
      <c r="Q5274" s="1" t="s">
        <v>228</v>
      </c>
      <c r="R5274" s="1" t="s">
        <v>228</v>
      </c>
      <c r="S5274" s="1" t="s">
        <v>229</v>
      </c>
      <c r="U5274" s="1">
        <v>1.01147686E8</v>
      </c>
      <c r="X5274" s="1" t="s">
        <v>74</v>
      </c>
      <c r="Y5274" s="1" t="s">
        <v>14398</v>
      </c>
      <c r="Z5274" s="1" t="s">
        <v>37</v>
      </c>
    </row>
    <row r="5275" hidden="1">
      <c r="A5275" s="1" t="s">
        <v>14670</v>
      </c>
      <c r="B5275" s="1" t="s">
        <v>12818</v>
      </c>
      <c r="C5275" s="1" t="s">
        <v>14671</v>
      </c>
      <c r="D5275" s="1" t="s">
        <v>78</v>
      </c>
      <c r="E5275" s="1" t="s">
        <v>28</v>
      </c>
      <c r="F5275" s="2">
        <v>50000.0</v>
      </c>
      <c r="G5275" s="1" t="s">
        <v>935</v>
      </c>
      <c r="H5275" s="4">
        <f>IFERROR(__xludf.DUMMYFUNCTION("DATE(INDEX(SPLIT(G5275,""/""),,3),INDEX(SPLIT(G5275,""/""),,2),INDEX(SPLIT(G5275,""/""),,1))"),44764.0)</f>
        <v>44764</v>
      </c>
      <c r="I5275" s="1" t="s">
        <v>203</v>
      </c>
      <c r="J5275" s="4">
        <f>IFERROR(__xludf.DUMMYFUNCTION("DATE(INDEX(SPLIT(I5275,""/""),,3),INDEX(SPLIT(I5275,""/""),,2),INDEX(SPLIT(I5275,""/""),,1))"),44925.0)</f>
        <v>44925</v>
      </c>
      <c r="L5275" s="1">
        <v>0.0</v>
      </c>
      <c r="M5275" s="1" t="s">
        <v>4735</v>
      </c>
      <c r="N5275" s="1"/>
      <c r="O5275" s="1" t="s">
        <v>30</v>
      </c>
      <c r="P5275" s="1" t="s">
        <v>31</v>
      </c>
      <c r="Q5275" s="1" t="s">
        <v>71</v>
      </c>
      <c r="R5275" s="1" t="s">
        <v>71</v>
      </c>
      <c r="S5275" s="1" t="s">
        <v>72</v>
      </c>
      <c r="T5275" s="1" t="s">
        <v>136</v>
      </c>
      <c r="U5275" s="1">
        <v>1.00609615E8</v>
      </c>
      <c r="X5275" s="1" t="s">
        <v>74</v>
      </c>
      <c r="Y5275" s="1" t="s">
        <v>2593</v>
      </c>
      <c r="Z5275" s="1" t="s">
        <v>206</v>
      </c>
    </row>
    <row r="5276" hidden="1">
      <c r="A5276" s="1" t="s">
        <v>14672</v>
      </c>
      <c r="B5276" s="1" t="s">
        <v>11171</v>
      </c>
      <c r="C5276" s="1" t="s">
        <v>14673</v>
      </c>
      <c r="D5276" s="1" t="s">
        <v>27</v>
      </c>
      <c r="E5276" s="1" t="s">
        <v>28</v>
      </c>
      <c r="F5276" s="2">
        <v>50000.0</v>
      </c>
      <c r="G5276" s="4">
        <v>44258.0</v>
      </c>
      <c r="H5276" s="4">
        <f>IFERROR(__xludf.DUMMYFUNCTION("DATE(INDEX(SPLIT(G5276,""/""),,3),INDEX(SPLIT(G5276,""/""),,2),INDEX(SPLIT(G5276,""/""),,1))"),44258.0)</f>
        <v>44258</v>
      </c>
      <c r="I5276" s="1" t="s">
        <v>42</v>
      </c>
      <c r="J5276" s="4">
        <f>IFERROR(__xludf.DUMMYFUNCTION("DATE(INDEX(SPLIT(I5276,""/""),,3),INDEX(SPLIT(I5276,""/""),,2),INDEX(SPLIT(I5276,""/""),,1))"),44926.0)</f>
        <v>44926</v>
      </c>
      <c r="L5276" s="1">
        <v>0.0</v>
      </c>
      <c r="M5276" s="1" t="s">
        <v>4477</v>
      </c>
      <c r="N5276" s="1"/>
      <c r="O5276" s="1" t="s">
        <v>30</v>
      </c>
      <c r="P5276" s="1" t="s">
        <v>31</v>
      </c>
      <c r="Q5276" s="1" t="s">
        <v>228</v>
      </c>
      <c r="R5276" s="1" t="s">
        <v>228</v>
      </c>
      <c r="S5276" s="1" t="s">
        <v>229</v>
      </c>
      <c r="T5276" s="1" t="s">
        <v>513</v>
      </c>
      <c r="U5276" s="1">
        <v>1.00592715E8</v>
      </c>
      <c r="X5276" s="1" t="s">
        <v>98</v>
      </c>
      <c r="Y5276" s="1" t="s">
        <v>14674</v>
      </c>
      <c r="Z5276" s="1" t="s">
        <v>37</v>
      </c>
    </row>
    <row r="5277" hidden="1">
      <c r="A5277" s="1" t="s">
        <v>14675</v>
      </c>
      <c r="B5277" s="1" t="s">
        <v>3126</v>
      </c>
      <c r="C5277" s="1" t="s">
        <v>14676</v>
      </c>
      <c r="D5277" s="1" t="s">
        <v>27</v>
      </c>
      <c r="E5277" s="1" t="s">
        <v>28</v>
      </c>
      <c r="F5277" s="2">
        <v>50000.0</v>
      </c>
      <c r="G5277" s="4">
        <v>44837.0</v>
      </c>
      <c r="H5277" s="4">
        <f>IFERROR(__xludf.DUMMYFUNCTION("DATE(INDEX(SPLIT(G5277,""/""),,3),INDEX(SPLIT(G5277,""/""),,2),INDEX(SPLIT(G5277,""/""),,1))"),44630.0)</f>
        <v>44630</v>
      </c>
      <c r="I5277" s="4">
        <v>44569.0</v>
      </c>
      <c r="J5277" s="4">
        <f>IFERROR(__xludf.DUMMYFUNCTION("DATE(INDEX(SPLIT(I5277,""/""),,3),INDEX(SPLIT(I5277,""/""),,2),INDEX(SPLIT(I5277,""/""),,1))"),44774.0)</f>
        <v>44774</v>
      </c>
      <c r="L5277" s="1">
        <v>0.0</v>
      </c>
      <c r="M5277" s="1" t="s">
        <v>2171</v>
      </c>
      <c r="N5277" s="1"/>
      <c r="O5277" s="1" t="s">
        <v>30</v>
      </c>
      <c r="P5277" s="1" t="s">
        <v>31</v>
      </c>
      <c r="Q5277" s="1" t="s">
        <v>53</v>
      </c>
      <c r="R5277" s="1" t="s">
        <v>53</v>
      </c>
      <c r="S5277" s="1" t="s">
        <v>54</v>
      </c>
      <c r="T5277" s="1" t="s">
        <v>1386</v>
      </c>
      <c r="U5277" s="1">
        <v>1.00638494E8</v>
      </c>
      <c r="X5277" s="1" t="s">
        <v>63</v>
      </c>
      <c r="Y5277" s="1" t="s">
        <v>767</v>
      </c>
      <c r="Z5277" s="1" t="s">
        <v>527</v>
      </c>
    </row>
    <row r="5278" hidden="1">
      <c r="A5278" s="1" t="s">
        <v>14677</v>
      </c>
      <c r="B5278" s="1" t="s">
        <v>14678</v>
      </c>
      <c r="C5278" s="1" t="s">
        <v>14679</v>
      </c>
      <c r="D5278" s="1" t="s">
        <v>78</v>
      </c>
      <c r="E5278" s="1" t="s">
        <v>28</v>
      </c>
      <c r="F5278" s="2">
        <v>50000.0</v>
      </c>
      <c r="G5278" s="4">
        <v>43902.0</v>
      </c>
      <c r="H5278" s="4">
        <f>IFERROR(__xludf.DUMMYFUNCTION("DATE(INDEX(SPLIT(G5278,""/""),,3),INDEX(SPLIT(G5278,""/""),,2),INDEX(SPLIT(G5278,""/""),,1))"),44168.0)</f>
        <v>44168</v>
      </c>
      <c r="I5278" s="1" t="s">
        <v>109</v>
      </c>
      <c r="J5278" s="4">
        <f>IFERROR(__xludf.DUMMYFUNCTION("DATE(INDEX(SPLIT(I5278,""/""),,3),INDEX(SPLIT(I5278,""/""),,2),INDEX(SPLIT(I5278,""/""),,1))"),44834.0)</f>
        <v>44834</v>
      </c>
      <c r="L5278" s="1">
        <v>0.0</v>
      </c>
      <c r="M5278" s="1" t="s">
        <v>4418</v>
      </c>
      <c r="N5278" s="1"/>
      <c r="O5278" s="1" t="s">
        <v>30</v>
      </c>
      <c r="P5278" s="1" t="s">
        <v>31</v>
      </c>
      <c r="Q5278" s="1" t="s">
        <v>188</v>
      </c>
      <c r="R5278" s="1" t="s">
        <v>188</v>
      </c>
      <c r="S5278" s="1" t="s">
        <v>189</v>
      </c>
      <c r="T5278" s="1" t="s">
        <v>304</v>
      </c>
      <c r="U5278" s="1">
        <v>1.0066064E8</v>
      </c>
      <c r="V5278" s="1" t="s">
        <v>14680</v>
      </c>
      <c r="W5278" s="1" t="s">
        <v>199</v>
      </c>
      <c r="X5278" s="1" t="s">
        <v>305</v>
      </c>
      <c r="Y5278" s="1" t="s">
        <v>1533</v>
      </c>
      <c r="Z5278" s="1" t="s">
        <v>37</v>
      </c>
    </row>
    <row r="5279" hidden="1">
      <c r="A5279" s="1" t="s">
        <v>14681</v>
      </c>
      <c r="B5279" s="1" t="s">
        <v>14682</v>
      </c>
      <c r="C5279" s="1" t="s">
        <v>14683</v>
      </c>
      <c r="D5279" s="1" t="s">
        <v>27</v>
      </c>
      <c r="E5279" s="1" t="s">
        <v>28</v>
      </c>
      <c r="F5279" s="2">
        <v>50000.0</v>
      </c>
      <c r="G5279" s="4">
        <v>44653.0</v>
      </c>
      <c r="H5279" s="4">
        <f>IFERROR(__xludf.DUMMYFUNCTION("DATE(INDEX(SPLIT(G5279,""/""),,3),INDEX(SPLIT(G5279,""/""),,2),INDEX(SPLIT(G5279,""/""),,1))"),44596.0)</f>
        <v>44596</v>
      </c>
      <c r="I5279" s="1" t="s">
        <v>109</v>
      </c>
      <c r="J5279" s="4">
        <f>IFERROR(__xludf.DUMMYFUNCTION("DATE(INDEX(SPLIT(I5279,""/""),,3),INDEX(SPLIT(I5279,""/""),,2),INDEX(SPLIT(I5279,""/""),,1))"),44834.0)</f>
        <v>44834</v>
      </c>
      <c r="L5279" s="1">
        <v>0.0</v>
      </c>
      <c r="M5279" s="1" t="s">
        <v>12039</v>
      </c>
      <c r="N5279" s="1"/>
      <c r="O5279" s="1" t="s">
        <v>30</v>
      </c>
      <c r="P5279" s="1" t="s">
        <v>31</v>
      </c>
      <c r="Q5279" s="1" t="s">
        <v>228</v>
      </c>
      <c r="R5279" s="1" t="s">
        <v>228</v>
      </c>
      <c r="S5279" s="1" t="s">
        <v>229</v>
      </c>
      <c r="T5279" s="1" t="s">
        <v>640</v>
      </c>
      <c r="U5279" s="1">
        <v>1.00612509E8</v>
      </c>
      <c r="X5279" s="1" t="s">
        <v>2028</v>
      </c>
      <c r="Y5279" s="1" t="s">
        <v>14684</v>
      </c>
      <c r="Z5279" s="1" t="s">
        <v>37</v>
      </c>
    </row>
    <row r="5280" hidden="1">
      <c r="A5280" s="1" t="s">
        <v>14685</v>
      </c>
      <c r="B5280" s="1" t="s">
        <v>14686</v>
      </c>
      <c r="C5280" s="1" t="s">
        <v>14687</v>
      </c>
      <c r="D5280" s="1" t="s">
        <v>27</v>
      </c>
      <c r="E5280" s="1" t="s">
        <v>28</v>
      </c>
      <c r="F5280" s="2">
        <v>50000.0</v>
      </c>
      <c r="G5280" s="1" t="s">
        <v>286</v>
      </c>
      <c r="H5280" s="4">
        <f>IFERROR(__xludf.DUMMYFUNCTION("DATE(INDEX(SPLIT(G5280,""/""),,3),INDEX(SPLIT(G5280,""/""),,2),INDEX(SPLIT(G5280,""/""),,1))"),44609.0)</f>
        <v>44609</v>
      </c>
      <c r="I5280" s="1" t="s">
        <v>109</v>
      </c>
      <c r="J5280" s="4">
        <f>IFERROR(__xludf.DUMMYFUNCTION("DATE(INDEX(SPLIT(I5280,""/""),,3),INDEX(SPLIT(I5280,""/""),,2),INDEX(SPLIT(I5280,""/""),,1))"),44834.0)</f>
        <v>44834</v>
      </c>
      <c r="L5280" s="1">
        <v>0.0</v>
      </c>
      <c r="M5280" s="1" t="s">
        <v>4735</v>
      </c>
      <c r="N5280" s="1"/>
      <c r="O5280" s="1" t="s">
        <v>30</v>
      </c>
      <c r="P5280" s="1" t="s">
        <v>31</v>
      </c>
      <c r="Q5280" s="1" t="s">
        <v>71</v>
      </c>
      <c r="R5280" s="1" t="s">
        <v>71</v>
      </c>
      <c r="S5280" s="1" t="s">
        <v>72</v>
      </c>
      <c r="T5280" s="1" t="s">
        <v>136</v>
      </c>
      <c r="U5280" s="1">
        <v>1.00609615E8</v>
      </c>
      <c r="X5280" s="1" t="s">
        <v>74</v>
      </c>
      <c r="Y5280" s="1" t="s">
        <v>12121</v>
      </c>
      <c r="Z5280" s="1" t="s">
        <v>206</v>
      </c>
    </row>
    <row r="5281">
      <c r="A5281" s="1" t="s">
        <v>14688</v>
      </c>
      <c r="B5281" s="1" t="s">
        <v>1748</v>
      </c>
      <c r="C5281" s="1" t="s">
        <v>14689</v>
      </c>
      <c r="D5281" s="1" t="s">
        <v>68</v>
      </c>
      <c r="E5281" s="1" t="s">
        <v>28</v>
      </c>
      <c r="F5281" s="2">
        <v>50000.0</v>
      </c>
      <c r="G5281" s="1" t="s">
        <v>185</v>
      </c>
      <c r="H5281" s="4">
        <f>IFERROR(__xludf.DUMMYFUNCTION("DATE(INDEX(SPLIT(G5281,""/""),,3),INDEX(SPLIT(G5281,""/""),,2),INDEX(SPLIT(G5281,""/""),,1))"),44741.0)</f>
        <v>44741</v>
      </c>
      <c r="I5281" s="1" t="s">
        <v>518</v>
      </c>
      <c r="J5281" s="4">
        <f>IFERROR(__xludf.DUMMYFUNCTION("DATE(INDEX(SPLIT(I5281,""/""),,3),INDEX(SPLIT(I5281,""/""),,2),INDEX(SPLIT(I5281,""/""),,1))"),44757.0)</f>
        <v>44757</v>
      </c>
      <c r="L5281" s="1">
        <v>0.0</v>
      </c>
      <c r="M5281" s="1" t="s">
        <v>11254</v>
      </c>
      <c r="N5281" s="1"/>
      <c r="O5281" s="1" t="s">
        <v>30</v>
      </c>
      <c r="P5281" s="1" t="s">
        <v>31</v>
      </c>
      <c r="Q5281" s="1" t="s">
        <v>228</v>
      </c>
      <c r="R5281" s="1" t="s">
        <v>228</v>
      </c>
      <c r="S5281" s="1" t="s">
        <v>229</v>
      </c>
      <c r="U5281" s="1">
        <v>1.00602248E8</v>
      </c>
      <c r="X5281" s="1" t="s">
        <v>88</v>
      </c>
      <c r="Y5281" s="1" t="s">
        <v>11072</v>
      </c>
      <c r="Z5281" s="1" t="s">
        <v>37</v>
      </c>
    </row>
    <row r="5282" hidden="1">
      <c r="A5282" s="1" t="s">
        <v>14690</v>
      </c>
      <c r="B5282" s="1" t="s">
        <v>1371</v>
      </c>
      <c r="C5282" s="1" t="s">
        <v>14691</v>
      </c>
      <c r="D5282" s="1" t="s">
        <v>27</v>
      </c>
      <c r="E5282" s="1" t="s">
        <v>28</v>
      </c>
      <c r="F5282" s="2">
        <v>50000.0</v>
      </c>
      <c r="G5282" s="4">
        <v>44389.0</v>
      </c>
      <c r="H5282" s="4">
        <f>IFERROR(__xludf.DUMMYFUNCTION("DATE(INDEX(SPLIT(G5282,""/""),,3),INDEX(SPLIT(G5282,""/""),,2),INDEX(SPLIT(G5282,""/""),,1))"),44537.0)</f>
        <v>44537</v>
      </c>
      <c r="I5282" s="1" t="s">
        <v>42</v>
      </c>
      <c r="J5282" s="4">
        <f>IFERROR(__xludf.DUMMYFUNCTION("DATE(INDEX(SPLIT(I5282,""/""),,3),INDEX(SPLIT(I5282,""/""),,2),INDEX(SPLIT(I5282,""/""),,1))"),44926.0)</f>
        <v>44926</v>
      </c>
      <c r="L5282" s="1">
        <v>0.0</v>
      </c>
      <c r="M5282" s="1" t="s">
        <v>1484</v>
      </c>
      <c r="N5282" s="1"/>
      <c r="O5282" s="1" t="s">
        <v>30</v>
      </c>
      <c r="P5282" s="1" t="s">
        <v>31</v>
      </c>
      <c r="Q5282" s="1" t="s">
        <v>95</v>
      </c>
      <c r="R5282" s="1" t="s">
        <v>95</v>
      </c>
      <c r="S5282" s="1" t="s">
        <v>96</v>
      </c>
      <c r="T5282" s="1" t="s">
        <v>111</v>
      </c>
      <c r="U5282" s="1">
        <v>1.00585718E8</v>
      </c>
      <c r="X5282" s="1" t="s">
        <v>63</v>
      </c>
      <c r="Y5282" s="1" t="s">
        <v>3541</v>
      </c>
      <c r="Z5282" s="1" t="s">
        <v>37</v>
      </c>
    </row>
    <row r="5283" hidden="1">
      <c r="A5283" s="1" t="s">
        <v>14692</v>
      </c>
      <c r="B5283" s="1" t="s">
        <v>1371</v>
      </c>
      <c r="C5283" s="1" t="s">
        <v>14693</v>
      </c>
      <c r="D5283" s="1" t="s">
        <v>27</v>
      </c>
      <c r="E5283" s="1" t="s">
        <v>28</v>
      </c>
      <c r="F5283" s="2">
        <v>50000.0</v>
      </c>
      <c r="G5283" s="4">
        <v>44389.0</v>
      </c>
      <c r="H5283" s="4">
        <f>IFERROR(__xludf.DUMMYFUNCTION("DATE(INDEX(SPLIT(G5283,""/""),,3),INDEX(SPLIT(G5283,""/""),,2),INDEX(SPLIT(G5283,""/""),,1))"),44537.0)</f>
        <v>44537</v>
      </c>
      <c r="I5283" s="1" t="s">
        <v>42</v>
      </c>
      <c r="J5283" s="4">
        <f>IFERROR(__xludf.DUMMYFUNCTION("DATE(INDEX(SPLIT(I5283,""/""),,3),INDEX(SPLIT(I5283,""/""),,2),INDEX(SPLIT(I5283,""/""),,1))"),44926.0)</f>
        <v>44926</v>
      </c>
      <c r="L5283" s="1">
        <v>0.0</v>
      </c>
      <c r="M5283" s="1" t="s">
        <v>1484</v>
      </c>
      <c r="N5283" s="1"/>
      <c r="O5283" s="1" t="s">
        <v>30</v>
      </c>
      <c r="P5283" s="1" t="s">
        <v>31</v>
      </c>
      <c r="Q5283" s="1" t="s">
        <v>95</v>
      </c>
      <c r="R5283" s="1" t="s">
        <v>95</v>
      </c>
      <c r="S5283" s="1" t="s">
        <v>96</v>
      </c>
      <c r="T5283" s="1" t="s">
        <v>111</v>
      </c>
      <c r="U5283" s="1">
        <v>1.00585718E8</v>
      </c>
      <c r="X5283" s="1" t="s">
        <v>63</v>
      </c>
      <c r="Y5283" s="1" t="s">
        <v>3541</v>
      </c>
      <c r="Z5283" s="1" t="s">
        <v>37</v>
      </c>
    </row>
    <row r="5284">
      <c r="A5284" s="1" t="s">
        <v>14694</v>
      </c>
      <c r="B5284" s="1" t="s">
        <v>8420</v>
      </c>
      <c r="C5284" s="1" t="s">
        <v>14695</v>
      </c>
      <c r="D5284" s="1" t="s">
        <v>122</v>
      </c>
      <c r="E5284" s="1" t="s">
        <v>28</v>
      </c>
      <c r="F5284" s="2">
        <v>50000.0</v>
      </c>
      <c r="G5284" s="4">
        <v>44656.0</v>
      </c>
      <c r="H5284" s="4">
        <f>IFERROR(__xludf.DUMMYFUNCTION("DATE(INDEX(SPLIT(G5284,""/""),,3),INDEX(SPLIT(G5284,""/""),,2),INDEX(SPLIT(G5284,""/""),,1))"),44685.0)</f>
        <v>44685</v>
      </c>
      <c r="I5284" s="1" t="s">
        <v>69</v>
      </c>
      <c r="J5284" s="4">
        <f>IFERROR(__xludf.DUMMYFUNCTION("DATE(INDEX(SPLIT(I5284,""/""),,3),INDEX(SPLIT(I5284,""/""),,2),INDEX(SPLIT(I5284,""/""),,1))"),44773.0)</f>
        <v>44773</v>
      </c>
      <c r="L5284" s="1">
        <v>0.0</v>
      </c>
      <c r="M5284" s="1" t="s">
        <v>7088</v>
      </c>
      <c r="N5284" s="1"/>
      <c r="O5284" s="1" t="s">
        <v>30</v>
      </c>
      <c r="P5284" s="1" t="s">
        <v>31</v>
      </c>
      <c r="Q5284" s="1" t="s">
        <v>228</v>
      </c>
      <c r="R5284" s="1" t="s">
        <v>228</v>
      </c>
      <c r="S5284" s="1" t="s">
        <v>229</v>
      </c>
      <c r="T5284" s="1" t="s">
        <v>513</v>
      </c>
      <c r="U5284" s="1">
        <v>1.00597339E8</v>
      </c>
      <c r="X5284" s="1" t="s">
        <v>63</v>
      </c>
      <c r="Y5284" s="1" t="s">
        <v>7089</v>
      </c>
      <c r="Z5284" s="1" t="s">
        <v>37</v>
      </c>
    </row>
    <row r="5285" hidden="1">
      <c r="A5285" s="1" t="s">
        <v>14696</v>
      </c>
      <c r="B5285" s="1" t="s">
        <v>14697</v>
      </c>
      <c r="C5285" s="1" t="s">
        <v>14698</v>
      </c>
      <c r="D5285" s="1" t="s">
        <v>78</v>
      </c>
      <c r="E5285" s="1" t="s">
        <v>28</v>
      </c>
      <c r="F5285" s="2">
        <v>50000.0</v>
      </c>
      <c r="G5285" s="1" t="s">
        <v>3149</v>
      </c>
      <c r="H5285" s="4">
        <f>IFERROR(__xludf.DUMMYFUNCTION("DATE(INDEX(SPLIT(G5285,""/""),,3),INDEX(SPLIT(G5285,""/""),,2),INDEX(SPLIT(G5285,""/""),,1))"),44301.0)</f>
        <v>44301</v>
      </c>
      <c r="I5285" s="4">
        <v>44570.0</v>
      </c>
      <c r="J5285" s="4">
        <f>IFERROR(__xludf.DUMMYFUNCTION("DATE(INDEX(SPLIT(I5285,""/""),,3),INDEX(SPLIT(I5285,""/""),,2),INDEX(SPLIT(I5285,""/""),,1))"),44805.0)</f>
        <v>44805</v>
      </c>
      <c r="K5285" s="1" t="s">
        <v>14699</v>
      </c>
      <c r="L5285" s="1">
        <v>0.0</v>
      </c>
      <c r="M5285" s="1" t="s">
        <v>6045</v>
      </c>
      <c r="N5285" s="1"/>
      <c r="O5285" s="1" t="s">
        <v>30</v>
      </c>
      <c r="P5285" s="1" t="s">
        <v>31</v>
      </c>
      <c r="Q5285" s="1" t="s">
        <v>228</v>
      </c>
      <c r="R5285" s="1" t="s">
        <v>228</v>
      </c>
      <c r="S5285" s="1" t="s">
        <v>229</v>
      </c>
      <c r="T5285" s="1" t="s">
        <v>640</v>
      </c>
      <c r="U5285" s="1">
        <v>1.00652479E8</v>
      </c>
      <c r="X5285" s="1" t="s">
        <v>410</v>
      </c>
      <c r="Y5285" s="1" t="s">
        <v>14700</v>
      </c>
      <c r="Z5285" s="1" t="s">
        <v>37</v>
      </c>
    </row>
    <row r="5286">
      <c r="A5286" s="1" t="s">
        <v>14701</v>
      </c>
      <c r="B5286" s="1" t="s">
        <v>14702</v>
      </c>
      <c r="C5286" s="1" t="s">
        <v>14121</v>
      </c>
      <c r="D5286" s="1" t="s">
        <v>122</v>
      </c>
      <c r="E5286" s="1" t="s">
        <v>28</v>
      </c>
      <c r="F5286" s="2">
        <v>50000.0</v>
      </c>
      <c r="G5286" s="1" t="s">
        <v>330</v>
      </c>
      <c r="H5286" s="4">
        <f>IFERROR(__xludf.DUMMYFUNCTION("DATE(INDEX(SPLIT(G5286,""/""),,3),INDEX(SPLIT(G5286,""/""),,2),INDEX(SPLIT(G5286,""/""),,1))"),44728.0)</f>
        <v>44728</v>
      </c>
      <c r="I5286" s="1" t="s">
        <v>1244</v>
      </c>
      <c r="J5286" s="4">
        <f>IFERROR(__xludf.DUMMYFUNCTION("DATE(INDEX(SPLIT(I5286,""/""),,3),INDEX(SPLIT(I5286,""/""),,2),INDEX(SPLIT(I5286,""/""),,1))"),44742.0)</f>
        <v>44742</v>
      </c>
      <c r="L5286" s="1">
        <v>0.0</v>
      </c>
      <c r="M5286" s="1" t="s">
        <v>8859</v>
      </c>
      <c r="N5286" s="1"/>
      <c r="O5286" s="1" t="s">
        <v>30</v>
      </c>
      <c r="P5286" s="1" t="s">
        <v>31</v>
      </c>
      <c r="Q5286" s="1" t="s">
        <v>228</v>
      </c>
      <c r="R5286" s="1" t="s">
        <v>228</v>
      </c>
      <c r="S5286" s="1" t="s">
        <v>229</v>
      </c>
      <c r="T5286" s="1" t="s">
        <v>513</v>
      </c>
      <c r="U5286" s="1">
        <v>1.00604296E8</v>
      </c>
      <c r="Y5286" s="1" t="s">
        <v>11862</v>
      </c>
      <c r="Z5286" s="1" t="s">
        <v>37</v>
      </c>
    </row>
    <row r="5287" hidden="1">
      <c r="A5287" s="1" t="s">
        <v>14703</v>
      </c>
      <c r="B5287" s="1" t="s">
        <v>1131</v>
      </c>
      <c r="C5287" s="1" t="s">
        <v>14704</v>
      </c>
      <c r="D5287" s="1" t="s">
        <v>27</v>
      </c>
      <c r="E5287" s="1" t="s">
        <v>28</v>
      </c>
      <c r="F5287" s="2">
        <v>50000.0</v>
      </c>
      <c r="G5287" s="1" t="s">
        <v>2629</v>
      </c>
      <c r="H5287" s="4">
        <f>IFERROR(__xludf.DUMMYFUNCTION("DATE(INDEX(SPLIT(G5287,""/""),,3),INDEX(SPLIT(G5287,""/""),,2),INDEX(SPLIT(G5287,""/""),,1))"),44651.0)</f>
        <v>44651</v>
      </c>
      <c r="I5287" s="1" t="s">
        <v>109</v>
      </c>
      <c r="J5287" s="4">
        <f>IFERROR(__xludf.DUMMYFUNCTION("DATE(INDEX(SPLIT(I5287,""/""),,3),INDEX(SPLIT(I5287,""/""),,2),INDEX(SPLIT(I5287,""/""),,1))"),44834.0)</f>
        <v>44834</v>
      </c>
      <c r="L5287" s="1">
        <v>0.0</v>
      </c>
      <c r="M5287" s="1" t="s">
        <v>70</v>
      </c>
      <c r="N5287" s="1"/>
      <c r="O5287" s="1" t="s">
        <v>30</v>
      </c>
      <c r="P5287" s="1" t="s">
        <v>31</v>
      </c>
      <c r="Q5287" s="1" t="s">
        <v>71</v>
      </c>
      <c r="R5287" s="1" t="s">
        <v>71</v>
      </c>
      <c r="S5287" s="1" t="s">
        <v>72</v>
      </c>
      <c r="T5287" s="1" t="s">
        <v>73</v>
      </c>
      <c r="U5287" s="1">
        <v>1.00640331E8</v>
      </c>
      <c r="X5287" s="1" t="s">
        <v>74</v>
      </c>
      <c r="Y5287" s="1" t="s">
        <v>8809</v>
      </c>
      <c r="Z5287" s="1" t="s">
        <v>37</v>
      </c>
    </row>
    <row r="5288" hidden="1">
      <c r="A5288" s="1" t="s">
        <v>14705</v>
      </c>
      <c r="B5288" s="1" t="s">
        <v>5851</v>
      </c>
      <c r="C5288" s="1" t="s">
        <v>14706</v>
      </c>
      <c r="D5288" s="1" t="s">
        <v>78</v>
      </c>
      <c r="E5288" s="1" t="s">
        <v>28</v>
      </c>
      <c r="F5288" s="2">
        <v>50000.0</v>
      </c>
      <c r="G5288" s="1" t="s">
        <v>7187</v>
      </c>
      <c r="H5288" s="4">
        <f>IFERROR(__xludf.DUMMYFUNCTION("DATE(INDEX(SPLIT(G5288,""/""),,3),INDEX(SPLIT(G5288,""/""),,2),INDEX(SPLIT(G5288,""/""),,1))"),44253.0)</f>
        <v>44253</v>
      </c>
      <c r="I5288" s="1" t="s">
        <v>1097</v>
      </c>
      <c r="J5288" s="4">
        <f>IFERROR(__xludf.DUMMYFUNCTION("DATE(INDEX(SPLIT(I5288,""/""),,3),INDEX(SPLIT(I5288,""/""),,2),INDEX(SPLIT(I5288,""/""),,1))"),45107.0)</f>
        <v>45107</v>
      </c>
      <c r="L5288" s="1">
        <v>0.0</v>
      </c>
      <c r="M5288" s="1" t="s">
        <v>2592</v>
      </c>
      <c r="N5288" s="1"/>
      <c r="O5288" s="1" t="s">
        <v>30</v>
      </c>
      <c r="P5288" s="1" t="s">
        <v>31</v>
      </c>
      <c r="Q5288" s="1" t="s">
        <v>71</v>
      </c>
      <c r="R5288" s="1" t="s">
        <v>71</v>
      </c>
      <c r="S5288" s="1" t="s">
        <v>72</v>
      </c>
      <c r="T5288" s="1" t="s">
        <v>136</v>
      </c>
      <c r="U5288" s="1">
        <v>1.00586452E8</v>
      </c>
      <c r="X5288" s="1" t="s">
        <v>74</v>
      </c>
      <c r="Y5288" s="1" t="s">
        <v>2593</v>
      </c>
      <c r="Z5288" s="1" t="s">
        <v>37</v>
      </c>
    </row>
    <row r="5289" hidden="1">
      <c r="A5289" s="1" t="s">
        <v>14707</v>
      </c>
      <c r="B5289" s="1" t="s">
        <v>7930</v>
      </c>
      <c r="C5289" s="1" t="s">
        <v>14708</v>
      </c>
      <c r="D5289" s="1" t="s">
        <v>122</v>
      </c>
      <c r="E5289" s="1" t="s">
        <v>28</v>
      </c>
      <c r="F5289" s="2">
        <v>50000.0</v>
      </c>
      <c r="G5289" s="4">
        <v>44449.0</v>
      </c>
      <c r="H5289" s="4">
        <f>IFERROR(__xludf.DUMMYFUNCTION("DATE(INDEX(SPLIT(G5289,""/""),,3),INDEX(SPLIT(G5289,""/""),,2),INDEX(SPLIT(G5289,""/""),,1))"),44478.0)</f>
        <v>44478</v>
      </c>
      <c r="I5289" s="1" t="s">
        <v>130</v>
      </c>
      <c r="J5289" s="4">
        <f>IFERROR(__xludf.DUMMYFUNCTION("DATE(INDEX(SPLIT(I5289,""/""),,3),INDEX(SPLIT(I5289,""/""),,2),INDEX(SPLIT(I5289,""/""),,1))"),44804.0)</f>
        <v>44804</v>
      </c>
      <c r="L5289" s="1">
        <v>0.0</v>
      </c>
      <c r="M5289" s="1" t="s">
        <v>5120</v>
      </c>
      <c r="N5289" s="1"/>
      <c r="O5289" s="1" t="s">
        <v>30</v>
      </c>
      <c r="P5289" s="1" t="s">
        <v>31</v>
      </c>
      <c r="Q5289" s="1" t="s">
        <v>71</v>
      </c>
      <c r="R5289" s="1" t="s">
        <v>71</v>
      </c>
      <c r="S5289" s="1" t="s">
        <v>72</v>
      </c>
      <c r="T5289" s="1" t="s">
        <v>136</v>
      </c>
      <c r="U5289" s="1">
        <v>1.0059101E8</v>
      </c>
      <c r="X5289" s="1" t="s">
        <v>2028</v>
      </c>
      <c r="Y5289" s="1" t="s">
        <v>5120</v>
      </c>
      <c r="Z5289" s="1" t="s">
        <v>37</v>
      </c>
    </row>
    <row r="5290" hidden="1">
      <c r="A5290" s="1" t="s">
        <v>14709</v>
      </c>
      <c r="B5290" s="1" t="s">
        <v>5033</v>
      </c>
      <c r="C5290" s="1" t="s">
        <v>14710</v>
      </c>
      <c r="D5290" s="1" t="s">
        <v>27</v>
      </c>
      <c r="E5290" s="1" t="s">
        <v>28</v>
      </c>
      <c r="F5290" s="2">
        <v>50000.0</v>
      </c>
      <c r="G5290" s="1" t="s">
        <v>2629</v>
      </c>
      <c r="H5290" s="4">
        <f>IFERROR(__xludf.DUMMYFUNCTION("DATE(INDEX(SPLIT(G5290,""/""),,3),INDEX(SPLIT(G5290,""/""),,2),INDEX(SPLIT(G5290,""/""),,1))"),44651.0)</f>
        <v>44651</v>
      </c>
      <c r="I5290" s="1" t="s">
        <v>109</v>
      </c>
      <c r="J5290" s="4">
        <f>IFERROR(__xludf.DUMMYFUNCTION("DATE(INDEX(SPLIT(I5290,""/""),,3),INDEX(SPLIT(I5290,""/""),,2),INDEX(SPLIT(I5290,""/""),,1))"),44834.0)</f>
        <v>44834</v>
      </c>
      <c r="L5290" s="1">
        <v>0.0</v>
      </c>
      <c r="M5290" s="1" t="s">
        <v>70</v>
      </c>
      <c r="N5290" s="1"/>
      <c r="O5290" s="1" t="s">
        <v>30</v>
      </c>
      <c r="P5290" s="1" t="s">
        <v>31</v>
      </c>
      <c r="Q5290" s="1" t="s">
        <v>71</v>
      </c>
      <c r="R5290" s="1" t="s">
        <v>71</v>
      </c>
      <c r="S5290" s="1" t="s">
        <v>72</v>
      </c>
      <c r="T5290" s="1" t="s">
        <v>73</v>
      </c>
      <c r="U5290" s="1">
        <v>1.00640331E8</v>
      </c>
      <c r="X5290" s="1" t="s">
        <v>74</v>
      </c>
      <c r="Y5290" s="1" t="s">
        <v>2445</v>
      </c>
      <c r="Z5290" s="1" t="s">
        <v>37</v>
      </c>
    </row>
    <row r="5291" hidden="1">
      <c r="A5291" s="1" t="s">
        <v>14711</v>
      </c>
      <c r="B5291" s="1" t="s">
        <v>5583</v>
      </c>
      <c r="C5291" s="1" t="s">
        <v>14712</v>
      </c>
      <c r="D5291" s="1" t="s">
        <v>122</v>
      </c>
      <c r="E5291" s="1" t="s">
        <v>28</v>
      </c>
      <c r="F5291" s="2">
        <v>50000.0</v>
      </c>
      <c r="G5291" s="1" t="s">
        <v>7187</v>
      </c>
      <c r="H5291" s="4">
        <f>IFERROR(__xludf.DUMMYFUNCTION("DATE(INDEX(SPLIT(G5291,""/""),,3),INDEX(SPLIT(G5291,""/""),,2),INDEX(SPLIT(G5291,""/""),,1))"),44253.0)</f>
        <v>44253</v>
      </c>
      <c r="I5291" s="1" t="s">
        <v>1097</v>
      </c>
      <c r="J5291" s="4">
        <f>IFERROR(__xludf.DUMMYFUNCTION("DATE(INDEX(SPLIT(I5291,""/""),,3),INDEX(SPLIT(I5291,""/""),,2),INDEX(SPLIT(I5291,""/""),,1))"),45107.0)</f>
        <v>45107</v>
      </c>
      <c r="L5291" s="1">
        <v>0.0</v>
      </c>
      <c r="M5291" s="1" t="s">
        <v>2592</v>
      </c>
      <c r="N5291" s="1"/>
      <c r="O5291" s="1" t="s">
        <v>30</v>
      </c>
      <c r="P5291" s="1" t="s">
        <v>31</v>
      </c>
      <c r="Q5291" s="1" t="s">
        <v>71</v>
      </c>
      <c r="R5291" s="1" t="s">
        <v>71</v>
      </c>
      <c r="S5291" s="1" t="s">
        <v>72</v>
      </c>
      <c r="T5291" s="1" t="s">
        <v>136</v>
      </c>
      <c r="U5291" s="1">
        <v>1.00586452E8</v>
      </c>
      <c r="X5291" s="1" t="s">
        <v>74</v>
      </c>
      <c r="Y5291" s="1" t="s">
        <v>2593</v>
      </c>
      <c r="Z5291" s="1" t="s">
        <v>37</v>
      </c>
    </row>
    <row r="5292">
      <c r="A5292" s="1" t="s">
        <v>14713</v>
      </c>
      <c r="B5292" s="1" t="s">
        <v>605</v>
      </c>
      <c r="C5292" s="1" t="s">
        <v>14714</v>
      </c>
      <c r="D5292" s="1" t="s">
        <v>78</v>
      </c>
      <c r="E5292" s="1" t="s">
        <v>28</v>
      </c>
      <c r="F5292" s="2">
        <v>50000.0</v>
      </c>
      <c r="G5292" s="1" t="s">
        <v>1442</v>
      </c>
      <c r="H5292" s="4">
        <f>IFERROR(__xludf.DUMMYFUNCTION("DATE(INDEX(SPLIT(G5292,""/""),,3),INDEX(SPLIT(G5292,""/""),,2),INDEX(SPLIT(G5292,""/""),,1))"),44727.0)</f>
        <v>44727</v>
      </c>
      <c r="I5292" s="1" t="s">
        <v>69</v>
      </c>
      <c r="J5292" s="4">
        <f>IFERROR(__xludf.DUMMYFUNCTION("DATE(INDEX(SPLIT(I5292,""/""),,3),INDEX(SPLIT(I5292,""/""),,2),INDEX(SPLIT(I5292,""/""),,1))"),44773.0)</f>
        <v>44773</v>
      </c>
      <c r="L5292" s="1">
        <v>0.0</v>
      </c>
      <c r="M5292" s="1" t="s">
        <v>1828</v>
      </c>
      <c r="N5292" s="1"/>
      <c r="O5292" s="1" t="s">
        <v>30</v>
      </c>
      <c r="P5292" s="1" t="s">
        <v>31</v>
      </c>
      <c r="Q5292" s="1" t="s">
        <v>235</v>
      </c>
      <c r="R5292" s="1" t="s">
        <v>235</v>
      </c>
      <c r="S5292" s="1" t="s">
        <v>236</v>
      </c>
      <c r="T5292" s="1" t="s">
        <v>1349</v>
      </c>
      <c r="U5292" s="1">
        <v>1.00593918E8</v>
      </c>
      <c r="X5292" s="1" t="s">
        <v>88</v>
      </c>
      <c r="Y5292" s="1" t="s">
        <v>1350</v>
      </c>
      <c r="Z5292" s="1" t="s">
        <v>37</v>
      </c>
    </row>
    <row r="5293" hidden="1">
      <c r="A5293" s="1" t="s">
        <v>14715</v>
      </c>
      <c r="B5293" s="1" t="s">
        <v>854</v>
      </c>
      <c r="C5293" s="1" t="s">
        <v>14716</v>
      </c>
      <c r="D5293" s="1" t="s">
        <v>27</v>
      </c>
      <c r="E5293" s="1" t="s">
        <v>28</v>
      </c>
      <c r="F5293" s="2">
        <v>50000.0</v>
      </c>
      <c r="G5293" s="1" t="s">
        <v>1631</v>
      </c>
      <c r="H5293" s="4">
        <f>IFERROR(__xludf.DUMMYFUNCTION("DATE(INDEX(SPLIT(G5293,""/""),,3),INDEX(SPLIT(G5293,""/""),,2),INDEX(SPLIT(G5293,""/""),,1))"),44000.0)</f>
        <v>44000</v>
      </c>
      <c r="I5293" s="1" t="s">
        <v>109</v>
      </c>
      <c r="J5293" s="4">
        <f>IFERROR(__xludf.DUMMYFUNCTION("DATE(INDEX(SPLIT(I5293,""/""),,3),INDEX(SPLIT(I5293,""/""),,2),INDEX(SPLIT(I5293,""/""),,1))"),44834.0)</f>
        <v>44834</v>
      </c>
      <c r="L5293" s="1">
        <v>0.0</v>
      </c>
      <c r="M5293" s="1" t="s">
        <v>856</v>
      </c>
      <c r="N5293" s="1"/>
      <c r="O5293" s="1" t="s">
        <v>30</v>
      </c>
      <c r="P5293" s="1" t="s">
        <v>31</v>
      </c>
      <c r="Q5293" s="1" t="s">
        <v>235</v>
      </c>
      <c r="R5293" s="1" t="s">
        <v>235</v>
      </c>
      <c r="S5293" s="1" t="s">
        <v>236</v>
      </c>
      <c r="T5293" s="1" t="s">
        <v>438</v>
      </c>
      <c r="U5293" s="1">
        <v>1.01017204E8</v>
      </c>
      <c r="X5293" s="1" t="s">
        <v>88</v>
      </c>
      <c r="Y5293" s="1" t="s">
        <v>9390</v>
      </c>
      <c r="Z5293" s="1" t="s">
        <v>37</v>
      </c>
    </row>
    <row r="5294" hidden="1">
      <c r="A5294" s="1" t="s">
        <v>14717</v>
      </c>
      <c r="B5294" s="1" t="s">
        <v>2000</v>
      </c>
      <c r="C5294" s="1" t="s">
        <v>14718</v>
      </c>
      <c r="D5294" s="1" t="s">
        <v>27</v>
      </c>
      <c r="E5294" s="1" t="s">
        <v>28</v>
      </c>
      <c r="F5294" s="2">
        <v>50000.0</v>
      </c>
      <c r="G5294" s="4">
        <v>44414.0</v>
      </c>
      <c r="H5294" s="4">
        <f>IFERROR(__xludf.DUMMYFUNCTION("DATE(INDEX(SPLIT(G5294,""/""),,3),INDEX(SPLIT(G5294,""/""),,2),INDEX(SPLIT(G5294,""/""),,1))"),44355.0)</f>
        <v>44355</v>
      </c>
      <c r="I5294" s="1" t="s">
        <v>109</v>
      </c>
      <c r="J5294" s="4">
        <f>IFERROR(__xludf.DUMMYFUNCTION("DATE(INDEX(SPLIT(I5294,""/""),,3),INDEX(SPLIT(I5294,""/""),,2),INDEX(SPLIT(I5294,""/""),,1))"),44834.0)</f>
        <v>44834</v>
      </c>
      <c r="L5294" s="1">
        <v>0.0</v>
      </c>
      <c r="M5294" s="1" t="s">
        <v>2472</v>
      </c>
      <c r="N5294" s="1"/>
      <c r="O5294" s="1" t="s">
        <v>30</v>
      </c>
      <c r="P5294" s="1" t="s">
        <v>31</v>
      </c>
      <c r="Q5294" s="1" t="s">
        <v>228</v>
      </c>
      <c r="R5294" s="1" t="s">
        <v>228</v>
      </c>
      <c r="S5294" s="1" t="s">
        <v>229</v>
      </c>
      <c r="U5294" s="1">
        <v>1.00645232E8</v>
      </c>
      <c r="X5294" s="1" t="s">
        <v>239</v>
      </c>
      <c r="Y5294" s="1" t="s">
        <v>2445</v>
      </c>
      <c r="Z5294" s="1" t="s">
        <v>37</v>
      </c>
    </row>
    <row r="5295">
      <c r="A5295" s="1" t="s">
        <v>14719</v>
      </c>
      <c r="B5295" s="1" t="s">
        <v>2000</v>
      </c>
      <c r="C5295" s="1" t="s">
        <v>14720</v>
      </c>
      <c r="D5295" s="1" t="s">
        <v>27</v>
      </c>
      <c r="E5295" s="1" t="s">
        <v>28</v>
      </c>
      <c r="F5295" s="2">
        <v>50000.0</v>
      </c>
      <c r="G5295" s="4">
        <v>44414.0</v>
      </c>
      <c r="H5295" s="4">
        <f>IFERROR(__xludf.DUMMYFUNCTION("DATE(INDEX(SPLIT(G5295,""/""),,3),INDEX(SPLIT(G5295,""/""),,2),INDEX(SPLIT(G5295,""/""),,1))"),44355.0)</f>
        <v>44355</v>
      </c>
      <c r="I5295" s="4">
        <v>44626.0</v>
      </c>
      <c r="J5295" s="4">
        <f>IFERROR(__xludf.DUMMYFUNCTION("DATE(INDEX(SPLIT(I5295,""/""),,3),INDEX(SPLIT(I5295,""/""),,2),INDEX(SPLIT(I5295,""/""),,1))"),44715.0)</f>
        <v>44715</v>
      </c>
      <c r="L5295" s="1">
        <v>0.0</v>
      </c>
      <c r="M5295" s="1" t="s">
        <v>1166</v>
      </c>
      <c r="N5295" s="1"/>
      <c r="O5295" s="1" t="s">
        <v>30</v>
      </c>
      <c r="P5295" s="1" t="s">
        <v>31</v>
      </c>
      <c r="Q5295" s="1" t="s">
        <v>235</v>
      </c>
      <c r="R5295" s="1" t="s">
        <v>235</v>
      </c>
      <c r="S5295" s="1" t="s">
        <v>236</v>
      </c>
      <c r="T5295" s="1" t="s">
        <v>237</v>
      </c>
      <c r="U5295" s="1">
        <v>1.0065102E8</v>
      </c>
      <c r="X5295" s="1" t="s">
        <v>239</v>
      </c>
      <c r="Y5295" s="1" t="s">
        <v>14721</v>
      </c>
      <c r="Z5295" s="1" t="s">
        <v>37</v>
      </c>
    </row>
    <row r="5296">
      <c r="A5296" s="1" t="s">
        <v>14722</v>
      </c>
      <c r="B5296" s="1" t="s">
        <v>2000</v>
      </c>
      <c r="C5296" s="1" t="s">
        <v>14723</v>
      </c>
      <c r="D5296" s="1" t="s">
        <v>27</v>
      </c>
      <c r="E5296" s="1" t="s">
        <v>28</v>
      </c>
      <c r="F5296" s="2">
        <v>50000.0</v>
      </c>
      <c r="G5296" s="4">
        <v>44414.0</v>
      </c>
      <c r="H5296" s="4">
        <f>IFERROR(__xludf.DUMMYFUNCTION("DATE(INDEX(SPLIT(G5296,""/""),,3),INDEX(SPLIT(G5296,""/""),,2),INDEX(SPLIT(G5296,""/""),,1))"),44355.0)</f>
        <v>44355</v>
      </c>
      <c r="I5296" s="4">
        <v>44626.0</v>
      </c>
      <c r="J5296" s="4">
        <f>IFERROR(__xludf.DUMMYFUNCTION("DATE(INDEX(SPLIT(I5296,""/""),,3),INDEX(SPLIT(I5296,""/""),,2),INDEX(SPLIT(I5296,""/""),,1))"),44715.0)</f>
        <v>44715</v>
      </c>
      <c r="L5296" s="1">
        <v>0.0</v>
      </c>
      <c r="M5296" s="1" t="s">
        <v>1166</v>
      </c>
      <c r="N5296" s="1"/>
      <c r="O5296" s="1" t="s">
        <v>30</v>
      </c>
      <c r="P5296" s="1" t="s">
        <v>31</v>
      </c>
      <c r="Q5296" s="1" t="s">
        <v>235</v>
      </c>
      <c r="R5296" s="1" t="s">
        <v>235</v>
      </c>
      <c r="S5296" s="1" t="s">
        <v>236</v>
      </c>
      <c r="T5296" s="1" t="s">
        <v>237</v>
      </c>
      <c r="U5296" s="1">
        <v>1.0065102E8</v>
      </c>
      <c r="X5296" s="1" t="s">
        <v>239</v>
      </c>
      <c r="Y5296" s="1" t="s">
        <v>14721</v>
      </c>
      <c r="Z5296" s="1" t="s">
        <v>37</v>
      </c>
    </row>
    <row r="5297" hidden="1">
      <c r="A5297" s="1" t="s">
        <v>14724</v>
      </c>
      <c r="B5297" s="1" t="s">
        <v>10638</v>
      </c>
      <c r="C5297" s="1" t="s">
        <v>14725</v>
      </c>
      <c r="D5297" s="1" t="s">
        <v>122</v>
      </c>
      <c r="E5297" s="1" t="s">
        <v>28</v>
      </c>
      <c r="F5297" s="2">
        <v>50000.0</v>
      </c>
      <c r="G5297" s="1" t="s">
        <v>185</v>
      </c>
      <c r="H5297" s="4">
        <f>IFERROR(__xludf.DUMMYFUNCTION("DATE(INDEX(SPLIT(G5297,""/""),,3),INDEX(SPLIT(G5297,""/""),,2),INDEX(SPLIT(G5297,""/""),,1))"),44741.0)</f>
        <v>44741</v>
      </c>
      <c r="I5297" s="1" t="s">
        <v>109</v>
      </c>
      <c r="J5297" s="4">
        <f>IFERROR(__xludf.DUMMYFUNCTION("DATE(INDEX(SPLIT(I5297,""/""),,3),INDEX(SPLIT(I5297,""/""),,2),INDEX(SPLIT(I5297,""/""),,1))"),44834.0)</f>
        <v>44834</v>
      </c>
      <c r="L5297" s="1">
        <v>0.0</v>
      </c>
      <c r="M5297" s="1" t="s">
        <v>1098</v>
      </c>
      <c r="N5297" s="1"/>
      <c r="O5297" s="1" t="s">
        <v>30</v>
      </c>
      <c r="P5297" s="1" t="s">
        <v>31</v>
      </c>
      <c r="Q5297" s="1" t="s">
        <v>95</v>
      </c>
      <c r="R5297" s="1" t="s">
        <v>95</v>
      </c>
      <c r="S5297" s="1" t="s">
        <v>96</v>
      </c>
      <c r="T5297" s="1" t="s">
        <v>311</v>
      </c>
      <c r="U5297" s="1">
        <v>1.00634994E8</v>
      </c>
      <c r="X5297" s="1" t="s">
        <v>46</v>
      </c>
      <c r="Y5297" s="1" t="s">
        <v>5363</v>
      </c>
      <c r="Z5297" s="1" t="s">
        <v>37</v>
      </c>
    </row>
    <row r="5298" hidden="1">
      <c r="A5298" s="1" t="s">
        <v>14726</v>
      </c>
      <c r="B5298" s="1" t="s">
        <v>932</v>
      </c>
      <c r="C5298" s="1" t="s">
        <v>14727</v>
      </c>
      <c r="D5298" s="1" t="s">
        <v>78</v>
      </c>
      <c r="E5298" s="1" t="s">
        <v>28</v>
      </c>
      <c r="F5298" s="2">
        <v>50000.0</v>
      </c>
      <c r="G5298" s="4">
        <v>44297.0</v>
      </c>
      <c r="H5298" s="4">
        <f>IFERROR(__xludf.DUMMYFUNCTION("DATE(INDEX(SPLIT(G5298,""/""),,3),INDEX(SPLIT(G5298,""/""),,2),INDEX(SPLIT(G5298,""/""),,1))"),44504.0)</f>
        <v>44504</v>
      </c>
      <c r="I5298" s="4">
        <v>44958.0</v>
      </c>
      <c r="J5298" s="4">
        <f>IFERROR(__xludf.DUMMYFUNCTION("DATE(INDEX(SPLIT(I5298,""/""),,3),INDEX(SPLIT(I5298,""/""),,2),INDEX(SPLIT(I5298,""/""),,1))"),44928.0)</f>
        <v>44928</v>
      </c>
      <c r="L5298" s="1">
        <v>0.0</v>
      </c>
      <c r="M5298" s="1" t="s">
        <v>2623</v>
      </c>
      <c r="N5298" s="1"/>
      <c r="O5298" s="1" t="s">
        <v>30</v>
      </c>
      <c r="P5298" s="1" t="s">
        <v>31</v>
      </c>
      <c r="Q5298" s="1" t="s">
        <v>71</v>
      </c>
      <c r="R5298" s="1" t="s">
        <v>71</v>
      </c>
      <c r="S5298" s="1" t="s">
        <v>72</v>
      </c>
      <c r="T5298" s="1" t="s">
        <v>73</v>
      </c>
      <c r="U5298" s="1">
        <v>1.00618842E8</v>
      </c>
      <c r="X5298" s="1" t="s">
        <v>74</v>
      </c>
      <c r="Y5298" s="1" t="s">
        <v>2623</v>
      </c>
      <c r="Z5298" s="1" t="s">
        <v>37</v>
      </c>
    </row>
    <row r="5299">
      <c r="A5299" s="1" t="s">
        <v>14728</v>
      </c>
      <c r="B5299" s="1" t="s">
        <v>14729</v>
      </c>
      <c r="C5299" s="1" t="s">
        <v>14730</v>
      </c>
      <c r="D5299" s="1" t="s">
        <v>122</v>
      </c>
      <c r="E5299" s="1" t="s">
        <v>28</v>
      </c>
      <c r="F5299" s="2">
        <v>50000.0</v>
      </c>
      <c r="G5299" s="1" t="s">
        <v>154</v>
      </c>
      <c r="H5299" s="4">
        <f>IFERROR(__xludf.DUMMYFUNCTION("DATE(INDEX(SPLIT(G5299,""/""),,3),INDEX(SPLIT(G5299,""/""),,2),INDEX(SPLIT(G5299,""/""),,1))"),44670.0)</f>
        <v>44670</v>
      </c>
      <c r="I5299" s="1" t="s">
        <v>2300</v>
      </c>
      <c r="J5299" s="4">
        <f>IFERROR(__xludf.DUMMYFUNCTION("DATE(INDEX(SPLIT(I5299,""/""),,3),INDEX(SPLIT(I5299,""/""),,2),INDEX(SPLIT(I5299,""/""),,1))"),44712.0)</f>
        <v>44712</v>
      </c>
      <c r="L5299" s="1">
        <v>0.0</v>
      </c>
      <c r="M5299" s="1" t="s">
        <v>2207</v>
      </c>
      <c r="N5299" s="1"/>
      <c r="O5299" s="1" t="s">
        <v>30</v>
      </c>
      <c r="P5299" s="1" t="s">
        <v>31</v>
      </c>
      <c r="Q5299" s="1" t="s">
        <v>228</v>
      </c>
      <c r="R5299" s="1" t="s">
        <v>228</v>
      </c>
      <c r="S5299" s="1" t="s">
        <v>229</v>
      </c>
      <c r="T5299" s="1" t="s">
        <v>513</v>
      </c>
      <c r="U5299" s="1">
        <v>1.00596618E8</v>
      </c>
      <c r="X5299" s="1" t="s">
        <v>117</v>
      </c>
      <c r="Y5299" s="1" t="s">
        <v>2208</v>
      </c>
      <c r="Z5299" s="1" t="s">
        <v>37</v>
      </c>
    </row>
    <row r="5300">
      <c r="A5300" s="1" t="s">
        <v>14731</v>
      </c>
      <c r="B5300" s="1" t="s">
        <v>1991</v>
      </c>
      <c r="C5300" s="1" t="s">
        <v>14732</v>
      </c>
      <c r="D5300" s="1" t="s">
        <v>27</v>
      </c>
      <c r="E5300" s="1" t="s">
        <v>28</v>
      </c>
      <c r="F5300" s="2">
        <v>50000.0</v>
      </c>
      <c r="G5300" s="4">
        <v>44839.0</v>
      </c>
      <c r="H5300" s="4">
        <f>IFERROR(__xludf.DUMMYFUNCTION("DATE(INDEX(SPLIT(G5300,""/""),,3),INDEX(SPLIT(G5300,""/""),,2),INDEX(SPLIT(G5300,""/""),,1))"),44691.0)</f>
        <v>44691</v>
      </c>
      <c r="I5300" s="1" t="s">
        <v>226</v>
      </c>
      <c r="J5300" s="4">
        <f>IFERROR(__xludf.DUMMYFUNCTION("DATE(INDEX(SPLIT(I5300,""/""),,3),INDEX(SPLIT(I5300,""/""),,2),INDEX(SPLIT(I5300,""/""),,1))"),44771.0)</f>
        <v>44771</v>
      </c>
      <c r="L5300" s="1">
        <v>0.0</v>
      </c>
      <c r="M5300" s="1" t="s">
        <v>7664</v>
      </c>
      <c r="N5300" s="1"/>
      <c r="O5300" s="1" t="s">
        <v>30</v>
      </c>
      <c r="P5300" s="1" t="s">
        <v>31</v>
      </c>
      <c r="Q5300" s="1" t="s">
        <v>228</v>
      </c>
      <c r="R5300" s="1" t="s">
        <v>228</v>
      </c>
      <c r="S5300" s="1" t="s">
        <v>229</v>
      </c>
      <c r="U5300" s="1">
        <v>1.01120172E8</v>
      </c>
      <c r="X5300" s="1" t="s">
        <v>490</v>
      </c>
      <c r="Y5300" s="1" t="s">
        <v>7664</v>
      </c>
      <c r="Z5300" s="1" t="s">
        <v>527</v>
      </c>
    </row>
    <row r="5301" hidden="1">
      <c r="A5301" s="1" t="s">
        <v>14733</v>
      </c>
      <c r="B5301" s="1" t="s">
        <v>14734</v>
      </c>
      <c r="C5301" s="1" t="s">
        <v>14735</v>
      </c>
      <c r="D5301" s="1" t="s">
        <v>78</v>
      </c>
      <c r="E5301" s="1" t="s">
        <v>28</v>
      </c>
      <c r="F5301" s="2">
        <v>50000.0</v>
      </c>
      <c r="G5301" s="1" t="s">
        <v>3883</v>
      </c>
      <c r="H5301" s="4">
        <f>IFERROR(__xludf.DUMMYFUNCTION("DATE(INDEX(SPLIT(G5301,""/""),,3),INDEX(SPLIT(G5301,""/""),,2),INDEX(SPLIT(G5301,""/""),,1))"),44666.0)</f>
        <v>44666</v>
      </c>
      <c r="I5301" s="1" t="s">
        <v>109</v>
      </c>
      <c r="J5301" s="4">
        <f>IFERROR(__xludf.DUMMYFUNCTION("DATE(INDEX(SPLIT(I5301,""/""),,3),INDEX(SPLIT(I5301,""/""),,2),INDEX(SPLIT(I5301,""/""),,1))"),44834.0)</f>
        <v>44834</v>
      </c>
      <c r="L5301" s="1">
        <v>0.0</v>
      </c>
      <c r="M5301" s="1" t="s">
        <v>2592</v>
      </c>
      <c r="N5301" s="1"/>
      <c r="O5301" s="1" t="s">
        <v>30</v>
      </c>
      <c r="P5301" s="1" t="s">
        <v>31</v>
      </c>
      <c r="Q5301" s="1" t="s">
        <v>71</v>
      </c>
      <c r="R5301" s="1" t="s">
        <v>71</v>
      </c>
      <c r="S5301" s="1" t="s">
        <v>72</v>
      </c>
      <c r="T5301" s="1" t="s">
        <v>136</v>
      </c>
      <c r="U5301" s="1">
        <v>1.00586452E8</v>
      </c>
      <c r="X5301" s="1" t="s">
        <v>74</v>
      </c>
      <c r="Y5301" s="1" t="s">
        <v>12121</v>
      </c>
      <c r="Z5301" s="1" t="s">
        <v>37</v>
      </c>
    </row>
    <row r="5302" hidden="1">
      <c r="A5302" s="1" t="s">
        <v>14736</v>
      </c>
      <c r="B5302" s="1" t="s">
        <v>14737</v>
      </c>
      <c r="C5302" s="1" t="s">
        <v>14738</v>
      </c>
      <c r="D5302" s="1" t="s">
        <v>27</v>
      </c>
      <c r="E5302" s="1" t="s">
        <v>28</v>
      </c>
      <c r="F5302" s="2">
        <v>50000.0</v>
      </c>
      <c r="G5302" s="1" t="s">
        <v>1044</v>
      </c>
      <c r="H5302" s="4">
        <f>IFERROR(__xludf.DUMMYFUNCTION("DATE(INDEX(SPLIT(G5302,""/""),,3),INDEX(SPLIT(G5302,""/""),,2),INDEX(SPLIT(G5302,""/""),,1))"),44588.0)</f>
        <v>44588</v>
      </c>
      <c r="I5302" s="1" t="s">
        <v>7282</v>
      </c>
      <c r="J5302" s="4">
        <f>IFERROR(__xludf.DUMMYFUNCTION("DATE(INDEX(SPLIT(I5302,""/""),,3),INDEX(SPLIT(I5302,""/""),,2),INDEX(SPLIT(I5302,""/""),,1))"),44798.0)</f>
        <v>44798</v>
      </c>
      <c r="L5302" s="1">
        <v>0.0</v>
      </c>
      <c r="M5302" s="1" t="s">
        <v>770</v>
      </c>
      <c r="N5302" s="1"/>
      <c r="O5302" s="1" t="s">
        <v>30</v>
      </c>
      <c r="P5302" s="1" t="s">
        <v>31</v>
      </c>
      <c r="Q5302" s="1" t="s">
        <v>157</v>
      </c>
      <c r="R5302" s="1" t="s">
        <v>157</v>
      </c>
      <c r="S5302" s="1" t="s">
        <v>158</v>
      </c>
      <c r="T5302" s="1" t="s">
        <v>442</v>
      </c>
      <c r="U5302" s="1">
        <v>1.00623421E8</v>
      </c>
      <c r="X5302" s="1" t="s">
        <v>361</v>
      </c>
      <c r="Y5302" s="1" t="s">
        <v>5027</v>
      </c>
      <c r="Z5302" s="1" t="s">
        <v>37</v>
      </c>
    </row>
    <row r="5303" hidden="1">
      <c r="A5303" s="1" t="s">
        <v>14739</v>
      </c>
      <c r="B5303" s="1" t="s">
        <v>2295</v>
      </c>
      <c r="C5303" s="1" t="s">
        <v>14740</v>
      </c>
      <c r="D5303" s="1" t="s">
        <v>78</v>
      </c>
      <c r="E5303" s="1" t="s">
        <v>28</v>
      </c>
      <c r="F5303" s="2">
        <v>50000.0</v>
      </c>
      <c r="G5303" s="4">
        <v>44503.0</v>
      </c>
      <c r="H5303" s="4">
        <f>IFERROR(__xludf.DUMMYFUNCTION("DATE(INDEX(SPLIT(G5303,""/""),,3),INDEX(SPLIT(G5303,""/""),,2),INDEX(SPLIT(G5303,""/""),,1))"),44266.0)</f>
        <v>44266</v>
      </c>
      <c r="I5303" s="1" t="s">
        <v>293</v>
      </c>
      <c r="J5303" s="4">
        <f>IFERROR(__xludf.DUMMYFUNCTION("DATE(INDEX(SPLIT(I5303,""/""),,3),INDEX(SPLIT(I5303,""/""),,2),INDEX(SPLIT(I5303,""/""),,1))"),44918.0)</f>
        <v>44918</v>
      </c>
      <c r="L5303" s="1">
        <v>0.0</v>
      </c>
      <c r="M5303" s="1" t="s">
        <v>1040</v>
      </c>
      <c r="N5303" s="1"/>
      <c r="O5303" s="1" t="s">
        <v>30</v>
      </c>
      <c r="P5303" s="1" t="s">
        <v>31</v>
      </c>
      <c r="Q5303" s="1" t="s">
        <v>71</v>
      </c>
      <c r="R5303" s="1" t="s">
        <v>71</v>
      </c>
      <c r="S5303" s="1" t="s">
        <v>72</v>
      </c>
      <c r="T5303" s="1" t="s">
        <v>73</v>
      </c>
      <c r="U5303" s="1">
        <v>1.00619899E8</v>
      </c>
      <c r="X5303" s="1" t="s">
        <v>74</v>
      </c>
      <c r="Y5303" s="1" t="s">
        <v>8809</v>
      </c>
      <c r="Z5303" s="1" t="s">
        <v>37</v>
      </c>
    </row>
    <row r="5304">
      <c r="A5304" s="1" t="s">
        <v>14741</v>
      </c>
      <c r="B5304" s="1" t="s">
        <v>223</v>
      </c>
      <c r="C5304" s="1" t="s">
        <v>14742</v>
      </c>
      <c r="D5304" s="1" t="s">
        <v>78</v>
      </c>
      <c r="E5304" s="1" t="s">
        <v>28</v>
      </c>
      <c r="F5304" s="2">
        <v>50000.0</v>
      </c>
      <c r="G5304" s="4">
        <v>44563.0</v>
      </c>
      <c r="H5304" s="4">
        <f>IFERROR(__xludf.DUMMYFUNCTION("DATE(INDEX(SPLIT(G5304,""/""),,3),INDEX(SPLIT(G5304,""/""),,2),INDEX(SPLIT(G5304,""/""),,1))"),44593.0)</f>
        <v>44593</v>
      </c>
      <c r="I5304" s="1" t="s">
        <v>1244</v>
      </c>
      <c r="J5304" s="4">
        <f>IFERROR(__xludf.DUMMYFUNCTION("DATE(INDEX(SPLIT(I5304,""/""),,3),INDEX(SPLIT(I5304,""/""),,2),INDEX(SPLIT(I5304,""/""),,1))"),44742.0)</f>
        <v>44742</v>
      </c>
      <c r="L5304" s="1">
        <v>0.0</v>
      </c>
      <c r="M5304" s="1" t="s">
        <v>1610</v>
      </c>
      <c r="N5304" s="1"/>
      <c r="O5304" s="1" t="s">
        <v>30</v>
      </c>
      <c r="P5304" s="1" t="s">
        <v>31</v>
      </c>
      <c r="Q5304" s="1" t="s">
        <v>53</v>
      </c>
      <c r="R5304" s="1" t="s">
        <v>53</v>
      </c>
      <c r="S5304" s="1" t="s">
        <v>54</v>
      </c>
      <c r="T5304" s="1" t="s">
        <v>1386</v>
      </c>
      <c r="U5304" s="1">
        <v>1.01141441E8</v>
      </c>
      <c r="X5304" s="1" t="s">
        <v>81</v>
      </c>
      <c r="Y5304" s="1" t="s">
        <v>1387</v>
      </c>
      <c r="Z5304" s="1" t="s">
        <v>37</v>
      </c>
    </row>
    <row r="5305" hidden="1">
      <c r="A5305" s="1" t="s">
        <v>14743</v>
      </c>
      <c r="B5305" s="1" t="s">
        <v>14454</v>
      </c>
      <c r="C5305" s="1" t="s">
        <v>14744</v>
      </c>
      <c r="D5305" s="1" t="s">
        <v>27</v>
      </c>
      <c r="E5305" s="1" t="s">
        <v>28</v>
      </c>
      <c r="F5305" s="2">
        <v>50000.0</v>
      </c>
      <c r="G5305" s="4">
        <v>43902.0</v>
      </c>
      <c r="H5305" s="4">
        <f>IFERROR(__xludf.DUMMYFUNCTION("DATE(INDEX(SPLIT(G5305,""/""),,3),INDEX(SPLIT(G5305,""/""),,2),INDEX(SPLIT(G5305,""/""),,1))"),44168.0)</f>
        <v>44168</v>
      </c>
      <c r="I5305" s="1" t="s">
        <v>179</v>
      </c>
      <c r="J5305" s="4">
        <f>IFERROR(__xludf.DUMMYFUNCTION("DATE(INDEX(SPLIT(I5305,""/""),,3),INDEX(SPLIT(I5305,""/""),,2),INDEX(SPLIT(I5305,""/""),,1))"),44890.0)</f>
        <v>44890</v>
      </c>
      <c r="L5305" s="1">
        <v>0.0</v>
      </c>
      <c r="M5305" s="1" t="s">
        <v>14456</v>
      </c>
      <c r="N5305" s="1"/>
      <c r="O5305" s="1" t="s">
        <v>30</v>
      </c>
      <c r="P5305" s="1" t="s">
        <v>31</v>
      </c>
      <c r="Q5305" s="1" t="s">
        <v>53</v>
      </c>
      <c r="R5305" s="1" t="s">
        <v>53</v>
      </c>
      <c r="S5305" s="1" t="s">
        <v>54</v>
      </c>
      <c r="U5305" s="1">
        <v>1.00650501E8</v>
      </c>
      <c r="X5305" s="1" t="s">
        <v>74</v>
      </c>
      <c r="Y5305" s="1" t="s">
        <v>957</v>
      </c>
      <c r="Z5305" s="1" t="s">
        <v>37</v>
      </c>
    </row>
    <row r="5306" hidden="1">
      <c r="A5306" s="1" t="s">
        <v>14745</v>
      </c>
      <c r="B5306" s="1" t="s">
        <v>1144</v>
      </c>
      <c r="C5306" s="1" t="s">
        <v>14746</v>
      </c>
      <c r="D5306" s="1" t="s">
        <v>78</v>
      </c>
      <c r="E5306" s="1" t="s">
        <v>28</v>
      </c>
      <c r="F5306" s="2">
        <v>50000.0</v>
      </c>
      <c r="G5306" s="1" t="s">
        <v>1259</v>
      </c>
      <c r="H5306" s="4">
        <f>IFERROR(__xludf.DUMMYFUNCTION("DATE(INDEX(SPLIT(G5306,""/""),,3),INDEX(SPLIT(G5306,""/""),,2),INDEX(SPLIT(G5306,""/""),,1))"),44763.0)</f>
        <v>44763</v>
      </c>
      <c r="I5306" s="4">
        <v>44689.0</v>
      </c>
      <c r="J5306" s="4">
        <f>IFERROR(__xludf.DUMMYFUNCTION("DATE(INDEX(SPLIT(I5306,""/""),,3),INDEX(SPLIT(I5306,""/""),,2),INDEX(SPLIT(I5306,""/""),,1))"),44778.0)</f>
        <v>44778</v>
      </c>
      <c r="L5306" s="1">
        <v>0.0</v>
      </c>
      <c r="M5306" s="1" t="s">
        <v>2613</v>
      </c>
      <c r="N5306" s="1"/>
      <c r="O5306" s="1" t="s">
        <v>30</v>
      </c>
      <c r="P5306" s="1" t="s">
        <v>31</v>
      </c>
      <c r="Q5306" s="1" t="s">
        <v>157</v>
      </c>
      <c r="R5306" s="1" t="s">
        <v>157</v>
      </c>
      <c r="S5306" s="1" t="s">
        <v>158</v>
      </c>
      <c r="U5306" s="1">
        <v>1.00628059E8</v>
      </c>
      <c r="X5306" s="1" t="s">
        <v>63</v>
      </c>
      <c r="Y5306" s="1" t="s">
        <v>14747</v>
      </c>
      <c r="Z5306" s="1" t="s">
        <v>37</v>
      </c>
    </row>
    <row r="5307">
      <c r="A5307" s="1" t="s">
        <v>14748</v>
      </c>
      <c r="B5307" s="1" t="s">
        <v>11171</v>
      </c>
      <c r="C5307" s="1" t="s">
        <v>14749</v>
      </c>
      <c r="D5307" s="1" t="s">
        <v>122</v>
      </c>
      <c r="E5307" s="1" t="s">
        <v>28</v>
      </c>
      <c r="F5307" s="2">
        <v>50000.0</v>
      </c>
      <c r="G5307" s="4">
        <v>44258.0</v>
      </c>
      <c r="H5307" s="4">
        <f>IFERROR(__xludf.DUMMYFUNCTION("DATE(INDEX(SPLIT(G5307,""/""),,3),INDEX(SPLIT(G5307,""/""),,2),INDEX(SPLIT(G5307,""/""),,1))"),44258.0)</f>
        <v>44258</v>
      </c>
      <c r="I5307" s="1" t="s">
        <v>69</v>
      </c>
      <c r="J5307" s="4">
        <f>IFERROR(__xludf.DUMMYFUNCTION("DATE(INDEX(SPLIT(I5307,""/""),,3),INDEX(SPLIT(I5307,""/""),,2),INDEX(SPLIT(I5307,""/""),,1))"),44773.0)</f>
        <v>44773</v>
      </c>
      <c r="L5307" s="1">
        <v>0.0</v>
      </c>
      <c r="M5307" s="1" t="s">
        <v>4477</v>
      </c>
      <c r="N5307" s="1"/>
      <c r="O5307" s="1" t="s">
        <v>30</v>
      </c>
      <c r="P5307" s="1" t="s">
        <v>31</v>
      </c>
      <c r="Q5307" s="1" t="s">
        <v>228</v>
      </c>
      <c r="R5307" s="1" t="s">
        <v>228</v>
      </c>
      <c r="S5307" s="1" t="s">
        <v>229</v>
      </c>
      <c r="T5307" s="1" t="s">
        <v>513</v>
      </c>
      <c r="U5307" s="1">
        <v>1.00592715E8</v>
      </c>
      <c r="X5307" s="1" t="s">
        <v>98</v>
      </c>
      <c r="Y5307" s="1" t="s">
        <v>14674</v>
      </c>
      <c r="Z5307" s="1" t="s">
        <v>37</v>
      </c>
    </row>
    <row r="5308" hidden="1">
      <c r="A5308" s="1" t="s">
        <v>14750</v>
      </c>
      <c r="B5308" s="1" t="s">
        <v>3184</v>
      </c>
      <c r="C5308" s="1" t="s">
        <v>14751</v>
      </c>
      <c r="D5308" s="1" t="s">
        <v>27</v>
      </c>
      <c r="E5308" s="1" t="s">
        <v>28</v>
      </c>
      <c r="F5308" s="2">
        <v>50000.0</v>
      </c>
      <c r="G5308" s="1" t="s">
        <v>108</v>
      </c>
      <c r="H5308" s="4">
        <f>IFERROR(__xludf.DUMMYFUNCTION("DATE(INDEX(SPLIT(G5308,""/""),,3),INDEX(SPLIT(G5308,""/""),,2),INDEX(SPLIT(G5308,""/""),,1))"),44725.0)</f>
        <v>44725</v>
      </c>
      <c r="I5308" s="1" t="s">
        <v>109</v>
      </c>
      <c r="J5308" s="4">
        <f>IFERROR(__xludf.DUMMYFUNCTION("DATE(INDEX(SPLIT(I5308,""/""),,3),INDEX(SPLIT(I5308,""/""),,2),INDEX(SPLIT(I5308,""/""),,1))"),44834.0)</f>
        <v>44834</v>
      </c>
      <c r="L5308" s="1">
        <v>0.0</v>
      </c>
      <c r="M5308" s="1" t="s">
        <v>7887</v>
      </c>
      <c r="N5308" s="1"/>
      <c r="O5308" s="1" t="s">
        <v>30</v>
      </c>
      <c r="P5308" s="1" t="s">
        <v>31</v>
      </c>
      <c r="Q5308" s="1" t="s">
        <v>53</v>
      </c>
      <c r="R5308" s="1" t="s">
        <v>53</v>
      </c>
      <c r="S5308" s="1" t="s">
        <v>54</v>
      </c>
      <c r="T5308" s="1" t="s">
        <v>11313</v>
      </c>
      <c r="U5308" s="1">
        <v>1.00587219E8</v>
      </c>
      <c r="X5308" s="1" t="s">
        <v>312</v>
      </c>
      <c r="Y5308" s="1" t="s">
        <v>11314</v>
      </c>
      <c r="Z5308" s="1" t="s">
        <v>37</v>
      </c>
    </row>
    <row r="5309" hidden="1">
      <c r="A5309" s="1" t="s">
        <v>14752</v>
      </c>
      <c r="B5309" s="1" t="s">
        <v>14753</v>
      </c>
      <c r="C5309" s="1" t="s">
        <v>14754</v>
      </c>
      <c r="D5309" s="1" t="s">
        <v>78</v>
      </c>
      <c r="E5309" s="1" t="s">
        <v>28</v>
      </c>
      <c r="F5309" s="2">
        <v>50000.0</v>
      </c>
      <c r="G5309" s="4">
        <v>44836.0</v>
      </c>
      <c r="H5309" s="4">
        <f>IFERROR(__xludf.DUMMYFUNCTION("DATE(INDEX(SPLIT(G5309,""/""),,3),INDEX(SPLIT(G5309,""/""),,2),INDEX(SPLIT(G5309,""/""),,1))"),44602.0)</f>
        <v>44602</v>
      </c>
      <c r="I5309" s="1" t="s">
        <v>14755</v>
      </c>
      <c r="J5309" s="4">
        <f>IFERROR(__xludf.DUMMYFUNCTION("DATE(INDEX(SPLIT(I5309,""/""),,3),INDEX(SPLIT(I5309,""/""),,2),INDEX(SPLIT(I5309,""/""),,1))"),45002.0)</f>
        <v>45002</v>
      </c>
      <c r="L5309" s="1">
        <v>0.0</v>
      </c>
      <c r="M5309" s="1" t="s">
        <v>3133</v>
      </c>
      <c r="N5309" s="1"/>
      <c r="O5309" s="1" t="s">
        <v>30</v>
      </c>
      <c r="P5309" s="1" t="s">
        <v>31</v>
      </c>
      <c r="Q5309" s="1" t="s">
        <v>228</v>
      </c>
      <c r="R5309" s="1" t="s">
        <v>228</v>
      </c>
      <c r="S5309" s="1" t="s">
        <v>229</v>
      </c>
      <c r="T5309" s="1" t="s">
        <v>513</v>
      </c>
      <c r="U5309" s="1">
        <v>1.00611158E8</v>
      </c>
      <c r="Y5309" s="1" t="s">
        <v>14756</v>
      </c>
      <c r="Z5309" s="1" t="s">
        <v>37</v>
      </c>
    </row>
    <row r="5310" hidden="1">
      <c r="A5310" s="1" t="s">
        <v>14757</v>
      </c>
      <c r="B5310" s="1" t="s">
        <v>120</v>
      </c>
      <c r="C5310" s="1" t="s">
        <v>14758</v>
      </c>
      <c r="D5310" s="1" t="s">
        <v>78</v>
      </c>
      <c r="E5310" s="1" t="s">
        <v>28</v>
      </c>
      <c r="F5310" s="2">
        <v>50000.0</v>
      </c>
      <c r="G5310" s="1" t="s">
        <v>1288</v>
      </c>
      <c r="H5310" s="4">
        <f>IFERROR(__xludf.DUMMYFUNCTION("DATE(INDEX(SPLIT(G5310,""/""),,3),INDEX(SPLIT(G5310,""/""),,2),INDEX(SPLIT(G5310,""/""),,1))"),44707.0)</f>
        <v>44707</v>
      </c>
      <c r="I5310" s="1" t="s">
        <v>109</v>
      </c>
      <c r="J5310" s="4">
        <f>IFERROR(__xludf.DUMMYFUNCTION("DATE(INDEX(SPLIT(I5310,""/""),,3),INDEX(SPLIT(I5310,""/""),,2),INDEX(SPLIT(I5310,""/""),,1))"),44834.0)</f>
        <v>44834</v>
      </c>
      <c r="L5310" s="1">
        <v>0.0</v>
      </c>
      <c r="M5310" s="1" t="s">
        <v>3133</v>
      </c>
      <c r="N5310" s="1"/>
      <c r="O5310" s="1" t="s">
        <v>30</v>
      </c>
      <c r="P5310" s="1" t="s">
        <v>31</v>
      </c>
      <c r="Q5310" s="1" t="s">
        <v>228</v>
      </c>
      <c r="R5310" s="1" t="s">
        <v>228</v>
      </c>
      <c r="S5310" s="1" t="s">
        <v>229</v>
      </c>
      <c r="T5310" s="1" t="s">
        <v>513</v>
      </c>
      <c r="U5310" s="1">
        <v>1.00611158E8</v>
      </c>
      <c r="X5310" s="1" t="s">
        <v>125</v>
      </c>
      <c r="Y5310" s="1" t="s">
        <v>14759</v>
      </c>
      <c r="Z5310" s="1" t="s">
        <v>37</v>
      </c>
    </row>
    <row r="5311" hidden="1">
      <c r="A5311" s="1" t="s">
        <v>14760</v>
      </c>
      <c r="B5311" s="1" t="s">
        <v>14761</v>
      </c>
      <c r="C5311" s="1" t="s">
        <v>14762</v>
      </c>
      <c r="D5311" s="1" t="s">
        <v>78</v>
      </c>
      <c r="E5311" s="1" t="s">
        <v>28</v>
      </c>
      <c r="F5311" s="2">
        <v>50000.0</v>
      </c>
      <c r="G5311" s="1" t="s">
        <v>518</v>
      </c>
      <c r="H5311" s="4">
        <f>IFERROR(__xludf.DUMMYFUNCTION("DATE(INDEX(SPLIT(G5311,""/""),,3),INDEX(SPLIT(G5311,""/""),,2),INDEX(SPLIT(G5311,""/""),,1))"),44757.0)</f>
        <v>44757</v>
      </c>
      <c r="I5311" s="1" t="s">
        <v>130</v>
      </c>
      <c r="J5311" s="4">
        <f>IFERROR(__xludf.DUMMYFUNCTION("DATE(INDEX(SPLIT(I5311,""/""),,3),INDEX(SPLIT(I5311,""/""),,2),INDEX(SPLIT(I5311,""/""),,1))"),44804.0)</f>
        <v>44804</v>
      </c>
      <c r="L5311" s="1">
        <v>0.0</v>
      </c>
      <c r="M5311" s="1" t="s">
        <v>1307</v>
      </c>
      <c r="N5311" s="1"/>
      <c r="O5311" s="1" t="s">
        <v>30</v>
      </c>
      <c r="P5311" s="1" t="s">
        <v>31</v>
      </c>
      <c r="Q5311" s="1" t="s">
        <v>235</v>
      </c>
      <c r="R5311" s="1" t="s">
        <v>235</v>
      </c>
      <c r="S5311" s="1" t="s">
        <v>236</v>
      </c>
      <c r="U5311" s="1">
        <v>1.00585952E8</v>
      </c>
      <c r="X5311" s="1" t="s">
        <v>375</v>
      </c>
      <c r="Y5311" s="1" t="s">
        <v>1307</v>
      </c>
      <c r="Z5311" s="1" t="s">
        <v>37</v>
      </c>
    </row>
    <row r="5312" hidden="1">
      <c r="A5312" s="1" t="s">
        <v>14763</v>
      </c>
      <c r="B5312" s="1" t="s">
        <v>14761</v>
      </c>
      <c r="C5312" s="1" t="s">
        <v>14762</v>
      </c>
      <c r="D5312" s="1" t="s">
        <v>122</v>
      </c>
      <c r="E5312" s="1" t="s">
        <v>28</v>
      </c>
      <c r="F5312" s="2">
        <v>50000.0</v>
      </c>
      <c r="G5312" s="1" t="s">
        <v>518</v>
      </c>
      <c r="H5312" s="4">
        <f>IFERROR(__xludf.DUMMYFUNCTION("DATE(INDEX(SPLIT(G5312,""/""),,3),INDEX(SPLIT(G5312,""/""),,2),INDEX(SPLIT(G5312,""/""),,1))"),44757.0)</f>
        <v>44757</v>
      </c>
      <c r="I5312" s="1" t="s">
        <v>130</v>
      </c>
      <c r="J5312" s="4">
        <f>IFERROR(__xludf.DUMMYFUNCTION("DATE(INDEX(SPLIT(I5312,""/""),,3),INDEX(SPLIT(I5312,""/""),,2),INDEX(SPLIT(I5312,""/""),,1))"),44804.0)</f>
        <v>44804</v>
      </c>
      <c r="L5312" s="1">
        <v>0.0</v>
      </c>
      <c r="M5312" s="1" t="s">
        <v>1307</v>
      </c>
      <c r="N5312" s="1"/>
      <c r="O5312" s="1" t="s">
        <v>30</v>
      </c>
      <c r="P5312" s="1" t="s">
        <v>31</v>
      </c>
      <c r="Q5312" s="1" t="s">
        <v>235</v>
      </c>
      <c r="R5312" s="1" t="s">
        <v>235</v>
      </c>
      <c r="S5312" s="1" t="s">
        <v>236</v>
      </c>
      <c r="U5312" s="1">
        <v>1.00585952E8</v>
      </c>
      <c r="X5312" s="1" t="s">
        <v>289</v>
      </c>
      <c r="Y5312" s="1" t="s">
        <v>1307</v>
      </c>
      <c r="Z5312" s="1" t="s">
        <v>37</v>
      </c>
    </row>
    <row r="5313" hidden="1">
      <c r="A5313" s="1" t="s">
        <v>14764</v>
      </c>
      <c r="B5313" s="1" t="s">
        <v>301</v>
      </c>
      <c r="C5313" s="1" t="s">
        <v>14765</v>
      </c>
      <c r="D5313" s="1" t="s">
        <v>27</v>
      </c>
      <c r="E5313" s="1" t="s">
        <v>28</v>
      </c>
      <c r="F5313" s="2">
        <v>50000.0</v>
      </c>
      <c r="G5313" s="4">
        <v>44625.0</v>
      </c>
      <c r="H5313" s="4">
        <f>IFERROR(__xludf.DUMMYFUNCTION("DATE(INDEX(SPLIT(G5313,""/""),,3),INDEX(SPLIT(G5313,""/""),,2),INDEX(SPLIT(G5313,""/""),,1))"),44684.0)</f>
        <v>44684</v>
      </c>
      <c r="I5313" s="1" t="s">
        <v>109</v>
      </c>
      <c r="J5313" s="4">
        <f>IFERROR(__xludf.DUMMYFUNCTION("DATE(INDEX(SPLIT(I5313,""/""),,3),INDEX(SPLIT(I5313,""/""),,2),INDEX(SPLIT(I5313,""/""),,1))"),44834.0)</f>
        <v>44834</v>
      </c>
      <c r="L5313" s="1">
        <v>0.0</v>
      </c>
      <c r="M5313" s="1" t="s">
        <v>5030</v>
      </c>
      <c r="N5313" s="1"/>
      <c r="O5313" s="1" t="s">
        <v>30</v>
      </c>
      <c r="P5313" s="1" t="s">
        <v>31</v>
      </c>
      <c r="Q5313" s="1" t="s">
        <v>228</v>
      </c>
      <c r="R5313" s="1" t="s">
        <v>228</v>
      </c>
      <c r="S5313" s="1" t="s">
        <v>229</v>
      </c>
      <c r="T5313" s="1" t="s">
        <v>505</v>
      </c>
      <c r="U5313" s="1">
        <v>1.00986592E8</v>
      </c>
      <c r="X5313" s="1" t="s">
        <v>305</v>
      </c>
      <c r="Y5313" s="1" t="s">
        <v>4289</v>
      </c>
      <c r="Z5313" s="1" t="s">
        <v>37</v>
      </c>
    </row>
    <row r="5314" hidden="1">
      <c r="A5314" s="1" t="s">
        <v>14766</v>
      </c>
      <c r="B5314" s="1" t="s">
        <v>377</v>
      </c>
      <c r="C5314" s="1" t="s">
        <v>14767</v>
      </c>
      <c r="D5314" s="1" t="s">
        <v>27</v>
      </c>
      <c r="E5314" s="1" t="s">
        <v>28</v>
      </c>
      <c r="F5314" s="2">
        <v>50000.0</v>
      </c>
      <c r="G5314" s="1" t="s">
        <v>2077</v>
      </c>
      <c r="H5314" s="4">
        <f>IFERROR(__xludf.DUMMYFUNCTION("DATE(INDEX(SPLIT(G5314,""/""),,3),INDEX(SPLIT(G5314,""/""),,2),INDEX(SPLIT(G5314,""/""),,1))"),44700.0)</f>
        <v>44700</v>
      </c>
      <c r="I5314" s="1" t="s">
        <v>42</v>
      </c>
      <c r="J5314" s="4">
        <f>IFERROR(__xludf.DUMMYFUNCTION("DATE(INDEX(SPLIT(I5314,""/""),,3),INDEX(SPLIT(I5314,""/""),,2),INDEX(SPLIT(I5314,""/""),,1))"),44926.0)</f>
        <v>44926</v>
      </c>
      <c r="L5314" s="1">
        <v>0.0</v>
      </c>
      <c r="M5314" s="1" t="s">
        <v>2147</v>
      </c>
      <c r="N5314" s="1"/>
      <c r="O5314" s="1" t="s">
        <v>30</v>
      </c>
      <c r="P5314" s="1" t="s">
        <v>31</v>
      </c>
      <c r="Q5314" s="1" t="s">
        <v>235</v>
      </c>
      <c r="R5314" s="1" t="s">
        <v>235</v>
      </c>
      <c r="S5314" s="1" t="s">
        <v>236</v>
      </c>
      <c r="U5314" s="1">
        <v>1.00647935E8</v>
      </c>
      <c r="X5314" s="1" t="s">
        <v>239</v>
      </c>
      <c r="Y5314" s="1" t="s">
        <v>2147</v>
      </c>
      <c r="Z5314" s="1" t="s">
        <v>37</v>
      </c>
    </row>
    <row r="5315">
      <c r="A5315" s="1" t="s">
        <v>14768</v>
      </c>
      <c r="B5315" s="1" t="s">
        <v>14769</v>
      </c>
      <c r="C5315" s="1" t="s">
        <v>14770</v>
      </c>
      <c r="D5315" s="1" t="s">
        <v>68</v>
      </c>
      <c r="E5315" s="1" t="s">
        <v>28</v>
      </c>
      <c r="F5315" s="2">
        <v>50000.0</v>
      </c>
      <c r="G5315" s="1" t="s">
        <v>359</v>
      </c>
      <c r="H5315" s="4">
        <f>IFERROR(__xludf.DUMMYFUNCTION("DATE(INDEX(SPLIT(G5315,""/""),,3),INDEX(SPLIT(G5315,""/""),,2),INDEX(SPLIT(G5315,""/""),,1))"),44740.0)</f>
        <v>44740</v>
      </c>
      <c r="I5315" s="1" t="s">
        <v>226</v>
      </c>
      <c r="J5315" s="4">
        <f>IFERROR(__xludf.DUMMYFUNCTION("DATE(INDEX(SPLIT(I5315,""/""),,3),INDEX(SPLIT(I5315,""/""),,2),INDEX(SPLIT(I5315,""/""),,1))"),44771.0)</f>
        <v>44771</v>
      </c>
      <c r="L5315" s="1">
        <v>0.0</v>
      </c>
      <c r="M5315" s="1" t="s">
        <v>12468</v>
      </c>
      <c r="N5315" s="1"/>
      <c r="O5315" s="1" t="s">
        <v>30</v>
      </c>
      <c r="P5315" s="1" t="s">
        <v>31</v>
      </c>
      <c r="Q5315" s="1" t="s">
        <v>228</v>
      </c>
      <c r="R5315" s="1" t="s">
        <v>228</v>
      </c>
      <c r="S5315" s="1" t="s">
        <v>229</v>
      </c>
      <c r="T5315" s="1" t="s">
        <v>513</v>
      </c>
      <c r="U5315" s="1">
        <v>1.00626837E8</v>
      </c>
      <c r="X5315" s="1" t="s">
        <v>375</v>
      </c>
      <c r="Y5315" s="1" t="s">
        <v>12468</v>
      </c>
      <c r="Z5315" s="1" t="s">
        <v>206</v>
      </c>
    </row>
    <row r="5316" hidden="1">
      <c r="A5316" s="1" t="s">
        <v>14771</v>
      </c>
      <c r="B5316" s="1" t="s">
        <v>450</v>
      </c>
      <c r="C5316" s="1" t="s">
        <v>14772</v>
      </c>
      <c r="D5316" s="1" t="s">
        <v>27</v>
      </c>
      <c r="E5316" s="1" t="s">
        <v>28</v>
      </c>
      <c r="F5316" s="2">
        <v>50000.0</v>
      </c>
      <c r="G5316" s="1" t="s">
        <v>3083</v>
      </c>
      <c r="H5316" s="4">
        <f>IFERROR(__xludf.DUMMYFUNCTION("DATE(INDEX(SPLIT(G5316,""/""),,3),INDEX(SPLIT(G5316,""/""),,2),INDEX(SPLIT(G5316,""/""),,1))"),44225.0)</f>
        <v>44225</v>
      </c>
      <c r="I5316" s="1" t="s">
        <v>203</v>
      </c>
      <c r="J5316" s="4">
        <f>IFERROR(__xludf.DUMMYFUNCTION("DATE(INDEX(SPLIT(I5316,""/""),,3),INDEX(SPLIT(I5316,""/""),,2),INDEX(SPLIT(I5316,""/""),,1))"),44925.0)</f>
        <v>44925</v>
      </c>
      <c r="L5316" s="1">
        <v>0.0</v>
      </c>
      <c r="M5316" s="1" t="s">
        <v>2592</v>
      </c>
      <c r="N5316" s="1"/>
      <c r="O5316" s="1" t="s">
        <v>30</v>
      </c>
      <c r="P5316" s="1" t="s">
        <v>31</v>
      </c>
      <c r="Q5316" s="1" t="s">
        <v>71</v>
      </c>
      <c r="R5316" s="1" t="s">
        <v>71</v>
      </c>
      <c r="S5316" s="1" t="s">
        <v>72</v>
      </c>
      <c r="T5316" s="1" t="s">
        <v>181</v>
      </c>
      <c r="U5316" s="1">
        <v>1.00586452E8</v>
      </c>
      <c r="X5316" s="1" t="s">
        <v>74</v>
      </c>
      <c r="Y5316" s="1" t="s">
        <v>8809</v>
      </c>
      <c r="Z5316" s="1" t="s">
        <v>37</v>
      </c>
    </row>
    <row r="5317" hidden="1">
      <c r="A5317" s="1" t="s">
        <v>14773</v>
      </c>
      <c r="B5317" s="1" t="s">
        <v>5051</v>
      </c>
      <c r="C5317" s="1" t="s">
        <v>14774</v>
      </c>
      <c r="D5317" s="1" t="s">
        <v>78</v>
      </c>
      <c r="E5317" s="1" t="s">
        <v>28</v>
      </c>
      <c r="F5317" s="2">
        <v>50000.0</v>
      </c>
      <c r="G5317" s="4">
        <v>44717.0</v>
      </c>
      <c r="H5317" s="4">
        <f>IFERROR(__xludf.DUMMYFUNCTION("DATE(INDEX(SPLIT(G5317,""/""),,3),INDEX(SPLIT(G5317,""/""),,2),INDEX(SPLIT(G5317,""/""),,1))"),44687.0)</f>
        <v>44687</v>
      </c>
      <c r="I5317" s="1" t="s">
        <v>109</v>
      </c>
      <c r="J5317" s="4">
        <f>IFERROR(__xludf.DUMMYFUNCTION("DATE(INDEX(SPLIT(I5317,""/""),,3),INDEX(SPLIT(I5317,""/""),,2),INDEX(SPLIT(I5317,""/""),,1))"),44834.0)</f>
        <v>44834</v>
      </c>
      <c r="L5317" s="1">
        <v>0.0</v>
      </c>
      <c r="M5317" s="1" t="s">
        <v>1548</v>
      </c>
      <c r="N5317" s="1"/>
      <c r="O5317" s="1" t="s">
        <v>30</v>
      </c>
      <c r="P5317" s="1" t="s">
        <v>31</v>
      </c>
      <c r="Q5317" s="1" t="s">
        <v>32</v>
      </c>
      <c r="R5317" s="1" t="s">
        <v>32</v>
      </c>
      <c r="S5317" s="1" t="s">
        <v>33</v>
      </c>
      <c r="U5317" s="1">
        <v>1.01215106E8</v>
      </c>
      <c r="X5317" s="1" t="s">
        <v>375</v>
      </c>
      <c r="Y5317" s="1" t="s">
        <v>1548</v>
      </c>
      <c r="Z5317" s="1" t="s">
        <v>37</v>
      </c>
    </row>
    <row r="5318">
      <c r="A5318" s="1" t="s">
        <v>14775</v>
      </c>
      <c r="B5318" s="1" t="s">
        <v>7944</v>
      </c>
      <c r="C5318" s="1" t="s">
        <v>14776</v>
      </c>
      <c r="D5318" s="1" t="s">
        <v>27</v>
      </c>
      <c r="E5318" s="1" t="s">
        <v>28</v>
      </c>
      <c r="F5318" s="2">
        <v>50000.0</v>
      </c>
      <c r="G5318" s="1" t="s">
        <v>2900</v>
      </c>
      <c r="H5318" s="4">
        <f>IFERROR(__xludf.DUMMYFUNCTION("DATE(INDEX(SPLIT(G5318,""/""),,3),INDEX(SPLIT(G5318,""/""),,2),INDEX(SPLIT(G5318,""/""),,1))"),44678.0)</f>
        <v>44678</v>
      </c>
      <c r="I5318" s="1" t="s">
        <v>226</v>
      </c>
      <c r="J5318" s="4">
        <f>IFERROR(__xludf.DUMMYFUNCTION("DATE(INDEX(SPLIT(I5318,""/""),,3),INDEX(SPLIT(I5318,""/""),,2),INDEX(SPLIT(I5318,""/""),,1))"),44771.0)</f>
        <v>44771</v>
      </c>
      <c r="L5318" s="1">
        <v>0.0</v>
      </c>
      <c r="M5318" s="1" t="s">
        <v>3565</v>
      </c>
      <c r="N5318" s="1"/>
      <c r="O5318" s="1" t="s">
        <v>30</v>
      </c>
      <c r="P5318" s="1" t="s">
        <v>31</v>
      </c>
      <c r="Q5318" s="1" t="s">
        <v>32</v>
      </c>
      <c r="R5318" s="1" t="s">
        <v>32</v>
      </c>
      <c r="S5318" s="1" t="s">
        <v>33</v>
      </c>
      <c r="U5318" s="1">
        <v>1.01088701E8</v>
      </c>
      <c r="X5318" s="1" t="s">
        <v>63</v>
      </c>
      <c r="Y5318" s="1" t="s">
        <v>3565</v>
      </c>
      <c r="Z5318" s="1" t="s">
        <v>37</v>
      </c>
    </row>
    <row r="5319" hidden="1">
      <c r="A5319" s="1" t="s">
        <v>14777</v>
      </c>
      <c r="B5319" s="1" t="s">
        <v>14778</v>
      </c>
      <c r="C5319" s="1" t="s">
        <v>9415</v>
      </c>
      <c r="D5319" s="1" t="s">
        <v>78</v>
      </c>
      <c r="E5319" s="1" t="s">
        <v>28</v>
      </c>
      <c r="F5319" s="2">
        <v>50000.0</v>
      </c>
      <c r="G5319" s="1" t="s">
        <v>2300</v>
      </c>
      <c r="H5319" s="4">
        <f>IFERROR(__xludf.DUMMYFUNCTION("DATE(INDEX(SPLIT(G5319,""/""),,3),INDEX(SPLIT(G5319,""/""),,2),INDEX(SPLIT(G5319,""/""),,1))"),44712.0)</f>
        <v>44712</v>
      </c>
      <c r="I5319" s="4">
        <v>44630.0</v>
      </c>
      <c r="J5319" s="4">
        <f>IFERROR(__xludf.DUMMYFUNCTION("DATE(INDEX(SPLIT(I5319,""/""),,3),INDEX(SPLIT(I5319,""/""),,2),INDEX(SPLIT(I5319,""/""),,1))"),44837.0)</f>
        <v>44837</v>
      </c>
      <c r="L5319" s="1">
        <v>0.0</v>
      </c>
      <c r="M5319" s="1" t="s">
        <v>6360</v>
      </c>
      <c r="N5319" s="1"/>
      <c r="O5319" s="1" t="s">
        <v>30</v>
      </c>
      <c r="P5319" s="1" t="s">
        <v>31</v>
      </c>
      <c r="Q5319" s="1" t="s">
        <v>53</v>
      </c>
      <c r="R5319" s="1" t="s">
        <v>53</v>
      </c>
      <c r="S5319" s="1" t="s">
        <v>54</v>
      </c>
      <c r="T5319" s="1" t="s">
        <v>1386</v>
      </c>
      <c r="U5319" s="1">
        <v>1.00599107E8</v>
      </c>
      <c r="X5319" s="1" t="s">
        <v>375</v>
      </c>
      <c r="Y5319" s="1" t="s">
        <v>10287</v>
      </c>
      <c r="Z5319" s="1" t="s">
        <v>37</v>
      </c>
    </row>
    <row r="5320">
      <c r="A5320" s="1" t="s">
        <v>14779</v>
      </c>
      <c r="B5320" s="1" t="s">
        <v>672</v>
      </c>
      <c r="C5320" s="1" t="s">
        <v>14780</v>
      </c>
      <c r="D5320" s="1" t="s">
        <v>27</v>
      </c>
      <c r="E5320" s="1" t="s">
        <v>28</v>
      </c>
      <c r="F5320" s="2">
        <v>50000.0</v>
      </c>
      <c r="G5320" s="1" t="s">
        <v>5635</v>
      </c>
      <c r="H5320" s="4">
        <f>IFERROR(__xludf.DUMMYFUNCTION("DATE(INDEX(SPLIT(G5320,""/""),,3),INDEX(SPLIT(G5320,""/""),,2),INDEX(SPLIT(G5320,""/""),,1))"),44218.0)</f>
        <v>44218</v>
      </c>
      <c r="I5320" s="1" t="s">
        <v>226</v>
      </c>
      <c r="J5320" s="4">
        <f>IFERROR(__xludf.DUMMYFUNCTION("DATE(INDEX(SPLIT(I5320,""/""),,3),INDEX(SPLIT(I5320,""/""),,2),INDEX(SPLIT(I5320,""/""),,1))"),44771.0)</f>
        <v>44771</v>
      </c>
      <c r="L5320" s="1">
        <v>0.0</v>
      </c>
      <c r="M5320" s="1" t="s">
        <v>5256</v>
      </c>
      <c r="N5320" s="1"/>
      <c r="O5320" s="1" t="s">
        <v>30</v>
      </c>
      <c r="P5320" s="1" t="s">
        <v>31</v>
      </c>
      <c r="Q5320" s="1" t="s">
        <v>235</v>
      </c>
      <c r="R5320" s="1" t="s">
        <v>235</v>
      </c>
      <c r="S5320" s="1" t="s">
        <v>236</v>
      </c>
      <c r="T5320" s="1" t="s">
        <v>753</v>
      </c>
      <c r="U5320" s="1">
        <v>1.00634482E8</v>
      </c>
      <c r="X5320" s="1" t="s">
        <v>88</v>
      </c>
      <c r="Y5320" s="1" t="s">
        <v>14781</v>
      </c>
      <c r="Z5320" s="1" t="s">
        <v>37</v>
      </c>
    </row>
    <row r="5321" hidden="1">
      <c r="A5321" s="1" t="s">
        <v>14782</v>
      </c>
      <c r="B5321" s="1" t="s">
        <v>2303</v>
      </c>
      <c r="C5321" s="1" t="s">
        <v>14783</v>
      </c>
      <c r="D5321" s="1" t="s">
        <v>78</v>
      </c>
      <c r="E5321" s="1" t="s">
        <v>28</v>
      </c>
      <c r="F5321" s="2">
        <v>50000.0</v>
      </c>
      <c r="G5321" s="4">
        <v>44777.0</v>
      </c>
      <c r="H5321" s="4">
        <f>IFERROR(__xludf.DUMMYFUNCTION("DATE(INDEX(SPLIT(G5321,""/""),,3),INDEX(SPLIT(G5321,""/""),,2),INDEX(SPLIT(G5321,""/""),,1))"),44659.0)</f>
        <v>44659</v>
      </c>
      <c r="I5321" s="1" t="s">
        <v>109</v>
      </c>
      <c r="J5321" s="4">
        <f>IFERROR(__xludf.DUMMYFUNCTION("DATE(INDEX(SPLIT(I5321,""/""),,3),INDEX(SPLIT(I5321,""/""),,2),INDEX(SPLIT(I5321,""/""),,1))"),44834.0)</f>
        <v>44834</v>
      </c>
      <c r="L5321" s="1">
        <v>0.0</v>
      </c>
      <c r="M5321" s="1" t="s">
        <v>808</v>
      </c>
      <c r="N5321" s="1"/>
      <c r="O5321" s="1" t="s">
        <v>30</v>
      </c>
      <c r="P5321" s="1" t="s">
        <v>31</v>
      </c>
      <c r="Q5321" s="1" t="s">
        <v>228</v>
      </c>
      <c r="R5321" s="1" t="s">
        <v>228</v>
      </c>
      <c r="S5321" s="1" t="s">
        <v>229</v>
      </c>
      <c r="T5321" s="1" t="s">
        <v>505</v>
      </c>
      <c r="U5321" s="1">
        <v>1.00609871E8</v>
      </c>
      <c r="X5321" s="1" t="s">
        <v>375</v>
      </c>
      <c r="Y5321" s="1" t="s">
        <v>13472</v>
      </c>
      <c r="Z5321" s="1" t="s">
        <v>37</v>
      </c>
    </row>
    <row r="5322">
      <c r="A5322" s="1" t="s">
        <v>14784</v>
      </c>
      <c r="B5322" s="1" t="s">
        <v>5763</v>
      </c>
      <c r="C5322" s="1" t="s">
        <v>14785</v>
      </c>
      <c r="D5322" s="1" t="s">
        <v>78</v>
      </c>
      <c r="E5322" s="1" t="s">
        <v>28</v>
      </c>
      <c r="F5322" s="2">
        <v>50000.0</v>
      </c>
      <c r="G5322" s="1" t="s">
        <v>2900</v>
      </c>
      <c r="H5322" s="4">
        <f>IFERROR(__xludf.DUMMYFUNCTION("DATE(INDEX(SPLIT(G5322,""/""),,3),INDEX(SPLIT(G5322,""/""),,2),INDEX(SPLIT(G5322,""/""),,1))"),44678.0)</f>
        <v>44678</v>
      </c>
      <c r="I5322" s="1" t="s">
        <v>414</v>
      </c>
      <c r="J5322" s="4">
        <f>IFERROR(__xludf.DUMMYFUNCTION("DATE(INDEX(SPLIT(I5322,""/""),,3),INDEX(SPLIT(I5322,""/""),,2),INDEX(SPLIT(I5322,""/""),,1))"),44772.0)</f>
        <v>44772</v>
      </c>
      <c r="L5322" s="1">
        <v>0.0</v>
      </c>
      <c r="M5322" s="1" t="s">
        <v>3565</v>
      </c>
      <c r="N5322" s="1"/>
      <c r="O5322" s="1" t="s">
        <v>30</v>
      </c>
      <c r="P5322" s="1" t="s">
        <v>31</v>
      </c>
      <c r="Q5322" s="1" t="s">
        <v>32</v>
      </c>
      <c r="R5322" s="1" t="s">
        <v>32</v>
      </c>
      <c r="S5322" s="1" t="s">
        <v>33</v>
      </c>
      <c r="T5322" s="1" t="s">
        <v>103</v>
      </c>
      <c r="U5322" s="1">
        <v>1.01088701E8</v>
      </c>
      <c r="X5322" s="1" t="s">
        <v>63</v>
      </c>
      <c r="Y5322" s="1" t="s">
        <v>3565</v>
      </c>
      <c r="Z5322" s="1" t="s">
        <v>37</v>
      </c>
    </row>
    <row r="5323">
      <c r="A5323" s="1" t="s">
        <v>14786</v>
      </c>
      <c r="B5323" s="1" t="s">
        <v>13601</v>
      </c>
      <c r="C5323" s="1" t="s">
        <v>14787</v>
      </c>
      <c r="D5323" s="1" t="s">
        <v>122</v>
      </c>
      <c r="E5323" s="1" t="s">
        <v>28</v>
      </c>
      <c r="F5323" s="2">
        <v>50000.0</v>
      </c>
      <c r="G5323" s="4">
        <v>44748.0</v>
      </c>
      <c r="H5323" s="4">
        <f>IFERROR(__xludf.DUMMYFUNCTION("DATE(INDEX(SPLIT(G5323,""/""),,3),INDEX(SPLIT(G5323,""/""),,2),INDEX(SPLIT(G5323,""/""),,1))"),44719.0)</f>
        <v>44719</v>
      </c>
      <c r="I5323" s="1" t="s">
        <v>226</v>
      </c>
      <c r="J5323" s="4">
        <f>IFERROR(__xludf.DUMMYFUNCTION("DATE(INDEX(SPLIT(I5323,""/""),,3),INDEX(SPLIT(I5323,""/""),,2),INDEX(SPLIT(I5323,""/""),,1))"),44771.0)</f>
        <v>44771</v>
      </c>
      <c r="L5323" s="1">
        <v>0.0</v>
      </c>
      <c r="M5323" s="1" t="s">
        <v>10436</v>
      </c>
      <c r="N5323" s="1"/>
      <c r="O5323" s="1" t="s">
        <v>30</v>
      </c>
      <c r="P5323" s="1" t="s">
        <v>31</v>
      </c>
      <c r="Q5323" s="1" t="s">
        <v>71</v>
      </c>
      <c r="R5323" s="1" t="s">
        <v>71</v>
      </c>
      <c r="S5323" s="1" t="s">
        <v>72</v>
      </c>
      <c r="U5323" s="1">
        <v>1.01248391E8</v>
      </c>
      <c r="X5323" s="1" t="s">
        <v>63</v>
      </c>
      <c r="Y5323" s="1" t="s">
        <v>14335</v>
      </c>
      <c r="Z5323" s="1" t="s">
        <v>37</v>
      </c>
    </row>
    <row r="5324" hidden="1">
      <c r="A5324" s="1" t="s">
        <v>14788</v>
      </c>
      <c r="B5324" s="1" t="s">
        <v>14789</v>
      </c>
      <c r="C5324" s="1" t="s">
        <v>14790</v>
      </c>
      <c r="D5324" s="1" t="s">
        <v>27</v>
      </c>
      <c r="E5324" s="1" t="s">
        <v>28</v>
      </c>
      <c r="F5324" s="2">
        <v>50000.0</v>
      </c>
      <c r="G5324" s="1" t="s">
        <v>1381</v>
      </c>
      <c r="H5324" s="4">
        <f>IFERROR(__xludf.DUMMYFUNCTION("DATE(INDEX(SPLIT(G5324,""/""),,3),INDEX(SPLIT(G5324,""/""),,2),INDEX(SPLIT(G5324,""/""),,1))"),44643.0)</f>
        <v>44643</v>
      </c>
      <c r="I5324" s="1" t="s">
        <v>109</v>
      </c>
      <c r="J5324" s="4">
        <f>IFERROR(__xludf.DUMMYFUNCTION("DATE(INDEX(SPLIT(I5324,""/""),,3),INDEX(SPLIT(I5324,""/""),,2),INDEX(SPLIT(I5324,""/""),,1))"),44834.0)</f>
        <v>44834</v>
      </c>
      <c r="L5324" s="1">
        <v>0.0</v>
      </c>
      <c r="M5324" s="1" t="s">
        <v>2592</v>
      </c>
      <c r="N5324" s="1"/>
      <c r="O5324" s="1" t="s">
        <v>30</v>
      </c>
      <c r="P5324" s="1" t="s">
        <v>31</v>
      </c>
      <c r="Q5324" s="1" t="s">
        <v>71</v>
      </c>
      <c r="R5324" s="1" t="s">
        <v>71</v>
      </c>
      <c r="S5324" s="1" t="s">
        <v>72</v>
      </c>
      <c r="T5324" s="1" t="s">
        <v>136</v>
      </c>
      <c r="U5324" s="1">
        <v>1.00586452E8</v>
      </c>
      <c r="Y5324" s="1" t="s">
        <v>12121</v>
      </c>
      <c r="Z5324" s="1" t="s">
        <v>37</v>
      </c>
    </row>
    <row r="5325" hidden="1">
      <c r="A5325" s="1" t="s">
        <v>14791</v>
      </c>
      <c r="B5325" s="1" t="s">
        <v>1612</v>
      </c>
      <c r="C5325" s="1" t="s">
        <v>14792</v>
      </c>
      <c r="D5325" s="1" t="s">
        <v>78</v>
      </c>
      <c r="E5325" s="1" t="s">
        <v>28</v>
      </c>
      <c r="F5325" s="2">
        <v>50000.0</v>
      </c>
      <c r="G5325" s="4">
        <v>44387.0</v>
      </c>
      <c r="H5325" s="4">
        <f>IFERROR(__xludf.DUMMYFUNCTION("DATE(INDEX(SPLIT(G5325,""/""),,3),INDEX(SPLIT(G5325,""/""),,2),INDEX(SPLIT(G5325,""/""),,1))"),44476.0)</f>
        <v>44476</v>
      </c>
      <c r="I5325" s="1" t="s">
        <v>130</v>
      </c>
      <c r="J5325" s="4">
        <f>IFERROR(__xludf.DUMMYFUNCTION("DATE(INDEX(SPLIT(I5325,""/""),,3),INDEX(SPLIT(I5325,""/""),,2),INDEX(SPLIT(I5325,""/""),,1))"),44804.0)</f>
        <v>44804</v>
      </c>
      <c r="L5325" s="1">
        <v>0.0</v>
      </c>
      <c r="M5325" s="1" t="s">
        <v>266</v>
      </c>
      <c r="N5325" s="1"/>
      <c r="O5325" s="1" t="s">
        <v>30</v>
      </c>
      <c r="P5325" s="1" t="s">
        <v>31</v>
      </c>
      <c r="Q5325" s="1" t="s">
        <v>32</v>
      </c>
      <c r="R5325" s="1" t="s">
        <v>32</v>
      </c>
      <c r="S5325" s="1" t="s">
        <v>33</v>
      </c>
      <c r="T5325" s="1" t="s">
        <v>402</v>
      </c>
      <c r="U5325" s="1">
        <v>1.00597826E8</v>
      </c>
      <c r="X5325" s="1" t="s">
        <v>117</v>
      </c>
      <c r="Y5325" s="1" t="s">
        <v>3047</v>
      </c>
      <c r="Z5325" s="1" t="s">
        <v>37</v>
      </c>
    </row>
    <row r="5326" hidden="1">
      <c r="A5326" s="1" t="s">
        <v>14793</v>
      </c>
      <c r="B5326" s="1" t="s">
        <v>2889</v>
      </c>
      <c r="C5326" s="1" t="s">
        <v>14794</v>
      </c>
      <c r="D5326" s="1" t="s">
        <v>27</v>
      </c>
      <c r="E5326" s="1" t="s">
        <v>28</v>
      </c>
      <c r="F5326" s="2">
        <v>50000.0</v>
      </c>
      <c r="G5326" s="1" t="s">
        <v>8986</v>
      </c>
      <c r="H5326" s="4">
        <f>IFERROR(__xludf.DUMMYFUNCTION("DATE(INDEX(SPLIT(G5326,""/""),,3),INDEX(SPLIT(G5326,""/""),,2),INDEX(SPLIT(G5326,""/""),,1))"),44180.0)</f>
        <v>44180</v>
      </c>
      <c r="I5326" s="1" t="s">
        <v>203</v>
      </c>
      <c r="J5326" s="4">
        <f>IFERROR(__xludf.DUMMYFUNCTION("DATE(INDEX(SPLIT(I5326,""/""),,3),INDEX(SPLIT(I5326,""/""),,2),INDEX(SPLIT(I5326,""/""),,1))"),44925.0)</f>
        <v>44925</v>
      </c>
      <c r="L5326" s="1">
        <v>0.0</v>
      </c>
      <c r="M5326" s="1" t="s">
        <v>2892</v>
      </c>
      <c r="N5326" s="1"/>
      <c r="O5326" s="1" t="s">
        <v>30</v>
      </c>
      <c r="P5326" s="1" t="s">
        <v>31</v>
      </c>
      <c r="Q5326" s="1" t="s">
        <v>188</v>
      </c>
      <c r="R5326" s="1" t="s">
        <v>188</v>
      </c>
      <c r="S5326" s="1" t="s">
        <v>189</v>
      </c>
      <c r="T5326" s="1" t="s">
        <v>136</v>
      </c>
      <c r="U5326" s="1">
        <v>1.0059132E8</v>
      </c>
      <c r="X5326" s="1" t="s">
        <v>74</v>
      </c>
      <c r="Y5326" s="1" t="s">
        <v>8809</v>
      </c>
      <c r="Z5326" s="1" t="s">
        <v>37</v>
      </c>
    </row>
    <row r="5327" hidden="1">
      <c r="A5327" s="1" t="s">
        <v>14795</v>
      </c>
      <c r="B5327" s="1" t="s">
        <v>14796</v>
      </c>
      <c r="C5327" s="1" t="s">
        <v>14797</v>
      </c>
      <c r="D5327" s="1" t="s">
        <v>122</v>
      </c>
      <c r="E5327" s="1" t="s">
        <v>28</v>
      </c>
      <c r="F5327" s="2">
        <v>50000.0</v>
      </c>
      <c r="G5327" s="4">
        <v>44717.0</v>
      </c>
      <c r="H5327" s="4">
        <f>IFERROR(__xludf.DUMMYFUNCTION("DATE(INDEX(SPLIT(G5327,""/""),,3),INDEX(SPLIT(G5327,""/""),,2),INDEX(SPLIT(G5327,""/""),,1))"),44687.0)</f>
        <v>44687</v>
      </c>
      <c r="I5327" s="4">
        <v>44601.0</v>
      </c>
      <c r="J5327" s="4">
        <f>IFERROR(__xludf.DUMMYFUNCTION("DATE(INDEX(SPLIT(I5327,""/""),,3),INDEX(SPLIT(I5327,""/""),,2),INDEX(SPLIT(I5327,""/""),,1))"),44806.0)</f>
        <v>44806</v>
      </c>
      <c r="L5327" s="1">
        <v>0.0</v>
      </c>
      <c r="M5327" s="1" t="s">
        <v>4699</v>
      </c>
      <c r="N5327" s="1"/>
      <c r="O5327" s="1" t="s">
        <v>30</v>
      </c>
      <c r="P5327" s="1" t="s">
        <v>31</v>
      </c>
      <c r="Q5327" s="1" t="s">
        <v>32</v>
      </c>
      <c r="R5327" s="1" t="s">
        <v>32</v>
      </c>
      <c r="S5327" s="1" t="s">
        <v>33</v>
      </c>
      <c r="T5327" s="1" t="s">
        <v>1386</v>
      </c>
      <c r="U5327" s="1">
        <v>1.00648847E8</v>
      </c>
      <c r="Y5327" s="1" t="s">
        <v>4699</v>
      </c>
      <c r="Z5327" s="1" t="s">
        <v>527</v>
      </c>
    </row>
    <row r="5328" hidden="1">
      <c r="A5328" s="1" t="s">
        <v>14798</v>
      </c>
      <c r="B5328" s="1" t="s">
        <v>5483</v>
      </c>
      <c r="C5328" s="1" t="s">
        <v>14799</v>
      </c>
      <c r="D5328" s="1" t="s">
        <v>27</v>
      </c>
      <c r="E5328" s="1" t="s">
        <v>28</v>
      </c>
      <c r="F5328" s="2">
        <v>50000.0</v>
      </c>
      <c r="G5328" s="1" t="s">
        <v>1128</v>
      </c>
      <c r="H5328" s="4">
        <f>IFERROR(__xludf.DUMMYFUNCTION("DATE(INDEX(SPLIT(G5328,""/""),,3),INDEX(SPLIT(G5328,""/""),,2),INDEX(SPLIT(G5328,""/""),,1))"),44737.0)</f>
        <v>44737</v>
      </c>
      <c r="I5328" s="1" t="s">
        <v>109</v>
      </c>
      <c r="J5328" s="4">
        <f>IFERROR(__xludf.DUMMYFUNCTION("DATE(INDEX(SPLIT(I5328,""/""),,3),INDEX(SPLIT(I5328,""/""),,2),INDEX(SPLIT(I5328,""/""),,1))"),44834.0)</f>
        <v>44834</v>
      </c>
      <c r="L5328" s="1">
        <v>0.0</v>
      </c>
      <c r="M5328" s="1" t="s">
        <v>1610</v>
      </c>
      <c r="N5328" s="1"/>
      <c r="O5328" s="1" t="s">
        <v>30</v>
      </c>
      <c r="P5328" s="1" t="s">
        <v>31</v>
      </c>
      <c r="Q5328" s="1" t="s">
        <v>53</v>
      </c>
      <c r="R5328" s="1" t="s">
        <v>53</v>
      </c>
      <c r="S5328" s="1" t="s">
        <v>54</v>
      </c>
      <c r="T5328" s="1" t="s">
        <v>1386</v>
      </c>
      <c r="U5328" s="1">
        <v>1.01141441E8</v>
      </c>
      <c r="X5328" s="1" t="s">
        <v>190</v>
      </c>
      <c r="Y5328" s="1" t="s">
        <v>1610</v>
      </c>
      <c r="Z5328" s="1" t="s">
        <v>37</v>
      </c>
    </row>
    <row r="5329" hidden="1">
      <c r="A5329" s="1" t="s">
        <v>14800</v>
      </c>
      <c r="B5329" s="1" t="s">
        <v>5238</v>
      </c>
      <c r="C5329" s="1" t="s">
        <v>14801</v>
      </c>
      <c r="D5329" s="1" t="s">
        <v>27</v>
      </c>
      <c r="E5329" s="1" t="s">
        <v>28</v>
      </c>
      <c r="F5329" s="2">
        <v>50000.0</v>
      </c>
      <c r="G5329" s="1" t="s">
        <v>4985</v>
      </c>
      <c r="H5329" s="4">
        <f>IFERROR(__xludf.DUMMYFUNCTION("DATE(INDEX(SPLIT(G5329,""/""),,3),INDEX(SPLIT(G5329,""/""),,2),INDEX(SPLIT(G5329,""/""),,1))"),44273.0)</f>
        <v>44273</v>
      </c>
      <c r="I5329" s="1" t="s">
        <v>109</v>
      </c>
      <c r="J5329" s="4">
        <f>IFERROR(__xludf.DUMMYFUNCTION("DATE(INDEX(SPLIT(I5329,""/""),,3),INDEX(SPLIT(I5329,""/""),,2),INDEX(SPLIT(I5329,""/""),,1))"),44834.0)</f>
        <v>44834</v>
      </c>
      <c r="L5329" s="1">
        <v>0.0</v>
      </c>
      <c r="M5329" s="1" t="s">
        <v>14802</v>
      </c>
      <c r="N5329" s="1"/>
      <c r="O5329" s="1" t="s">
        <v>30</v>
      </c>
      <c r="P5329" s="1" t="s">
        <v>31</v>
      </c>
      <c r="Q5329" s="1" t="s">
        <v>235</v>
      </c>
      <c r="R5329" s="1" t="s">
        <v>235</v>
      </c>
      <c r="S5329" s="1" t="s">
        <v>236</v>
      </c>
      <c r="T5329" s="1" t="s">
        <v>753</v>
      </c>
      <c r="U5329" s="1">
        <v>1.00659011E8</v>
      </c>
      <c r="X5329" s="1" t="s">
        <v>88</v>
      </c>
      <c r="Y5329" s="1" t="s">
        <v>13472</v>
      </c>
      <c r="Z5329" s="1" t="s">
        <v>37</v>
      </c>
    </row>
    <row r="5330" hidden="1">
      <c r="A5330" s="1" t="s">
        <v>14803</v>
      </c>
      <c r="B5330" s="1" t="s">
        <v>14804</v>
      </c>
      <c r="C5330" s="1" t="s">
        <v>14805</v>
      </c>
      <c r="D5330" s="1" t="s">
        <v>27</v>
      </c>
      <c r="E5330" s="1" t="s">
        <v>28</v>
      </c>
      <c r="F5330" s="2">
        <v>50000.0</v>
      </c>
      <c r="G5330" s="4">
        <v>44652.0</v>
      </c>
      <c r="H5330" s="4">
        <f>IFERROR(__xludf.DUMMYFUNCTION("DATE(INDEX(SPLIT(G5330,""/""),,3),INDEX(SPLIT(G5330,""/""),,2),INDEX(SPLIT(G5330,""/""),,1))"),44565.0)</f>
        <v>44565</v>
      </c>
      <c r="I5330" s="1" t="s">
        <v>130</v>
      </c>
      <c r="J5330" s="4">
        <f>IFERROR(__xludf.DUMMYFUNCTION("DATE(INDEX(SPLIT(I5330,""/""),,3),INDEX(SPLIT(I5330,""/""),,2),INDEX(SPLIT(I5330,""/""),,1))"),44804.0)</f>
        <v>44804</v>
      </c>
      <c r="L5330" s="1">
        <v>0.0</v>
      </c>
      <c r="M5330" s="1" t="s">
        <v>2945</v>
      </c>
      <c r="N5330" s="1"/>
      <c r="O5330" s="1" t="s">
        <v>30</v>
      </c>
      <c r="P5330" s="1" t="s">
        <v>31</v>
      </c>
      <c r="Q5330" s="1" t="s">
        <v>157</v>
      </c>
      <c r="R5330" s="1" t="s">
        <v>157</v>
      </c>
      <c r="S5330" s="1" t="s">
        <v>158</v>
      </c>
      <c r="U5330" s="1">
        <v>1.01138319E8</v>
      </c>
      <c r="X5330" s="1" t="s">
        <v>74</v>
      </c>
      <c r="Y5330" s="1" t="s">
        <v>2945</v>
      </c>
      <c r="Z5330" s="1" t="s">
        <v>206</v>
      </c>
    </row>
    <row r="5331" hidden="1">
      <c r="A5331" s="1" t="s">
        <v>14806</v>
      </c>
      <c r="B5331" s="1" t="s">
        <v>605</v>
      </c>
      <c r="C5331" s="1" t="s">
        <v>14807</v>
      </c>
      <c r="D5331" s="1" t="s">
        <v>27</v>
      </c>
      <c r="E5331" s="1" t="s">
        <v>28</v>
      </c>
      <c r="F5331" s="2">
        <v>50000.0</v>
      </c>
      <c r="G5331" s="1" t="s">
        <v>935</v>
      </c>
      <c r="H5331" s="4">
        <f>IFERROR(__xludf.DUMMYFUNCTION("DATE(INDEX(SPLIT(G5331,""/""),,3),INDEX(SPLIT(G5331,""/""),,2),INDEX(SPLIT(G5331,""/""),,1))"),44764.0)</f>
        <v>44764</v>
      </c>
      <c r="I5331" s="1" t="s">
        <v>134</v>
      </c>
      <c r="J5331" s="4">
        <f>IFERROR(__xludf.DUMMYFUNCTION("DATE(INDEX(SPLIT(I5331,""/""),,3),INDEX(SPLIT(I5331,""/""),,2),INDEX(SPLIT(I5331,""/""),,1))"),44792.0)</f>
        <v>44792</v>
      </c>
      <c r="L5331" s="1">
        <v>0.0</v>
      </c>
      <c r="M5331" s="1" t="s">
        <v>1828</v>
      </c>
      <c r="N5331" s="1"/>
      <c r="O5331" s="1" t="s">
        <v>30</v>
      </c>
      <c r="P5331" s="1" t="s">
        <v>31</v>
      </c>
      <c r="Q5331" s="1" t="s">
        <v>235</v>
      </c>
      <c r="R5331" s="1" t="s">
        <v>235</v>
      </c>
      <c r="S5331" s="1" t="s">
        <v>236</v>
      </c>
      <c r="T5331" s="1" t="s">
        <v>1349</v>
      </c>
      <c r="U5331" s="1">
        <v>1.00593918E8</v>
      </c>
      <c r="X5331" s="1" t="s">
        <v>88</v>
      </c>
      <c r="Y5331" s="1" t="s">
        <v>1350</v>
      </c>
      <c r="Z5331" s="1" t="s">
        <v>37</v>
      </c>
    </row>
    <row r="5332" hidden="1">
      <c r="A5332" s="1" t="s">
        <v>14808</v>
      </c>
      <c r="B5332" s="1" t="s">
        <v>566</v>
      </c>
      <c r="C5332" s="1" t="s">
        <v>14809</v>
      </c>
      <c r="D5332" s="1" t="s">
        <v>27</v>
      </c>
      <c r="E5332" s="1" t="s">
        <v>28</v>
      </c>
      <c r="F5332" s="2">
        <v>50000.0</v>
      </c>
      <c r="G5332" s="4">
        <v>44777.0</v>
      </c>
      <c r="H5332" s="4">
        <f>IFERROR(__xludf.DUMMYFUNCTION("DATE(INDEX(SPLIT(G5332,""/""),,3),INDEX(SPLIT(G5332,""/""),,2),INDEX(SPLIT(G5332,""/""),,1))"),44659.0)</f>
        <v>44659</v>
      </c>
      <c r="I5332" s="4">
        <v>44569.0</v>
      </c>
      <c r="J5332" s="4">
        <f>IFERROR(__xludf.DUMMYFUNCTION("DATE(INDEX(SPLIT(I5332,""/""),,3),INDEX(SPLIT(I5332,""/""),,2),INDEX(SPLIT(I5332,""/""),,1))"),44774.0)</f>
        <v>44774</v>
      </c>
      <c r="L5332" s="1">
        <v>0.0</v>
      </c>
      <c r="M5332" s="1" t="s">
        <v>4574</v>
      </c>
      <c r="N5332" s="1"/>
      <c r="O5332" s="1" t="s">
        <v>30</v>
      </c>
      <c r="P5332" s="1" t="s">
        <v>31</v>
      </c>
      <c r="Q5332" s="1" t="s">
        <v>235</v>
      </c>
      <c r="R5332" s="1" t="s">
        <v>235</v>
      </c>
      <c r="S5332" s="1" t="s">
        <v>236</v>
      </c>
      <c r="U5332" s="1">
        <v>1.00625459E8</v>
      </c>
      <c r="X5332" s="1" t="s">
        <v>63</v>
      </c>
      <c r="Y5332" s="1" t="s">
        <v>767</v>
      </c>
      <c r="Z5332" s="1" t="s">
        <v>37</v>
      </c>
    </row>
    <row r="5333" hidden="1">
      <c r="A5333" s="1" t="s">
        <v>14810</v>
      </c>
      <c r="B5333" s="1" t="s">
        <v>5158</v>
      </c>
      <c r="C5333" s="1" t="s">
        <v>14811</v>
      </c>
      <c r="D5333" s="1" t="s">
        <v>122</v>
      </c>
      <c r="E5333" s="1" t="s">
        <v>28</v>
      </c>
      <c r="F5333" s="2">
        <v>50000.0</v>
      </c>
      <c r="G5333" s="4">
        <v>44230.0</v>
      </c>
      <c r="H5333" s="4">
        <f>IFERROR(__xludf.DUMMYFUNCTION("DATE(INDEX(SPLIT(G5333,""/""),,3),INDEX(SPLIT(G5333,""/""),,2),INDEX(SPLIT(G5333,""/""),,1))"),44257.0)</f>
        <v>44257</v>
      </c>
      <c r="I5333" s="1" t="s">
        <v>109</v>
      </c>
      <c r="J5333" s="4">
        <f>IFERROR(__xludf.DUMMYFUNCTION("DATE(INDEX(SPLIT(I5333,""/""),,3),INDEX(SPLIT(I5333,""/""),,2),INDEX(SPLIT(I5333,""/""),,1))"),44834.0)</f>
        <v>44834</v>
      </c>
      <c r="L5333" s="1">
        <v>0.0</v>
      </c>
      <c r="M5333" s="1" t="s">
        <v>936</v>
      </c>
      <c r="N5333" s="1"/>
      <c r="O5333" s="1" t="s">
        <v>30</v>
      </c>
      <c r="P5333" s="1" t="s">
        <v>31</v>
      </c>
      <c r="Q5333" s="1" t="s">
        <v>71</v>
      </c>
      <c r="R5333" s="1" t="s">
        <v>71</v>
      </c>
      <c r="S5333" s="1" t="s">
        <v>72</v>
      </c>
      <c r="T5333" s="1" t="s">
        <v>14457</v>
      </c>
      <c r="U5333" s="1">
        <v>1.00941744E8</v>
      </c>
      <c r="X5333" s="1" t="s">
        <v>74</v>
      </c>
      <c r="Y5333" s="1" t="s">
        <v>8809</v>
      </c>
      <c r="Z5333" s="1" t="s">
        <v>37</v>
      </c>
    </row>
    <row r="5334">
      <c r="A5334" s="1" t="s">
        <v>14812</v>
      </c>
      <c r="B5334" s="1" t="s">
        <v>826</v>
      </c>
      <c r="C5334" s="1" t="s">
        <v>14813</v>
      </c>
      <c r="D5334" s="1" t="s">
        <v>27</v>
      </c>
      <c r="E5334" s="1" t="s">
        <v>28</v>
      </c>
      <c r="F5334" s="2">
        <v>50000.0</v>
      </c>
      <c r="G5334" s="1" t="s">
        <v>729</v>
      </c>
      <c r="H5334" s="4">
        <f>IFERROR(__xludf.DUMMYFUNCTION("DATE(INDEX(SPLIT(G5334,""/""),,3),INDEX(SPLIT(G5334,""/""),,2),INDEX(SPLIT(G5334,""/""),,1))"),44098.0)</f>
        <v>44098</v>
      </c>
      <c r="I5334" s="1" t="s">
        <v>69</v>
      </c>
      <c r="J5334" s="4">
        <f>IFERROR(__xludf.DUMMYFUNCTION("DATE(INDEX(SPLIT(I5334,""/""),,3),INDEX(SPLIT(I5334,""/""),,2),INDEX(SPLIT(I5334,""/""),,1))"),44773.0)</f>
        <v>44773</v>
      </c>
      <c r="L5334" s="1">
        <v>0.0</v>
      </c>
      <c r="M5334" s="1" t="s">
        <v>587</v>
      </c>
      <c r="N5334" s="1"/>
      <c r="O5334" s="1" t="s">
        <v>30</v>
      </c>
      <c r="P5334" s="1" t="s">
        <v>31</v>
      </c>
      <c r="Q5334" s="1" t="s">
        <v>157</v>
      </c>
      <c r="R5334" s="1" t="s">
        <v>157</v>
      </c>
      <c r="S5334" s="1" t="s">
        <v>158</v>
      </c>
      <c r="T5334" s="1" t="s">
        <v>9983</v>
      </c>
      <c r="U5334" s="1">
        <v>1.00700761E8</v>
      </c>
      <c r="X5334" s="1" t="s">
        <v>125</v>
      </c>
      <c r="Y5334" s="1" t="s">
        <v>587</v>
      </c>
      <c r="Z5334" s="1" t="s">
        <v>37</v>
      </c>
    </row>
    <row r="5335" hidden="1">
      <c r="A5335" s="1" t="s">
        <v>14814</v>
      </c>
      <c r="B5335" s="1" t="s">
        <v>2000</v>
      </c>
      <c r="C5335" s="1" t="s">
        <v>14815</v>
      </c>
      <c r="D5335" s="1" t="s">
        <v>27</v>
      </c>
      <c r="E5335" s="1" t="s">
        <v>28</v>
      </c>
      <c r="F5335" s="2">
        <v>50000.0</v>
      </c>
      <c r="G5335" s="1" t="s">
        <v>3391</v>
      </c>
      <c r="H5335" s="4">
        <f>IFERROR(__xludf.DUMMYFUNCTION("DATE(INDEX(SPLIT(G5335,""/""),,3),INDEX(SPLIT(G5335,""/""),,2),INDEX(SPLIT(G5335,""/""),,1))"),44272.0)</f>
        <v>44272</v>
      </c>
      <c r="I5335" s="1" t="s">
        <v>42</v>
      </c>
      <c r="J5335" s="4">
        <f>IFERROR(__xludf.DUMMYFUNCTION("DATE(INDEX(SPLIT(I5335,""/""),,3),INDEX(SPLIT(I5335,""/""),,2),INDEX(SPLIT(I5335,""/""),,1))"),44926.0)</f>
        <v>44926</v>
      </c>
      <c r="L5335" s="1">
        <v>0.0</v>
      </c>
      <c r="M5335" s="1" t="s">
        <v>11254</v>
      </c>
      <c r="N5335" s="1"/>
      <c r="O5335" s="1" t="s">
        <v>30</v>
      </c>
      <c r="P5335" s="1" t="s">
        <v>31</v>
      </c>
      <c r="Q5335" s="1" t="s">
        <v>228</v>
      </c>
      <c r="R5335" s="1" t="s">
        <v>228</v>
      </c>
      <c r="S5335" s="1" t="s">
        <v>229</v>
      </c>
      <c r="T5335" s="1" t="s">
        <v>513</v>
      </c>
      <c r="U5335" s="1">
        <v>1.00602248E8</v>
      </c>
      <c r="X5335" s="1" t="s">
        <v>609</v>
      </c>
      <c r="Y5335" s="1" t="s">
        <v>13638</v>
      </c>
      <c r="Z5335" s="1" t="s">
        <v>37</v>
      </c>
    </row>
    <row r="5336" hidden="1">
      <c r="A5336" s="1" t="s">
        <v>14816</v>
      </c>
      <c r="B5336" s="1" t="s">
        <v>14817</v>
      </c>
      <c r="C5336" s="1" t="s">
        <v>14818</v>
      </c>
      <c r="D5336" s="1" t="s">
        <v>122</v>
      </c>
      <c r="E5336" s="1" t="s">
        <v>28</v>
      </c>
      <c r="F5336" s="2">
        <v>50000.0</v>
      </c>
      <c r="G5336" s="1" t="s">
        <v>185</v>
      </c>
      <c r="H5336" s="4">
        <f>IFERROR(__xludf.DUMMYFUNCTION("DATE(INDEX(SPLIT(G5336,""/""),,3),INDEX(SPLIT(G5336,""/""),,2),INDEX(SPLIT(G5336,""/""),,1))"),44741.0)</f>
        <v>44741</v>
      </c>
      <c r="I5336" s="1" t="s">
        <v>130</v>
      </c>
      <c r="J5336" s="4">
        <f>IFERROR(__xludf.DUMMYFUNCTION("DATE(INDEX(SPLIT(I5336,""/""),,3),INDEX(SPLIT(I5336,""/""),,2),INDEX(SPLIT(I5336,""/""),,1))"),44804.0)</f>
        <v>44804</v>
      </c>
      <c r="L5336" s="1">
        <v>0.0</v>
      </c>
      <c r="M5336" s="1" t="s">
        <v>2207</v>
      </c>
      <c r="N5336" s="1"/>
      <c r="O5336" s="1" t="s">
        <v>30</v>
      </c>
      <c r="P5336" s="1" t="s">
        <v>31</v>
      </c>
      <c r="Q5336" s="1" t="s">
        <v>228</v>
      </c>
      <c r="R5336" s="1" t="s">
        <v>228</v>
      </c>
      <c r="S5336" s="1" t="s">
        <v>229</v>
      </c>
      <c r="T5336" s="1" t="s">
        <v>513</v>
      </c>
      <c r="U5336" s="1">
        <v>1.00596618E8</v>
      </c>
      <c r="X5336" s="1" t="s">
        <v>63</v>
      </c>
      <c r="Y5336" s="1" t="s">
        <v>2208</v>
      </c>
      <c r="Z5336" s="1" t="s">
        <v>37</v>
      </c>
    </row>
    <row r="5337" hidden="1">
      <c r="A5337" s="1" t="s">
        <v>14819</v>
      </c>
      <c r="B5337" s="1" t="s">
        <v>14820</v>
      </c>
      <c r="C5337" s="1" t="s">
        <v>14821</v>
      </c>
      <c r="D5337" s="1" t="s">
        <v>78</v>
      </c>
      <c r="E5337" s="1" t="s">
        <v>28</v>
      </c>
      <c r="F5337" s="2">
        <v>50000.0</v>
      </c>
      <c r="G5337" s="1" t="s">
        <v>394</v>
      </c>
      <c r="H5337" s="4">
        <f>IFERROR(__xludf.DUMMYFUNCTION("DATE(INDEX(SPLIT(G5337,""/""),,3),INDEX(SPLIT(G5337,""/""),,2),INDEX(SPLIT(G5337,""/""),,1))"),44677.0)</f>
        <v>44677</v>
      </c>
      <c r="I5337" s="1" t="s">
        <v>1097</v>
      </c>
      <c r="J5337" s="4">
        <f>IFERROR(__xludf.DUMMYFUNCTION("DATE(INDEX(SPLIT(I5337,""/""),,3),INDEX(SPLIT(I5337,""/""),,2),INDEX(SPLIT(I5337,""/""),,1))"),45107.0)</f>
        <v>45107</v>
      </c>
      <c r="L5337" s="1">
        <v>0.0</v>
      </c>
      <c r="M5337" s="1" t="s">
        <v>3133</v>
      </c>
      <c r="N5337" s="1"/>
      <c r="O5337" s="1" t="s">
        <v>30</v>
      </c>
      <c r="P5337" s="1" t="s">
        <v>31</v>
      </c>
      <c r="Q5337" s="1" t="s">
        <v>228</v>
      </c>
      <c r="R5337" s="1" t="s">
        <v>228</v>
      </c>
      <c r="S5337" s="1" t="s">
        <v>229</v>
      </c>
      <c r="T5337" s="1" t="s">
        <v>513</v>
      </c>
      <c r="U5337" s="1">
        <v>1.00611158E8</v>
      </c>
      <c r="X5337" s="1" t="s">
        <v>2769</v>
      </c>
      <c r="Y5337" s="1" t="s">
        <v>3133</v>
      </c>
      <c r="Z5337" s="1" t="s">
        <v>37</v>
      </c>
    </row>
    <row r="5338" hidden="1">
      <c r="A5338" s="1" t="s">
        <v>14822</v>
      </c>
      <c r="B5338" s="1" t="s">
        <v>14823</v>
      </c>
      <c r="C5338" s="1" t="s">
        <v>14824</v>
      </c>
      <c r="D5338" s="1" t="s">
        <v>27</v>
      </c>
      <c r="E5338" s="1" t="s">
        <v>28</v>
      </c>
      <c r="F5338" s="2">
        <v>50000.0</v>
      </c>
      <c r="G5338" s="4">
        <v>44682.0</v>
      </c>
      <c r="H5338" s="4">
        <f>IFERROR(__xludf.DUMMYFUNCTION("DATE(INDEX(SPLIT(G5338,""/""),,3),INDEX(SPLIT(G5338,""/""),,2),INDEX(SPLIT(G5338,""/""),,1))"),44566.0)</f>
        <v>44566</v>
      </c>
      <c r="I5338" s="1" t="s">
        <v>42</v>
      </c>
      <c r="J5338" s="4">
        <f>IFERROR(__xludf.DUMMYFUNCTION("DATE(INDEX(SPLIT(I5338,""/""),,3),INDEX(SPLIT(I5338,""/""),,2),INDEX(SPLIT(I5338,""/""),,1))"),44926.0)</f>
        <v>44926</v>
      </c>
      <c r="L5338" s="1">
        <v>0.0</v>
      </c>
      <c r="M5338" s="1" t="s">
        <v>11638</v>
      </c>
      <c r="N5338" s="1"/>
      <c r="O5338" s="1" t="s">
        <v>30</v>
      </c>
      <c r="P5338" s="1" t="s">
        <v>31</v>
      </c>
      <c r="Q5338" s="1" t="s">
        <v>228</v>
      </c>
      <c r="R5338" s="1" t="s">
        <v>228</v>
      </c>
      <c r="S5338" s="1" t="s">
        <v>229</v>
      </c>
      <c r="T5338" s="1" t="s">
        <v>513</v>
      </c>
      <c r="U5338" s="1">
        <v>1.00592873E8</v>
      </c>
      <c r="X5338" s="1" t="s">
        <v>98</v>
      </c>
      <c r="Y5338" s="1" t="s">
        <v>11638</v>
      </c>
      <c r="Z5338" s="1" t="s">
        <v>206</v>
      </c>
    </row>
    <row r="5339" hidden="1">
      <c r="A5339" s="1" t="s">
        <v>14825</v>
      </c>
      <c r="B5339" s="1" t="s">
        <v>2794</v>
      </c>
      <c r="C5339" s="1" t="s">
        <v>14826</v>
      </c>
      <c r="D5339" s="1" t="s">
        <v>27</v>
      </c>
      <c r="E5339" s="1" t="s">
        <v>28</v>
      </c>
      <c r="F5339" s="2">
        <v>50000.0</v>
      </c>
      <c r="G5339" s="4">
        <v>44116.0</v>
      </c>
      <c r="H5339" s="4">
        <f>IFERROR(__xludf.DUMMYFUNCTION("DATE(INDEX(SPLIT(G5339,""/""),,3),INDEX(SPLIT(G5339,""/""),,2),INDEX(SPLIT(G5339,""/""),,1))"),44175.0)</f>
        <v>44175</v>
      </c>
      <c r="I5339" s="1" t="s">
        <v>109</v>
      </c>
      <c r="J5339" s="4">
        <f>IFERROR(__xludf.DUMMYFUNCTION("DATE(INDEX(SPLIT(I5339,""/""),,3),INDEX(SPLIT(I5339,""/""),,2),INDEX(SPLIT(I5339,""/""),,1))"),44834.0)</f>
        <v>44834</v>
      </c>
      <c r="L5339" s="1">
        <v>0.0</v>
      </c>
      <c r="M5339" s="1" t="s">
        <v>956</v>
      </c>
      <c r="N5339" s="1"/>
      <c r="O5339" s="1" t="s">
        <v>30</v>
      </c>
      <c r="P5339" s="1" t="s">
        <v>31</v>
      </c>
      <c r="Q5339" s="1" t="s">
        <v>71</v>
      </c>
      <c r="R5339" s="1" t="s">
        <v>71</v>
      </c>
      <c r="S5339" s="1" t="s">
        <v>72</v>
      </c>
      <c r="T5339" s="1" t="s">
        <v>14827</v>
      </c>
      <c r="U5339" s="1">
        <v>1.00653499E8</v>
      </c>
      <c r="X5339" s="1" t="s">
        <v>74</v>
      </c>
      <c r="Y5339" s="1" t="s">
        <v>14452</v>
      </c>
      <c r="Z5339" s="1" t="s">
        <v>37</v>
      </c>
    </row>
    <row r="5340">
      <c r="A5340" s="1" t="s">
        <v>14828</v>
      </c>
      <c r="B5340" s="1" t="s">
        <v>605</v>
      </c>
      <c r="C5340" s="1" t="s">
        <v>14829</v>
      </c>
      <c r="D5340" s="1" t="s">
        <v>27</v>
      </c>
      <c r="E5340" s="1" t="s">
        <v>28</v>
      </c>
      <c r="F5340" s="2">
        <v>50000.0</v>
      </c>
      <c r="G5340" s="4">
        <v>44626.0</v>
      </c>
      <c r="H5340" s="4">
        <f>IFERROR(__xludf.DUMMYFUNCTION("DATE(INDEX(SPLIT(G5340,""/""),,3),INDEX(SPLIT(G5340,""/""),,2),INDEX(SPLIT(G5340,""/""),,1))"),44715.0)</f>
        <v>44715</v>
      </c>
      <c r="I5340" s="1" t="s">
        <v>69</v>
      </c>
      <c r="J5340" s="4">
        <f>IFERROR(__xludf.DUMMYFUNCTION("DATE(INDEX(SPLIT(I5340,""/""),,3),INDEX(SPLIT(I5340,""/""),,2),INDEX(SPLIT(I5340,""/""),,1))"),44773.0)</f>
        <v>44773</v>
      </c>
      <c r="L5340" s="1">
        <v>0.0</v>
      </c>
      <c r="M5340" s="1" t="s">
        <v>1828</v>
      </c>
      <c r="N5340" s="1"/>
      <c r="O5340" s="1" t="s">
        <v>30</v>
      </c>
      <c r="P5340" s="1" t="s">
        <v>31</v>
      </c>
      <c r="Q5340" s="1" t="s">
        <v>235</v>
      </c>
      <c r="R5340" s="1" t="s">
        <v>235</v>
      </c>
      <c r="S5340" s="1" t="s">
        <v>236</v>
      </c>
      <c r="T5340" s="1" t="s">
        <v>1349</v>
      </c>
      <c r="U5340" s="1">
        <v>1.00593918E8</v>
      </c>
      <c r="X5340" s="1" t="s">
        <v>88</v>
      </c>
      <c r="Y5340" s="1" t="s">
        <v>1350</v>
      </c>
      <c r="Z5340" s="1" t="s">
        <v>37</v>
      </c>
    </row>
    <row r="5341">
      <c r="A5341" s="1" t="s">
        <v>14830</v>
      </c>
      <c r="B5341" s="1" t="s">
        <v>6188</v>
      </c>
      <c r="C5341" s="1" t="s">
        <v>14831</v>
      </c>
      <c r="D5341" s="1" t="s">
        <v>78</v>
      </c>
      <c r="E5341" s="1" t="s">
        <v>28</v>
      </c>
      <c r="F5341" s="2">
        <v>50000.0</v>
      </c>
      <c r="G5341" s="4">
        <v>44599.0</v>
      </c>
      <c r="H5341" s="4">
        <f>IFERROR(__xludf.DUMMYFUNCTION("DATE(INDEX(SPLIT(G5341,""/""),,3),INDEX(SPLIT(G5341,""/""),,2),INDEX(SPLIT(G5341,""/""),,1))"),44744.0)</f>
        <v>44744</v>
      </c>
      <c r="I5341" s="1" t="s">
        <v>226</v>
      </c>
      <c r="J5341" s="4">
        <f>IFERROR(__xludf.DUMMYFUNCTION("DATE(INDEX(SPLIT(I5341,""/""),,3),INDEX(SPLIT(I5341,""/""),,2),INDEX(SPLIT(I5341,""/""),,1))"),44771.0)</f>
        <v>44771</v>
      </c>
      <c r="L5341" s="1">
        <v>0.0</v>
      </c>
      <c r="M5341" s="1" t="s">
        <v>1333</v>
      </c>
      <c r="N5341" s="1"/>
      <c r="O5341" s="1" t="s">
        <v>30</v>
      </c>
      <c r="P5341" s="1" t="s">
        <v>31</v>
      </c>
      <c r="Q5341" s="1" t="s">
        <v>71</v>
      </c>
      <c r="R5341" s="1" t="s">
        <v>71</v>
      </c>
      <c r="S5341" s="1" t="s">
        <v>72</v>
      </c>
      <c r="T5341" s="1" t="s">
        <v>136</v>
      </c>
      <c r="U5341" s="1">
        <v>1.006299E8</v>
      </c>
      <c r="X5341" s="1" t="s">
        <v>2028</v>
      </c>
      <c r="Y5341" s="1" t="s">
        <v>5795</v>
      </c>
      <c r="Z5341" s="1" t="s">
        <v>37</v>
      </c>
    </row>
    <row r="5342" hidden="1">
      <c r="A5342" s="1" t="s">
        <v>14832</v>
      </c>
      <c r="B5342" s="1" t="s">
        <v>14833</v>
      </c>
      <c r="C5342" s="1" t="s">
        <v>14834</v>
      </c>
      <c r="D5342" s="1" t="s">
        <v>27</v>
      </c>
      <c r="E5342" s="1" t="s">
        <v>28</v>
      </c>
      <c r="F5342" s="2">
        <v>50000.0</v>
      </c>
      <c r="G5342" s="4">
        <v>44564.0</v>
      </c>
      <c r="H5342" s="4">
        <f>IFERROR(__xludf.DUMMYFUNCTION("DATE(INDEX(SPLIT(G5342,""/""),,3),INDEX(SPLIT(G5342,""/""),,2),INDEX(SPLIT(G5342,""/""),,1))"),44621.0)</f>
        <v>44621</v>
      </c>
      <c r="I5342" s="1" t="s">
        <v>109</v>
      </c>
      <c r="J5342" s="4">
        <f>IFERROR(__xludf.DUMMYFUNCTION("DATE(INDEX(SPLIT(I5342,""/""),,3),INDEX(SPLIT(I5342,""/""),,2),INDEX(SPLIT(I5342,""/""),,1))"),44834.0)</f>
        <v>44834</v>
      </c>
      <c r="L5342" s="1">
        <v>0.0</v>
      </c>
      <c r="M5342" s="1" t="s">
        <v>2592</v>
      </c>
      <c r="N5342" s="1"/>
      <c r="O5342" s="1" t="s">
        <v>30</v>
      </c>
      <c r="P5342" s="1" t="s">
        <v>31</v>
      </c>
      <c r="Q5342" s="1" t="s">
        <v>71</v>
      </c>
      <c r="R5342" s="1" t="s">
        <v>71</v>
      </c>
      <c r="S5342" s="1" t="s">
        <v>72</v>
      </c>
      <c r="T5342" s="1" t="s">
        <v>136</v>
      </c>
      <c r="U5342" s="1">
        <v>1.00586452E8</v>
      </c>
      <c r="X5342" s="1" t="s">
        <v>74</v>
      </c>
      <c r="Y5342" s="1" t="s">
        <v>12121</v>
      </c>
      <c r="Z5342" s="1" t="s">
        <v>37</v>
      </c>
    </row>
    <row r="5343" hidden="1">
      <c r="A5343" s="1" t="s">
        <v>14835</v>
      </c>
      <c r="B5343" s="1" t="s">
        <v>516</v>
      </c>
      <c r="C5343" s="1" t="s">
        <v>14836</v>
      </c>
      <c r="D5343" s="1" t="s">
        <v>27</v>
      </c>
      <c r="E5343" s="1" t="s">
        <v>28</v>
      </c>
      <c r="F5343" s="2">
        <v>50000.0</v>
      </c>
      <c r="G5343" s="1" t="s">
        <v>624</v>
      </c>
      <c r="H5343" s="4">
        <f>IFERROR(__xludf.DUMMYFUNCTION("DATE(INDEX(SPLIT(G5343,""/""),,3),INDEX(SPLIT(G5343,""/""),,2),INDEX(SPLIT(G5343,""/""),,1))"),44642.0)</f>
        <v>44642</v>
      </c>
      <c r="I5343" s="1" t="s">
        <v>130</v>
      </c>
      <c r="J5343" s="4">
        <f>IFERROR(__xludf.DUMMYFUNCTION("DATE(INDEX(SPLIT(I5343,""/""),,3),INDEX(SPLIT(I5343,""/""),,2),INDEX(SPLIT(I5343,""/""),,1))"),44804.0)</f>
        <v>44804</v>
      </c>
      <c r="L5343" s="1">
        <v>0.0</v>
      </c>
      <c r="M5343" s="1" t="s">
        <v>2067</v>
      </c>
      <c r="N5343" s="1"/>
      <c r="O5343" s="1" t="s">
        <v>30</v>
      </c>
      <c r="P5343" s="1" t="s">
        <v>31</v>
      </c>
      <c r="Q5343" s="1" t="s">
        <v>95</v>
      </c>
      <c r="R5343" s="1" t="s">
        <v>95</v>
      </c>
      <c r="S5343" s="1" t="s">
        <v>96</v>
      </c>
      <c r="T5343" s="1" t="s">
        <v>111</v>
      </c>
      <c r="U5343" s="1">
        <v>1.00631322E8</v>
      </c>
      <c r="X5343" s="1" t="s">
        <v>609</v>
      </c>
      <c r="Y5343" s="1" t="s">
        <v>7026</v>
      </c>
      <c r="Z5343" s="1" t="s">
        <v>37</v>
      </c>
    </row>
    <row r="5344" hidden="1">
      <c r="A5344" s="1" t="s">
        <v>14837</v>
      </c>
      <c r="B5344" s="1" t="s">
        <v>605</v>
      </c>
      <c r="C5344" s="1" t="s">
        <v>14838</v>
      </c>
      <c r="D5344" s="1" t="s">
        <v>27</v>
      </c>
      <c r="E5344" s="1" t="s">
        <v>28</v>
      </c>
      <c r="F5344" s="2">
        <v>50000.0</v>
      </c>
      <c r="G5344" s="4">
        <v>44806.0</v>
      </c>
      <c r="H5344" s="4">
        <f>IFERROR(__xludf.DUMMYFUNCTION("DATE(INDEX(SPLIT(G5344,""/""),,3),INDEX(SPLIT(G5344,""/""),,2),INDEX(SPLIT(G5344,""/""),,1))"),44601.0)</f>
        <v>44601</v>
      </c>
      <c r="I5344" s="1" t="s">
        <v>109</v>
      </c>
      <c r="J5344" s="4">
        <f>IFERROR(__xludf.DUMMYFUNCTION("DATE(INDEX(SPLIT(I5344,""/""),,3),INDEX(SPLIT(I5344,""/""),,2),INDEX(SPLIT(I5344,""/""),,1))"),44834.0)</f>
        <v>44834</v>
      </c>
      <c r="L5344" s="1">
        <v>0.0</v>
      </c>
      <c r="M5344" s="1" t="s">
        <v>11254</v>
      </c>
      <c r="N5344" s="1"/>
      <c r="O5344" s="1" t="s">
        <v>30</v>
      </c>
      <c r="P5344" s="1" t="s">
        <v>31</v>
      </c>
      <c r="Q5344" s="1" t="s">
        <v>228</v>
      </c>
      <c r="R5344" s="1" t="s">
        <v>228</v>
      </c>
      <c r="S5344" s="1" t="s">
        <v>229</v>
      </c>
      <c r="T5344" s="1" t="s">
        <v>640</v>
      </c>
      <c r="U5344" s="1">
        <v>1.00602248E8</v>
      </c>
      <c r="X5344" s="1" t="s">
        <v>125</v>
      </c>
      <c r="Y5344" s="1" t="s">
        <v>8740</v>
      </c>
      <c r="Z5344" s="1" t="s">
        <v>37</v>
      </c>
    </row>
    <row r="5345" hidden="1">
      <c r="A5345" s="1" t="s">
        <v>14839</v>
      </c>
      <c r="B5345" s="1" t="s">
        <v>2000</v>
      </c>
      <c r="C5345" s="1" t="s">
        <v>14840</v>
      </c>
      <c r="D5345" s="1" t="s">
        <v>27</v>
      </c>
      <c r="E5345" s="1" t="s">
        <v>28</v>
      </c>
      <c r="F5345" s="2">
        <v>50000.0</v>
      </c>
      <c r="G5345" s="1" t="s">
        <v>1513</v>
      </c>
      <c r="H5345" s="4">
        <f>IFERROR(__xludf.DUMMYFUNCTION("DATE(INDEX(SPLIT(G5345,""/""),,3),INDEX(SPLIT(G5345,""/""),,2),INDEX(SPLIT(G5345,""/""),,1))"),44183.0)</f>
        <v>44183</v>
      </c>
      <c r="I5345" s="1" t="s">
        <v>165</v>
      </c>
      <c r="J5345" s="4">
        <f>IFERROR(__xludf.DUMMYFUNCTION("DATE(INDEX(SPLIT(I5345,""/""),,3),INDEX(SPLIT(I5345,""/""),,2),INDEX(SPLIT(I5345,""/""),,1))"),44803.0)</f>
        <v>44803</v>
      </c>
      <c r="L5345" s="1">
        <v>0.0</v>
      </c>
      <c r="M5345" s="1" t="s">
        <v>5592</v>
      </c>
      <c r="N5345" s="1"/>
      <c r="O5345" s="1" t="s">
        <v>30</v>
      </c>
      <c r="P5345" s="1" t="s">
        <v>31</v>
      </c>
      <c r="Q5345" s="1" t="s">
        <v>235</v>
      </c>
      <c r="R5345" s="1" t="s">
        <v>235</v>
      </c>
      <c r="S5345" s="1" t="s">
        <v>236</v>
      </c>
      <c r="T5345" s="1" t="s">
        <v>1349</v>
      </c>
      <c r="U5345" s="1">
        <v>1.00657831E8</v>
      </c>
      <c r="X5345" s="1" t="s">
        <v>609</v>
      </c>
      <c r="Y5345" s="1" t="s">
        <v>1533</v>
      </c>
      <c r="Z5345" s="1" t="s">
        <v>37</v>
      </c>
    </row>
    <row r="5346">
      <c r="A5346" s="1" t="s">
        <v>14841</v>
      </c>
      <c r="B5346" s="1" t="s">
        <v>6332</v>
      </c>
      <c r="C5346" s="1" t="s">
        <v>12726</v>
      </c>
      <c r="D5346" s="1" t="s">
        <v>122</v>
      </c>
      <c r="E5346" s="1" t="s">
        <v>28</v>
      </c>
      <c r="F5346" s="2">
        <v>50000.0</v>
      </c>
      <c r="G5346" s="1" t="s">
        <v>1288</v>
      </c>
      <c r="H5346" s="4">
        <f>IFERROR(__xludf.DUMMYFUNCTION("DATE(INDEX(SPLIT(G5346,""/""),,3),INDEX(SPLIT(G5346,""/""),,2),INDEX(SPLIT(G5346,""/""),,1))"),44707.0)</f>
        <v>44707</v>
      </c>
      <c r="I5346" s="1" t="s">
        <v>1244</v>
      </c>
      <c r="J5346" s="4">
        <f>IFERROR(__xludf.DUMMYFUNCTION("DATE(INDEX(SPLIT(I5346,""/""),,3),INDEX(SPLIT(I5346,""/""),,2),INDEX(SPLIT(I5346,""/""),,1))"),44742.0)</f>
        <v>44742</v>
      </c>
      <c r="L5346" s="1">
        <v>0.0</v>
      </c>
      <c r="M5346" s="1" t="s">
        <v>7088</v>
      </c>
      <c r="N5346" s="1"/>
      <c r="O5346" s="1" t="s">
        <v>30</v>
      </c>
      <c r="P5346" s="1" t="s">
        <v>31</v>
      </c>
      <c r="Q5346" s="1" t="s">
        <v>228</v>
      </c>
      <c r="R5346" s="1" t="s">
        <v>228</v>
      </c>
      <c r="S5346" s="1" t="s">
        <v>229</v>
      </c>
      <c r="T5346" s="1" t="s">
        <v>513</v>
      </c>
      <c r="U5346" s="1">
        <v>1.00597339E8</v>
      </c>
      <c r="Y5346" s="1" t="s">
        <v>12727</v>
      </c>
      <c r="Z5346" s="1" t="s">
        <v>37</v>
      </c>
    </row>
    <row r="5347" hidden="1">
      <c r="A5347" s="1" t="s">
        <v>14842</v>
      </c>
      <c r="B5347" s="1" t="s">
        <v>591</v>
      </c>
      <c r="C5347" s="1" t="s">
        <v>14843</v>
      </c>
      <c r="D5347" s="1" t="s">
        <v>27</v>
      </c>
      <c r="E5347" s="1" t="s">
        <v>28</v>
      </c>
      <c r="F5347" s="2">
        <v>50000.0</v>
      </c>
      <c r="G5347" s="4">
        <v>44298.0</v>
      </c>
      <c r="H5347" s="4">
        <f>IFERROR(__xludf.DUMMYFUNCTION("DATE(INDEX(SPLIT(G5347,""/""),,3),INDEX(SPLIT(G5347,""/""),,2),INDEX(SPLIT(G5347,""/""),,1))"),44534.0)</f>
        <v>44534</v>
      </c>
      <c r="I5347" s="1" t="s">
        <v>1909</v>
      </c>
      <c r="J5347" s="4">
        <f>IFERROR(__xludf.DUMMYFUNCTION("DATE(INDEX(SPLIT(I5347,""/""),,3),INDEX(SPLIT(I5347,""/""),,2),INDEX(SPLIT(I5347,""/""),,1))"),44883.0)</f>
        <v>44883</v>
      </c>
      <c r="L5347" s="1">
        <v>0.0</v>
      </c>
      <c r="M5347" s="1" t="s">
        <v>594</v>
      </c>
      <c r="N5347" s="1"/>
      <c r="O5347" s="1" t="s">
        <v>30</v>
      </c>
      <c r="P5347" s="1" t="s">
        <v>31</v>
      </c>
      <c r="Q5347" s="1" t="s">
        <v>95</v>
      </c>
      <c r="R5347" s="1" t="s">
        <v>95</v>
      </c>
      <c r="S5347" s="1" t="s">
        <v>96</v>
      </c>
      <c r="T5347" s="1" t="s">
        <v>217</v>
      </c>
      <c r="U5347" s="1">
        <v>1.005886E8</v>
      </c>
      <c r="X5347" s="1" t="s">
        <v>35</v>
      </c>
      <c r="Y5347" s="1" t="s">
        <v>1868</v>
      </c>
      <c r="Z5347" s="1" t="s">
        <v>37</v>
      </c>
    </row>
    <row r="5348" hidden="1">
      <c r="A5348" s="1" t="s">
        <v>14844</v>
      </c>
      <c r="B5348" s="1" t="s">
        <v>14845</v>
      </c>
      <c r="C5348" s="1" t="s">
        <v>14846</v>
      </c>
      <c r="D5348" s="1" t="s">
        <v>27</v>
      </c>
      <c r="E5348" s="1" t="s">
        <v>28</v>
      </c>
      <c r="F5348" s="2">
        <v>50000.0</v>
      </c>
      <c r="G5348" s="4">
        <v>44597.0</v>
      </c>
      <c r="H5348" s="4">
        <f>IFERROR(__xludf.DUMMYFUNCTION("DATE(INDEX(SPLIT(G5348,""/""),,3),INDEX(SPLIT(G5348,""/""),,2),INDEX(SPLIT(G5348,""/""),,1))"),44683.0)</f>
        <v>44683</v>
      </c>
      <c r="I5348" s="1" t="s">
        <v>281</v>
      </c>
      <c r="J5348" s="4">
        <f>IFERROR(__xludf.DUMMYFUNCTION("DATE(INDEX(SPLIT(I5348,""/""),,3),INDEX(SPLIT(I5348,""/""),,2),INDEX(SPLIT(I5348,""/""),,1))"),44865.0)</f>
        <v>44865</v>
      </c>
      <c r="L5348" s="1">
        <v>0.0</v>
      </c>
      <c r="M5348" s="1" t="s">
        <v>2592</v>
      </c>
      <c r="N5348" s="1"/>
      <c r="O5348" s="1" t="s">
        <v>30</v>
      </c>
      <c r="P5348" s="1" t="s">
        <v>31</v>
      </c>
      <c r="Q5348" s="1" t="s">
        <v>71</v>
      </c>
      <c r="R5348" s="1" t="s">
        <v>71</v>
      </c>
      <c r="S5348" s="1" t="s">
        <v>72</v>
      </c>
      <c r="T5348" s="1" t="s">
        <v>136</v>
      </c>
      <c r="U5348" s="1">
        <v>1.00586452E8</v>
      </c>
      <c r="X5348" s="1" t="s">
        <v>74</v>
      </c>
      <c r="Y5348" s="1" t="s">
        <v>12121</v>
      </c>
      <c r="Z5348" s="1" t="s">
        <v>37</v>
      </c>
    </row>
    <row r="5349" hidden="1">
      <c r="A5349" s="1" t="s">
        <v>14847</v>
      </c>
      <c r="B5349" s="1" t="s">
        <v>12547</v>
      </c>
      <c r="C5349" s="1" t="s">
        <v>14848</v>
      </c>
      <c r="D5349" s="1" t="s">
        <v>78</v>
      </c>
      <c r="E5349" s="1" t="s">
        <v>28</v>
      </c>
      <c r="F5349" s="2">
        <v>50000.0</v>
      </c>
      <c r="G5349" s="4">
        <v>44621.0</v>
      </c>
      <c r="H5349" s="4">
        <f>IFERROR(__xludf.DUMMYFUNCTION("DATE(INDEX(SPLIT(G5349,""/""),,3),INDEX(SPLIT(G5349,""/""),,2),INDEX(SPLIT(G5349,""/""),,1))"),44564.0)</f>
        <v>44564</v>
      </c>
      <c r="I5349" s="1" t="s">
        <v>42</v>
      </c>
      <c r="J5349" s="4">
        <f>IFERROR(__xludf.DUMMYFUNCTION("DATE(INDEX(SPLIT(I5349,""/""),,3),INDEX(SPLIT(I5349,""/""),,2),INDEX(SPLIT(I5349,""/""),,1))"),44926.0)</f>
        <v>44926</v>
      </c>
      <c r="L5349" s="1">
        <v>0.0</v>
      </c>
      <c r="M5349" s="1" t="s">
        <v>3350</v>
      </c>
      <c r="N5349" s="1"/>
      <c r="O5349" s="1" t="s">
        <v>30</v>
      </c>
      <c r="P5349" s="1" t="s">
        <v>31</v>
      </c>
      <c r="Q5349" s="1" t="s">
        <v>228</v>
      </c>
      <c r="R5349" s="1" t="s">
        <v>228</v>
      </c>
      <c r="S5349" s="1" t="s">
        <v>229</v>
      </c>
      <c r="T5349" s="1" t="s">
        <v>513</v>
      </c>
      <c r="U5349" s="1">
        <v>1.00638965E8</v>
      </c>
      <c r="X5349" s="1" t="s">
        <v>190</v>
      </c>
      <c r="Y5349" s="1" t="s">
        <v>14849</v>
      </c>
      <c r="Z5349" s="1" t="s">
        <v>206</v>
      </c>
    </row>
    <row r="5350" hidden="1">
      <c r="A5350" s="1" t="s">
        <v>14850</v>
      </c>
      <c r="B5350" s="1" t="s">
        <v>6274</v>
      </c>
      <c r="C5350" s="1" t="s">
        <v>14851</v>
      </c>
      <c r="D5350" s="1" t="s">
        <v>27</v>
      </c>
      <c r="E5350" s="1" t="s">
        <v>28</v>
      </c>
      <c r="F5350" s="2">
        <v>50000.0</v>
      </c>
      <c r="G5350" s="4">
        <v>44622.0</v>
      </c>
      <c r="H5350" s="4">
        <f>IFERROR(__xludf.DUMMYFUNCTION("DATE(INDEX(SPLIT(G5350,""/""),,3),INDEX(SPLIT(G5350,""/""),,2),INDEX(SPLIT(G5350,""/""),,1))"),44595.0)</f>
        <v>44595</v>
      </c>
      <c r="I5350" s="1" t="s">
        <v>130</v>
      </c>
      <c r="J5350" s="4">
        <f>IFERROR(__xludf.DUMMYFUNCTION("DATE(INDEX(SPLIT(I5350,""/""),,3),INDEX(SPLIT(I5350,""/""),,2),INDEX(SPLIT(I5350,""/""),,1))"),44804.0)</f>
        <v>44804</v>
      </c>
      <c r="L5350" s="1">
        <v>0.0</v>
      </c>
      <c r="M5350" s="1" t="s">
        <v>4039</v>
      </c>
      <c r="N5350" s="1"/>
      <c r="O5350" s="1" t="s">
        <v>30</v>
      </c>
      <c r="P5350" s="1" t="s">
        <v>31</v>
      </c>
      <c r="Q5350" s="1" t="s">
        <v>228</v>
      </c>
      <c r="R5350" s="1" t="s">
        <v>228</v>
      </c>
      <c r="S5350" s="1" t="s">
        <v>229</v>
      </c>
      <c r="T5350" s="1" t="s">
        <v>505</v>
      </c>
      <c r="U5350" s="1">
        <v>1.00662113E8</v>
      </c>
      <c r="X5350" s="1" t="s">
        <v>490</v>
      </c>
      <c r="Y5350" s="1" t="s">
        <v>8809</v>
      </c>
      <c r="Z5350" s="1" t="s">
        <v>37</v>
      </c>
    </row>
    <row r="5351" hidden="1">
      <c r="A5351" s="1" t="s">
        <v>14852</v>
      </c>
      <c r="B5351" s="1" t="s">
        <v>6274</v>
      </c>
      <c r="C5351" s="1" t="s">
        <v>14853</v>
      </c>
      <c r="D5351" s="1" t="s">
        <v>27</v>
      </c>
      <c r="E5351" s="1" t="s">
        <v>28</v>
      </c>
      <c r="F5351" s="2">
        <v>50000.0</v>
      </c>
      <c r="G5351" s="4">
        <v>44622.0</v>
      </c>
      <c r="H5351" s="4">
        <f>IFERROR(__xludf.DUMMYFUNCTION("DATE(INDEX(SPLIT(G5351,""/""),,3),INDEX(SPLIT(G5351,""/""),,2),INDEX(SPLIT(G5351,""/""),,1))"),44595.0)</f>
        <v>44595</v>
      </c>
      <c r="I5351" s="1" t="s">
        <v>109</v>
      </c>
      <c r="J5351" s="4">
        <f>IFERROR(__xludf.DUMMYFUNCTION("DATE(INDEX(SPLIT(I5351,""/""),,3),INDEX(SPLIT(I5351,""/""),,2),INDEX(SPLIT(I5351,""/""),,1))"),44834.0)</f>
        <v>44834</v>
      </c>
      <c r="L5351" s="1">
        <v>0.0</v>
      </c>
      <c r="M5351" s="1" t="s">
        <v>4039</v>
      </c>
      <c r="N5351" s="1"/>
      <c r="O5351" s="1" t="s">
        <v>30</v>
      </c>
      <c r="P5351" s="1" t="s">
        <v>31</v>
      </c>
      <c r="Q5351" s="1" t="s">
        <v>228</v>
      </c>
      <c r="R5351" s="1" t="s">
        <v>228</v>
      </c>
      <c r="S5351" s="1" t="s">
        <v>229</v>
      </c>
      <c r="T5351" s="1" t="s">
        <v>505</v>
      </c>
      <c r="U5351" s="1">
        <v>1.00662113E8</v>
      </c>
      <c r="X5351" s="1" t="s">
        <v>490</v>
      </c>
      <c r="Y5351" s="1" t="s">
        <v>8809</v>
      </c>
      <c r="Z5351" s="1" t="s">
        <v>37</v>
      </c>
    </row>
    <row r="5352" hidden="1">
      <c r="A5352" s="1" t="s">
        <v>14854</v>
      </c>
      <c r="B5352" s="1" t="s">
        <v>14855</v>
      </c>
      <c r="C5352" s="1" t="s">
        <v>14856</v>
      </c>
      <c r="D5352" s="1" t="s">
        <v>78</v>
      </c>
      <c r="E5352" s="1" t="s">
        <v>28</v>
      </c>
      <c r="F5352" s="2">
        <v>49500.0</v>
      </c>
      <c r="G5352" s="1" t="s">
        <v>935</v>
      </c>
      <c r="H5352" s="4">
        <f>IFERROR(__xludf.DUMMYFUNCTION("DATE(INDEX(SPLIT(G5352,""/""),,3),INDEX(SPLIT(G5352,""/""),,2),INDEX(SPLIT(G5352,""/""),,1))"),44764.0)</f>
        <v>44764</v>
      </c>
      <c r="I5352" s="1" t="s">
        <v>430</v>
      </c>
      <c r="J5352" s="4">
        <f>IFERROR(__xludf.DUMMYFUNCTION("DATE(INDEX(SPLIT(I5352,""/""),,3),INDEX(SPLIT(I5352,""/""),,2),INDEX(SPLIT(I5352,""/""),,1))"),44985.0)</f>
        <v>44985</v>
      </c>
      <c r="L5352" s="1">
        <v>0.0</v>
      </c>
      <c r="M5352" s="1" t="s">
        <v>4735</v>
      </c>
      <c r="N5352" s="1"/>
      <c r="O5352" s="1" t="s">
        <v>30</v>
      </c>
      <c r="P5352" s="1" t="s">
        <v>31</v>
      </c>
      <c r="Q5352" s="1" t="s">
        <v>71</v>
      </c>
      <c r="R5352" s="1" t="s">
        <v>71</v>
      </c>
      <c r="S5352" s="1" t="s">
        <v>72</v>
      </c>
      <c r="T5352" s="1" t="s">
        <v>136</v>
      </c>
      <c r="U5352" s="1">
        <v>1.00609615E8</v>
      </c>
      <c r="X5352" s="1" t="s">
        <v>74</v>
      </c>
      <c r="Y5352" s="1" t="s">
        <v>2593</v>
      </c>
      <c r="Z5352" s="1" t="s">
        <v>206</v>
      </c>
    </row>
    <row r="5353">
      <c r="A5353" s="1" t="s">
        <v>14857</v>
      </c>
      <c r="B5353" s="1" t="s">
        <v>14858</v>
      </c>
      <c r="C5353" s="1" t="s">
        <v>14859</v>
      </c>
      <c r="D5353" s="1" t="s">
        <v>122</v>
      </c>
      <c r="E5353" s="1" t="s">
        <v>28</v>
      </c>
      <c r="F5353" s="2">
        <v>49500.0</v>
      </c>
      <c r="G5353" s="1" t="s">
        <v>4346</v>
      </c>
      <c r="H5353" s="4">
        <f>IFERROR(__xludf.DUMMYFUNCTION("DATE(INDEX(SPLIT(G5353,""/""),,3),INDEX(SPLIT(G5353,""/""),,2),INDEX(SPLIT(G5353,""/""),,1))"),44765.0)</f>
        <v>44765</v>
      </c>
      <c r="I5353" s="1" t="s">
        <v>226</v>
      </c>
      <c r="J5353" s="4">
        <f>IFERROR(__xludf.DUMMYFUNCTION("DATE(INDEX(SPLIT(I5353,""/""),,3),INDEX(SPLIT(I5353,""/""),,2),INDEX(SPLIT(I5353,""/""),,1))"),44771.0)</f>
        <v>44771</v>
      </c>
      <c r="L5353" s="1">
        <v>0.0</v>
      </c>
      <c r="M5353" s="1" t="s">
        <v>11254</v>
      </c>
      <c r="N5353" s="1"/>
      <c r="O5353" s="1" t="s">
        <v>30</v>
      </c>
      <c r="P5353" s="1" t="s">
        <v>31</v>
      </c>
      <c r="Q5353" s="1" t="s">
        <v>228</v>
      </c>
      <c r="R5353" s="1" t="s">
        <v>228</v>
      </c>
      <c r="S5353" s="1" t="s">
        <v>229</v>
      </c>
      <c r="U5353" s="1">
        <v>1.00602248E8</v>
      </c>
      <c r="X5353" s="1" t="s">
        <v>2769</v>
      </c>
      <c r="Y5353" s="1" t="s">
        <v>14860</v>
      </c>
      <c r="Z5353" s="1" t="s">
        <v>37</v>
      </c>
    </row>
    <row r="5354" hidden="1">
      <c r="A5354" s="1" t="s">
        <v>14861</v>
      </c>
      <c r="B5354" s="1" t="s">
        <v>5433</v>
      </c>
      <c r="C5354" s="1" t="s">
        <v>14862</v>
      </c>
      <c r="D5354" s="1" t="s">
        <v>68</v>
      </c>
      <c r="E5354" s="1" t="s">
        <v>28</v>
      </c>
      <c r="F5354" s="2">
        <v>48000.0</v>
      </c>
      <c r="G5354" s="1" t="s">
        <v>324</v>
      </c>
      <c r="H5354" s="4">
        <f>IFERROR(__xludf.DUMMYFUNCTION("DATE(INDEX(SPLIT(G5354,""/""),,3),INDEX(SPLIT(G5354,""/""),,2),INDEX(SPLIT(G5354,""/""),,1))"),44636.0)</f>
        <v>44636</v>
      </c>
      <c r="I5354" s="1" t="s">
        <v>535</v>
      </c>
      <c r="J5354" s="4">
        <f>IFERROR(__xludf.DUMMYFUNCTION("DATE(INDEX(SPLIT(I5354,""/""),,3),INDEX(SPLIT(I5354,""/""),,2),INDEX(SPLIT(I5354,""/""),,1))"),44957.0)</f>
        <v>44957</v>
      </c>
      <c r="L5354" s="1">
        <v>0.0</v>
      </c>
      <c r="M5354" s="1" t="s">
        <v>2623</v>
      </c>
      <c r="N5354" s="1"/>
      <c r="O5354" s="1" t="s">
        <v>30</v>
      </c>
      <c r="P5354" s="1" t="s">
        <v>31</v>
      </c>
      <c r="Q5354" s="1" t="s">
        <v>71</v>
      </c>
      <c r="R5354" s="1" t="s">
        <v>71</v>
      </c>
      <c r="S5354" s="1" t="s">
        <v>72</v>
      </c>
      <c r="T5354" s="1" t="s">
        <v>73</v>
      </c>
      <c r="U5354" s="1">
        <v>1.00618842E8</v>
      </c>
      <c r="X5354" s="1" t="s">
        <v>98</v>
      </c>
      <c r="Y5354" s="1" t="s">
        <v>318</v>
      </c>
      <c r="Z5354" s="1" t="s">
        <v>37</v>
      </c>
    </row>
    <row r="5355">
      <c r="A5355" s="1" t="s">
        <v>14863</v>
      </c>
      <c r="B5355" s="1" t="s">
        <v>1144</v>
      </c>
      <c r="C5355" s="1" t="s">
        <v>14864</v>
      </c>
      <c r="D5355" s="1" t="s">
        <v>27</v>
      </c>
      <c r="E5355" s="1" t="s">
        <v>28</v>
      </c>
      <c r="F5355" s="2">
        <v>47000.0</v>
      </c>
      <c r="G5355" s="4">
        <v>44656.0</v>
      </c>
      <c r="H5355" s="4">
        <f>IFERROR(__xludf.DUMMYFUNCTION("DATE(INDEX(SPLIT(G5355,""/""),,3),INDEX(SPLIT(G5355,""/""),,2),INDEX(SPLIT(G5355,""/""),,1))"),44685.0)</f>
        <v>44685</v>
      </c>
      <c r="I5355" s="1" t="s">
        <v>1244</v>
      </c>
      <c r="J5355" s="4">
        <f>IFERROR(__xludf.DUMMYFUNCTION("DATE(INDEX(SPLIT(I5355,""/""),,3),INDEX(SPLIT(I5355,""/""),,2),INDEX(SPLIT(I5355,""/""),,1))"),44742.0)</f>
        <v>44742</v>
      </c>
      <c r="L5355" s="1">
        <v>0.0</v>
      </c>
      <c r="M5355" s="1" t="s">
        <v>1146</v>
      </c>
      <c r="N5355" s="1"/>
      <c r="O5355" s="1" t="s">
        <v>30</v>
      </c>
      <c r="P5355" s="1" t="s">
        <v>31</v>
      </c>
      <c r="Q5355" s="1" t="s">
        <v>228</v>
      </c>
      <c r="R5355" s="1" t="s">
        <v>228</v>
      </c>
      <c r="S5355" s="1" t="s">
        <v>229</v>
      </c>
      <c r="T5355" s="1" t="s">
        <v>640</v>
      </c>
      <c r="U5355" s="1">
        <v>1.0061139E8</v>
      </c>
      <c r="X5355" s="1" t="s">
        <v>63</v>
      </c>
      <c r="Y5355" s="1" t="s">
        <v>1147</v>
      </c>
      <c r="Z5355" s="1" t="s">
        <v>37</v>
      </c>
    </row>
    <row r="5356" hidden="1">
      <c r="A5356" s="1" t="s">
        <v>14865</v>
      </c>
      <c r="B5356" s="1" t="s">
        <v>14866</v>
      </c>
      <c r="C5356" s="1" t="s">
        <v>14867</v>
      </c>
      <c r="D5356" s="1" t="s">
        <v>27</v>
      </c>
      <c r="E5356" s="1" t="s">
        <v>28</v>
      </c>
      <c r="F5356" s="2">
        <v>46317.74</v>
      </c>
      <c r="G5356" s="4">
        <v>44867.0</v>
      </c>
      <c r="H5356" s="4">
        <f>IFERROR(__xludf.DUMMYFUNCTION("DATE(INDEX(SPLIT(G5356,""/""),,3),INDEX(SPLIT(G5356,""/""),,2),INDEX(SPLIT(G5356,""/""),,1))"),44603.0)</f>
        <v>44603</v>
      </c>
      <c r="I5356" s="1" t="s">
        <v>430</v>
      </c>
      <c r="J5356" s="4">
        <f>IFERROR(__xludf.DUMMYFUNCTION("DATE(INDEX(SPLIT(I5356,""/""),,3),INDEX(SPLIT(I5356,""/""),,2),INDEX(SPLIT(I5356,""/""),,1))"),44985.0)</f>
        <v>44985</v>
      </c>
      <c r="L5356" s="1">
        <v>0.0</v>
      </c>
      <c r="M5356" s="1" t="s">
        <v>8755</v>
      </c>
      <c r="N5356" s="1"/>
      <c r="O5356" s="1" t="s">
        <v>30</v>
      </c>
      <c r="P5356" s="1" t="s">
        <v>31</v>
      </c>
      <c r="Q5356" s="1" t="s">
        <v>1320</v>
      </c>
      <c r="R5356" s="1" t="s">
        <v>1320</v>
      </c>
      <c r="S5356" s="1" t="s">
        <v>54</v>
      </c>
      <c r="T5356" s="1" t="s">
        <v>1386</v>
      </c>
      <c r="U5356" s="1">
        <v>1.00591676E8</v>
      </c>
      <c r="X5356" s="1" t="s">
        <v>98</v>
      </c>
      <c r="Y5356" s="1" t="s">
        <v>14868</v>
      </c>
      <c r="Z5356" s="1" t="s">
        <v>37</v>
      </c>
    </row>
    <row r="5357">
      <c r="A5357" s="1" t="s">
        <v>14869</v>
      </c>
      <c r="B5357" s="1" t="s">
        <v>1126</v>
      </c>
      <c r="C5357" s="1" t="s">
        <v>14870</v>
      </c>
      <c r="D5357" s="1" t="s">
        <v>27</v>
      </c>
      <c r="E5357" s="1" t="s">
        <v>28</v>
      </c>
      <c r="F5357" s="2">
        <v>46317.74</v>
      </c>
      <c r="G5357" s="4">
        <v>44653.0</v>
      </c>
      <c r="H5357" s="4">
        <f>IFERROR(__xludf.DUMMYFUNCTION("DATE(INDEX(SPLIT(G5357,""/""),,3),INDEX(SPLIT(G5357,""/""),,2),INDEX(SPLIT(G5357,""/""),,1))"),44596.0)</f>
        <v>44596</v>
      </c>
      <c r="I5357" s="1" t="s">
        <v>414</v>
      </c>
      <c r="J5357" s="4">
        <f>IFERROR(__xludf.DUMMYFUNCTION("DATE(INDEX(SPLIT(I5357,""/""),,3),INDEX(SPLIT(I5357,""/""),,2),INDEX(SPLIT(I5357,""/""),,1))"),44772.0)</f>
        <v>44772</v>
      </c>
      <c r="L5357" s="1">
        <v>0.0</v>
      </c>
      <c r="M5357" s="1" t="s">
        <v>6055</v>
      </c>
      <c r="N5357" s="1"/>
      <c r="O5357" s="1" t="s">
        <v>30</v>
      </c>
      <c r="P5357" s="1" t="s">
        <v>31</v>
      </c>
      <c r="Q5357" s="1" t="s">
        <v>1320</v>
      </c>
      <c r="R5357" s="1" t="s">
        <v>1320</v>
      </c>
      <c r="S5357" s="1" t="s">
        <v>54</v>
      </c>
      <c r="U5357" s="1">
        <v>1.00591095E8</v>
      </c>
      <c r="X5357" s="1" t="s">
        <v>125</v>
      </c>
      <c r="Y5357" s="1" t="s">
        <v>8054</v>
      </c>
      <c r="Z5357" s="1" t="s">
        <v>37</v>
      </c>
    </row>
    <row r="5358" hidden="1">
      <c r="A5358" s="1" t="s">
        <v>14871</v>
      </c>
      <c r="B5358" s="1" t="s">
        <v>8753</v>
      </c>
      <c r="C5358" s="1" t="s">
        <v>14872</v>
      </c>
      <c r="D5358" s="1" t="s">
        <v>78</v>
      </c>
      <c r="E5358" s="1" t="s">
        <v>28</v>
      </c>
      <c r="F5358" s="2">
        <v>46317.74</v>
      </c>
      <c r="G5358" s="4">
        <v>44324.0</v>
      </c>
      <c r="H5358" s="4">
        <f>IFERROR(__xludf.DUMMYFUNCTION("DATE(INDEX(SPLIT(G5358,""/""),,3),INDEX(SPLIT(G5358,""/""),,2),INDEX(SPLIT(G5358,""/""),,1))"),44413.0)</f>
        <v>44413</v>
      </c>
      <c r="I5358" s="1" t="s">
        <v>317</v>
      </c>
      <c r="J5358" s="4">
        <f>IFERROR(__xludf.DUMMYFUNCTION("DATE(INDEX(SPLIT(I5358,""/""),,3),INDEX(SPLIT(I5358,""/""),,2),INDEX(SPLIT(I5358,""/""),,1))"),44862.0)</f>
        <v>44862</v>
      </c>
      <c r="L5358" s="1">
        <v>0.0</v>
      </c>
      <c r="M5358" s="1" t="s">
        <v>8053</v>
      </c>
      <c r="N5358" s="1"/>
      <c r="O5358" s="1" t="s">
        <v>30</v>
      </c>
      <c r="P5358" s="1" t="s">
        <v>31</v>
      </c>
      <c r="Q5358" s="1" t="s">
        <v>1320</v>
      </c>
      <c r="R5358" s="1" t="s">
        <v>1320</v>
      </c>
      <c r="S5358" s="1" t="s">
        <v>33</v>
      </c>
      <c r="T5358" s="1" t="s">
        <v>311</v>
      </c>
      <c r="U5358" s="1">
        <v>1.00613849E8</v>
      </c>
      <c r="X5358" s="1" t="s">
        <v>375</v>
      </c>
      <c r="Y5358" s="1" t="s">
        <v>14306</v>
      </c>
      <c r="Z5358" s="1" t="s">
        <v>37</v>
      </c>
    </row>
    <row r="5359">
      <c r="A5359" s="1" t="s">
        <v>14873</v>
      </c>
      <c r="B5359" s="1" t="s">
        <v>605</v>
      </c>
      <c r="C5359" s="1" t="s">
        <v>14874</v>
      </c>
      <c r="D5359" s="1" t="s">
        <v>68</v>
      </c>
      <c r="E5359" s="1" t="s">
        <v>28</v>
      </c>
      <c r="F5359" s="2">
        <v>46000.0</v>
      </c>
      <c r="G5359" s="1" t="s">
        <v>185</v>
      </c>
      <c r="H5359" s="4">
        <f>IFERROR(__xludf.DUMMYFUNCTION("DATE(INDEX(SPLIT(G5359,""/""),,3),INDEX(SPLIT(G5359,""/""),,2),INDEX(SPLIT(G5359,""/""),,1))"),44741.0)</f>
        <v>44741</v>
      </c>
      <c r="I5359" s="1" t="s">
        <v>226</v>
      </c>
      <c r="J5359" s="4">
        <f>IFERROR(__xludf.DUMMYFUNCTION("DATE(INDEX(SPLIT(I5359,""/""),,3),INDEX(SPLIT(I5359,""/""),,2),INDEX(SPLIT(I5359,""/""),,1))"),44771.0)</f>
        <v>44771</v>
      </c>
      <c r="L5359" s="1">
        <v>0.0</v>
      </c>
      <c r="M5359" s="1" t="s">
        <v>3990</v>
      </c>
      <c r="N5359" s="1"/>
      <c r="O5359" s="1" t="s">
        <v>30</v>
      </c>
      <c r="P5359" s="1" t="s">
        <v>31</v>
      </c>
      <c r="Q5359" s="1" t="s">
        <v>95</v>
      </c>
      <c r="R5359" s="1" t="s">
        <v>95</v>
      </c>
      <c r="S5359" s="1" t="s">
        <v>96</v>
      </c>
      <c r="T5359" s="1" t="s">
        <v>304</v>
      </c>
      <c r="U5359" s="1">
        <v>1.00618416E8</v>
      </c>
      <c r="X5359" s="1" t="s">
        <v>81</v>
      </c>
      <c r="Y5359" s="1" t="s">
        <v>3990</v>
      </c>
      <c r="Z5359" s="1" t="s">
        <v>527</v>
      </c>
    </row>
    <row r="5360">
      <c r="A5360" s="1" t="s">
        <v>14875</v>
      </c>
      <c r="B5360" s="1" t="s">
        <v>14876</v>
      </c>
      <c r="C5360" s="1" t="s">
        <v>14877</v>
      </c>
      <c r="D5360" s="1" t="s">
        <v>78</v>
      </c>
      <c r="E5360" s="1" t="s">
        <v>28</v>
      </c>
      <c r="F5360" s="2">
        <v>46000.0</v>
      </c>
      <c r="G5360" s="1" t="s">
        <v>13966</v>
      </c>
      <c r="H5360" s="4">
        <f>IFERROR(__xludf.DUMMYFUNCTION("DATE(INDEX(SPLIT(G5360,""/""),,3),INDEX(SPLIT(G5360,""/""),,2),INDEX(SPLIT(G5360,""/""),,1))"),43846.0)</f>
        <v>43846</v>
      </c>
      <c r="I5360" s="1" t="s">
        <v>226</v>
      </c>
      <c r="J5360" s="4">
        <f>IFERROR(__xludf.DUMMYFUNCTION("DATE(INDEX(SPLIT(I5360,""/""),,3),INDEX(SPLIT(I5360,""/""),,2),INDEX(SPLIT(I5360,""/""),,1))"),44771.0)</f>
        <v>44771</v>
      </c>
      <c r="L5360" s="1">
        <v>0.0</v>
      </c>
      <c r="M5360" s="1" t="s">
        <v>2696</v>
      </c>
      <c r="N5360" s="1"/>
      <c r="O5360" s="1" t="s">
        <v>30</v>
      </c>
      <c r="P5360" s="1" t="s">
        <v>31</v>
      </c>
      <c r="Q5360" s="1" t="s">
        <v>157</v>
      </c>
      <c r="R5360" s="1" t="s">
        <v>157</v>
      </c>
      <c r="S5360" s="1" t="s">
        <v>158</v>
      </c>
      <c r="T5360" s="1" t="s">
        <v>8712</v>
      </c>
      <c r="U5360" s="1">
        <v>1.00611351E8</v>
      </c>
      <c r="X5360" s="1" t="s">
        <v>375</v>
      </c>
      <c r="Y5360" s="1" t="s">
        <v>3016</v>
      </c>
      <c r="Z5360" s="1" t="s">
        <v>37</v>
      </c>
    </row>
    <row r="5361" hidden="1">
      <c r="A5361" s="1" t="s">
        <v>14878</v>
      </c>
      <c r="B5361" s="1" t="s">
        <v>14879</v>
      </c>
      <c r="C5361" s="1" t="s">
        <v>14880</v>
      </c>
      <c r="D5361" s="1" t="s">
        <v>122</v>
      </c>
      <c r="E5361" s="1" t="s">
        <v>28</v>
      </c>
      <c r="F5361" s="2">
        <v>45900.0</v>
      </c>
      <c r="G5361" s="4">
        <v>44266.0</v>
      </c>
      <c r="H5361" s="4">
        <f>IFERROR(__xludf.DUMMYFUNCTION("DATE(INDEX(SPLIT(G5361,""/""),,3),INDEX(SPLIT(G5361,""/""),,2),INDEX(SPLIT(G5361,""/""),,1))"),44503.0)</f>
        <v>44503</v>
      </c>
      <c r="I5361" s="1" t="s">
        <v>130</v>
      </c>
      <c r="J5361" s="4">
        <f>IFERROR(__xludf.DUMMYFUNCTION("DATE(INDEX(SPLIT(I5361,""/""),,3),INDEX(SPLIT(I5361,""/""),,2),INDEX(SPLIT(I5361,""/""),,1))"),44804.0)</f>
        <v>44804</v>
      </c>
      <c r="L5361" s="1">
        <v>0.0</v>
      </c>
      <c r="M5361" s="1" t="s">
        <v>2096</v>
      </c>
      <c r="N5361" s="1"/>
      <c r="O5361" s="1" t="s">
        <v>30</v>
      </c>
      <c r="P5361" s="1" t="s">
        <v>31</v>
      </c>
      <c r="Q5361" s="1" t="s">
        <v>228</v>
      </c>
      <c r="R5361" s="1" t="s">
        <v>228</v>
      </c>
      <c r="S5361" s="1" t="s">
        <v>229</v>
      </c>
      <c r="T5361" s="1" t="s">
        <v>505</v>
      </c>
      <c r="U5361" s="1">
        <v>1.00619128E8</v>
      </c>
      <c r="X5361" s="1" t="s">
        <v>98</v>
      </c>
      <c r="Y5361" s="1" t="s">
        <v>8740</v>
      </c>
      <c r="Z5361" s="1" t="s">
        <v>37</v>
      </c>
    </row>
    <row r="5362">
      <c r="A5362" s="1" t="s">
        <v>14881</v>
      </c>
      <c r="B5362" s="1" t="s">
        <v>1991</v>
      </c>
      <c r="C5362" s="1" t="s">
        <v>14882</v>
      </c>
      <c r="D5362" s="1" t="s">
        <v>122</v>
      </c>
      <c r="E5362" s="1" t="s">
        <v>28</v>
      </c>
      <c r="F5362" s="2">
        <v>45000.0</v>
      </c>
      <c r="G5362" s="1" t="s">
        <v>185</v>
      </c>
      <c r="H5362" s="4">
        <f>IFERROR(__xludf.DUMMYFUNCTION("DATE(INDEX(SPLIT(G5362,""/""),,3),INDEX(SPLIT(G5362,""/""),,2),INDEX(SPLIT(G5362,""/""),,1))"),44741.0)</f>
        <v>44741</v>
      </c>
      <c r="I5362" s="1" t="s">
        <v>518</v>
      </c>
      <c r="J5362" s="4">
        <f>IFERROR(__xludf.DUMMYFUNCTION("DATE(INDEX(SPLIT(I5362,""/""),,3),INDEX(SPLIT(I5362,""/""),,2),INDEX(SPLIT(I5362,""/""),,1))"),44757.0)</f>
        <v>44757</v>
      </c>
      <c r="L5362" s="1">
        <v>0.0</v>
      </c>
      <c r="M5362" s="1" t="s">
        <v>3216</v>
      </c>
      <c r="N5362" s="1"/>
      <c r="O5362" s="1" t="s">
        <v>30</v>
      </c>
      <c r="P5362" s="1" t="s">
        <v>31</v>
      </c>
      <c r="Q5362" s="1" t="s">
        <v>32</v>
      </c>
      <c r="R5362" s="1" t="s">
        <v>32</v>
      </c>
      <c r="S5362" s="1" t="s">
        <v>33</v>
      </c>
      <c r="U5362" s="1">
        <v>1.00622716E8</v>
      </c>
      <c r="X5362" s="1" t="s">
        <v>490</v>
      </c>
      <c r="Y5362" s="1" t="s">
        <v>14883</v>
      </c>
      <c r="Z5362" s="1" t="s">
        <v>37</v>
      </c>
    </row>
    <row r="5363" hidden="1">
      <c r="A5363" s="1" t="s">
        <v>14884</v>
      </c>
      <c r="B5363" s="1" t="s">
        <v>291</v>
      </c>
      <c r="C5363" s="1" t="s">
        <v>14885</v>
      </c>
      <c r="D5363" s="1" t="s">
        <v>78</v>
      </c>
      <c r="E5363" s="1" t="s">
        <v>28</v>
      </c>
      <c r="F5363" s="2">
        <v>45000.0</v>
      </c>
      <c r="G5363" s="1" t="s">
        <v>14886</v>
      </c>
      <c r="H5363" s="4">
        <f>IFERROR(__xludf.DUMMYFUNCTION("DATE(INDEX(SPLIT(G5363,""/""),,3),INDEX(SPLIT(G5363,""/""),,2),INDEX(SPLIT(G5363,""/""),,1))"),44058.0)</f>
        <v>44058</v>
      </c>
      <c r="I5363" s="1" t="s">
        <v>109</v>
      </c>
      <c r="J5363" s="4">
        <f>IFERROR(__xludf.DUMMYFUNCTION("DATE(INDEX(SPLIT(I5363,""/""),,3),INDEX(SPLIT(I5363,""/""),,2),INDEX(SPLIT(I5363,""/""),,1))"),44834.0)</f>
        <v>44834</v>
      </c>
      <c r="L5363" s="1">
        <v>0.0</v>
      </c>
      <c r="M5363" s="1" t="s">
        <v>11254</v>
      </c>
      <c r="N5363" s="1"/>
      <c r="O5363" s="1" t="s">
        <v>30</v>
      </c>
      <c r="P5363" s="1" t="s">
        <v>31</v>
      </c>
      <c r="Q5363" s="1" t="s">
        <v>228</v>
      </c>
      <c r="R5363" s="1" t="s">
        <v>228</v>
      </c>
      <c r="S5363" s="1" t="s">
        <v>229</v>
      </c>
      <c r="T5363" s="1" t="s">
        <v>513</v>
      </c>
      <c r="U5363" s="1">
        <v>1.00602248E8</v>
      </c>
      <c r="X5363" s="1" t="s">
        <v>239</v>
      </c>
      <c r="Y5363" s="1" t="s">
        <v>12637</v>
      </c>
      <c r="Z5363" s="1" t="s">
        <v>37</v>
      </c>
    </row>
    <row r="5364" hidden="1">
      <c r="A5364" s="1" t="s">
        <v>14887</v>
      </c>
      <c r="B5364" s="1" t="s">
        <v>14888</v>
      </c>
      <c r="C5364" s="1" t="s">
        <v>14889</v>
      </c>
      <c r="D5364" s="1" t="s">
        <v>27</v>
      </c>
      <c r="E5364" s="1" t="s">
        <v>28</v>
      </c>
      <c r="F5364" s="2">
        <v>45000.0</v>
      </c>
      <c r="G5364" s="1" t="s">
        <v>1259</v>
      </c>
      <c r="H5364" s="4">
        <f>IFERROR(__xludf.DUMMYFUNCTION("DATE(INDEX(SPLIT(G5364,""/""),,3),INDEX(SPLIT(G5364,""/""),,2),INDEX(SPLIT(G5364,""/""),,1))"),44763.0)</f>
        <v>44763</v>
      </c>
      <c r="I5364" s="1" t="s">
        <v>894</v>
      </c>
      <c r="J5364" s="4">
        <f>IFERROR(__xludf.DUMMYFUNCTION("DATE(INDEX(SPLIT(I5364,""/""),,3),INDEX(SPLIT(I5364,""/""),,2),INDEX(SPLIT(I5364,""/""),,1))"),45322.0)</f>
        <v>45322</v>
      </c>
      <c r="L5364" s="1">
        <v>0.0</v>
      </c>
      <c r="M5364" s="1" t="s">
        <v>5017</v>
      </c>
      <c r="N5364" s="1"/>
      <c r="O5364" s="1" t="s">
        <v>30</v>
      </c>
      <c r="P5364" s="1" t="s">
        <v>31</v>
      </c>
      <c r="Q5364" s="1" t="s">
        <v>228</v>
      </c>
      <c r="R5364" s="1" t="s">
        <v>228</v>
      </c>
      <c r="S5364" s="1" t="s">
        <v>229</v>
      </c>
      <c r="U5364" s="1">
        <v>1.00620023E8</v>
      </c>
      <c r="X5364" s="1" t="s">
        <v>254</v>
      </c>
      <c r="Y5364" s="1" t="s">
        <v>14890</v>
      </c>
      <c r="Z5364" s="1" t="s">
        <v>37</v>
      </c>
    </row>
    <row r="5365" hidden="1">
      <c r="A5365" s="1" t="s">
        <v>14891</v>
      </c>
      <c r="B5365" s="1" t="s">
        <v>14892</v>
      </c>
      <c r="C5365" s="1" t="s">
        <v>14893</v>
      </c>
      <c r="D5365" s="1" t="s">
        <v>122</v>
      </c>
      <c r="E5365" s="1" t="s">
        <v>28</v>
      </c>
      <c r="F5365" s="2">
        <v>45000.0</v>
      </c>
      <c r="G5365" s="1" t="s">
        <v>5115</v>
      </c>
      <c r="H5365" s="4">
        <f>IFERROR(__xludf.DUMMYFUNCTION("DATE(INDEX(SPLIT(G5365,""/""),,3),INDEX(SPLIT(G5365,""/""),,2),INDEX(SPLIT(G5365,""/""),,1))"),44530.0)</f>
        <v>44530</v>
      </c>
      <c r="I5365" s="4">
        <v>44569.0</v>
      </c>
      <c r="J5365" s="4">
        <f>IFERROR(__xludf.DUMMYFUNCTION("DATE(INDEX(SPLIT(I5365,""/""),,3),INDEX(SPLIT(I5365,""/""),,2),INDEX(SPLIT(I5365,""/""),,1))"),44774.0)</f>
        <v>44774</v>
      </c>
      <c r="L5365" s="1">
        <v>0.0</v>
      </c>
      <c r="M5365" s="1" t="s">
        <v>7725</v>
      </c>
      <c r="N5365" s="1"/>
      <c r="O5365" s="1" t="s">
        <v>30</v>
      </c>
      <c r="P5365" s="1" t="s">
        <v>31</v>
      </c>
      <c r="Q5365" s="1" t="s">
        <v>157</v>
      </c>
      <c r="R5365" s="1" t="s">
        <v>157</v>
      </c>
      <c r="S5365" s="1" t="s">
        <v>158</v>
      </c>
      <c r="U5365" s="1">
        <v>1.0065252E8</v>
      </c>
      <c r="X5365" s="1" t="s">
        <v>254</v>
      </c>
      <c r="Y5365" s="1" t="s">
        <v>7725</v>
      </c>
      <c r="Z5365" s="1" t="s">
        <v>527</v>
      </c>
    </row>
    <row r="5366">
      <c r="A5366" s="1" t="s">
        <v>14894</v>
      </c>
      <c r="B5366" s="1" t="s">
        <v>14895</v>
      </c>
      <c r="C5366" s="1" t="s">
        <v>14896</v>
      </c>
      <c r="D5366" s="1" t="s">
        <v>27</v>
      </c>
      <c r="E5366" s="1" t="s">
        <v>28</v>
      </c>
      <c r="F5366" s="2">
        <v>45000.0</v>
      </c>
      <c r="G5366" s="1" t="s">
        <v>2673</v>
      </c>
      <c r="H5366" s="4">
        <f>IFERROR(__xludf.DUMMYFUNCTION("DATE(INDEX(SPLIT(G5366,""/""),,3),INDEX(SPLIT(G5366,""/""),,2),INDEX(SPLIT(G5366,""/""),,1))"),43760.0)</f>
        <v>43760</v>
      </c>
      <c r="I5366" s="1" t="s">
        <v>226</v>
      </c>
      <c r="J5366" s="4">
        <f>IFERROR(__xludf.DUMMYFUNCTION("DATE(INDEX(SPLIT(I5366,""/""),,3),INDEX(SPLIT(I5366,""/""),,2),INDEX(SPLIT(I5366,""/""),,1))"),44771.0)</f>
        <v>44771</v>
      </c>
      <c r="L5366" s="1">
        <v>0.0</v>
      </c>
      <c r="M5366" s="1" t="s">
        <v>2696</v>
      </c>
      <c r="N5366" s="1"/>
      <c r="O5366" s="1" t="s">
        <v>30</v>
      </c>
      <c r="P5366" s="1" t="s">
        <v>31</v>
      </c>
      <c r="Q5366" s="1" t="s">
        <v>157</v>
      </c>
      <c r="R5366" s="1" t="s">
        <v>157</v>
      </c>
      <c r="S5366" s="1" t="s">
        <v>158</v>
      </c>
      <c r="T5366" s="1" t="s">
        <v>8712</v>
      </c>
      <c r="U5366" s="1">
        <v>1.00611351E8</v>
      </c>
      <c r="X5366" s="1" t="s">
        <v>375</v>
      </c>
      <c r="Y5366" s="1" t="s">
        <v>3016</v>
      </c>
      <c r="Z5366" s="1" t="s">
        <v>37</v>
      </c>
    </row>
    <row r="5367">
      <c r="A5367" s="1" t="s">
        <v>14897</v>
      </c>
      <c r="B5367" s="1" t="s">
        <v>14898</v>
      </c>
      <c r="C5367" s="1" t="s">
        <v>14899</v>
      </c>
      <c r="D5367" s="1" t="s">
        <v>78</v>
      </c>
      <c r="E5367" s="1" t="s">
        <v>28</v>
      </c>
      <c r="F5367" s="2">
        <v>45000.0</v>
      </c>
      <c r="G5367" s="1" t="s">
        <v>2324</v>
      </c>
      <c r="H5367" s="4">
        <f>IFERROR(__xludf.DUMMYFUNCTION("DATE(INDEX(SPLIT(G5367,""/""),,3),INDEX(SPLIT(G5367,""/""),,2),INDEX(SPLIT(G5367,""/""),,1))"),44705.0)</f>
        <v>44705</v>
      </c>
      <c r="I5367" s="1" t="s">
        <v>1244</v>
      </c>
      <c r="J5367" s="4">
        <f>IFERROR(__xludf.DUMMYFUNCTION("DATE(INDEX(SPLIT(I5367,""/""),,3),INDEX(SPLIT(I5367,""/""),,2),INDEX(SPLIT(I5367,""/""),,1))"),44742.0)</f>
        <v>44742</v>
      </c>
      <c r="L5367" s="1">
        <v>0.0</v>
      </c>
      <c r="M5367" s="1" t="s">
        <v>6045</v>
      </c>
      <c r="N5367" s="1"/>
      <c r="O5367" s="1" t="s">
        <v>30</v>
      </c>
      <c r="P5367" s="1" t="s">
        <v>31</v>
      </c>
      <c r="Q5367" s="1" t="s">
        <v>228</v>
      </c>
      <c r="R5367" s="1" t="s">
        <v>228</v>
      </c>
      <c r="S5367" s="1" t="s">
        <v>229</v>
      </c>
      <c r="T5367" s="1" t="s">
        <v>513</v>
      </c>
      <c r="U5367" s="1">
        <v>1.00652479E8</v>
      </c>
      <c r="X5367" s="1" t="s">
        <v>63</v>
      </c>
      <c r="Y5367" s="1" t="s">
        <v>5688</v>
      </c>
      <c r="Z5367" s="1" t="s">
        <v>37</v>
      </c>
    </row>
    <row r="5368">
      <c r="A5368" s="1" t="s">
        <v>14900</v>
      </c>
      <c r="B5368" s="1" t="s">
        <v>14901</v>
      </c>
      <c r="C5368" s="1" t="s">
        <v>14902</v>
      </c>
      <c r="D5368" s="1" t="s">
        <v>27</v>
      </c>
      <c r="E5368" s="1" t="s">
        <v>28</v>
      </c>
      <c r="F5368" s="2">
        <v>45000.0</v>
      </c>
      <c r="G5368" s="4">
        <v>44749.0</v>
      </c>
      <c r="H5368" s="4">
        <f>IFERROR(__xludf.DUMMYFUNCTION("DATE(INDEX(SPLIT(G5368,""/""),,3),INDEX(SPLIT(G5368,""/""),,2),INDEX(SPLIT(G5368,""/""),,1))"),44749.0)</f>
        <v>44749</v>
      </c>
      <c r="I5368" s="1" t="s">
        <v>472</v>
      </c>
      <c r="J5368" s="4">
        <f>IFERROR(__xludf.DUMMYFUNCTION("DATE(INDEX(SPLIT(I5368,""/""),,3),INDEX(SPLIT(I5368,""/""),,2),INDEX(SPLIT(I5368,""/""),,1))"),44760.0)</f>
        <v>44760</v>
      </c>
      <c r="L5368" s="1">
        <v>0.0</v>
      </c>
      <c r="M5368" s="1" t="s">
        <v>6045</v>
      </c>
      <c r="N5368" s="1"/>
      <c r="O5368" s="1" t="s">
        <v>30</v>
      </c>
      <c r="P5368" s="1" t="s">
        <v>31</v>
      </c>
      <c r="Q5368" s="1" t="s">
        <v>228</v>
      </c>
      <c r="R5368" s="1" t="s">
        <v>228</v>
      </c>
      <c r="S5368" s="1" t="s">
        <v>229</v>
      </c>
      <c r="T5368" s="1" t="s">
        <v>513</v>
      </c>
      <c r="U5368" s="1">
        <v>1.00652479E8</v>
      </c>
      <c r="X5368" s="1" t="s">
        <v>254</v>
      </c>
      <c r="Y5368" s="1" t="s">
        <v>11181</v>
      </c>
      <c r="Z5368" s="1" t="s">
        <v>37</v>
      </c>
    </row>
    <row r="5369">
      <c r="A5369" s="1" t="s">
        <v>14903</v>
      </c>
      <c r="B5369" s="1" t="s">
        <v>14904</v>
      </c>
      <c r="C5369" s="1" t="s">
        <v>11068</v>
      </c>
      <c r="D5369" s="1" t="s">
        <v>122</v>
      </c>
      <c r="E5369" s="1" t="s">
        <v>28</v>
      </c>
      <c r="F5369" s="2">
        <v>45000.0</v>
      </c>
      <c r="G5369" s="1" t="s">
        <v>2572</v>
      </c>
      <c r="H5369" s="4">
        <f>IFERROR(__xludf.DUMMYFUNCTION("DATE(INDEX(SPLIT(G5369,""/""),,3),INDEX(SPLIT(G5369,""/""),,2),INDEX(SPLIT(G5369,""/""),,1))"),44581.0)</f>
        <v>44581</v>
      </c>
      <c r="I5369" s="1" t="s">
        <v>69</v>
      </c>
      <c r="J5369" s="4">
        <f>IFERROR(__xludf.DUMMYFUNCTION("DATE(INDEX(SPLIT(I5369,""/""),,3),INDEX(SPLIT(I5369,""/""),,2),INDEX(SPLIT(I5369,""/""),,1))"),44773.0)</f>
        <v>44773</v>
      </c>
      <c r="L5369" s="1">
        <v>0.0</v>
      </c>
      <c r="M5369" s="1" t="s">
        <v>10697</v>
      </c>
      <c r="N5369" s="1"/>
      <c r="O5369" s="1" t="s">
        <v>30</v>
      </c>
      <c r="P5369" s="1" t="s">
        <v>31</v>
      </c>
      <c r="Q5369" s="1" t="s">
        <v>228</v>
      </c>
      <c r="R5369" s="1" t="s">
        <v>228</v>
      </c>
      <c r="S5369" s="1" t="s">
        <v>229</v>
      </c>
      <c r="T5369" s="1" t="s">
        <v>513</v>
      </c>
      <c r="U5369" s="1">
        <v>1.00612201E8</v>
      </c>
      <c r="X5369" s="1" t="s">
        <v>239</v>
      </c>
      <c r="Y5369" s="1" t="s">
        <v>10576</v>
      </c>
      <c r="Z5369" s="1" t="s">
        <v>37</v>
      </c>
    </row>
    <row r="5370" hidden="1">
      <c r="A5370" s="1" t="s">
        <v>14905</v>
      </c>
      <c r="B5370" s="1" t="s">
        <v>120</v>
      </c>
      <c r="C5370" s="1" t="s">
        <v>14906</v>
      </c>
      <c r="D5370" s="1" t="s">
        <v>122</v>
      </c>
      <c r="E5370" s="1" t="s">
        <v>28</v>
      </c>
      <c r="F5370" s="2">
        <v>45000.0</v>
      </c>
      <c r="G5370" s="1" t="s">
        <v>472</v>
      </c>
      <c r="H5370" s="4">
        <f>IFERROR(__xludf.DUMMYFUNCTION("DATE(INDEX(SPLIT(G5370,""/""),,3),INDEX(SPLIT(G5370,""/""),,2),INDEX(SPLIT(G5370,""/""),,1))"),44760.0)</f>
        <v>44760</v>
      </c>
      <c r="I5370" s="1" t="s">
        <v>203</v>
      </c>
      <c r="J5370" s="4">
        <f>IFERROR(__xludf.DUMMYFUNCTION("DATE(INDEX(SPLIT(I5370,""/""),,3),INDEX(SPLIT(I5370,""/""),,2),INDEX(SPLIT(I5370,""/""),,1))"),44925.0)</f>
        <v>44925</v>
      </c>
      <c r="L5370" s="1">
        <v>0.0</v>
      </c>
      <c r="M5370" s="1" t="s">
        <v>6795</v>
      </c>
      <c r="N5370" s="1"/>
      <c r="O5370" s="1" t="s">
        <v>30</v>
      </c>
      <c r="P5370" s="1" t="s">
        <v>31</v>
      </c>
      <c r="Q5370" s="1" t="s">
        <v>228</v>
      </c>
      <c r="R5370" s="1" t="s">
        <v>228</v>
      </c>
      <c r="S5370" s="1" t="s">
        <v>229</v>
      </c>
      <c r="U5370" s="1">
        <v>1.00630003E8</v>
      </c>
      <c r="X5370" s="1" t="s">
        <v>125</v>
      </c>
      <c r="Y5370" s="1" t="s">
        <v>14907</v>
      </c>
      <c r="Z5370" s="1" t="s">
        <v>37</v>
      </c>
    </row>
    <row r="5371" hidden="1">
      <c r="A5371" s="1" t="s">
        <v>14908</v>
      </c>
      <c r="B5371" s="1" t="s">
        <v>5260</v>
      </c>
      <c r="C5371" s="1" t="s">
        <v>14909</v>
      </c>
      <c r="D5371" s="1" t="s">
        <v>78</v>
      </c>
      <c r="E5371" s="1" t="s">
        <v>28</v>
      </c>
      <c r="F5371" s="2">
        <v>45000.0</v>
      </c>
      <c r="G5371" s="1" t="s">
        <v>935</v>
      </c>
      <c r="H5371" s="4">
        <f>IFERROR(__xludf.DUMMYFUNCTION("DATE(INDEX(SPLIT(G5371,""/""),,3),INDEX(SPLIT(G5371,""/""),,2),INDEX(SPLIT(G5371,""/""),,1))"),44764.0)</f>
        <v>44764</v>
      </c>
      <c r="I5371" s="1" t="s">
        <v>109</v>
      </c>
      <c r="J5371" s="4">
        <f>IFERROR(__xludf.DUMMYFUNCTION("DATE(INDEX(SPLIT(I5371,""/""),,3),INDEX(SPLIT(I5371,""/""),,2),INDEX(SPLIT(I5371,""/""),,1))"),44834.0)</f>
        <v>44834</v>
      </c>
      <c r="L5371" s="1">
        <v>0.0</v>
      </c>
      <c r="M5371" s="1" t="s">
        <v>2592</v>
      </c>
      <c r="N5371" s="1"/>
      <c r="O5371" s="1" t="s">
        <v>30</v>
      </c>
      <c r="P5371" s="1" t="s">
        <v>31</v>
      </c>
      <c r="Q5371" s="1" t="s">
        <v>71</v>
      </c>
      <c r="R5371" s="1" t="s">
        <v>71</v>
      </c>
      <c r="S5371" s="1" t="s">
        <v>72</v>
      </c>
      <c r="T5371" s="1" t="s">
        <v>136</v>
      </c>
      <c r="U5371" s="1">
        <v>1.00586452E8</v>
      </c>
      <c r="X5371" s="1" t="s">
        <v>74</v>
      </c>
      <c r="Y5371" s="1" t="s">
        <v>2593</v>
      </c>
      <c r="Z5371" s="1" t="s">
        <v>37</v>
      </c>
    </row>
    <row r="5372" hidden="1">
      <c r="A5372" s="1" t="s">
        <v>14910</v>
      </c>
      <c r="B5372" s="1" t="s">
        <v>14265</v>
      </c>
      <c r="C5372" s="1" t="s">
        <v>14911</v>
      </c>
      <c r="D5372" s="1" t="s">
        <v>27</v>
      </c>
      <c r="E5372" s="1" t="s">
        <v>28</v>
      </c>
      <c r="F5372" s="2">
        <v>45000.0</v>
      </c>
      <c r="G5372" s="1" t="s">
        <v>935</v>
      </c>
      <c r="H5372" s="4">
        <f>IFERROR(__xludf.DUMMYFUNCTION("DATE(INDEX(SPLIT(G5372,""/""),,3),INDEX(SPLIT(G5372,""/""),,2),INDEX(SPLIT(G5372,""/""),,1))"),44764.0)</f>
        <v>44764</v>
      </c>
      <c r="I5372" s="1" t="s">
        <v>360</v>
      </c>
      <c r="J5372" s="4">
        <f>IFERROR(__xludf.DUMMYFUNCTION("DATE(INDEX(SPLIT(I5372,""/""),,3),INDEX(SPLIT(I5372,""/""),,2),INDEX(SPLIT(I5372,""/""),,1))"),44895.0)</f>
        <v>44895</v>
      </c>
      <c r="L5372" s="1">
        <v>0.0</v>
      </c>
      <c r="M5372" s="1" t="s">
        <v>2592</v>
      </c>
      <c r="N5372" s="1"/>
      <c r="O5372" s="1" t="s">
        <v>30</v>
      </c>
      <c r="P5372" s="1" t="s">
        <v>31</v>
      </c>
      <c r="Q5372" s="1" t="s">
        <v>71</v>
      </c>
      <c r="R5372" s="1" t="s">
        <v>71</v>
      </c>
      <c r="S5372" s="1" t="s">
        <v>72</v>
      </c>
      <c r="T5372" s="1" t="s">
        <v>136</v>
      </c>
      <c r="U5372" s="1">
        <v>1.00586452E8</v>
      </c>
      <c r="X5372" s="1" t="s">
        <v>74</v>
      </c>
      <c r="Y5372" s="1" t="s">
        <v>2593</v>
      </c>
      <c r="Z5372" s="1" t="s">
        <v>37</v>
      </c>
    </row>
    <row r="5373" hidden="1">
      <c r="A5373" s="1" t="s">
        <v>14912</v>
      </c>
      <c r="B5373" s="1" t="s">
        <v>954</v>
      </c>
      <c r="C5373" s="1" t="s">
        <v>14913</v>
      </c>
      <c r="D5373" s="1" t="s">
        <v>27</v>
      </c>
      <c r="E5373" s="1" t="s">
        <v>28</v>
      </c>
      <c r="F5373" s="2">
        <v>43500.0</v>
      </c>
      <c r="G5373" s="4">
        <v>44599.0</v>
      </c>
      <c r="H5373" s="4">
        <f>IFERROR(__xludf.DUMMYFUNCTION("DATE(INDEX(SPLIT(G5373,""/""),,3),INDEX(SPLIT(G5373,""/""),,2),INDEX(SPLIT(G5373,""/""),,1))"),44744.0)</f>
        <v>44744</v>
      </c>
      <c r="I5373" s="1" t="s">
        <v>1097</v>
      </c>
      <c r="J5373" s="4">
        <f>IFERROR(__xludf.DUMMYFUNCTION("DATE(INDEX(SPLIT(I5373,""/""),,3),INDEX(SPLIT(I5373,""/""),,2),INDEX(SPLIT(I5373,""/""),,1))"),45107.0)</f>
        <v>45107</v>
      </c>
      <c r="L5373" s="1">
        <v>0.0</v>
      </c>
      <c r="M5373" s="1" t="s">
        <v>12039</v>
      </c>
      <c r="N5373" s="1"/>
      <c r="O5373" s="1" t="s">
        <v>30</v>
      </c>
      <c r="P5373" s="1" t="s">
        <v>31</v>
      </c>
      <c r="Q5373" s="1" t="s">
        <v>228</v>
      </c>
      <c r="R5373" s="1" t="s">
        <v>228</v>
      </c>
      <c r="S5373" s="1" t="s">
        <v>229</v>
      </c>
      <c r="T5373" s="1" t="s">
        <v>513</v>
      </c>
      <c r="U5373" s="1">
        <v>1.00612509E8</v>
      </c>
      <c r="X5373" s="1" t="s">
        <v>74</v>
      </c>
      <c r="Y5373" s="1" t="s">
        <v>12640</v>
      </c>
      <c r="Z5373" s="1" t="s">
        <v>37</v>
      </c>
    </row>
    <row r="5374" hidden="1">
      <c r="A5374" s="1" t="s">
        <v>14914</v>
      </c>
      <c r="B5374" s="1" t="s">
        <v>14915</v>
      </c>
      <c r="C5374" s="1" t="s">
        <v>14916</v>
      </c>
      <c r="D5374" s="1" t="s">
        <v>122</v>
      </c>
      <c r="E5374" s="1" t="s">
        <v>28</v>
      </c>
      <c r="F5374" s="2">
        <v>42500.0</v>
      </c>
      <c r="G5374" s="1" t="s">
        <v>935</v>
      </c>
      <c r="H5374" s="4">
        <f>IFERROR(__xludf.DUMMYFUNCTION("DATE(INDEX(SPLIT(G5374,""/""),,3),INDEX(SPLIT(G5374,""/""),,2),INDEX(SPLIT(G5374,""/""),,1))"),44764.0)</f>
        <v>44764</v>
      </c>
      <c r="I5374" s="1" t="s">
        <v>130</v>
      </c>
      <c r="J5374" s="4">
        <f>IFERROR(__xludf.DUMMYFUNCTION("DATE(INDEX(SPLIT(I5374,""/""),,3),INDEX(SPLIT(I5374,""/""),,2),INDEX(SPLIT(I5374,""/""),,1))"),44804.0)</f>
        <v>44804</v>
      </c>
      <c r="L5374" s="1">
        <v>0.0</v>
      </c>
      <c r="M5374" s="1" t="s">
        <v>6045</v>
      </c>
      <c r="N5374" s="1"/>
      <c r="O5374" s="1" t="s">
        <v>30</v>
      </c>
      <c r="P5374" s="1" t="s">
        <v>31</v>
      </c>
      <c r="Q5374" s="1" t="s">
        <v>228</v>
      </c>
      <c r="R5374" s="1" t="s">
        <v>228</v>
      </c>
      <c r="S5374" s="1" t="s">
        <v>229</v>
      </c>
      <c r="T5374" s="1" t="s">
        <v>513</v>
      </c>
      <c r="U5374" s="1">
        <v>1.00652479E8</v>
      </c>
      <c r="X5374" s="1" t="s">
        <v>375</v>
      </c>
      <c r="Y5374" s="1" t="s">
        <v>11076</v>
      </c>
      <c r="Z5374" s="1" t="s">
        <v>37</v>
      </c>
    </row>
    <row r="5375" hidden="1">
      <c r="A5375" s="1" t="s">
        <v>14917</v>
      </c>
      <c r="B5375" s="1" t="s">
        <v>1086</v>
      </c>
      <c r="C5375" s="1" t="s">
        <v>14918</v>
      </c>
      <c r="D5375" s="1" t="s">
        <v>78</v>
      </c>
      <c r="E5375" s="1" t="s">
        <v>28</v>
      </c>
      <c r="F5375" s="2">
        <v>42000.0</v>
      </c>
      <c r="G5375" s="4">
        <v>44116.0</v>
      </c>
      <c r="H5375" s="4">
        <f>IFERROR(__xludf.DUMMYFUNCTION("DATE(INDEX(SPLIT(G5375,""/""),,3),INDEX(SPLIT(G5375,""/""),,2),INDEX(SPLIT(G5375,""/""),,1))"),44175.0)</f>
        <v>44175</v>
      </c>
      <c r="I5375" s="1" t="s">
        <v>42</v>
      </c>
      <c r="J5375" s="4">
        <f>IFERROR(__xludf.DUMMYFUNCTION("DATE(INDEX(SPLIT(I5375,""/""),,3),INDEX(SPLIT(I5375,""/""),,2),INDEX(SPLIT(I5375,""/""),,1))"),44926.0)</f>
        <v>44926</v>
      </c>
      <c r="K5375" s="1" t="s">
        <v>14919</v>
      </c>
      <c r="L5375" s="1">
        <v>0.0</v>
      </c>
      <c r="M5375" s="1" t="s">
        <v>1745</v>
      </c>
      <c r="N5375" s="1"/>
      <c r="O5375" s="1" t="s">
        <v>30</v>
      </c>
      <c r="P5375" s="1" t="s">
        <v>31</v>
      </c>
      <c r="Q5375" s="1" t="s">
        <v>71</v>
      </c>
      <c r="R5375" s="1" t="s">
        <v>71</v>
      </c>
      <c r="S5375" s="1" t="s">
        <v>72</v>
      </c>
      <c r="T5375" s="1" t="s">
        <v>136</v>
      </c>
      <c r="U5375" s="1">
        <v>1.00582847E8</v>
      </c>
      <c r="X5375" s="1" t="s">
        <v>74</v>
      </c>
      <c r="Y5375" s="1" t="s">
        <v>1745</v>
      </c>
      <c r="Z5375" s="1" t="s">
        <v>37</v>
      </c>
    </row>
    <row r="5376" hidden="1">
      <c r="A5376" s="1" t="s">
        <v>14920</v>
      </c>
      <c r="B5376" s="1" t="s">
        <v>11325</v>
      </c>
      <c r="C5376" s="1" t="s">
        <v>14921</v>
      </c>
      <c r="D5376" s="1" t="s">
        <v>78</v>
      </c>
      <c r="E5376" s="1" t="s">
        <v>28</v>
      </c>
      <c r="F5376" s="2">
        <v>41650.0</v>
      </c>
      <c r="G5376" s="4">
        <v>44685.0</v>
      </c>
      <c r="H5376" s="4">
        <f>IFERROR(__xludf.DUMMYFUNCTION("DATE(INDEX(SPLIT(G5376,""/""),,3),INDEX(SPLIT(G5376,""/""),,2),INDEX(SPLIT(G5376,""/""),,1))"),44656.0)</f>
        <v>44656</v>
      </c>
      <c r="I5376" s="1" t="s">
        <v>42</v>
      </c>
      <c r="J5376" s="4">
        <f>IFERROR(__xludf.DUMMYFUNCTION("DATE(INDEX(SPLIT(I5376,""/""),,3),INDEX(SPLIT(I5376,""/""),,2),INDEX(SPLIT(I5376,""/""),,1))"),44926.0)</f>
        <v>44926</v>
      </c>
      <c r="L5376" s="1">
        <v>0.0</v>
      </c>
      <c r="M5376" s="1" t="s">
        <v>11254</v>
      </c>
      <c r="N5376" s="1"/>
      <c r="O5376" s="1" t="s">
        <v>30</v>
      </c>
      <c r="P5376" s="1" t="s">
        <v>31</v>
      </c>
      <c r="Q5376" s="1" t="s">
        <v>228</v>
      </c>
      <c r="R5376" s="1" t="s">
        <v>228</v>
      </c>
      <c r="S5376" s="1" t="s">
        <v>229</v>
      </c>
      <c r="T5376" s="1" t="s">
        <v>513</v>
      </c>
      <c r="U5376" s="1">
        <v>1.00602248E8</v>
      </c>
      <c r="X5376" s="1" t="s">
        <v>74</v>
      </c>
      <c r="Y5376" s="1" t="s">
        <v>12640</v>
      </c>
      <c r="Z5376" s="1" t="s">
        <v>37</v>
      </c>
    </row>
    <row r="5377" hidden="1">
      <c r="A5377" s="1" t="s">
        <v>14922</v>
      </c>
      <c r="B5377" s="1" t="s">
        <v>5699</v>
      </c>
      <c r="C5377" s="1" t="s">
        <v>14923</v>
      </c>
      <c r="D5377" s="1" t="s">
        <v>122</v>
      </c>
      <c r="E5377" s="1" t="s">
        <v>28</v>
      </c>
      <c r="F5377" s="2">
        <v>41650.0</v>
      </c>
      <c r="G5377" s="4">
        <v>44807.0</v>
      </c>
      <c r="H5377" s="4">
        <f>IFERROR(__xludf.DUMMYFUNCTION("DATE(INDEX(SPLIT(G5377,""/""),,3),INDEX(SPLIT(G5377,""/""),,2),INDEX(SPLIT(G5377,""/""),,1))"),44629.0)</f>
        <v>44629</v>
      </c>
      <c r="I5377" s="1" t="s">
        <v>130</v>
      </c>
      <c r="J5377" s="4">
        <f>IFERROR(__xludf.DUMMYFUNCTION("DATE(INDEX(SPLIT(I5377,""/""),,3),INDEX(SPLIT(I5377,""/""),,2),INDEX(SPLIT(I5377,""/""),,1))"),44804.0)</f>
        <v>44804</v>
      </c>
      <c r="L5377" s="1">
        <v>0.0</v>
      </c>
      <c r="M5377" s="1" t="s">
        <v>11254</v>
      </c>
      <c r="N5377" s="1"/>
      <c r="O5377" s="1" t="s">
        <v>30</v>
      </c>
      <c r="P5377" s="1" t="s">
        <v>31</v>
      </c>
      <c r="Q5377" s="1" t="s">
        <v>228</v>
      </c>
      <c r="R5377" s="1" t="s">
        <v>228</v>
      </c>
      <c r="S5377" s="1" t="s">
        <v>229</v>
      </c>
      <c r="T5377" s="1" t="s">
        <v>14924</v>
      </c>
      <c r="U5377" s="1">
        <v>1.00602248E8</v>
      </c>
      <c r="X5377" s="1" t="s">
        <v>490</v>
      </c>
      <c r="Y5377" s="1" t="s">
        <v>13638</v>
      </c>
      <c r="Z5377" s="1" t="s">
        <v>37</v>
      </c>
    </row>
    <row r="5378" hidden="1">
      <c r="A5378" s="1" t="s">
        <v>14925</v>
      </c>
      <c r="B5378" s="1" t="s">
        <v>14926</v>
      </c>
      <c r="C5378" s="1" t="s">
        <v>14927</v>
      </c>
      <c r="D5378" s="1" t="s">
        <v>122</v>
      </c>
      <c r="E5378" s="1" t="s">
        <v>28</v>
      </c>
      <c r="F5378" s="2">
        <v>41650.0</v>
      </c>
      <c r="G5378" s="1" t="s">
        <v>418</v>
      </c>
      <c r="H5378" s="4">
        <f>IFERROR(__xludf.DUMMYFUNCTION("DATE(INDEX(SPLIT(G5378,""/""),,3),INDEX(SPLIT(G5378,""/""),,2),INDEX(SPLIT(G5378,""/""),,1))"),44755.0)</f>
        <v>44755</v>
      </c>
      <c r="I5378" s="1" t="s">
        <v>109</v>
      </c>
      <c r="J5378" s="4">
        <f>IFERROR(__xludf.DUMMYFUNCTION("DATE(INDEX(SPLIT(I5378,""/""),,3),INDEX(SPLIT(I5378,""/""),,2),INDEX(SPLIT(I5378,""/""),,1))"),44834.0)</f>
        <v>44834</v>
      </c>
      <c r="L5378" s="1">
        <v>0.0</v>
      </c>
      <c r="M5378" s="1" t="s">
        <v>11254</v>
      </c>
      <c r="N5378" s="1"/>
      <c r="O5378" s="1" t="s">
        <v>30</v>
      </c>
      <c r="P5378" s="1" t="s">
        <v>31</v>
      </c>
      <c r="Q5378" s="1" t="s">
        <v>228</v>
      </c>
      <c r="R5378" s="1" t="s">
        <v>228</v>
      </c>
      <c r="S5378" s="1" t="s">
        <v>229</v>
      </c>
      <c r="T5378" s="1" t="s">
        <v>14928</v>
      </c>
      <c r="U5378" s="1">
        <v>1.00602248E8</v>
      </c>
      <c r="X5378" s="1" t="s">
        <v>74</v>
      </c>
      <c r="Y5378" s="1" t="s">
        <v>13638</v>
      </c>
      <c r="Z5378" s="1" t="s">
        <v>37</v>
      </c>
    </row>
    <row r="5379">
      <c r="A5379" s="1" t="s">
        <v>14929</v>
      </c>
      <c r="B5379" s="1" t="s">
        <v>14930</v>
      </c>
      <c r="C5379" s="1" t="s">
        <v>14931</v>
      </c>
      <c r="D5379" s="1" t="s">
        <v>27</v>
      </c>
      <c r="E5379" s="1" t="s">
        <v>28</v>
      </c>
      <c r="F5379" s="2">
        <v>41650.0</v>
      </c>
      <c r="G5379" s="4">
        <v>44599.0</v>
      </c>
      <c r="H5379" s="4">
        <f>IFERROR(__xludf.DUMMYFUNCTION("DATE(INDEX(SPLIT(G5379,""/""),,3),INDEX(SPLIT(G5379,""/""),,2),INDEX(SPLIT(G5379,""/""),,1))"),44744.0)</f>
        <v>44744</v>
      </c>
      <c r="I5379" s="1" t="s">
        <v>414</v>
      </c>
      <c r="J5379" s="4">
        <f>IFERROR(__xludf.DUMMYFUNCTION("DATE(INDEX(SPLIT(I5379,""/""),,3),INDEX(SPLIT(I5379,""/""),,2),INDEX(SPLIT(I5379,""/""),,1))"),44772.0)</f>
        <v>44772</v>
      </c>
      <c r="L5379" s="1">
        <v>0.0</v>
      </c>
      <c r="M5379" s="1" t="s">
        <v>11254</v>
      </c>
      <c r="N5379" s="1"/>
      <c r="O5379" s="1" t="s">
        <v>30</v>
      </c>
      <c r="P5379" s="1" t="s">
        <v>31</v>
      </c>
      <c r="Q5379" s="1" t="s">
        <v>228</v>
      </c>
      <c r="R5379" s="1" t="s">
        <v>228</v>
      </c>
      <c r="S5379" s="1" t="s">
        <v>229</v>
      </c>
      <c r="T5379" s="1" t="s">
        <v>513</v>
      </c>
      <c r="U5379" s="1">
        <v>1.00602248E8</v>
      </c>
      <c r="X5379" s="1" t="s">
        <v>74</v>
      </c>
      <c r="Y5379" s="1" t="s">
        <v>14932</v>
      </c>
      <c r="Z5379" s="1" t="s">
        <v>37</v>
      </c>
    </row>
    <row r="5380" hidden="1">
      <c r="A5380" s="1" t="s">
        <v>14933</v>
      </c>
      <c r="B5380" s="1" t="s">
        <v>120</v>
      </c>
      <c r="C5380" s="1" t="s">
        <v>12099</v>
      </c>
      <c r="D5380" s="1" t="s">
        <v>78</v>
      </c>
      <c r="E5380" s="1" t="s">
        <v>28</v>
      </c>
      <c r="F5380" s="2">
        <v>40000.0</v>
      </c>
      <c r="G5380" s="1" t="s">
        <v>7169</v>
      </c>
      <c r="H5380" s="4">
        <f>IFERROR(__xludf.DUMMYFUNCTION("DATE(INDEX(SPLIT(G5380,""/""),,3),INDEX(SPLIT(G5380,""/""),,2),INDEX(SPLIT(G5380,""/""),,1))"),43998.0)</f>
        <v>43998</v>
      </c>
      <c r="I5380" s="4">
        <v>44571.0</v>
      </c>
      <c r="J5380" s="4">
        <f>IFERROR(__xludf.DUMMYFUNCTION("DATE(INDEX(SPLIT(I5380,""/""),,3),INDEX(SPLIT(I5380,""/""),,2),INDEX(SPLIT(I5380,""/""),,1))"),44835.0)</f>
        <v>44835</v>
      </c>
      <c r="L5380" s="1">
        <v>0.0</v>
      </c>
      <c r="M5380" s="1" t="s">
        <v>3133</v>
      </c>
      <c r="N5380" s="1"/>
      <c r="O5380" s="1" t="s">
        <v>30</v>
      </c>
      <c r="P5380" s="1" t="s">
        <v>31</v>
      </c>
      <c r="Q5380" s="1" t="s">
        <v>228</v>
      </c>
      <c r="R5380" s="1" t="s">
        <v>228</v>
      </c>
      <c r="S5380" s="1" t="s">
        <v>229</v>
      </c>
      <c r="T5380" s="1" t="s">
        <v>505</v>
      </c>
      <c r="U5380" s="1">
        <v>1.00611158E8</v>
      </c>
      <c r="X5380" s="1" t="s">
        <v>125</v>
      </c>
      <c r="Y5380" s="1" t="s">
        <v>14662</v>
      </c>
      <c r="Z5380" s="1" t="s">
        <v>37</v>
      </c>
    </row>
    <row r="5381" hidden="1">
      <c r="A5381" s="1" t="s">
        <v>14934</v>
      </c>
      <c r="B5381" s="1" t="s">
        <v>4421</v>
      </c>
      <c r="C5381" s="1" t="s">
        <v>14935</v>
      </c>
      <c r="D5381" s="1" t="s">
        <v>122</v>
      </c>
      <c r="E5381" s="1" t="s">
        <v>28</v>
      </c>
      <c r="F5381" s="2">
        <v>40000.0</v>
      </c>
      <c r="G5381" s="4">
        <v>44810.0</v>
      </c>
      <c r="H5381" s="4">
        <f>IFERROR(__xludf.DUMMYFUNCTION("DATE(INDEX(SPLIT(G5381,""/""),,3),INDEX(SPLIT(G5381,""/""),,2),INDEX(SPLIT(G5381,""/""),,1))"),44721.0)</f>
        <v>44721</v>
      </c>
      <c r="I5381" s="4">
        <v>44569.0</v>
      </c>
      <c r="J5381" s="4">
        <f>IFERROR(__xludf.DUMMYFUNCTION("DATE(INDEX(SPLIT(I5381,""/""),,3),INDEX(SPLIT(I5381,""/""),,2),INDEX(SPLIT(I5381,""/""),,1))"),44774.0)</f>
        <v>44774</v>
      </c>
      <c r="L5381" s="1">
        <v>0.0</v>
      </c>
      <c r="M5381" s="1" t="s">
        <v>14029</v>
      </c>
      <c r="N5381" s="1"/>
      <c r="O5381" s="1" t="s">
        <v>30</v>
      </c>
      <c r="P5381" s="1" t="s">
        <v>31</v>
      </c>
      <c r="Q5381" s="1" t="s">
        <v>228</v>
      </c>
      <c r="R5381" s="1" t="s">
        <v>228</v>
      </c>
      <c r="S5381" s="1" t="s">
        <v>229</v>
      </c>
      <c r="U5381" s="1">
        <v>1.00634698E8</v>
      </c>
      <c r="X5381" s="1" t="s">
        <v>490</v>
      </c>
      <c r="Y5381" s="1" t="s">
        <v>14936</v>
      </c>
      <c r="Z5381" s="1" t="s">
        <v>37</v>
      </c>
    </row>
    <row r="5382">
      <c r="A5382" s="1" t="s">
        <v>14937</v>
      </c>
      <c r="B5382" s="1" t="s">
        <v>14938</v>
      </c>
      <c r="C5382" s="1" t="s">
        <v>14939</v>
      </c>
      <c r="D5382" s="1" t="s">
        <v>68</v>
      </c>
      <c r="E5382" s="1" t="s">
        <v>28</v>
      </c>
      <c r="F5382" s="2">
        <v>40000.0</v>
      </c>
      <c r="G5382" s="1" t="s">
        <v>1806</v>
      </c>
      <c r="H5382" s="4">
        <f>IFERROR(__xludf.DUMMYFUNCTION("DATE(INDEX(SPLIT(G5382,""/""),,3),INDEX(SPLIT(G5382,""/""),,2),INDEX(SPLIT(G5382,""/""),,1))"),44694.0)</f>
        <v>44694</v>
      </c>
      <c r="I5382" s="1" t="s">
        <v>2300</v>
      </c>
      <c r="J5382" s="4">
        <f>IFERROR(__xludf.DUMMYFUNCTION("DATE(INDEX(SPLIT(I5382,""/""),,3),INDEX(SPLIT(I5382,""/""),,2),INDEX(SPLIT(I5382,""/""),,1))"),44712.0)</f>
        <v>44712</v>
      </c>
      <c r="L5382" s="1">
        <v>0.0</v>
      </c>
      <c r="M5382" s="1" t="s">
        <v>11254</v>
      </c>
      <c r="N5382" s="1"/>
      <c r="O5382" s="1" t="s">
        <v>30</v>
      </c>
      <c r="P5382" s="1" t="s">
        <v>31</v>
      </c>
      <c r="Q5382" s="1" t="s">
        <v>228</v>
      </c>
      <c r="R5382" s="1" t="s">
        <v>228</v>
      </c>
      <c r="S5382" s="1" t="s">
        <v>229</v>
      </c>
      <c r="T5382" s="1" t="s">
        <v>505</v>
      </c>
      <c r="U5382" s="1">
        <v>1.00602248E8</v>
      </c>
      <c r="X5382" s="1" t="s">
        <v>46</v>
      </c>
      <c r="Y5382" s="1" t="s">
        <v>11255</v>
      </c>
      <c r="Z5382" s="1" t="s">
        <v>37</v>
      </c>
    </row>
    <row r="5383" hidden="1">
      <c r="A5383" s="1" t="s">
        <v>14940</v>
      </c>
      <c r="B5383" s="1" t="s">
        <v>14941</v>
      </c>
      <c r="C5383" s="1" t="s">
        <v>14942</v>
      </c>
      <c r="D5383" s="1" t="s">
        <v>78</v>
      </c>
      <c r="E5383" s="1" t="s">
        <v>28</v>
      </c>
      <c r="F5383" s="2">
        <v>40000.0</v>
      </c>
      <c r="G5383" s="4">
        <v>44055.0</v>
      </c>
      <c r="H5383" s="4">
        <f>IFERROR(__xludf.DUMMYFUNCTION("DATE(INDEX(SPLIT(G5383,""/""),,3),INDEX(SPLIT(G5383,""/""),,2),INDEX(SPLIT(G5383,""/""),,1))"),44173.0)</f>
        <v>44173</v>
      </c>
      <c r="I5383" s="1" t="s">
        <v>109</v>
      </c>
      <c r="J5383" s="4">
        <f>IFERROR(__xludf.DUMMYFUNCTION("DATE(INDEX(SPLIT(I5383,""/""),,3),INDEX(SPLIT(I5383,""/""),,2),INDEX(SPLIT(I5383,""/""),,1))"),44834.0)</f>
        <v>44834</v>
      </c>
      <c r="L5383" s="1">
        <v>0.0</v>
      </c>
      <c r="M5383" s="1" t="s">
        <v>11254</v>
      </c>
      <c r="N5383" s="1"/>
      <c r="O5383" s="1" t="s">
        <v>30</v>
      </c>
      <c r="P5383" s="1" t="s">
        <v>31</v>
      </c>
      <c r="Q5383" s="1" t="s">
        <v>228</v>
      </c>
      <c r="R5383" s="1" t="s">
        <v>228</v>
      </c>
      <c r="S5383" s="1" t="s">
        <v>229</v>
      </c>
      <c r="T5383" s="1" t="s">
        <v>513</v>
      </c>
      <c r="U5383" s="1">
        <v>1.00602248E8</v>
      </c>
      <c r="X5383" s="1" t="s">
        <v>375</v>
      </c>
      <c r="Y5383" s="1" t="s">
        <v>12637</v>
      </c>
      <c r="Z5383" s="1" t="s">
        <v>37</v>
      </c>
    </row>
    <row r="5384">
      <c r="A5384" s="1" t="s">
        <v>14943</v>
      </c>
      <c r="B5384" s="1" t="s">
        <v>14944</v>
      </c>
      <c r="C5384" s="1" t="s">
        <v>14730</v>
      </c>
      <c r="D5384" s="1" t="s">
        <v>78</v>
      </c>
      <c r="E5384" s="1" t="s">
        <v>28</v>
      </c>
      <c r="F5384" s="2">
        <v>40000.0</v>
      </c>
      <c r="G5384" s="1" t="s">
        <v>458</v>
      </c>
      <c r="H5384" s="4">
        <f>IFERROR(__xludf.DUMMYFUNCTION("DATE(INDEX(SPLIT(G5384,""/""),,3),INDEX(SPLIT(G5384,""/""),,2),INDEX(SPLIT(G5384,""/""),,1))"),44649.0)</f>
        <v>44649</v>
      </c>
      <c r="I5384" s="1" t="s">
        <v>2300</v>
      </c>
      <c r="J5384" s="4">
        <f>IFERROR(__xludf.DUMMYFUNCTION("DATE(INDEX(SPLIT(I5384,""/""),,3),INDEX(SPLIT(I5384,""/""),,2),INDEX(SPLIT(I5384,""/""),,1))"),44712.0)</f>
        <v>44712</v>
      </c>
      <c r="L5384" s="1">
        <v>0.0</v>
      </c>
      <c r="M5384" s="1" t="s">
        <v>10697</v>
      </c>
      <c r="N5384" s="1"/>
      <c r="O5384" s="1" t="s">
        <v>30</v>
      </c>
      <c r="P5384" s="1" t="s">
        <v>31</v>
      </c>
      <c r="Q5384" s="1" t="s">
        <v>228</v>
      </c>
      <c r="R5384" s="1" t="s">
        <v>228</v>
      </c>
      <c r="S5384" s="1" t="s">
        <v>229</v>
      </c>
      <c r="T5384" s="1" t="s">
        <v>513</v>
      </c>
      <c r="U5384" s="1">
        <v>1.00612201E8</v>
      </c>
      <c r="X5384" s="1" t="s">
        <v>125</v>
      </c>
      <c r="Y5384" s="1" t="s">
        <v>13491</v>
      </c>
      <c r="Z5384" s="1" t="s">
        <v>37</v>
      </c>
    </row>
    <row r="5385" hidden="1">
      <c r="A5385" s="1" t="s">
        <v>14945</v>
      </c>
      <c r="B5385" s="1" t="s">
        <v>6615</v>
      </c>
      <c r="C5385" s="1" t="s">
        <v>14946</v>
      </c>
      <c r="D5385" s="1" t="s">
        <v>78</v>
      </c>
      <c r="E5385" s="1" t="s">
        <v>28</v>
      </c>
      <c r="F5385" s="2">
        <v>40000.0</v>
      </c>
      <c r="G5385" s="4">
        <v>44626.0</v>
      </c>
      <c r="H5385" s="4">
        <f>IFERROR(__xludf.DUMMYFUNCTION("DATE(INDEX(SPLIT(G5385,""/""),,3),INDEX(SPLIT(G5385,""/""),,2),INDEX(SPLIT(G5385,""/""),,1))"),44715.0)</f>
        <v>44715</v>
      </c>
      <c r="I5385" s="1" t="s">
        <v>109</v>
      </c>
      <c r="J5385" s="4">
        <f>IFERROR(__xludf.DUMMYFUNCTION("DATE(INDEX(SPLIT(I5385,""/""),,3),INDEX(SPLIT(I5385,""/""),,2),INDEX(SPLIT(I5385,""/""),,1))"),44834.0)</f>
        <v>44834</v>
      </c>
      <c r="L5385" s="1">
        <v>0.0</v>
      </c>
      <c r="M5385" s="1" t="s">
        <v>653</v>
      </c>
      <c r="N5385" s="1"/>
      <c r="O5385" s="1" t="s">
        <v>30</v>
      </c>
      <c r="P5385" s="1" t="s">
        <v>31</v>
      </c>
      <c r="Q5385" s="1" t="s">
        <v>157</v>
      </c>
      <c r="R5385" s="1" t="s">
        <v>157</v>
      </c>
      <c r="S5385" s="1" t="s">
        <v>158</v>
      </c>
      <c r="U5385" s="1">
        <v>1.00591141E8</v>
      </c>
      <c r="X5385" s="1" t="s">
        <v>63</v>
      </c>
      <c r="Y5385" s="1" t="s">
        <v>6229</v>
      </c>
      <c r="Z5385" s="1" t="s">
        <v>37</v>
      </c>
    </row>
    <row r="5386">
      <c r="A5386" s="1" t="s">
        <v>14947</v>
      </c>
      <c r="B5386" s="1" t="s">
        <v>14948</v>
      </c>
      <c r="C5386" s="1" t="s">
        <v>14949</v>
      </c>
      <c r="D5386" s="1" t="s">
        <v>68</v>
      </c>
      <c r="E5386" s="1" t="s">
        <v>28</v>
      </c>
      <c r="F5386" s="2">
        <v>40000.0</v>
      </c>
      <c r="G5386" s="4">
        <v>44748.0</v>
      </c>
      <c r="H5386" s="4">
        <f>IFERROR(__xludf.DUMMYFUNCTION("DATE(INDEX(SPLIT(G5386,""/""),,3),INDEX(SPLIT(G5386,""/""),,2),INDEX(SPLIT(G5386,""/""),,1))"),44719.0)</f>
        <v>44719</v>
      </c>
      <c r="I5386" s="4">
        <v>44748.0</v>
      </c>
      <c r="J5386" s="4">
        <f>IFERROR(__xludf.DUMMYFUNCTION("DATE(INDEX(SPLIT(I5386,""/""),,3),INDEX(SPLIT(I5386,""/""),,2),INDEX(SPLIT(I5386,""/""),,1))"),44719.0)</f>
        <v>44719</v>
      </c>
      <c r="L5386" s="1">
        <v>0.0</v>
      </c>
      <c r="M5386" s="1" t="s">
        <v>11623</v>
      </c>
      <c r="N5386" s="1"/>
      <c r="O5386" s="1" t="s">
        <v>30</v>
      </c>
      <c r="P5386" s="1" t="s">
        <v>31</v>
      </c>
      <c r="Q5386" s="1" t="s">
        <v>228</v>
      </c>
      <c r="R5386" s="1" t="s">
        <v>228</v>
      </c>
      <c r="S5386" s="1" t="s">
        <v>229</v>
      </c>
      <c r="T5386" s="1" t="s">
        <v>513</v>
      </c>
      <c r="U5386" s="1">
        <v>1.01154609E8</v>
      </c>
      <c r="X5386" s="1" t="s">
        <v>98</v>
      </c>
      <c r="Y5386" s="1" t="s">
        <v>13845</v>
      </c>
      <c r="Z5386" s="1" t="s">
        <v>37</v>
      </c>
    </row>
    <row r="5387" hidden="1">
      <c r="A5387" s="1" t="s">
        <v>14950</v>
      </c>
      <c r="B5387" s="1" t="s">
        <v>6976</v>
      </c>
      <c r="C5387" s="1" t="s">
        <v>14951</v>
      </c>
      <c r="D5387" s="1" t="s">
        <v>27</v>
      </c>
      <c r="E5387" s="1" t="s">
        <v>28</v>
      </c>
      <c r="F5387" s="2">
        <v>40000.0</v>
      </c>
      <c r="G5387" s="4">
        <v>44868.0</v>
      </c>
      <c r="H5387" s="4">
        <f>IFERROR(__xludf.DUMMYFUNCTION("DATE(INDEX(SPLIT(G5387,""/""),,3),INDEX(SPLIT(G5387,""/""),,2),INDEX(SPLIT(G5387,""/""),,1))"),44631.0)</f>
        <v>44631</v>
      </c>
      <c r="I5387" s="4">
        <v>44570.0</v>
      </c>
      <c r="J5387" s="4">
        <f>IFERROR(__xludf.DUMMYFUNCTION("DATE(INDEX(SPLIT(I5387,""/""),,3),INDEX(SPLIT(I5387,""/""),,2),INDEX(SPLIT(I5387,""/""),,1))"),44805.0)</f>
        <v>44805</v>
      </c>
      <c r="L5387" s="1">
        <v>0.0</v>
      </c>
      <c r="M5387" s="1" t="s">
        <v>3419</v>
      </c>
      <c r="N5387" s="1"/>
      <c r="O5387" s="1" t="s">
        <v>30</v>
      </c>
      <c r="P5387" s="1" t="s">
        <v>31</v>
      </c>
      <c r="Q5387" s="1" t="s">
        <v>32</v>
      </c>
      <c r="R5387" s="1" t="s">
        <v>32</v>
      </c>
      <c r="S5387" s="1" t="s">
        <v>33</v>
      </c>
      <c r="T5387" s="1" t="s">
        <v>1195</v>
      </c>
      <c r="U5387" s="1">
        <v>1.00651998E8</v>
      </c>
      <c r="X5387" s="1" t="s">
        <v>490</v>
      </c>
      <c r="Y5387" s="1" t="s">
        <v>2725</v>
      </c>
      <c r="Z5387" s="1" t="s">
        <v>37</v>
      </c>
    </row>
    <row r="5388" hidden="1">
      <c r="A5388" s="1" t="s">
        <v>14952</v>
      </c>
      <c r="B5388" s="1" t="s">
        <v>14953</v>
      </c>
      <c r="C5388" s="1" t="s">
        <v>14954</v>
      </c>
      <c r="D5388" s="1" t="s">
        <v>122</v>
      </c>
      <c r="E5388" s="1" t="s">
        <v>28</v>
      </c>
      <c r="F5388" s="2">
        <v>40000.0</v>
      </c>
      <c r="G5388" s="4">
        <v>44655.0</v>
      </c>
      <c r="H5388" s="4">
        <f>IFERROR(__xludf.DUMMYFUNCTION("DATE(INDEX(SPLIT(G5388,""/""),,3),INDEX(SPLIT(G5388,""/""),,2),INDEX(SPLIT(G5388,""/""),,1))"),44655.0)</f>
        <v>44655</v>
      </c>
      <c r="I5388" s="1" t="s">
        <v>42</v>
      </c>
      <c r="J5388" s="4">
        <f>IFERROR(__xludf.DUMMYFUNCTION("DATE(INDEX(SPLIT(I5388,""/""),,3),INDEX(SPLIT(I5388,""/""),,2),INDEX(SPLIT(I5388,""/""),,1))"),44926.0)</f>
        <v>44926</v>
      </c>
      <c r="L5388" s="1">
        <v>0.0</v>
      </c>
      <c r="M5388" s="1" t="s">
        <v>2568</v>
      </c>
      <c r="N5388" s="1"/>
      <c r="O5388" s="1" t="s">
        <v>30</v>
      </c>
      <c r="P5388" s="1" t="s">
        <v>31</v>
      </c>
      <c r="Q5388" s="1" t="s">
        <v>228</v>
      </c>
      <c r="R5388" s="1" t="s">
        <v>228</v>
      </c>
      <c r="S5388" s="1" t="s">
        <v>229</v>
      </c>
      <c r="T5388" s="1" t="s">
        <v>513</v>
      </c>
      <c r="U5388" s="1">
        <v>1.00659458E8</v>
      </c>
      <c r="X5388" s="1" t="s">
        <v>2769</v>
      </c>
      <c r="Y5388" s="1" t="s">
        <v>14955</v>
      </c>
      <c r="Z5388" s="1" t="s">
        <v>37</v>
      </c>
    </row>
    <row r="5389" hidden="1">
      <c r="A5389" s="1" t="s">
        <v>14956</v>
      </c>
      <c r="B5389" s="1" t="s">
        <v>6615</v>
      </c>
      <c r="C5389" s="1" t="s">
        <v>14957</v>
      </c>
      <c r="D5389" s="1" t="s">
        <v>78</v>
      </c>
      <c r="E5389" s="1" t="s">
        <v>28</v>
      </c>
      <c r="F5389" s="2">
        <v>40000.0</v>
      </c>
      <c r="G5389" s="1" t="s">
        <v>1058</v>
      </c>
      <c r="H5389" s="4">
        <f>IFERROR(__xludf.DUMMYFUNCTION("DATE(INDEX(SPLIT(G5389,""/""),,3),INDEX(SPLIT(G5389,""/""),,2),INDEX(SPLIT(G5389,""/""),,1))"),44733.0)</f>
        <v>44733</v>
      </c>
      <c r="I5389" s="4">
        <v>44569.0</v>
      </c>
      <c r="J5389" s="4">
        <f>IFERROR(__xludf.DUMMYFUNCTION("DATE(INDEX(SPLIT(I5389,""/""),,3),INDEX(SPLIT(I5389,""/""),,2),INDEX(SPLIT(I5389,""/""),,1))"),44774.0)</f>
        <v>44774</v>
      </c>
      <c r="L5389" s="1">
        <v>0.0</v>
      </c>
      <c r="M5389" s="1" t="s">
        <v>653</v>
      </c>
      <c r="N5389" s="1"/>
      <c r="O5389" s="1" t="s">
        <v>30</v>
      </c>
      <c r="P5389" s="1" t="s">
        <v>31</v>
      </c>
      <c r="Q5389" s="1" t="s">
        <v>157</v>
      </c>
      <c r="R5389" s="1" t="s">
        <v>157</v>
      </c>
      <c r="S5389" s="1" t="s">
        <v>158</v>
      </c>
      <c r="U5389" s="1">
        <v>1.00591141E8</v>
      </c>
      <c r="X5389" s="1" t="s">
        <v>63</v>
      </c>
      <c r="Y5389" s="1" t="s">
        <v>6229</v>
      </c>
      <c r="Z5389" s="1" t="s">
        <v>37</v>
      </c>
    </row>
    <row r="5390" hidden="1">
      <c r="A5390" s="1" t="s">
        <v>14958</v>
      </c>
      <c r="B5390" s="1" t="s">
        <v>14959</v>
      </c>
      <c r="C5390" s="1" t="s">
        <v>14960</v>
      </c>
      <c r="D5390" s="1" t="s">
        <v>122</v>
      </c>
      <c r="E5390" s="1" t="s">
        <v>28</v>
      </c>
      <c r="F5390" s="2">
        <v>40000.0</v>
      </c>
      <c r="G5390" s="4">
        <v>44656.0</v>
      </c>
      <c r="H5390" s="4">
        <f>IFERROR(__xludf.DUMMYFUNCTION("DATE(INDEX(SPLIT(G5390,""/""),,3),INDEX(SPLIT(G5390,""/""),,2),INDEX(SPLIT(G5390,""/""),,1))"),44685.0)</f>
        <v>44685</v>
      </c>
      <c r="I5390" s="4">
        <v>44569.0</v>
      </c>
      <c r="J5390" s="4">
        <f>IFERROR(__xludf.DUMMYFUNCTION("DATE(INDEX(SPLIT(I5390,""/""),,3),INDEX(SPLIT(I5390,""/""),,2),INDEX(SPLIT(I5390,""/""),,1))"),44774.0)</f>
        <v>44774</v>
      </c>
      <c r="L5390" s="1">
        <v>0.0</v>
      </c>
      <c r="M5390" s="1" t="s">
        <v>2207</v>
      </c>
      <c r="N5390" s="1"/>
      <c r="O5390" s="1" t="s">
        <v>30</v>
      </c>
      <c r="P5390" s="1" t="s">
        <v>31</v>
      </c>
      <c r="Q5390" s="1" t="s">
        <v>228</v>
      </c>
      <c r="R5390" s="1" t="s">
        <v>228</v>
      </c>
      <c r="S5390" s="1" t="s">
        <v>229</v>
      </c>
      <c r="U5390" s="1">
        <v>1.00596618E8</v>
      </c>
      <c r="Y5390" s="1" t="s">
        <v>2208</v>
      </c>
      <c r="Z5390" s="1" t="s">
        <v>37</v>
      </c>
    </row>
    <row r="5391" hidden="1">
      <c r="A5391" s="1" t="s">
        <v>14961</v>
      </c>
      <c r="B5391" s="1" t="s">
        <v>106</v>
      </c>
      <c r="C5391" s="1" t="s">
        <v>12634</v>
      </c>
      <c r="D5391" s="1" t="s">
        <v>78</v>
      </c>
      <c r="E5391" s="1" t="s">
        <v>28</v>
      </c>
      <c r="F5391" s="2">
        <v>40000.0</v>
      </c>
      <c r="G5391" s="4">
        <v>44563.0</v>
      </c>
      <c r="H5391" s="4">
        <f>IFERROR(__xludf.DUMMYFUNCTION("DATE(INDEX(SPLIT(G5391,""/""),,3),INDEX(SPLIT(G5391,""/""),,2),INDEX(SPLIT(G5391,""/""),,1))"),44593.0)</f>
        <v>44593</v>
      </c>
      <c r="I5391" s="4">
        <v>44689.0</v>
      </c>
      <c r="J5391" s="4">
        <f>IFERROR(__xludf.DUMMYFUNCTION("DATE(INDEX(SPLIT(I5391,""/""),,3),INDEX(SPLIT(I5391,""/""),,2),INDEX(SPLIT(I5391,""/""),,1))"),44778.0)</f>
        <v>44778</v>
      </c>
      <c r="L5391" s="1">
        <v>0.0</v>
      </c>
      <c r="M5391" s="1" t="s">
        <v>7598</v>
      </c>
      <c r="N5391" s="1"/>
      <c r="O5391" s="1" t="s">
        <v>30</v>
      </c>
      <c r="P5391" s="1" t="s">
        <v>31</v>
      </c>
      <c r="Q5391" s="1" t="s">
        <v>32</v>
      </c>
      <c r="R5391" s="1" t="s">
        <v>32</v>
      </c>
      <c r="S5391" s="1" t="s">
        <v>33</v>
      </c>
      <c r="T5391" s="1" t="s">
        <v>1386</v>
      </c>
      <c r="U5391" s="1">
        <v>1.00644939E8</v>
      </c>
      <c r="W5391" s="1" t="s">
        <v>56</v>
      </c>
      <c r="X5391" s="1" t="s">
        <v>312</v>
      </c>
      <c r="Y5391" s="1" t="s">
        <v>4699</v>
      </c>
      <c r="Z5391" s="1" t="s">
        <v>37</v>
      </c>
    </row>
    <row r="5392" hidden="1">
      <c r="A5392" s="1" t="s">
        <v>14962</v>
      </c>
      <c r="B5392" s="1" t="s">
        <v>120</v>
      </c>
      <c r="C5392" s="1" t="s">
        <v>14963</v>
      </c>
      <c r="D5392" s="1" t="s">
        <v>122</v>
      </c>
      <c r="E5392" s="1" t="s">
        <v>28</v>
      </c>
      <c r="F5392" s="2">
        <v>40000.0</v>
      </c>
      <c r="G5392" s="4">
        <v>44239.0</v>
      </c>
      <c r="H5392" s="4">
        <f>IFERROR(__xludf.DUMMYFUNCTION("DATE(INDEX(SPLIT(G5392,""/""),,3),INDEX(SPLIT(G5392,""/""),,2),INDEX(SPLIT(G5392,""/""),,1))"),44532.0)</f>
        <v>44532</v>
      </c>
      <c r="I5392" s="1" t="s">
        <v>14964</v>
      </c>
      <c r="J5392" s="4">
        <f>IFERROR(__xludf.DUMMYFUNCTION("DATE(INDEX(SPLIT(I5392,""/""),,3),INDEX(SPLIT(I5392,""/""),,2),INDEX(SPLIT(I5392,""/""),,1))"),44859.0)</f>
        <v>44859</v>
      </c>
      <c r="L5392" s="1">
        <v>0.0</v>
      </c>
      <c r="M5392" s="1" t="s">
        <v>3133</v>
      </c>
      <c r="N5392" s="1"/>
      <c r="O5392" s="1" t="s">
        <v>30</v>
      </c>
      <c r="P5392" s="1" t="s">
        <v>31</v>
      </c>
      <c r="Q5392" s="1" t="s">
        <v>228</v>
      </c>
      <c r="R5392" s="1" t="s">
        <v>228</v>
      </c>
      <c r="S5392" s="1" t="s">
        <v>229</v>
      </c>
      <c r="T5392" s="1" t="s">
        <v>640</v>
      </c>
      <c r="U5392" s="1">
        <v>1.00611158E8</v>
      </c>
      <c r="X5392" s="1" t="s">
        <v>125</v>
      </c>
      <c r="Y5392" s="1" t="s">
        <v>3133</v>
      </c>
      <c r="Z5392" s="1" t="s">
        <v>37</v>
      </c>
    </row>
    <row r="5393">
      <c r="A5393" s="1" t="s">
        <v>14965</v>
      </c>
      <c r="B5393" s="1" t="s">
        <v>975</v>
      </c>
      <c r="C5393" s="1" t="s">
        <v>14966</v>
      </c>
      <c r="D5393" s="1" t="s">
        <v>78</v>
      </c>
      <c r="E5393" s="1" t="s">
        <v>28</v>
      </c>
      <c r="F5393" s="2">
        <v>40000.0</v>
      </c>
      <c r="G5393" s="1" t="s">
        <v>359</v>
      </c>
      <c r="H5393" s="4">
        <f>IFERROR(__xludf.DUMMYFUNCTION("DATE(INDEX(SPLIT(G5393,""/""),,3),INDEX(SPLIT(G5393,""/""),,2),INDEX(SPLIT(G5393,""/""),,1))"),44740.0)</f>
        <v>44740</v>
      </c>
      <c r="I5393" s="4">
        <v>44568.0</v>
      </c>
      <c r="J5393" s="4">
        <f>IFERROR(__xludf.DUMMYFUNCTION("DATE(INDEX(SPLIT(I5393,""/""),,3),INDEX(SPLIT(I5393,""/""),,2),INDEX(SPLIT(I5393,""/""),,1))"),44743.0)</f>
        <v>44743</v>
      </c>
      <c r="L5393" s="1">
        <v>0.0</v>
      </c>
      <c r="M5393" s="1" t="s">
        <v>1200</v>
      </c>
      <c r="N5393" s="1"/>
      <c r="O5393" s="1" t="s">
        <v>30</v>
      </c>
      <c r="P5393" s="1" t="s">
        <v>31</v>
      </c>
      <c r="Q5393" s="1" t="s">
        <v>235</v>
      </c>
      <c r="R5393" s="1" t="s">
        <v>235</v>
      </c>
      <c r="S5393" s="1" t="s">
        <v>236</v>
      </c>
      <c r="U5393" s="1">
        <v>1.00586959E8</v>
      </c>
      <c r="X5393" s="1" t="s">
        <v>88</v>
      </c>
      <c r="Y5393" s="1" t="s">
        <v>9557</v>
      </c>
      <c r="Z5393" s="1" t="s">
        <v>37</v>
      </c>
    </row>
    <row r="5394" hidden="1">
      <c r="A5394" s="1" t="s">
        <v>14967</v>
      </c>
      <c r="B5394" s="1" t="s">
        <v>14968</v>
      </c>
      <c r="C5394" s="1" t="s">
        <v>14969</v>
      </c>
      <c r="D5394" s="1" t="s">
        <v>78</v>
      </c>
      <c r="E5394" s="1" t="s">
        <v>28</v>
      </c>
      <c r="F5394" s="2">
        <v>40000.0</v>
      </c>
      <c r="G5394" s="1" t="s">
        <v>418</v>
      </c>
      <c r="H5394" s="4">
        <f>IFERROR(__xludf.DUMMYFUNCTION("DATE(INDEX(SPLIT(G5394,""/""),,3),INDEX(SPLIT(G5394,""/""),,2),INDEX(SPLIT(G5394,""/""),,1))"),44755.0)</f>
        <v>44755</v>
      </c>
      <c r="I5394" s="1" t="s">
        <v>130</v>
      </c>
      <c r="J5394" s="4">
        <f>IFERROR(__xludf.DUMMYFUNCTION("DATE(INDEX(SPLIT(I5394,""/""),,3),INDEX(SPLIT(I5394,""/""),,2),INDEX(SPLIT(I5394,""/""),,1))"),44804.0)</f>
        <v>44804</v>
      </c>
      <c r="L5394" s="1">
        <v>0.0</v>
      </c>
      <c r="M5394" s="1" t="s">
        <v>6045</v>
      </c>
      <c r="N5394" s="1"/>
      <c r="O5394" s="1" t="s">
        <v>30</v>
      </c>
      <c r="P5394" s="1" t="s">
        <v>31</v>
      </c>
      <c r="Q5394" s="1" t="s">
        <v>228</v>
      </c>
      <c r="R5394" s="1" t="s">
        <v>228</v>
      </c>
      <c r="S5394" s="1" t="s">
        <v>229</v>
      </c>
      <c r="T5394" s="1" t="s">
        <v>513</v>
      </c>
      <c r="U5394" s="1">
        <v>1.00652479E8</v>
      </c>
      <c r="X5394" s="1" t="s">
        <v>375</v>
      </c>
      <c r="Y5394" s="1" t="s">
        <v>11076</v>
      </c>
      <c r="Z5394" s="1" t="s">
        <v>37</v>
      </c>
    </row>
    <row r="5395" hidden="1">
      <c r="A5395" s="1" t="s">
        <v>14970</v>
      </c>
      <c r="B5395" s="1" t="s">
        <v>2755</v>
      </c>
      <c r="C5395" s="1" t="s">
        <v>12707</v>
      </c>
      <c r="D5395" s="1" t="s">
        <v>78</v>
      </c>
      <c r="E5395" s="1" t="s">
        <v>28</v>
      </c>
      <c r="F5395" s="2">
        <v>40000.0</v>
      </c>
      <c r="G5395" s="1" t="s">
        <v>1381</v>
      </c>
      <c r="H5395" s="4">
        <f>IFERROR(__xludf.DUMMYFUNCTION("DATE(INDEX(SPLIT(G5395,""/""),,3),INDEX(SPLIT(G5395,""/""),,2),INDEX(SPLIT(G5395,""/""),,1))"),44643.0)</f>
        <v>44643</v>
      </c>
      <c r="I5395" s="1" t="s">
        <v>42</v>
      </c>
      <c r="J5395" s="4">
        <f>IFERROR(__xludf.DUMMYFUNCTION("DATE(INDEX(SPLIT(I5395,""/""),,3),INDEX(SPLIT(I5395,""/""),,2),INDEX(SPLIT(I5395,""/""),,1))"),44926.0)</f>
        <v>44926</v>
      </c>
      <c r="L5395" s="1">
        <v>0.0</v>
      </c>
      <c r="M5395" s="1" t="s">
        <v>6045</v>
      </c>
      <c r="N5395" s="1"/>
      <c r="O5395" s="1" t="s">
        <v>30</v>
      </c>
      <c r="P5395" s="1" t="s">
        <v>31</v>
      </c>
      <c r="Q5395" s="1" t="s">
        <v>228</v>
      </c>
      <c r="R5395" s="1" t="s">
        <v>228</v>
      </c>
      <c r="S5395" s="1" t="s">
        <v>229</v>
      </c>
      <c r="T5395" s="1" t="s">
        <v>513</v>
      </c>
      <c r="U5395" s="1">
        <v>1.00652479E8</v>
      </c>
      <c r="X5395" s="1" t="s">
        <v>117</v>
      </c>
      <c r="Y5395" s="1" t="s">
        <v>14971</v>
      </c>
      <c r="Z5395" s="1" t="s">
        <v>37</v>
      </c>
    </row>
    <row r="5396" hidden="1">
      <c r="A5396" s="1" t="s">
        <v>14972</v>
      </c>
      <c r="B5396" s="1" t="s">
        <v>4055</v>
      </c>
      <c r="C5396" s="1" t="s">
        <v>14973</v>
      </c>
      <c r="D5396" s="1" t="s">
        <v>122</v>
      </c>
      <c r="E5396" s="1" t="s">
        <v>28</v>
      </c>
      <c r="F5396" s="2">
        <v>40000.0</v>
      </c>
      <c r="G5396" s="1" t="s">
        <v>6317</v>
      </c>
      <c r="H5396" s="4">
        <f>IFERROR(__xludf.DUMMYFUNCTION("DATE(INDEX(SPLIT(G5396,""/""),,3),INDEX(SPLIT(G5396,""/""),,2),INDEX(SPLIT(G5396,""/""),,1))"),44217.0)</f>
        <v>44217</v>
      </c>
      <c r="I5396" s="1" t="s">
        <v>109</v>
      </c>
      <c r="J5396" s="4">
        <f>IFERROR(__xludf.DUMMYFUNCTION("DATE(INDEX(SPLIT(I5396,""/""),,3),INDEX(SPLIT(I5396,""/""),,2),INDEX(SPLIT(I5396,""/""),,1))"),44834.0)</f>
        <v>44834</v>
      </c>
      <c r="L5396" s="1">
        <v>0.0</v>
      </c>
      <c r="M5396" s="1" t="s">
        <v>3133</v>
      </c>
      <c r="N5396" s="1"/>
      <c r="O5396" s="1" t="s">
        <v>30</v>
      </c>
      <c r="P5396" s="1" t="s">
        <v>31</v>
      </c>
      <c r="Q5396" s="1" t="s">
        <v>228</v>
      </c>
      <c r="R5396" s="1" t="s">
        <v>228</v>
      </c>
      <c r="S5396" s="1" t="s">
        <v>229</v>
      </c>
      <c r="T5396" s="1" t="s">
        <v>513</v>
      </c>
      <c r="U5396" s="1">
        <v>1.00611158E8</v>
      </c>
      <c r="X5396" s="1" t="s">
        <v>63</v>
      </c>
      <c r="Y5396" s="1" t="s">
        <v>3133</v>
      </c>
      <c r="Z5396" s="1" t="s">
        <v>37</v>
      </c>
    </row>
    <row r="5397" hidden="1">
      <c r="A5397" s="1" t="s">
        <v>14974</v>
      </c>
      <c r="B5397" s="1" t="s">
        <v>14975</v>
      </c>
      <c r="C5397" s="1" t="s">
        <v>14976</v>
      </c>
      <c r="D5397" s="1" t="s">
        <v>78</v>
      </c>
      <c r="E5397" s="1" t="s">
        <v>28</v>
      </c>
      <c r="F5397" s="2">
        <v>39150.0</v>
      </c>
      <c r="G5397" s="1" t="s">
        <v>14886</v>
      </c>
      <c r="H5397" s="4">
        <f>IFERROR(__xludf.DUMMYFUNCTION("DATE(INDEX(SPLIT(G5397,""/""),,3),INDEX(SPLIT(G5397,""/""),,2),INDEX(SPLIT(G5397,""/""),,1))"),44058.0)</f>
        <v>44058</v>
      </c>
      <c r="I5397" s="1" t="s">
        <v>109</v>
      </c>
      <c r="J5397" s="4">
        <f>IFERROR(__xludf.DUMMYFUNCTION("DATE(INDEX(SPLIT(I5397,""/""),,3),INDEX(SPLIT(I5397,""/""),,2),INDEX(SPLIT(I5397,""/""),,1))"),44834.0)</f>
        <v>44834</v>
      </c>
      <c r="L5397" s="1">
        <v>0.0</v>
      </c>
      <c r="M5397" s="1" t="s">
        <v>12039</v>
      </c>
      <c r="N5397" s="1"/>
      <c r="O5397" s="1" t="s">
        <v>30</v>
      </c>
      <c r="P5397" s="1" t="s">
        <v>31</v>
      </c>
      <c r="Q5397" s="1" t="s">
        <v>228</v>
      </c>
      <c r="R5397" s="1" t="s">
        <v>228</v>
      </c>
      <c r="S5397" s="1" t="s">
        <v>229</v>
      </c>
      <c r="T5397" s="1" t="s">
        <v>513</v>
      </c>
      <c r="U5397" s="1">
        <v>1.00612509E8</v>
      </c>
      <c r="X5397" s="1" t="s">
        <v>74</v>
      </c>
      <c r="Y5397" s="1" t="s">
        <v>12637</v>
      </c>
      <c r="Z5397" s="1" t="s">
        <v>37</v>
      </c>
    </row>
    <row r="5398" hidden="1">
      <c r="A5398" s="1" t="s">
        <v>14977</v>
      </c>
      <c r="B5398" s="1" t="s">
        <v>14978</v>
      </c>
      <c r="C5398" s="1" t="s">
        <v>14979</v>
      </c>
      <c r="D5398" s="1" t="s">
        <v>27</v>
      </c>
      <c r="E5398" s="1" t="s">
        <v>28</v>
      </c>
      <c r="F5398" s="2">
        <v>39150.0</v>
      </c>
      <c r="G5398" s="1" t="s">
        <v>185</v>
      </c>
      <c r="H5398" s="4">
        <f>IFERROR(__xludf.DUMMYFUNCTION("DATE(INDEX(SPLIT(G5398,""/""),,3),INDEX(SPLIT(G5398,""/""),,2),INDEX(SPLIT(G5398,""/""),,1))"),44741.0)</f>
        <v>44741</v>
      </c>
      <c r="I5398" s="1" t="s">
        <v>1097</v>
      </c>
      <c r="J5398" s="4">
        <f>IFERROR(__xludf.DUMMYFUNCTION("DATE(INDEX(SPLIT(I5398,""/""),,3),INDEX(SPLIT(I5398,""/""),,2),INDEX(SPLIT(I5398,""/""),,1))"),45107.0)</f>
        <v>45107</v>
      </c>
      <c r="L5398" s="1">
        <v>0.0</v>
      </c>
      <c r="M5398" s="1" t="s">
        <v>11254</v>
      </c>
      <c r="N5398" s="1"/>
      <c r="O5398" s="1" t="s">
        <v>30</v>
      </c>
      <c r="P5398" s="1" t="s">
        <v>31</v>
      </c>
      <c r="Q5398" s="1" t="s">
        <v>228</v>
      </c>
      <c r="R5398" s="1" t="s">
        <v>228</v>
      </c>
      <c r="S5398" s="1" t="s">
        <v>229</v>
      </c>
      <c r="T5398" s="1" t="s">
        <v>513</v>
      </c>
      <c r="U5398" s="1">
        <v>1.00602248E8</v>
      </c>
      <c r="X5398" s="1" t="s">
        <v>74</v>
      </c>
      <c r="Y5398" s="1" t="s">
        <v>13944</v>
      </c>
      <c r="Z5398" s="1" t="s">
        <v>37</v>
      </c>
    </row>
    <row r="5399" hidden="1">
      <c r="A5399" s="1" t="s">
        <v>14980</v>
      </c>
      <c r="B5399" s="1" t="s">
        <v>14981</v>
      </c>
      <c r="C5399" s="1" t="s">
        <v>14982</v>
      </c>
      <c r="D5399" s="1" t="s">
        <v>27</v>
      </c>
      <c r="E5399" s="1" t="s">
        <v>28</v>
      </c>
      <c r="F5399" s="2">
        <v>39150.0</v>
      </c>
      <c r="G5399" s="1" t="s">
        <v>359</v>
      </c>
      <c r="H5399" s="4">
        <f>IFERROR(__xludf.DUMMYFUNCTION("DATE(INDEX(SPLIT(G5399,""/""),,3),INDEX(SPLIT(G5399,""/""),,2),INDEX(SPLIT(G5399,""/""),,1))"),44740.0)</f>
        <v>44740</v>
      </c>
      <c r="I5399" s="1" t="s">
        <v>1097</v>
      </c>
      <c r="J5399" s="4">
        <f>IFERROR(__xludf.DUMMYFUNCTION("DATE(INDEX(SPLIT(I5399,""/""),,3),INDEX(SPLIT(I5399,""/""),,2),INDEX(SPLIT(I5399,""/""),,1))"),45107.0)</f>
        <v>45107</v>
      </c>
      <c r="L5399" s="1">
        <v>0.0</v>
      </c>
      <c r="M5399" s="1" t="s">
        <v>11254</v>
      </c>
      <c r="N5399" s="1"/>
      <c r="O5399" s="1" t="s">
        <v>30</v>
      </c>
      <c r="P5399" s="1" t="s">
        <v>31</v>
      </c>
      <c r="Q5399" s="1" t="s">
        <v>228</v>
      </c>
      <c r="R5399" s="1" t="s">
        <v>228</v>
      </c>
      <c r="S5399" s="1" t="s">
        <v>229</v>
      </c>
      <c r="T5399" s="1" t="s">
        <v>513</v>
      </c>
      <c r="U5399" s="1">
        <v>1.00602248E8</v>
      </c>
      <c r="X5399" s="1" t="s">
        <v>35</v>
      </c>
      <c r="Y5399" s="1" t="s">
        <v>13944</v>
      </c>
      <c r="Z5399" s="1" t="s">
        <v>37</v>
      </c>
    </row>
    <row r="5400" hidden="1">
      <c r="A5400" s="1" t="s">
        <v>14983</v>
      </c>
      <c r="B5400" s="1" t="s">
        <v>14984</v>
      </c>
      <c r="C5400" s="1" t="s">
        <v>14985</v>
      </c>
      <c r="D5400" s="1" t="s">
        <v>27</v>
      </c>
      <c r="E5400" s="1" t="s">
        <v>28</v>
      </c>
      <c r="F5400" s="2">
        <v>39150.0</v>
      </c>
      <c r="G5400" s="1" t="s">
        <v>185</v>
      </c>
      <c r="H5400" s="4">
        <f>IFERROR(__xludf.DUMMYFUNCTION("DATE(INDEX(SPLIT(G5400,""/""),,3),INDEX(SPLIT(G5400,""/""),,2),INDEX(SPLIT(G5400,""/""),,1))"),44741.0)</f>
        <v>44741</v>
      </c>
      <c r="I5400" s="1" t="s">
        <v>1097</v>
      </c>
      <c r="J5400" s="4">
        <f>IFERROR(__xludf.DUMMYFUNCTION("DATE(INDEX(SPLIT(I5400,""/""),,3),INDEX(SPLIT(I5400,""/""),,2),INDEX(SPLIT(I5400,""/""),,1))"),45107.0)</f>
        <v>45107</v>
      </c>
      <c r="L5400" s="1">
        <v>0.0</v>
      </c>
      <c r="M5400" s="1" t="s">
        <v>12039</v>
      </c>
      <c r="N5400" s="1"/>
      <c r="O5400" s="1" t="s">
        <v>30</v>
      </c>
      <c r="P5400" s="1" t="s">
        <v>31</v>
      </c>
      <c r="Q5400" s="1" t="s">
        <v>228</v>
      </c>
      <c r="R5400" s="1" t="s">
        <v>228</v>
      </c>
      <c r="S5400" s="1" t="s">
        <v>229</v>
      </c>
      <c r="T5400" s="1" t="s">
        <v>513</v>
      </c>
      <c r="U5400" s="1">
        <v>1.00612509E8</v>
      </c>
      <c r="X5400" s="1" t="s">
        <v>74</v>
      </c>
      <c r="Y5400" s="1" t="s">
        <v>13944</v>
      </c>
      <c r="Z5400" s="1" t="s">
        <v>37</v>
      </c>
    </row>
    <row r="5401" hidden="1">
      <c r="A5401" s="1" t="s">
        <v>14986</v>
      </c>
      <c r="B5401" s="1" t="s">
        <v>14987</v>
      </c>
      <c r="C5401" s="1" t="s">
        <v>14988</v>
      </c>
      <c r="D5401" s="1" t="s">
        <v>27</v>
      </c>
      <c r="E5401" s="1" t="s">
        <v>28</v>
      </c>
      <c r="F5401" s="2">
        <v>39150.0</v>
      </c>
      <c r="G5401" s="1" t="s">
        <v>185</v>
      </c>
      <c r="H5401" s="4">
        <f>IFERROR(__xludf.DUMMYFUNCTION("DATE(INDEX(SPLIT(G5401,""/""),,3),INDEX(SPLIT(G5401,""/""),,2),INDEX(SPLIT(G5401,""/""),,1))"),44741.0)</f>
        <v>44741</v>
      </c>
      <c r="I5401" s="1" t="s">
        <v>1097</v>
      </c>
      <c r="J5401" s="4">
        <f>IFERROR(__xludf.DUMMYFUNCTION("DATE(INDEX(SPLIT(I5401,""/""),,3),INDEX(SPLIT(I5401,""/""),,2),INDEX(SPLIT(I5401,""/""),,1))"),45107.0)</f>
        <v>45107</v>
      </c>
      <c r="L5401" s="1">
        <v>0.0</v>
      </c>
      <c r="M5401" s="1" t="s">
        <v>11254</v>
      </c>
      <c r="N5401" s="1"/>
      <c r="O5401" s="1" t="s">
        <v>30</v>
      </c>
      <c r="P5401" s="1" t="s">
        <v>31</v>
      </c>
      <c r="Q5401" s="1" t="s">
        <v>228</v>
      </c>
      <c r="R5401" s="1" t="s">
        <v>228</v>
      </c>
      <c r="S5401" s="1" t="s">
        <v>229</v>
      </c>
      <c r="T5401" s="1" t="s">
        <v>513</v>
      </c>
      <c r="U5401" s="1">
        <v>1.00602248E8</v>
      </c>
      <c r="X5401" s="1" t="s">
        <v>254</v>
      </c>
      <c r="Y5401" s="1" t="s">
        <v>13944</v>
      </c>
      <c r="Z5401" s="1" t="s">
        <v>37</v>
      </c>
    </row>
    <row r="5402" hidden="1">
      <c r="A5402" s="1" t="s">
        <v>14989</v>
      </c>
      <c r="B5402" s="1" t="s">
        <v>14990</v>
      </c>
      <c r="C5402" s="1" t="s">
        <v>14991</v>
      </c>
      <c r="D5402" s="1" t="s">
        <v>122</v>
      </c>
      <c r="E5402" s="1" t="s">
        <v>28</v>
      </c>
      <c r="F5402" s="2">
        <v>39150.0</v>
      </c>
      <c r="G5402" s="4">
        <v>44478.0</v>
      </c>
      <c r="H5402" s="4">
        <f>IFERROR(__xludf.DUMMYFUNCTION("DATE(INDEX(SPLIT(G5402,""/""),,3),INDEX(SPLIT(G5402,""/""),,2),INDEX(SPLIT(G5402,""/""),,1))"),44449.0)</f>
        <v>44449</v>
      </c>
      <c r="I5402" s="1" t="s">
        <v>109</v>
      </c>
      <c r="J5402" s="4">
        <f>IFERROR(__xludf.DUMMYFUNCTION("DATE(INDEX(SPLIT(I5402,""/""),,3),INDEX(SPLIT(I5402,""/""),,2),INDEX(SPLIT(I5402,""/""),,1))"),44834.0)</f>
        <v>44834</v>
      </c>
      <c r="L5402" s="1">
        <v>0.0</v>
      </c>
      <c r="M5402" s="1" t="s">
        <v>11254</v>
      </c>
      <c r="N5402" s="1"/>
      <c r="O5402" s="1" t="s">
        <v>30</v>
      </c>
      <c r="P5402" s="1" t="s">
        <v>31</v>
      </c>
      <c r="Q5402" s="1" t="s">
        <v>228</v>
      </c>
      <c r="R5402" s="1" t="s">
        <v>228</v>
      </c>
      <c r="S5402" s="1" t="s">
        <v>229</v>
      </c>
      <c r="T5402" s="1" t="s">
        <v>513</v>
      </c>
      <c r="U5402" s="1">
        <v>1.00602248E8</v>
      </c>
      <c r="X5402" s="1" t="s">
        <v>74</v>
      </c>
      <c r="Y5402" s="1" t="s">
        <v>12637</v>
      </c>
      <c r="Z5402" s="1" t="s">
        <v>37</v>
      </c>
    </row>
    <row r="5403" hidden="1">
      <c r="A5403" s="1" t="s">
        <v>14992</v>
      </c>
      <c r="B5403" s="1" t="s">
        <v>370</v>
      </c>
      <c r="C5403" s="1" t="s">
        <v>14993</v>
      </c>
      <c r="D5403" s="1" t="s">
        <v>27</v>
      </c>
      <c r="E5403" s="1" t="s">
        <v>28</v>
      </c>
      <c r="F5403" s="2">
        <v>39150.0</v>
      </c>
      <c r="G5403" s="1" t="s">
        <v>359</v>
      </c>
      <c r="H5403" s="4">
        <f>IFERROR(__xludf.DUMMYFUNCTION("DATE(INDEX(SPLIT(G5403,""/""),,3),INDEX(SPLIT(G5403,""/""),,2),INDEX(SPLIT(G5403,""/""),,1))"),44740.0)</f>
        <v>44740</v>
      </c>
      <c r="I5403" s="4">
        <v>44907.0</v>
      </c>
      <c r="J5403" s="4">
        <f>IFERROR(__xludf.DUMMYFUNCTION("DATE(INDEX(SPLIT(I5403,""/""),,3),INDEX(SPLIT(I5403,""/""),,2),INDEX(SPLIT(I5403,""/""),,1))"),44907.0)</f>
        <v>44907</v>
      </c>
      <c r="L5403" s="1">
        <v>0.0</v>
      </c>
      <c r="M5403" s="1" t="s">
        <v>11254</v>
      </c>
      <c r="N5403" s="1"/>
      <c r="O5403" s="1" t="s">
        <v>30</v>
      </c>
      <c r="P5403" s="1" t="s">
        <v>31</v>
      </c>
      <c r="Q5403" s="1" t="s">
        <v>228</v>
      </c>
      <c r="R5403" s="1" t="s">
        <v>228</v>
      </c>
      <c r="S5403" s="1" t="s">
        <v>229</v>
      </c>
      <c r="U5403" s="1">
        <v>1.00602248E8</v>
      </c>
      <c r="X5403" s="1" t="s">
        <v>239</v>
      </c>
      <c r="Y5403" s="1" t="s">
        <v>12640</v>
      </c>
      <c r="Z5403" s="1" t="s">
        <v>37</v>
      </c>
    </row>
    <row r="5404" hidden="1">
      <c r="A5404" s="1" t="s">
        <v>14994</v>
      </c>
      <c r="B5404" s="1" t="s">
        <v>8788</v>
      </c>
      <c r="C5404" s="1" t="s">
        <v>14995</v>
      </c>
      <c r="D5404" s="1" t="s">
        <v>27</v>
      </c>
      <c r="E5404" s="1" t="s">
        <v>28</v>
      </c>
      <c r="F5404" s="2">
        <v>39150.0</v>
      </c>
      <c r="G5404" s="1" t="s">
        <v>619</v>
      </c>
      <c r="H5404" s="4">
        <f>IFERROR(__xludf.DUMMYFUNCTION("DATE(INDEX(SPLIT(G5404,""/""),,3),INDEX(SPLIT(G5404,""/""),,2),INDEX(SPLIT(G5404,""/""),,1))"),44490.0)</f>
        <v>44490</v>
      </c>
      <c r="I5404" s="1" t="s">
        <v>42</v>
      </c>
      <c r="J5404" s="4">
        <f>IFERROR(__xludf.DUMMYFUNCTION("DATE(INDEX(SPLIT(I5404,""/""),,3),INDEX(SPLIT(I5404,""/""),,2),INDEX(SPLIT(I5404,""/""),,1))"),44926.0)</f>
        <v>44926</v>
      </c>
      <c r="L5404" s="1">
        <v>0.0</v>
      </c>
      <c r="M5404" s="1" t="s">
        <v>11254</v>
      </c>
      <c r="N5404" s="1"/>
      <c r="O5404" s="1" t="s">
        <v>30</v>
      </c>
      <c r="P5404" s="1" t="s">
        <v>31</v>
      </c>
      <c r="Q5404" s="1" t="s">
        <v>228</v>
      </c>
      <c r="R5404" s="1" t="s">
        <v>228</v>
      </c>
      <c r="S5404" s="1" t="s">
        <v>229</v>
      </c>
      <c r="T5404" s="1" t="s">
        <v>513</v>
      </c>
      <c r="U5404" s="1">
        <v>1.00602248E8</v>
      </c>
      <c r="X5404" s="1" t="s">
        <v>74</v>
      </c>
      <c r="Y5404" s="1" t="s">
        <v>12637</v>
      </c>
      <c r="Z5404" s="1" t="s">
        <v>37</v>
      </c>
    </row>
    <row r="5405" hidden="1">
      <c r="A5405" s="1" t="s">
        <v>14996</v>
      </c>
      <c r="B5405" s="1" t="s">
        <v>3851</v>
      </c>
      <c r="C5405" s="1" t="s">
        <v>14997</v>
      </c>
      <c r="D5405" s="1" t="s">
        <v>27</v>
      </c>
      <c r="E5405" s="1" t="s">
        <v>28</v>
      </c>
      <c r="F5405" s="2">
        <v>39150.0</v>
      </c>
      <c r="G5405" s="4">
        <v>44205.0</v>
      </c>
      <c r="H5405" s="4">
        <f>IFERROR(__xludf.DUMMYFUNCTION("DATE(INDEX(SPLIT(G5405,""/""),,3),INDEX(SPLIT(G5405,""/""),,2),INDEX(SPLIT(G5405,""/""),,1))"),44440.0)</f>
        <v>44440</v>
      </c>
      <c r="I5405" s="1" t="s">
        <v>42</v>
      </c>
      <c r="J5405" s="4">
        <f>IFERROR(__xludf.DUMMYFUNCTION("DATE(INDEX(SPLIT(I5405,""/""),,3),INDEX(SPLIT(I5405,""/""),,2),INDEX(SPLIT(I5405,""/""),,1))"),44926.0)</f>
        <v>44926</v>
      </c>
      <c r="L5405" s="1">
        <v>0.0</v>
      </c>
      <c r="M5405" s="1" t="s">
        <v>11254</v>
      </c>
      <c r="N5405" s="1"/>
      <c r="O5405" s="1" t="s">
        <v>30</v>
      </c>
      <c r="P5405" s="1" t="s">
        <v>31</v>
      </c>
      <c r="Q5405" s="1" t="s">
        <v>228</v>
      </c>
      <c r="R5405" s="1" t="s">
        <v>228</v>
      </c>
      <c r="S5405" s="1" t="s">
        <v>229</v>
      </c>
      <c r="T5405" s="1" t="s">
        <v>513</v>
      </c>
      <c r="U5405" s="1">
        <v>1.00602248E8</v>
      </c>
      <c r="X5405" s="1" t="s">
        <v>74</v>
      </c>
      <c r="Y5405" s="1" t="s">
        <v>13638</v>
      </c>
      <c r="Z5405" s="1" t="s">
        <v>37</v>
      </c>
    </row>
    <row r="5406" hidden="1">
      <c r="A5406" s="1" t="s">
        <v>14998</v>
      </c>
      <c r="B5406" s="1" t="s">
        <v>14999</v>
      </c>
      <c r="C5406" s="1" t="s">
        <v>15000</v>
      </c>
      <c r="D5406" s="1" t="s">
        <v>27</v>
      </c>
      <c r="E5406" s="1" t="s">
        <v>28</v>
      </c>
      <c r="F5406" s="2">
        <v>39150.0</v>
      </c>
      <c r="G5406" s="4">
        <v>44599.0</v>
      </c>
      <c r="H5406" s="4">
        <f>IFERROR(__xludf.DUMMYFUNCTION("DATE(INDEX(SPLIT(G5406,""/""),,3),INDEX(SPLIT(G5406,""/""),,2),INDEX(SPLIT(G5406,""/""),,1))"),44744.0)</f>
        <v>44744</v>
      </c>
      <c r="I5406" s="1" t="s">
        <v>1097</v>
      </c>
      <c r="J5406" s="4">
        <f>IFERROR(__xludf.DUMMYFUNCTION("DATE(INDEX(SPLIT(I5406,""/""),,3),INDEX(SPLIT(I5406,""/""),,2),INDEX(SPLIT(I5406,""/""),,1))"),45107.0)</f>
        <v>45107</v>
      </c>
      <c r="L5406" s="1">
        <v>0.0</v>
      </c>
      <c r="M5406" s="1" t="s">
        <v>11254</v>
      </c>
      <c r="N5406" s="1"/>
      <c r="O5406" s="1" t="s">
        <v>30</v>
      </c>
      <c r="P5406" s="1" t="s">
        <v>31</v>
      </c>
      <c r="Q5406" s="1" t="s">
        <v>228</v>
      </c>
      <c r="R5406" s="1" t="s">
        <v>228</v>
      </c>
      <c r="S5406" s="1" t="s">
        <v>229</v>
      </c>
      <c r="T5406" s="1" t="s">
        <v>513</v>
      </c>
      <c r="U5406" s="1">
        <v>1.00602248E8</v>
      </c>
      <c r="X5406" s="1" t="s">
        <v>74</v>
      </c>
      <c r="Y5406" s="1" t="s">
        <v>14932</v>
      </c>
      <c r="Z5406" s="1" t="s">
        <v>37</v>
      </c>
    </row>
    <row r="5407" hidden="1">
      <c r="A5407" s="1" t="s">
        <v>15001</v>
      </c>
      <c r="B5407" s="1" t="s">
        <v>152</v>
      </c>
      <c r="C5407" s="1" t="s">
        <v>15002</v>
      </c>
      <c r="D5407" s="1" t="s">
        <v>27</v>
      </c>
      <c r="E5407" s="1" t="s">
        <v>28</v>
      </c>
      <c r="F5407" s="2">
        <v>39150.0</v>
      </c>
      <c r="G5407" s="4">
        <v>44599.0</v>
      </c>
      <c r="H5407" s="4">
        <f>IFERROR(__xludf.DUMMYFUNCTION("DATE(INDEX(SPLIT(G5407,""/""),,3),INDEX(SPLIT(G5407,""/""),,2),INDEX(SPLIT(G5407,""/""),,1))"),44744.0)</f>
        <v>44744</v>
      </c>
      <c r="I5407" s="1" t="s">
        <v>1097</v>
      </c>
      <c r="J5407" s="4">
        <f>IFERROR(__xludf.DUMMYFUNCTION("DATE(INDEX(SPLIT(I5407,""/""),,3),INDEX(SPLIT(I5407,""/""),,2),INDEX(SPLIT(I5407,""/""),,1))"),45107.0)</f>
        <v>45107</v>
      </c>
      <c r="L5407" s="1">
        <v>0.0</v>
      </c>
      <c r="M5407" s="1" t="s">
        <v>11254</v>
      </c>
      <c r="N5407" s="1"/>
      <c r="O5407" s="1" t="s">
        <v>30</v>
      </c>
      <c r="P5407" s="1" t="s">
        <v>31</v>
      </c>
      <c r="Q5407" s="1" t="s">
        <v>228</v>
      </c>
      <c r="R5407" s="1" t="s">
        <v>228</v>
      </c>
      <c r="S5407" s="1" t="s">
        <v>229</v>
      </c>
      <c r="T5407" s="1" t="s">
        <v>513</v>
      </c>
      <c r="U5407" s="1">
        <v>1.00602248E8</v>
      </c>
      <c r="X5407" s="1" t="s">
        <v>35</v>
      </c>
      <c r="Y5407" s="1" t="s">
        <v>12640</v>
      </c>
      <c r="Z5407" s="1" t="s">
        <v>37</v>
      </c>
    </row>
    <row r="5408" hidden="1">
      <c r="A5408" s="1" t="s">
        <v>15003</v>
      </c>
      <c r="B5408" s="1" t="s">
        <v>14879</v>
      </c>
      <c r="C5408" s="1" t="s">
        <v>15004</v>
      </c>
      <c r="D5408" s="1" t="s">
        <v>27</v>
      </c>
      <c r="E5408" s="1" t="s">
        <v>28</v>
      </c>
      <c r="F5408" s="2">
        <v>39150.0</v>
      </c>
      <c r="G5408" s="4">
        <v>44599.0</v>
      </c>
      <c r="H5408" s="4">
        <f>IFERROR(__xludf.DUMMYFUNCTION("DATE(INDEX(SPLIT(G5408,""/""),,3),INDEX(SPLIT(G5408,""/""),,2),INDEX(SPLIT(G5408,""/""),,1))"),44744.0)</f>
        <v>44744</v>
      </c>
      <c r="I5408" s="1" t="s">
        <v>1097</v>
      </c>
      <c r="J5408" s="4">
        <f>IFERROR(__xludf.DUMMYFUNCTION("DATE(INDEX(SPLIT(I5408,""/""),,3),INDEX(SPLIT(I5408,""/""),,2),INDEX(SPLIT(I5408,""/""),,1))"),45107.0)</f>
        <v>45107</v>
      </c>
      <c r="L5408" s="1">
        <v>0.0</v>
      </c>
      <c r="M5408" s="1" t="s">
        <v>1685</v>
      </c>
      <c r="N5408" s="1"/>
      <c r="O5408" s="1" t="s">
        <v>30</v>
      </c>
      <c r="P5408" s="1" t="s">
        <v>31</v>
      </c>
      <c r="Q5408" s="1" t="s">
        <v>228</v>
      </c>
      <c r="R5408" s="1" t="s">
        <v>228</v>
      </c>
      <c r="S5408" s="1" t="s">
        <v>229</v>
      </c>
      <c r="U5408" s="1">
        <v>1.00612055E8</v>
      </c>
      <c r="X5408" s="1" t="s">
        <v>98</v>
      </c>
      <c r="Y5408" s="1" t="s">
        <v>12640</v>
      </c>
      <c r="Z5408" s="1" t="s">
        <v>37</v>
      </c>
    </row>
    <row r="5409" hidden="1">
      <c r="A5409" s="1" t="s">
        <v>15005</v>
      </c>
      <c r="B5409" s="1" t="s">
        <v>15006</v>
      </c>
      <c r="C5409" s="1" t="s">
        <v>15007</v>
      </c>
      <c r="D5409" s="1" t="s">
        <v>27</v>
      </c>
      <c r="E5409" s="1" t="s">
        <v>28</v>
      </c>
      <c r="F5409" s="2">
        <v>39150.0</v>
      </c>
      <c r="G5409" s="4">
        <v>44599.0</v>
      </c>
      <c r="H5409" s="4">
        <f>IFERROR(__xludf.DUMMYFUNCTION("DATE(INDEX(SPLIT(G5409,""/""),,3),INDEX(SPLIT(G5409,""/""),,2),INDEX(SPLIT(G5409,""/""),,1))"),44744.0)</f>
        <v>44744</v>
      </c>
      <c r="I5409" s="1" t="s">
        <v>1097</v>
      </c>
      <c r="J5409" s="4">
        <f>IFERROR(__xludf.DUMMYFUNCTION("DATE(INDEX(SPLIT(I5409,""/""),,3),INDEX(SPLIT(I5409,""/""),,2),INDEX(SPLIT(I5409,""/""),,1))"),45107.0)</f>
        <v>45107</v>
      </c>
      <c r="L5409" s="1">
        <v>0.0</v>
      </c>
      <c r="M5409" s="1" t="s">
        <v>11254</v>
      </c>
      <c r="N5409" s="1"/>
      <c r="O5409" s="1" t="s">
        <v>30</v>
      </c>
      <c r="P5409" s="1" t="s">
        <v>31</v>
      </c>
      <c r="Q5409" s="1" t="s">
        <v>228</v>
      </c>
      <c r="R5409" s="1" t="s">
        <v>228</v>
      </c>
      <c r="S5409" s="1" t="s">
        <v>229</v>
      </c>
      <c r="T5409" s="1" t="s">
        <v>513</v>
      </c>
      <c r="U5409" s="1">
        <v>1.00602248E8</v>
      </c>
      <c r="X5409" s="1" t="s">
        <v>98</v>
      </c>
      <c r="Y5409" s="1" t="s">
        <v>12640</v>
      </c>
      <c r="Z5409" s="1" t="s">
        <v>37</v>
      </c>
    </row>
    <row r="5410" hidden="1">
      <c r="A5410" s="1" t="s">
        <v>15008</v>
      </c>
      <c r="B5410" s="1" t="s">
        <v>8664</v>
      </c>
      <c r="C5410" s="1" t="s">
        <v>15009</v>
      </c>
      <c r="D5410" s="1" t="s">
        <v>27</v>
      </c>
      <c r="E5410" s="1" t="s">
        <v>28</v>
      </c>
      <c r="F5410" s="2">
        <v>39150.0</v>
      </c>
      <c r="G5410" s="4">
        <v>44599.0</v>
      </c>
      <c r="H5410" s="4">
        <f>IFERROR(__xludf.DUMMYFUNCTION("DATE(INDEX(SPLIT(G5410,""/""),,3),INDEX(SPLIT(G5410,""/""),,2),INDEX(SPLIT(G5410,""/""),,1))"),44744.0)</f>
        <v>44744</v>
      </c>
      <c r="I5410" s="1" t="s">
        <v>1097</v>
      </c>
      <c r="J5410" s="4">
        <f>IFERROR(__xludf.DUMMYFUNCTION("DATE(INDEX(SPLIT(I5410,""/""),,3),INDEX(SPLIT(I5410,""/""),,2),INDEX(SPLIT(I5410,""/""),,1))"),45107.0)</f>
        <v>45107</v>
      </c>
      <c r="L5410" s="1">
        <v>0.0</v>
      </c>
      <c r="M5410" s="1" t="s">
        <v>12039</v>
      </c>
      <c r="N5410" s="1"/>
      <c r="O5410" s="1" t="s">
        <v>30</v>
      </c>
      <c r="P5410" s="1" t="s">
        <v>31</v>
      </c>
      <c r="Q5410" s="1" t="s">
        <v>228</v>
      </c>
      <c r="R5410" s="1" t="s">
        <v>228</v>
      </c>
      <c r="S5410" s="1" t="s">
        <v>229</v>
      </c>
      <c r="T5410" s="1" t="s">
        <v>513</v>
      </c>
      <c r="U5410" s="1">
        <v>1.00612509E8</v>
      </c>
      <c r="X5410" s="1" t="s">
        <v>74</v>
      </c>
      <c r="Y5410" s="1" t="s">
        <v>12640</v>
      </c>
      <c r="Z5410" s="1" t="s">
        <v>37</v>
      </c>
    </row>
    <row r="5411" hidden="1">
      <c r="A5411" s="1" t="s">
        <v>15010</v>
      </c>
      <c r="B5411" s="1" t="s">
        <v>591</v>
      </c>
      <c r="C5411" s="1" t="s">
        <v>15011</v>
      </c>
      <c r="D5411" s="1" t="s">
        <v>27</v>
      </c>
      <c r="E5411" s="1" t="s">
        <v>28</v>
      </c>
      <c r="F5411" s="2">
        <v>39150.0</v>
      </c>
      <c r="G5411" s="4">
        <v>44599.0</v>
      </c>
      <c r="H5411" s="4">
        <f>IFERROR(__xludf.DUMMYFUNCTION("DATE(INDEX(SPLIT(G5411,""/""),,3),INDEX(SPLIT(G5411,""/""),,2),INDEX(SPLIT(G5411,""/""),,1))"),44744.0)</f>
        <v>44744</v>
      </c>
      <c r="I5411" s="1" t="s">
        <v>1097</v>
      </c>
      <c r="J5411" s="4">
        <f>IFERROR(__xludf.DUMMYFUNCTION("DATE(INDEX(SPLIT(I5411,""/""),,3),INDEX(SPLIT(I5411,""/""),,2),INDEX(SPLIT(I5411,""/""),,1))"),45107.0)</f>
        <v>45107</v>
      </c>
      <c r="L5411" s="1">
        <v>0.0</v>
      </c>
      <c r="M5411" s="1" t="s">
        <v>1685</v>
      </c>
      <c r="N5411" s="1"/>
      <c r="O5411" s="1" t="s">
        <v>30</v>
      </c>
      <c r="P5411" s="1" t="s">
        <v>31</v>
      </c>
      <c r="Q5411" s="1" t="s">
        <v>228</v>
      </c>
      <c r="R5411" s="1" t="s">
        <v>228</v>
      </c>
      <c r="S5411" s="1" t="s">
        <v>229</v>
      </c>
      <c r="U5411" s="1">
        <v>1.00612055E8</v>
      </c>
      <c r="X5411" s="1" t="s">
        <v>35</v>
      </c>
      <c r="Y5411" s="1" t="s">
        <v>12640</v>
      </c>
      <c r="Z5411" s="1" t="s">
        <v>37</v>
      </c>
    </row>
    <row r="5412" hidden="1">
      <c r="A5412" s="1" t="s">
        <v>15012</v>
      </c>
      <c r="B5412" s="1" t="s">
        <v>15013</v>
      </c>
      <c r="C5412" s="1" t="s">
        <v>15014</v>
      </c>
      <c r="D5412" s="1" t="s">
        <v>27</v>
      </c>
      <c r="E5412" s="1" t="s">
        <v>28</v>
      </c>
      <c r="F5412" s="2">
        <v>39150.0</v>
      </c>
      <c r="G5412" s="4">
        <v>44568.0</v>
      </c>
      <c r="H5412" s="4">
        <f>IFERROR(__xludf.DUMMYFUNCTION("DATE(INDEX(SPLIT(G5412,""/""),,3),INDEX(SPLIT(G5412,""/""),,2),INDEX(SPLIT(G5412,""/""),,1))"),44743.0)</f>
        <v>44743</v>
      </c>
      <c r="I5412" s="1" t="s">
        <v>1097</v>
      </c>
      <c r="J5412" s="4">
        <f>IFERROR(__xludf.DUMMYFUNCTION("DATE(INDEX(SPLIT(I5412,""/""),,3),INDEX(SPLIT(I5412,""/""),,2),INDEX(SPLIT(I5412,""/""),,1))"),45107.0)</f>
        <v>45107</v>
      </c>
      <c r="L5412" s="1">
        <v>0.0</v>
      </c>
      <c r="M5412" s="1" t="s">
        <v>11254</v>
      </c>
      <c r="N5412" s="1"/>
      <c r="O5412" s="1" t="s">
        <v>30</v>
      </c>
      <c r="P5412" s="1" t="s">
        <v>31</v>
      </c>
      <c r="Q5412" s="1" t="s">
        <v>228</v>
      </c>
      <c r="R5412" s="1" t="s">
        <v>228</v>
      </c>
      <c r="S5412" s="1" t="s">
        <v>229</v>
      </c>
      <c r="T5412" s="1" t="s">
        <v>513</v>
      </c>
      <c r="U5412" s="1">
        <v>1.00602248E8</v>
      </c>
      <c r="X5412" s="1" t="s">
        <v>74</v>
      </c>
      <c r="Y5412" s="1" t="s">
        <v>12640</v>
      </c>
      <c r="Z5412" s="1" t="s">
        <v>37</v>
      </c>
    </row>
    <row r="5413" hidden="1">
      <c r="A5413" s="1" t="s">
        <v>15015</v>
      </c>
      <c r="B5413" s="1" t="s">
        <v>15016</v>
      </c>
      <c r="C5413" s="1" t="s">
        <v>15017</v>
      </c>
      <c r="D5413" s="1" t="s">
        <v>27</v>
      </c>
      <c r="E5413" s="1" t="s">
        <v>28</v>
      </c>
      <c r="F5413" s="2">
        <v>39150.0</v>
      </c>
      <c r="G5413" s="4">
        <v>44568.0</v>
      </c>
      <c r="H5413" s="4">
        <f>IFERROR(__xludf.DUMMYFUNCTION("DATE(INDEX(SPLIT(G5413,""/""),,3),INDEX(SPLIT(G5413,""/""),,2),INDEX(SPLIT(G5413,""/""),,1))"),44743.0)</f>
        <v>44743</v>
      </c>
      <c r="I5413" s="1" t="s">
        <v>1097</v>
      </c>
      <c r="J5413" s="4">
        <f>IFERROR(__xludf.DUMMYFUNCTION("DATE(INDEX(SPLIT(I5413,""/""),,3),INDEX(SPLIT(I5413,""/""),,2),INDEX(SPLIT(I5413,""/""),,1))"),45107.0)</f>
        <v>45107</v>
      </c>
      <c r="L5413" s="1">
        <v>0.0</v>
      </c>
      <c r="M5413" s="1" t="s">
        <v>12039</v>
      </c>
      <c r="N5413" s="1"/>
      <c r="O5413" s="1" t="s">
        <v>30</v>
      </c>
      <c r="P5413" s="1" t="s">
        <v>31</v>
      </c>
      <c r="Q5413" s="1" t="s">
        <v>228</v>
      </c>
      <c r="R5413" s="1" t="s">
        <v>228</v>
      </c>
      <c r="S5413" s="1" t="s">
        <v>229</v>
      </c>
      <c r="U5413" s="1">
        <v>1.00612509E8</v>
      </c>
      <c r="X5413" s="1" t="s">
        <v>74</v>
      </c>
      <c r="Y5413" s="1" t="s">
        <v>12640</v>
      </c>
      <c r="Z5413" s="1" t="s">
        <v>37</v>
      </c>
    </row>
    <row r="5414" hidden="1">
      <c r="A5414" s="1" t="s">
        <v>15018</v>
      </c>
      <c r="B5414" s="1" t="s">
        <v>2671</v>
      </c>
      <c r="C5414" s="1" t="s">
        <v>15019</v>
      </c>
      <c r="D5414" s="1" t="s">
        <v>27</v>
      </c>
      <c r="E5414" s="1" t="s">
        <v>28</v>
      </c>
      <c r="F5414" s="2">
        <v>39150.0</v>
      </c>
      <c r="G5414" s="4">
        <v>44568.0</v>
      </c>
      <c r="H5414" s="4">
        <f>IFERROR(__xludf.DUMMYFUNCTION("DATE(INDEX(SPLIT(G5414,""/""),,3),INDEX(SPLIT(G5414,""/""),,2),INDEX(SPLIT(G5414,""/""),,1))"),44743.0)</f>
        <v>44743</v>
      </c>
      <c r="I5414" s="1" t="s">
        <v>1097</v>
      </c>
      <c r="J5414" s="4">
        <f>IFERROR(__xludf.DUMMYFUNCTION("DATE(INDEX(SPLIT(I5414,""/""),,3),INDEX(SPLIT(I5414,""/""),,2),INDEX(SPLIT(I5414,""/""),,1))"),45107.0)</f>
        <v>45107</v>
      </c>
      <c r="L5414" s="1">
        <v>0.0</v>
      </c>
      <c r="M5414" s="1" t="s">
        <v>11254</v>
      </c>
      <c r="N5414" s="1"/>
      <c r="O5414" s="1" t="s">
        <v>30</v>
      </c>
      <c r="P5414" s="1" t="s">
        <v>31</v>
      </c>
      <c r="Q5414" s="1" t="s">
        <v>228</v>
      </c>
      <c r="R5414" s="1" t="s">
        <v>228</v>
      </c>
      <c r="S5414" s="1" t="s">
        <v>229</v>
      </c>
      <c r="T5414" s="1" t="s">
        <v>513</v>
      </c>
      <c r="U5414" s="1">
        <v>1.00602248E8</v>
      </c>
      <c r="X5414" s="1" t="s">
        <v>74</v>
      </c>
      <c r="Y5414" s="1" t="s">
        <v>12640</v>
      </c>
      <c r="Z5414" s="1" t="s">
        <v>37</v>
      </c>
    </row>
    <row r="5415" hidden="1">
      <c r="A5415" s="1" t="s">
        <v>15020</v>
      </c>
      <c r="B5415" s="1" t="s">
        <v>2889</v>
      </c>
      <c r="C5415" s="1" t="s">
        <v>15021</v>
      </c>
      <c r="D5415" s="1" t="s">
        <v>27</v>
      </c>
      <c r="E5415" s="1" t="s">
        <v>28</v>
      </c>
      <c r="F5415" s="2">
        <v>39150.0</v>
      </c>
      <c r="G5415" s="4">
        <v>44568.0</v>
      </c>
      <c r="H5415" s="4">
        <f>IFERROR(__xludf.DUMMYFUNCTION("DATE(INDEX(SPLIT(G5415,""/""),,3),INDEX(SPLIT(G5415,""/""),,2),INDEX(SPLIT(G5415,""/""),,1))"),44743.0)</f>
        <v>44743</v>
      </c>
      <c r="I5415" s="1" t="s">
        <v>1097</v>
      </c>
      <c r="J5415" s="4">
        <f>IFERROR(__xludf.DUMMYFUNCTION("DATE(INDEX(SPLIT(I5415,""/""),,3),INDEX(SPLIT(I5415,""/""),,2),INDEX(SPLIT(I5415,""/""),,1))"),45107.0)</f>
        <v>45107</v>
      </c>
      <c r="L5415" s="1">
        <v>0.0</v>
      </c>
      <c r="M5415" s="1" t="s">
        <v>11254</v>
      </c>
      <c r="N5415" s="1"/>
      <c r="O5415" s="1" t="s">
        <v>30</v>
      </c>
      <c r="P5415" s="1" t="s">
        <v>31</v>
      </c>
      <c r="Q5415" s="1" t="s">
        <v>228</v>
      </c>
      <c r="R5415" s="1" t="s">
        <v>228</v>
      </c>
      <c r="S5415" s="1" t="s">
        <v>229</v>
      </c>
      <c r="T5415" s="1" t="s">
        <v>513</v>
      </c>
      <c r="U5415" s="1">
        <v>1.00602248E8</v>
      </c>
      <c r="X5415" s="1" t="s">
        <v>74</v>
      </c>
      <c r="Y5415" s="1" t="s">
        <v>12640</v>
      </c>
      <c r="Z5415" s="1" t="s">
        <v>37</v>
      </c>
    </row>
    <row r="5416" hidden="1">
      <c r="A5416" s="1" t="s">
        <v>15022</v>
      </c>
      <c r="B5416" s="1" t="s">
        <v>10097</v>
      </c>
      <c r="C5416" s="1" t="s">
        <v>15023</v>
      </c>
      <c r="D5416" s="1" t="s">
        <v>27</v>
      </c>
      <c r="E5416" s="1" t="s">
        <v>28</v>
      </c>
      <c r="F5416" s="2">
        <v>39150.0</v>
      </c>
      <c r="G5416" s="4">
        <v>44568.0</v>
      </c>
      <c r="H5416" s="4">
        <f>IFERROR(__xludf.DUMMYFUNCTION("DATE(INDEX(SPLIT(G5416,""/""),,3),INDEX(SPLIT(G5416,""/""),,2),INDEX(SPLIT(G5416,""/""),,1))"),44743.0)</f>
        <v>44743</v>
      </c>
      <c r="I5416" s="1" t="s">
        <v>1097</v>
      </c>
      <c r="J5416" s="4">
        <f>IFERROR(__xludf.DUMMYFUNCTION("DATE(INDEX(SPLIT(I5416,""/""),,3),INDEX(SPLIT(I5416,""/""),,2),INDEX(SPLIT(I5416,""/""),,1))"),45107.0)</f>
        <v>45107</v>
      </c>
      <c r="L5416" s="1">
        <v>0.0</v>
      </c>
      <c r="M5416" s="1" t="s">
        <v>1685</v>
      </c>
      <c r="N5416" s="1"/>
      <c r="O5416" s="1" t="s">
        <v>30</v>
      </c>
      <c r="P5416" s="1" t="s">
        <v>31</v>
      </c>
      <c r="Q5416" s="1" t="s">
        <v>228</v>
      </c>
      <c r="R5416" s="1" t="s">
        <v>228</v>
      </c>
      <c r="S5416" s="1" t="s">
        <v>229</v>
      </c>
      <c r="U5416" s="1">
        <v>1.00612055E8</v>
      </c>
      <c r="X5416" s="1" t="s">
        <v>74</v>
      </c>
      <c r="Y5416" s="1" t="s">
        <v>12640</v>
      </c>
      <c r="Z5416" s="1" t="s">
        <v>37</v>
      </c>
    </row>
    <row r="5417" hidden="1">
      <c r="A5417" s="1" t="s">
        <v>15024</v>
      </c>
      <c r="B5417" s="1" t="s">
        <v>3655</v>
      </c>
      <c r="C5417" s="1" t="s">
        <v>15025</v>
      </c>
      <c r="D5417" s="1" t="s">
        <v>27</v>
      </c>
      <c r="E5417" s="1" t="s">
        <v>28</v>
      </c>
      <c r="F5417" s="2">
        <v>39150.0</v>
      </c>
      <c r="G5417" s="1" t="s">
        <v>779</v>
      </c>
      <c r="H5417" s="4">
        <f>IFERROR(__xludf.DUMMYFUNCTION("DATE(INDEX(SPLIT(G5417,""/""),,3),INDEX(SPLIT(G5417,""/""),,2),INDEX(SPLIT(G5417,""/""),,1))"),44734.0)</f>
        <v>44734</v>
      </c>
      <c r="I5417" s="1" t="s">
        <v>1097</v>
      </c>
      <c r="J5417" s="4">
        <f>IFERROR(__xludf.DUMMYFUNCTION("DATE(INDEX(SPLIT(I5417,""/""),,3),INDEX(SPLIT(I5417,""/""),,2),INDEX(SPLIT(I5417,""/""),,1))"),45107.0)</f>
        <v>45107</v>
      </c>
      <c r="L5417" s="1">
        <v>0.0</v>
      </c>
      <c r="M5417" s="1" t="s">
        <v>11254</v>
      </c>
      <c r="N5417" s="1"/>
      <c r="O5417" s="1" t="s">
        <v>30</v>
      </c>
      <c r="P5417" s="1" t="s">
        <v>31</v>
      </c>
      <c r="Q5417" s="1" t="s">
        <v>228</v>
      </c>
      <c r="R5417" s="1" t="s">
        <v>228</v>
      </c>
      <c r="S5417" s="1" t="s">
        <v>229</v>
      </c>
      <c r="T5417" s="1" t="s">
        <v>513</v>
      </c>
      <c r="U5417" s="1">
        <v>1.00602248E8</v>
      </c>
      <c r="X5417" s="1" t="s">
        <v>88</v>
      </c>
      <c r="Y5417" s="1" t="s">
        <v>12640</v>
      </c>
      <c r="Z5417" s="1" t="s">
        <v>37</v>
      </c>
    </row>
    <row r="5418">
      <c r="A5418" s="1" t="s">
        <v>15026</v>
      </c>
      <c r="B5418" s="1" t="s">
        <v>15027</v>
      </c>
      <c r="C5418" s="1" t="s">
        <v>15028</v>
      </c>
      <c r="D5418" s="1" t="s">
        <v>122</v>
      </c>
      <c r="E5418" s="1" t="s">
        <v>28</v>
      </c>
      <c r="F5418" s="2">
        <v>39000.0</v>
      </c>
      <c r="G5418" s="1" t="s">
        <v>1244</v>
      </c>
      <c r="H5418" s="4">
        <f>IFERROR(__xludf.DUMMYFUNCTION("DATE(INDEX(SPLIT(G5418,""/""),,3),INDEX(SPLIT(G5418,""/""),,2),INDEX(SPLIT(G5418,""/""),,1))"),44742.0)</f>
        <v>44742</v>
      </c>
      <c r="I5418" s="1" t="s">
        <v>418</v>
      </c>
      <c r="J5418" s="4">
        <f>IFERROR(__xludf.DUMMYFUNCTION("DATE(INDEX(SPLIT(I5418,""/""),,3),INDEX(SPLIT(I5418,""/""),,2),INDEX(SPLIT(I5418,""/""),,1))"),44755.0)</f>
        <v>44755</v>
      </c>
      <c r="K5418" s="9">
        <v>44902.79722222222</v>
      </c>
      <c r="L5418" s="1">
        <v>0.0</v>
      </c>
      <c r="M5418" s="1" t="s">
        <v>6570</v>
      </c>
      <c r="N5418" s="1"/>
      <c r="O5418" s="1" t="s">
        <v>30</v>
      </c>
      <c r="P5418" s="1" t="s">
        <v>31</v>
      </c>
      <c r="Q5418" s="1" t="s">
        <v>53</v>
      </c>
      <c r="R5418" s="1" t="s">
        <v>53</v>
      </c>
      <c r="S5418" s="1" t="s">
        <v>54</v>
      </c>
      <c r="T5418" s="1" t="s">
        <v>1386</v>
      </c>
      <c r="U5418" s="1">
        <v>1.01230882E8</v>
      </c>
      <c r="Y5418" s="1" t="s">
        <v>6570</v>
      </c>
      <c r="Z5418" s="1" t="s">
        <v>37</v>
      </c>
    </row>
    <row r="5419" hidden="1">
      <c r="A5419" s="1" t="s">
        <v>15029</v>
      </c>
      <c r="B5419" s="1" t="s">
        <v>14196</v>
      </c>
      <c r="C5419" s="1" t="s">
        <v>15030</v>
      </c>
      <c r="D5419" s="1" t="s">
        <v>78</v>
      </c>
      <c r="E5419" s="1" t="s">
        <v>28</v>
      </c>
      <c r="F5419" s="2">
        <v>39000.0</v>
      </c>
      <c r="G5419" s="1" t="s">
        <v>935</v>
      </c>
      <c r="H5419" s="4">
        <f>IFERROR(__xludf.DUMMYFUNCTION("DATE(INDEX(SPLIT(G5419,""/""),,3),INDEX(SPLIT(G5419,""/""),,2),INDEX(SPLIT(G5419,""/""),,1))"),44764.0)</f>
        <v>44764</v>
      </c>
      <c r="I5419" s="1" t="s">
        <v>430</v>
      </c>
      <c r="J5419" s="4">
        <f>IFERROR(__xludf.DUMMYFUNCTION("DATE(INDEX(SPLIT(I5419,""/""),,3),INDEX(SPLIT(I5419,""/""),,2),INDEX(SPLIT(I5419,""/""),,1))"),44985.0)</f>
        <v>44985</v>
      </c>
      <c r="L5419" s="1">
        <v>0.0</v>
      </c>
      <c r="M5419" s="1" t="s">
        <v>4735</v>
      </c>
      <c r="N5419" s="1"/>
      <c r="O5419" s="1" t="s">
        <v>30</v>
      </c>
      <c r="P5419" s="1" t="s">
        <v>31</v>
      </c>
      <c r="Q5419" s="1" t="s">
        <v>71</v>
      </c>
      <c r="R5419" s="1" t="s">
        <v>71</v>
      </c>
      <c r="S5419" s="1" t="s">
        <v>72</v>
      </c>
      <c r="T5419" s="1" t="s">
        <v>136</v>
      </c>
      <c r="U5419" s="1">
        <v>1.00609615E8</v>
      </c>
      <c r="X5419" s="1" t="s">
        <v>74</v>
      </c>
      <c r="Y5419" s="1" t="s">
        <v>2593</v>
      </c>
      <c r="Z5419" s="1" t="s">
        <v>206</v>
      </c>
    </row>
    <row r="5420" hidden="1">
      <c r="A5420" s="1" t="s">
        <v>15031</v>
      </c>
      <c r="B5420" s="1" t="s">
        <v>15032</v>
      </c>
      <c r="C5420" s="1" t="s">
        <v>15033</v>
      </c>
      <c r="D5420" s="1" t="s">
        <v>27</v>
      </c>
      <c r="E5420" s="1" t="s">
        <v>28</v>
      </c>
      <c r="F5420" s="2">
        <v>38000.0</v>
      </c>
      <c r="G5420" s="4">
        <v>44568.0</v>
      </c>
      <c r="H5420" s="4">
        <f>IFERROR(__xludf.DUMMYFUNCTION("DATE(INDEX(SPLIT(G5420,""/""),,3),INDEX(SPLIT(G5420,""/""),,2),INDEX(SPLIT(G5420,""/""),,1))"),44743.0)</f>
        <v>44743</v>
      </c>
      <c r="I5420" s="1" t="s">
        <v>1097</v>
      </c>
      <c r="J5420" s="4">
        <f>IFERROR(__xludf.DUMMYFUNCTION("DATE(INDEX(SPLIT(I5420,""/""),,3),INDEX(SPLIT(I5420,""/""),,2),INDEX(SPLIT(I5420,""/""),,1))"),45107.0)</f>
        <v>45107</v>
      </c>
      <c r="L5420" s="1">
        <v>0.0</v>
      </c>
      <c r="M5420" s="1" t="s">
        <v>11254</v>
      </c>
      <c r="N5420" s="1"/>
      <c r="O5420" s="1" t="s">
        <v>30</v>
      </c>
      <c r="P5420" s="1" t="s">
        <v>31</v>
      </c>
      <c r="Q5420" s="1" t="s">
        <v>228</v>
      </c>
      <c r="R5420" s="1" t="s">
        <v>228</v>
      </c>
      <c r="S5420" s="1" t="s">
        <v>229</v>
      </c>
      <c r="U5420" s="1">
        <v>1.00602248E8</v>
      </c>
      <c r="X5420" s="1" t="s">
        <v>254</v>
      </c>
      <c r="Y5420" s="1" t="s">
        <v>12640</v>
      </c>
      <c r="Z5420" s="1" t="s">
        <v>37</v>
      </c>
    </row>
    <row r="5421" hidden="1">
      <c r="A5421" s="1" t="s">
        <v>15034</v>
      </c>
      <c r="B5421" s="1" t="s">
        <v>177</v>
      </c>
      <c r="C5421" s="1" t="s">
        <v>15035</v>
      </c>
      <c r="D5421" s="1" t="s">
        <v>27</v>
      </c>
      <c r="E5421" s="1" t="s">
        <v>28</v>
      </c>
      <c r="F5421" s="2">
        <v>38000.0</v>
      </c>
      <c r="G5421" s="4">
        <v>44568.0</v>
      </c>
      <c r="H5421" s="4">
        <f>IFERROR(__xludf.DUMMYFUNCTION("DATE(INDEX(SPLIT(G5421,""/""),,3),INDEX(SPLIT(G5421,""/""),,2),INDEX(SPLIT(G5421,""/""),,1))"),44743.0)</f>
        <v>44743</v>
      </c>
      <c r="I5421" s="1" t="s">
        <v>1097</v>
      </c>
      <c r="J5421" s="4">
        <f>IFERROR(__xludf.DUMMYFUNCTION("DATE(INDEX(SPLIT(I5421,""/""),,3),INDEX(SPLIT(I5421,""/""),,2),INDEX(SPLIT(I5421,""/""),,1))"),45107.0)</f>
        <v>45107</v>
      </c>
      <c r="L5421" s="1">
        <v>0.0</v>
      </c>
      <c r="M5421" s="1" t="s">
        <v>12039</v>
      </c>
      <c r="N5421" s="1"/>
      <c r="O5421" s="1" t="s">
        <v>30</v>
      </c>
      <c r="P5421" s="1" t="s">
        <v>31</v>
      </c>
      <c r="Q5421" s="1" t="s">
        <v>228</v>
      </c>
      <c r="R5421" s="1" t="s">
        <v>228</v>
      </c>
      <c r="S5421" s="1" t="s">
        <v>229</v>
      </c>
      <c r="U5421" s="1">
        <v>1.00612509E8</v>
      </c>
      <c r="X5421" s="1" t="s">
        <v>74</v>
      </c>
      <c r="Y5421" s="1" t="s">
        <v>12640</v>
      </c>
      <c r="Z5421" s="1" t="s">
        <v>37</v>
      </c>
    </row>
    <row r="5422" hidden="1">
      <c r="A5422" s="1" t="s">
        <v>15036</v>
      </c>
      <c r="B5422" s="1" t="s">
        <v>15037</v>
      </c>
      <c r="C5422" s="1" t="s">
        <v>15038</v>
      </c>
      <c r="D5422" s="1" t="s">
        <v>78</v>
      </c>
      <c r="E5422" s="1" t="s">
        <v>28</v>
      </c>
      <c r="F5422" s="2">
        <v>38000.0</v>
      </c>
      <c r="G5422" s="1" t="s">
        <v>418</v>
      </c>
      <c r="H5422" s="4">
        <f>IFERROR(__xludf.DUMMYFUNCTION("DATE(INDEX(SPLIT(G5422,""/""),,3),INDEX(SPLIT(G5422,""/""),,2),INDEX(SPLIT(G5422,""/""),,1))"),44755.0)</f>
        <v>44755</v>
      </c>
      <c r="I5422" s="4">
        <v>44569.0</v>
      </c>
      <c r="J5422" s="4">
        <f>IFERROR(__xludf.DUMMYFUNCTION("DATE(INDEX(SPLIT(I5422,""/""),,3),INDEX(SPLIT(I5422,""/""),,2),INDEX(SPLIT(I5422,""/""),,1))"),44774.0)</f>
        <v>44774</v>
      </c>
      <c r="L5422" s="1">
        <v>0.0</v>
      </c>
      <c r="M5422" s="1" t="s">
        <v>3948</v>
      </c>
      <c r="N5422" s="1"/>
      <c r="O5422" s="1" t="s">
        <v>30</v>
      </c>
      <c r="P5422" s="1" t="s">
        <v>31</v>
      </c>
      <c r="Q5422" s="1" t="s">
        <v>228</v>
      </c>
      <c r="R5422" s="1" t="s">
        <v>228</v>
      </c>
      <c r="S5422" s="1" t="s">
        <v>229</v>
      </c>
      <c r="T5422" s="1" t="s">
        <v>513</v>
      </c>
      <c r="U5422" s="1">
        <v>1.0066189E8</v>
      </c>
      <c r="X5422" s="1" t="s">
        <v>46</v>
      </c>
      <c r="Y5422" s="1" t="s">
        <v>11181</v>
      </c>
      <c r="Z5422" s="1" t="s">
        <v>37</v>
      </c>
    </row>
    <row r="5423" hidden="1">
      <c r="A5423" s="1" t="s">
        <v>15039</v>
      </c>
      <c r="B5423" s="1" t="s">
        <v>12749</v>
      </c>
      <c r="C5423" s="1" t="s">
        <v>15040</v>
      </c>
      <c r="D5423" s="1" t="s">
        <v>27</v>
      </c>
      <c r="E5423" s="1" t="s">
        <v>28</v>
      </c>
      <c r="F5423" s="2">
        <v>38000.0</v>
      </c>
      <c r="G5423" s="1" t="s">
        <v>779</v>
      </c>
      <c r="H5423" s="4">
        <f>IFERROR(__xludf.DUMMYFUNCTION("DATE(INDEX(SPLIT(G5423,""/""),,3),INDEX(SPLIT(G5423,""/""),,2),INDEX(SPLIT(G5423,""/""),,1))"),44734.0)</f>
        <v>44734</v>
      </c>
      <c r="I5423" s="1" t="s">
        <v>1097</v>
      </c>
      <c r="J5423" s="4">
        <f>IFERROR(__xludf.DUMMYFUNCTION("DATE(INDEX(SPLIT(I5423,""/""),,3),INDEX(SPLIT(I5423,""/""),,2),INDEX(SPLIT(I5423,""/""),,1))"),45107.0)</f>
        <v>45107</v>
      </c>
      <c r="L5423" s="1">
        <v>0.0</v>
      </c>
      <c r="M5423" s="1" t="s">
        <v>11254</v>
      </c>
      <c r="N5423" s="1"/>
      <c r="O5423" s="1" t="s">
        <v>30</v>
      </c>
      <c r="P5423" s="1" t="s">
        <v>31</v>
      </c>
      <c r="Q5423" s="1" t="s">
        <v>228</v>
      </c>
      <c r="R5423" s="1" t="s">
        <v>228</v>
      </c>
      <c r="S5423" s="1" t="s">
        <v>229</v>
      </c>
      <c r="U5423" s="1">
        <v>1.00602248E8</v>
      </c>
      <c r="X5423" s="1" t="s">
        <v>361</v>
      </c>
      <c r="Y5423" s="1" t="s">
        <v>12637</v>
      </c>
      <c r="Z5423" s="1" t="s">
        <v>37</v>
      </c>
    </row>
    <row r="5424" hidden="1">
      <c r="A5424" s="1" t="s">
        <v>15041</v>
      </c>
      <c r="B5424" s="1" t="s">
        <v>532</v>
      </c>
      <c r="C5424" s="1" t="s">
        <v>15042</v>
      </c>
      <c r="D5424" s="1" t="s">
        <v>27</v>
      </c>
      <c r="E5424" s="1" t="s">
        <v>28</v>
      </c>
      <c r="F5424" s="2">
        <v>38000.0</v>
      </c>
      <c r="G5424" s="1" t="s">
        <v>359</v>
      </c>
      <c r="H5424" s="4">
        <f>IFERROR(__xludf.DUMMYFUNCTION("DATE(INDEX(SPLIT(G5424,""/""),,3),INDEX(SPLIT(G5424,""/""),,2),INDEX(SPLIT(G5424,""/""),,1))"),44740.0)</f>
        <v>44740</v>
      </c>
      <c r="I5424" s="1" t="s">
        <v>1097</v>
      </c>
      <c r="J5424" s="4">
        <f>IFERROR(__xludf.DUMMYFUNCTION("DATE(INDEX(SPLIT(I5424,""/""),,3),INDEX(SPLIT(I5424,""/""),,2),INDEX(SPLIT(I5424,""/""),,1))"),45107.0)</f>
        <v>45107</v>
      </c>
      <c r="L5424" s="1">
        <v>0.0</v>
      </c>
      <c r="M5424" s="1" t="s">
        <v>11254</v>
      </c>
      <c r="N5424" s="1"/>
      <c r="O5424" s="1" t="s">
        <v>30</v>
      </c>
      <c r="P5424" s="1" t="s">
        <v>31</v>
      </c>
      <c r="Q5424" s="1" t="s">
        <v>228</v>
      </c>
      <c r="R5424" s="1" t="s">
        <v>228</v>
      </c>
      <c r="S5424" s="1" t="s">
        <v>229</v>
      </c>
      <c r="T5424" s="1" t="s">
        <v>513</v>
      </c>
      <c r="U5424" s="1">
        <v>1.00602248E8</v>
      </c>
      <c r="X5424" s="1" t="s">
        <v>490</v>
      </c>
      <c r="Y5424" s="1" t="s">
        <v>13944</v>
      </c>
      <c r="Z5424" s="1" t="s">
        <v>37</v>
      </c>
    </row>
    <row r="5425">
      <c r="A5425" s="1" t="s">
        <v>15043</v>
      </c>
      <c r="B5425" s="1" t="s">
        <v>3802</v>
      </c>
      <c r="C5425" s="1" t="s">
        <v>15044</v>
      </c>
      <c r="D5425" s="1" t="s">
        <v>78</v>
      </c>
      <c r="E5425" s="1" t="s">
        <v>28</v>
      </c>
      <c r="F5425" s="2">
        <v>37500.0</v>
      </c>
      <c r="G5425" s="4">
        <v>44777.0</v>
      </c>
      <c r="H5425" s="4">
        <f>IFERROR(__xludf.DUMMYFUNCTION("DATE(INDEX(SPLIT(G5425,""/""),,3),INDEX(SPLIT(G5425,""/""),,2),INDEX(SPLIT(G5425,""/""),,1))"),44659.0)</f>
        <v>44659</v>
      </c>
      <c r="I5425" s="1" t="s">
        <v>226</v>
      </c>
      <c r="J5425" s="4">
        <f>IFERROR(__xludf.DUMMYFUNCTION("DATE(INDEX(SPLIT(I5425,""/""),,3),INDEX(SPLIT(I5425,""/""),,2),INDEX(SPLIT(I5425,""/""),,1))"),44771.0)</f>
        <v>44771</v>
      </c>
      <c r="L5425" s="1">
        <v>0.0</v>
      </c>
      <c r="M5425" s="1" t="s">
        <v>2752</v>
      </c>
      <c r="N5425" s="1"/>
      <c r="O5425" s="1" t="s">
        <v>30</v>
      </c>
      <c r="P5425" s="1" t="s">
        <v>31</v>
      </c>
      <c r="Q5425" s="1" t="s">
        <v>235</v>
      </c>
      <c r="R5425" s="1" t="s">
        <v>235</v>
      </c>
      <c r="S5425" s="1" t="s">
        <v>236</v>
      </c>
      <c r="T5425" s="1" t="s">
        <v>1349</v>
      </c>
      <c r="U5425" s="1">
        <v>1.0062606E8</v>
      </c>
      <c r="X5425" s="1" t="s">
        <v>239</v>
      </c>
      <c r="Y5425" s="1" t="s">
        <v>15045</v>
      </c>
      <c r="Z5425" s="1" t="s">
        <v>37</v>
      </c>
    </row>
    <row r="5426" hidden="1">
      <c r="A5426" s="1" t="s">
        <v>15046</v>
      </c>
      <c r="B5426" s="1" t="s">
        <v>3802</v>
      </c>
      <c r="C5426" s="1" t="s">
        <v>15047</v>
      </c>
      <c r="D5426" s="1" t="s">
        <v>122</v>
      </c>
      <c r="E5426" s="1" t="s">
        <v>28</v>
      </c>
      <c r="F5426" s="2">
        <v>37500.0</v>
      </c>
      <c r="G5426" s="1" t="s">
        <v>2441</v>
      </c>
      <c r="H5426" s="4">
        <f>IFERROR(__xludf.DUMMYFUNCTION("DATE(INDEX(SPLIT(G5426,""/""),,3),INDEX(SPLIT(G5426,""/""),,2),INDEX(SPLIT(G5426,""/""),,1))"),44550.0)</f>
        <v>44550</v>
      </c>
      <c r="I5426" s="1" t="s">
        <v>786</v>
      </c>
      <c r="J5426" s="4">
        <f>IFERROR(__xludf.DUMMYFUNCTION("DATE(INDEX(SPLIT(I5426,""/""),,3),INDEX(SPLIT(I5426,""/""),,2),INDEX(SPLIT(I5426,""/""),,1))"),44915.0)</f>
        <v>44915</v>
      </c>
      <c r="L5426" s="1">
        <v>0.0</v>
      </c>
      <c r="M5426" s="1" t="s">
        <v>1814</v>
      </c>
      <c r="N5426" s="1"/>
      <c r="O5426" s="1" t="s">
        <v>30</v>
      </c>
      <c r="P5426" s="1" t="s">
        <v>31</v>
      </c>
      <c r="Q5426" s="1" t="s">
        <v>95</v>
      </c>
      <c r="R5426" s="1" t="s">
        <v>95</v>
      </c>
      <c r="S5426" s="1" t="s">
        <v>96</v>
      </c>
      <c r="T5426" s="1" t="s">
        <v>260</v>
      </c>
      <c r="U5426" s="1">
        <v>1.00597983E8</v>
      </c>
      <c r="V5426" s="1" t="s">
        <v>15047</v>
      </c>
      <c r="W5426" s="1" t="s">
        <v>2556</v>
      </c>
      <c r="X5426" s="1" t="s">
        <v>375</v>
      </c>
      <c r="Y5426" s="1" t="s">
        <v>2133</v>
      </c>
      <c r="Z5426" s="1" t="s">
        <v>206</v>
      </c>
    </row>
    <row r="5427">
      <c r="A5427" s="1" t="s">
        <v>15048</v>
      </c>
      <c r="B5427" s="1" t="s">
        <v>15049</v>
      </c>
      <c r="C5427" s="1" t="s">
        <v>15050</v>
      </c>
      <c r="D5427" s="1" t="s">
        <v>78</v>
      </c>
      <c r="E5427" s="1" t="s">
        <v>28</v>
      </c>
      <c r="F5427" s="2">
        <v>36000.0</v>
      </c>
      <c r="G5427" s="1" t="s">
        <v>164</v>
      </c>
      <c r="H5427" s="4">
        <f>IFERROR(__xludf.DUMMYFUNCTION("DATE(INDEX(SPLIT(G5427,""/""),,3),INDEX(SPLIT(G5427,""/""),,2),INDEX(SPLIT(G5427,""/""),,1))"),44706.0)</f>
        <v>44706</v>
      </c>
      <c r="I5427" s="1" t="s">
        <v>1244</v>
      </c>
      <c r="J5427" s="4">
        <f>IFERROR(__xludf.DUMMYFUNCTION("DATE(INDEX(SPLIT(I5427,""/""),,3),INDEX(SPLIT(I5427,""/""),,2),INDEX(SPLIT(I5427,""/""),,1))"),44742.0)</f>
        <v>44742</v>
      </c>
      <c r="L5427" s="1">
        <v>0.0</v>
      </c>
      <c r="M5427" s="1" t="s">
        <v>2568</v>
      </c>
      <c r="N5427" s="1"/>
      <c r="O5427" s="1" t="s">
        <v>30</v>
      </c>
      <c r="P5427" s="1" t="s">
        <v>31</v>
      </c>
      <c r="Q5427" s="1" t="s">
        <v>228</v>
      </c>
      <c r="R5427" s="1" t="s">
        <v>228</v>
      </c>
      <c r="S5427" s="1" t="s">
        <v>229</v>
      </c>
      <c r="T5427" s="1" t="s">
        <v>513</v>
      </c>
      <c r="U5427" s="1">
        <v>1.00659458E8</v>
      </c>
      <c r="X5427" s="1" t="s">
        <v>190</v>
      </c>
      <c r="Y5427" s="1" t="s">
        <v>5688</v>
      </c>
      <c r="Z5427" s="1" t="s">
        <v>37</v>
      </c>
    </row>
    <row r="5428">
      <c r="A5428" s="1" t="s">
        <v>15051</v>
      </c>
      <c r="B5428" s="1" t="s">
        <v>15052</v>
      </c>
      <c r="C5428" s="1" t="s">
        <v>15053</v>
      </c>
      <c r="D5428" s="1" t="s">
        <v>78</v>
      </c>
      <c r="E5428" s="1" t="s">
        <v>28</v>
      </c>
      <c r="F5428" s="2">
        <v>35000.0</v>
      </c>
      <c r="G5428" s="1" t="s">
        <v>429</v>
      </c>
      <c r="H5428" s="4">
        <f>IFERROR(__xludf.DUMMYFUNCTION("DATE(INDEX(SPLIT(G5428,""/""),,3),INDEX(SPLIT(G5428,""/""),,2),INDEX(SPLIT(G5428,""/""),,1))"),44739.0)</f>
        <v>44739</v>
      </c>
      <c r="I5428" s="1" t="s">
        <v>1141</v>
      </c>
      <c r="J5428" s="4">
        <f>IFERROR(__xludf.DUMMYFUNCTION("DATE(INDEX(SPLIT(I5428,""/""),,3),INDEX(SPLIT(I5428,""/""),,2),INDEX(SPLIT(I5428,""/""),,1))"),44767.0)</f>
        <v>44767</v>
      </c>
      <c r="L5428" s="1">
        <v>0.0</v>
      </c>
      <c r="M5428" s="1" t="s">
        <v>11181</v>
      </c>
      <c r="N5428" s="1"/>
      <c r="O5428" s="1" t="s">
        <v>30</v>
      </c>
      <c r="P5428" s="1" t="s">
        <v>31</v>
      </c>
      <c r="Q5428" s="1" t="s">
        <v>228</v>
      </c>
      <c r="R5428" s="1" t="s">
        <v>228</v>
      </c>
      <c r="S5428" s="1" t="s">
        <v>229</v>
      </c>
      <c r="T5428" s="1" t="s">
        <v>513</v>
      </c>
      <c r="U5428" s="1">
        <v>1.00629304E8</v>
      </c>
      <c r="X5428" s="1" t="s">
        <v>254</v>
      </c>
      <c r="Y5428" s="1" t="s">
        <v>11181</v>
      </c>
      <c r="Z5428" s="1" t="s">
        <v>527</v>
      </c>
    </row>
    <row r="5429">
      <c r="A5429" s="1" t="s">
        <v>15054</v>
      </c>
      <c r="B5429" s="1" t="s">
        <v>4321</v>
      </c>
      <c r="C5429" s="1" t="s">
        <v>15055</v>
      </c>
      <c r="D5429" s="1" t="s">
        <v>68</v>
      </c>
      <c r="E5429" s="1" t="s">
        <v>28</v>
      </c>
      <c r="F5429" s="2">
        <v>35000.0</v>
      </c>
      <c r="G5429" s="4">
        <v>44779.0</v>
      </c>
      <c r="H5429" s="4">
        <f>IFERROR(__xludf.DUMMYFUNCTION("DATE(INDEX(SPLIT(G5429,""/""),,3),INDEX(SPLIT(G5429,""/""),,2),INDEX(SPLIT(G5429,""/""),,1))"),44720.0)</f>
        <v>44720</v>
      </c>
      <c r="I5429" s="1" t="s">
        <v>226</v>
      </c>
      <c r="J5429" s="4">
        <f>IFERROR(__xludf.DUMMYFUNCTION("DATE(INDEX(SPLIT(I5429,""/""),,3),INDEX(SPLIT(I5429,""/""),,2),INDEX(SPLIT(I5429,""/""),,1))"),44771.0)</f>
        <v>44771</v>
      </c>
      <c r="L5429" s="1">
        <v>0.0</v>
      </c>
      <c r="M5429" s="1" t="s">
        <v>4323</v>
      </c>
      <c r="N5429" s="1"/>
      <c r="O5429" s="1" t="s">
        <v>30</v>
      </c>
      <c r="P5429" s="1" t="s">
        <v>31</v>
      </c>
      <c r="Q5429" s="1" t="s">
        <v>157</v>
      </c>
      <c r="R5429" s="1" t="s">
        <v>157</v>
      </c>
      <c r="S5429" s="1" t="s">
        <v>158</v>
      </c>
      <c r="U5429" s="1">
        <v>1.00607244E8</v>
      </c>
      <c r="X5429" s="1" t="s">
        <v>305</v>
      </c>
      <c r="Y5429" s="1" t="s">
        <v>6524</v>
      </c>
      <c r="Z5429" s="1" t="s">
        <v>37</v>
      </c>
    </row>
    <row r="5430" hidden="1">
      <c r="A5430" s="1" t="s">
        <v>15056</v>
      </c>
      <c r="B5430" s="1" t="s">
        <v>15057</v>
      </c>
      <c r="C5430" s="1" t="s">
        <v>15058</v>
      </c>
      <c r="D5430" s="1" t="s">
        <v>27</v>
      </c>
      <c r="E5430" s="1" t="s">
        <v>28</v>
      </c>
      <c r="F5430" s="2">
        <v>35000.0</v>
      </c>
      <c r="G5430" s="4">
        <v>44022.0</v>
      </c>
      <c r="H5430" s="4">
        <f>IFERROR(__xludf.DUMMYFUNCTION("DATE(INDEX(SPLIT(G5430,""/""),,3),INDEX(SPLIT(G5430,""/""),,2),INDEX(SPLIT(G5430,""/""),,1))"),44111.0)</f>
        <v>44111</v>
      </c>
      <c r="I5430" s="1" t="s">
        <v>42</v>
      </c>
      <c r="J5430" s="4">
        <f>IFERROR(__xludf.DUMMYFUNCTION("DATE(INDEX(SPLIT(I5430,""/""),,3),INDEX(SPLIT(I5430,""/""),,2),INDEX(SPLIT(I5430,""/""),,1))"),44926.0)</f>
        <v>44926</v>
      </c>
      <c r="L5430" s="1">
        <v>0.0</v>
      </c>
      <c r="M5430" s="1" t="s">
        <v>11254</v>
      </c>
      <c r="N5430" s="1"/>
      <c r="O5430" s="1" t="s">
        <v>30</v>
      </c>
      <c r="P5430" s="1" t="s">
        <v>31</v>
      </c>
      <c r="Q5430" s="1" t="s">
        <v>228</v>
      </c>
      <c r="R5430" s="1" t="s">
        <v>228</v>
      </c>
      <c r="S5430" s="1" t="s">
        <v>229</v>
      </c>
      <c r="T5430" s="1" t="s">
        <v>513</v>
      </c>
      <c r="U5430" s="1">
        <v>1.00602248E8</v>
      </c>
      <c r="X5430" s="1" t="s">
        <v>98</v>
      </c>
      <c r="Y5430" s="1" t="s">
        <v>13638</v>
      </c>
      <c r="Z5430" s="1" t="s">
        <v>37</v>
      </c>
    </row>
    <row r="5431" hidden="1">
      <c r="A5431" s="1" t="s">
        <v>15059</v>
      </c>
      <c r="B5431" s="1" t="s">
        <v>15060</v>
      </c>
      <c r="C5431" s="1" t="s">
        <v>15061</v>
      </c>
      <c r="D5431" s="1" t="s">
        <v>78</v>
      </c>
      <c r="E5431" s="1" t="s">
        <v>28</v>
      </c>
      <c r="F5431" s="2">
        <v>35000.0</v>
      </c>
      <c r="G5431" s="4">
        <v>44866.0</v>
      </c>
      <c r="H5431" s="4">
        <f>IFERROR(__xludf.DUMMYFUNCTION("DATE(INDEX(SPLIT(G5431,""/""),,3),INDEX(SPLIT(G5431,""/""),,2),INDEX(SPLIT(G5431,""/""),,1))"),44572.0)</f>
        <v>44572</v>
      </c>
      <c r="I5431" s="1" t="s">
        <v>109</v>
      </c>
      <c r="J5431" s="4">
        <f>IFERROR(__xludf.DUMMYFUNCTION("DATE(INDEX(SPLIT(I5431,""/""),,3),INDEX(SPLIT(I5431,""/""),,2),INDEX(SPLIT(I5431,""/""),,1))"),44834.0)</f>
        <v>44834</v>
      </c>
      <c r="L5431" s="1">
        <v>0.0</v>
      </c>
      <c r="M5431" s="1" t="s">
        <v>11254</v>
      </c>
      <c r="N5431" s="1"/>
      <c r="O5431" s="1" t="s">
        <v>30</v>
      </c>
      <c r="P5431" s="1" t="s">
        <v>31</v>
      </c>
      <c r="Q5431" s="1" t="s">
        <v>228</v>
      </c>
      <c r="R5431" s="1" t="s">
        <v>228</v>
      </c>
      <c r="S5431" s="1" t="s">
        <v>229</v>
      </c>
      <c r="T5431" s="1" t="s">
        <v>513</v>
      </c>
      <c r="U5431" s="1">
        <v>1.00602248E8</v>
      </c>
      <c r="X5431" s="1" t="s">
        <v>98</v>
      </c>
      <c r="Y5431" s="1" t="s">
        <v>14932</v>
      </c>
      <c r="Z5431" s="1" t="s">
        <v>37</v>
      </c>
    </row>
    <row r="5432" hidden="1">
      <c r="A5432" s="1" t="s">
        <v>15062</v>
      </c>
      <c r="B5432" s="1" t="s">
        <v>15063</v>
      </c>
      <c r="C5432" s="1" t="s">
        <v>15064</v>
      </c>
      <c r="D5432" s="1" t="s">
        <v>122</v>
      </c>
      <c r="E5432" s="1" t="s">
        <v>28</v>
      </c>
      <c r="F5432" s="2">
        <v>35000.0</v>
      </c>
      <c r="G5432" s="1" t="s">
        <v>2791</v>
      </c>
      <c r="H5432" s="4">
        <f>IFERROR(__xludf.DUMMYFUNCTION("DATE(INDEX(SPLIT(G5432,""/""),,3),INDEX(SPLIT(G5432,""/""),,2),INDEX(SPLIT(G5432,""/""),,1))"),44494.0)</f>
        <v>44494</v>
      </c>
      <c r="I5432" s="4">
        <v>44571.0</v>
      </c>
      <c r="J5432" s="4">
        <f>IFERROR(__xludf.DUMMYFUNCTION("DATE(INDEX(SPLIT(I5432,""/""),,3),INDEX(SPLIT(I5432,""/""),,2),INDEX(SPLIT(I5432,""/""),,1))"),44835.0)</f>
        <v>44835</v>
      </c>
      <c r="L5432" s="1">
        <v>0.0</v>
      </c>
      <c r="M5432" s="1" t="s">
        <v>3948</v>
      </c>
      <c r="N5432" s="1"/>
      <c r="O5432" s="1" t="s">
        <v>30</v>
      </c>
      <c r="P5432" s="1" t="s">
        <v>31</v>
      </c>
      <c r="Q5432" s="1" t="s">
        <v>228</v>
      </c>
      <c r="R5432" s="1" t="s">
        <v>228</v>
      </c>
      <c r="S5432" s="1" t="s">
        <v>229</v>
      </c>
      <c r="T5432" s="1" t="s">
        <v>513</v>
      </c>
      <c r="U5432" s="1">
        <v>1.0066189E8</v>
      </c>
      <c r="X5432" s="1" t="s">
        <v>2769</v>
      </c>
      <c r="Y5432" s="1" t="s">
        <v>11181</v>
      </c>
      <c r="Z5432" s="1" t="s">
        <v>37</v>
      </c>
    </row>
    <row r="5433" hidden="1">
      <c r="A5433" s="1" t="s">
        <v>15065</v>
      </c>
      <c r="B5433" s="1" t="s">
        <v>15066</v>
      </c>
      <c r="C5433" s="1" t="s">
        <v>15067</v>
      </c>
      <c r="D5433" s="1" t="s">
        <v>27</v>
      </c>
      <c r="E5433" s="1" t="s">
        <v>28</v>
      </c>
      <c r="F5433" s="2">
        <v>35000.0</v>
      </c>
      <c r="G5433" s="1" t="s">
        <v>418</v>
      </c>
      <c r="H5433" s="4">
        <f>IFERROR(__xludf.DUMMYFUNCTION("DATE(INDEX(SPLIT(G5433,""/""),,3),INDEX(SPLIT(G5433,""/""),,2),INDEX(SPLIT(G5433,""/""),,1))"),44755.0)</f>
        <v>44755</v>
      </c>
      <c r="I5433" s="4">
        <v>44569.0</v>
      </c>
      <c r="J5433" s="4">
        <f>IFERROR(__xludf.DUMMYFUNCTION("DATE(INDEX(SPLIT(I5433,""/""),,3),INDEX(SPLIT(I5433,""/""),,2),INDEX(SPLIT(I5433,""/""),,1))"),44774.0)</f>
        <v>44774</v>
      </c>
      <c r="L5433" s="1">
        <v>0.0</v>
      </c>
      <c r="M5433" s="1" t="s">
        <v>11623</v>
      </c>
      <c r="N5433" s="1"/>
      <c r="O5433" s="1" t="s">
        <v>30</v>
      </c>
      <c r="P5433" s="1" t="s">
        <v>31</v>
      </c>
      <c r="Q5433" s="1" t="s">
        <v>228</v>
      </c>
      <c r="R5433" s="1" t="s">
        <v>228</v>
      </c>
      <c r="S5433" s="1" t="s">
        <v>229</v>
      </c>
      <c r="T5433" s="1" t="s">
        <v>513</v>
      </c>
      <c r="U5433" s="1">
        <v>1.01154609E8</v>
      </c>
      <c r="X5433" s="1" t="s">
        <v>2769</v>
      </c>
      <c r="Y5433" s="1" t="s">
        <v>11181</v>
      </c>
      <c r="Z5433" s="1" t="s">
        <v>37</v>
      </c>
    </row>
    <row r="5434" hidden="1">
      <c r="A5434" s="1" t="s">
        <v>15068</v>
      </c>
      <c r="B5434" s="1" t="s">
        <v>15069</v>
      </c>
      <c r="C5434" s="1" t="s">
        <v>15070</v>
      </c>
      <c r="D5434" s="1" t="s">
        <v>27</v>
      </c>
      <c r="E5434" s="1" t="s">
        <v>28</v>
      </c>
      <c r="F5434" s="2">
        <v>35000.0</v>
      </c>
      <c r="G5434" s="1" t="s">
        <v>2655</v>
      </c>
      <c r="H5434" s="4">
        <f>IFERROR(__xludf.DUMMYFUNCTION("DATE(INDEX(SPLIT(G5434,""/""),,3),INDEX(SPLIT(G5434,""/""),,2),INDEX(SPLIT(G5434,""/""),,1))"),44467.0)</f>
        <v>44467</v>
      </c>
      <c r="I5434" s="1" t="s">
        <v>130</v>
      </c>
      <c r="J5434" s="4">
        <f>IFERROR(__xludf.DUMMYFUNCTION("DATE(INDEX(SPLIT(I5434,""/""),,3),INDEX(SPLIT(I5434,""/""),,2),INDEX(SPLIT(I5434,""/""),,1))"),44804.0)</f>
        <v>44804</v>
      </c>
      <c r="L5434" s="1">
        <v>0.0</v>
      </c>
      <c r="M5434" s="1" t="s">
        <v>11254</v>
      </c>
      <c r="N5434" s="1"/>
      <c r="O5434" s="1" t="s">
        <v>30</v>
      </c>
      <c r="P5434" s="1" t="s">
        <v>31</v>
      </c>
      <c r="Q5434" s="1" t="s">
        <v>228</v>
      </c>
      <c r="R5434" s="1" t="s">
        <v>228</v>
      </c>
      <c r="S5434" s="1" t="s">
        <v>229</v>
      </c>
      <c r="T5434" s="1" t="s">
        <v>505</v>
      </c>
      <c r="U5434" s="1">
        <v>1.00602248E8</v>
      </c>
      <c r="X5434" s="1" t="s">
        <v>88</v>
      </c>
      <c r="Y5434" s="1" t="s">
        <v>11485</v>
      </c>
      <c r="Z5434" s="1" t="s">
        <v>37</v>
      </c>
    </row>
    <row r="5435">
      <c r="A5435" s="1" t="s">
        <v>15071</v>
      </c>
      <c r="B5435" s="1" t="s">
        <v>12087</v>
      </c>
      <c r="C5435" s="1" t="s">
        <v>15072</v>
      </c>
      <c r="D5435" s="1" t="s">
        <v>122</v>
      </c>
      <c r="E5435" s="1" t="s">
        <v>28</v>
      </c>
      <c r="F5435" s="2">
        <v>35000.0</v>
      </c>
      <c r="G5435" s="4">
        <v>44837.0</v>
      </c>
      <c r="H5435" s="4">
        <f>IFERROR(__xludf.DUMMYFUNCTION("DATE(INDEX(SPLIT(G5435,""/""),,3),INDEX(SPLIT(G5435,""/""),,2),INDEX(SPLIT(G5435,""/""),,1))"),44630.0)</f>
        <v>44630</v>
      </c>
      <c r="I5435" s="1" t="s">
        <v>226</v>
      </c>
      <c r="J5435" s="4">
        <f>IFERROR(__xludf.DUMMYFUNCTION("DATE(INDEX(SPLIT(I5435,""/""),,3),INDEX(SPLIT(I5435,""/""),,2),INDEX(SPLIT(I5435,""/""),,1))"),44771.0)</f>
        <v>44771</v>
      </c>
      <c r="L5435" s="1">
        <v>0.0</v>
      </c>
      <c r="M5435" s="1" t="s">
        <v>9406</v>
      </c>
      <c r="N5435" s="1"/>
      <c r="O5435" s="1" t="s">
        <v>30</v>
      </c>
      <c r="P5435" s="1" t="s">
        <v>31</v>
      </c>
      <c r="Q5435" s="1" t="s">
        <v>228</v>
      </c>
      <c r="R5435" s="1" t="s">
        <v>228</v>
      </c>
      <c r="S5435" s="1" t="s">
        <v>229</v>
      </c>
      <c r="T5435" s="1" t="s">
        <v>513</v>
      </c>
      <c r="U5435" s="1">
        <v>1.01000708E8</v>
      </c>
      <c r="X5435" s="1" t="s">
        <v>239</v>
      </c>
      <c r="Y5435" s="1" t="s">
        <v>15073</v>
      </c>
      <c r="Z5435" s="1" t="s">
        <v>37</v>
      </c>
    </row>
    <row r="5436" hidden="1">
      <c r="A5436" s="1" t="s">
        <v>15074</v>
      </c>
      <c r="B5436" s="1" t="s">
        <v>15069</v>
      </c>
      <c r="C5436" s="1" t="s">
        <v>15075</v>
      </c>
      <c r="D5436" s="1" t="s">
        <v>78</v>
      </c>
      <c r="E5436" s="1" t="s">
        <v>28</v>
      </c>
      <c r="F5436" s="2">
        <v>34000.0</v>
      </c>
      <c r="G5436" s="1" t="s">
        <v>1302</v>
      </c>
      <c r="H5436" s="4">
        <f>IFERROR(__xludf.DUMMYFUNCTION("DATE(INDEX(SPLIT(G5436,""/""),,3),INDEX(SPLIT(G5436,""/""),,2),INDEX(SPLIT(G5436,""/""),,1))"),44589.0)</f>
        <v>44589</v>
      </c>
      <c r="I5436" s="1" t="s">
        <v>42</v>
      </c>
      <c r="J5436" s="4">
        <f>IFERROR(__xludf.DUMMYFUNCTION("DATE(INDEX(SPLIT(I5436,""/""),,3),INDEX(SPLIT(I5436,""/""),,2),INDEX(SPLIT(I5436,""/""),,1))"),44926.0)</f>
        <v>44926</v>
      </c>
      <c r="L5436" s="1">
        <v>0.0</v>
      </c>
      <c r="M5436" s="1" t="s">
        <v>11254</v>
      </c>
      <c r="N5436" s="1"/>
      <c r="O5436" s="1" t="s">
        <v>30</v>
      </c>
      <c r="P5436" s="1" t="s">
        <v>31</v>
      </c>
      <c r="Q5436" s="1" t="s">
        <v>228</v>
      </c>
      <c r="R5436" s="1" t="s">
        <v>228</v>
      </c>
      <c r="S5436" s="1" t="s">
        <v>229</v>
      </c>
      <c r="T5436" s="1" t="s">
        <v>640</v>
      </c>
      <c r="U5436" s="1">
        <v>1.00602248E8</v>
      </c>
      <c r="X5436" s="1" t="s">
        <v>88</v>
      </c>
      <c r="Y5436" s="1" t="s">
        <v>11485</v>
      </c>
      <c r="Z5436" s="1" t="s">
        <v>37</v>
      </c>
    </row>
    <row r="5437">
      <c r="A5437" s="1" t="s">
        <v>15076</v>
      </c>
      <c r="B5437" s="1" t="s">
        <v>15077</v>
      </c>
      <c r="C5437" s="1" t="s">
        <v>15078</v>
      </c>
      <c r="D5437" s="1" t="s">
        <v>78</v>
      </c>
      <c r="E5437" s="1" t="s">
        <v>28</v>
      </c>
      <c r="F5437" s="2">
        <v>33000.0</v>
      </c>
      <c r="G5437" s="1" t="s">
        <v>7819</v>
      </c>
      <c r="H5437" s="4">
        <f>IFERROR(__xludf.DUMMYFUNCTION("DATE(INDEX(SPLIT(G5437,""/""),,3),INDEX(SPLIT(G5437,""/""),,2),INDEX(SPLIT(G5437,""/""),,1))"),43859.0)</f>
        <v>43859</v>
      </c>
      <c r="I5437" s="1" t="s">
        <v>226</v>
      </c>
      <c r="J5437" s="4">
        <f>IFERROR(__xludf.DUMMYFUNCTION("DATE(INDEX(SPLIT(I5437,""/""),,3),INDEX(SPLIT(I5437,""/""),,2),INDEX(SPLIT(I5437,""/""),,1))"),44771.0)</f>
        <v>44771</v>
      </c>
      <c r="L5437" s="1">
        <v>0.0</v>
      </c>
      <c r="M5437" s="1" t="s">
        <v>2696</v>
      </c>
      <c r="N5437" s="1"/>
      <c r="O5437" s="1" t="s">
        <v>30</v>
      </c>
      <c r="P5437" s="1" t="s">
        <v>31</v>
      </c>
      <c r="Q5437" s="1" t="s">
        <v>157</v>
      </c>
      <c r="R5437" s="1" t="s">
        <v>157</v>
      </c>
      <c r="S5437" s="1" t="s">
        <v>158</v>
      </c>
      <c r="T5437" s="1" t="s">
        <v>402</v>
      </c>
      <c r="U5437" s="1">
        <v>1.00611351E8</v>
      </c>
      <c r="X5437" s="1" t="s">
        <v>781</v>
      </c>
      <c r="Y5437" s="1" t="s">
        <v>3016</v>
      </c>
      <c r="Z5437" s="1" t="s">
        <v>37</v>
      </c>
    </row>
    <row r="5438">
      <c r="A5438" s="1" t="s">
        <v>15079</v>
      </c>
      <c r="B5438" s="1" t="s">
        <v>15080</v>
      </c>
      <c r="C5438" s="1" t="s">
        <v>15081</v>
      </c>
      <c r="D5438" s="1" t="s">
        <v>78</v>
      </c>
      <c r="E5438" s="1" t="s">
        <v>28</v>
      </c>
      <c r="F5438" s="2">
        <v>32000.0</v>
      </c>
      <c r="G5438" s="4">
        <v>43657.0</v>
      </c>
      <c r="H5438" s="4">
        <f>IFERROR(__xludf.DUMMYFUNCTION("DATE(INDEX(SPLIT(G5438,""/""),,3),INDEX(SPLIT(G5438,""/""),,2),INDEX(SPLIT(G5438,""/""),,1))"),43776.0)</f>
        <v>43776</v>
      </c>
      <c r="I5438" s="1" t="s">
        <v>226</v>
      </c>
      <c r="J5438" s="4">
        <f>IFERROR(__xludf.DUMMYFUNCTION("DATE(INDEX(SPLIT(I5438,""/""),,3),INDEX(SPLIT(I5438,""/""),,2),INDEX(SPLIT(I5438,""/""),,1))"),44771.0)</f>
        <v>44771</v>
      </c>
      <c r="L5438" s="1">
        <v>0.0</v>
      </c>
      <c r="M5438" s="1" t="s">
        <v>2696</v>
      </c>
      <c r="N5438" s="1"/>
      <c r="O5438" s="1" t="s">
        <v>30</v>
      </c>
      <c r="P5438" s="1" t="s">
        <v>31</v>
      </c>
      <c r="Q5438" s="1" t="s">
        <v>157</v>
      </c>
      <c r="R5438" s="1" t="s">
        <v>157</v>
      </c>
      <c r="S5438" s="1" t="s">
        <v>158</v>
      </c>
      <c r="T5438" s="1" t="s">
        <v>402</v>
      </c>
      <c r="U5438" s="1">
        <v>1.00611351E8</v>
      </c>
      <c r="X5438" s="1" t="s">
        <v>781</v>
      </c>
      <c r="Y5438" s="1" t="s">
        <v>3016</v>
      </c>
      <c r="Z5438" s="1" t="s">
        <v>37</v>
      </c>
    </row>
    <row r="5439" hidden="1">
      <c r="A5439" s="1" t="s">
        <v>15082</v>
      </c>
      <c r="B5439" s="1" t="s">
        <v>15083</v>
      </c>
      <c r="C5439" s="1" t="s">
        <v>15084</v>
      </c>
      <c r="D5439" s="1" t="s">
        <v>122</v>
      </c>
      <c r="E5439" s="1" t="s">
        <v>28</v>
      </c>
      <c r="F5439" s="2">
        <v>31959.24</v>
      </c>
      <c r="G5439" s="4">
        <v>44902.0</v>
      </c>
      <c r="H5439" s="4">
        <f>IFERROR(__xludf.DUMMYFUNCTION("DATE(INDEX(SPLIT(G5439,""/""),,3),INDEX(SPLIT(G5439,""/""),,2),INDEX(SPLIT(G5439,""/""),,1))"),44754.0)</f>
        <v>44754</v>
      </c>
      <c r="I5439" s="1" t="s">
        <v>130</v>
      </c>
      <c r="J5439" s="4">
        <f>IFERROR(__xludf.DUMMYFUNCTION("DATE(INDEX(SPLIT(I5439,""/""),,3),INDEX(SPLIT(I5439,""/""),,2),INDEX(SPLIT(I5439,""/""),,1))"),44804.0)</f>
        <v>44804</v>
      </c>
      <c r="L5439" s="1">
        <v>0.0</v>
      </c>
      <c r="M5439" s="1" t="s">
        <v>8053</v>
      </c>
      <c r="N5439" s="1"/>
      <c r="O5439" s="1" t="s">
        <v>30</v>
      </c>
      <c r="P5439" s="1" t="s">
        <v>31</v>
      </c>
      <c r="Q5439" s="1" t="s">
        <v>1320</v>
      </c>
      <c r="R5439" s="1" t="s">
        <v>1320</v>
      </c>
      <c r="S5439" s="1" t="s">
        <v>33</v>
      </c>
      <c r="U5439" s="1">
        <v>1.00613849E8</v>
      </c>
      <c r="X5439" s="1" t="s">
        <v>190</v>
      </c>
      <c r="Y5439" s="1" t="s">
        <v>15085</v>
      </c>
      <c r="Z5439" s="1" t="s">
        <v>37</v>
      </c>
    </row>
    <row r="5440" hidden="1">
      <c r="A5440" s="1" t="s">
        <v>15086</v>
      </c>
      <c r="B5440" s="1" t="s">
        <v>15087</v>
      </c>
      <c r="C5440" s="1" t="s">
        <v>15088</v>
      </c>
      <c r="D5440" s="1" t="s">
        <v>122</v>
      </c>
      <c r="E5440" s="1" t="s">
        <v>28</v>
      </c>
      <c r="F5440" s="2">
        <v>30800.0</v>
      </c>
      <c r="G5440" s="1" t="s">
        <v>7843</v>
      </c>
      <c r="H5440" s="4">
        <f>IFERROR(__xludf.DUMMYFUNCTION("DATE(INDEX(SPLIT(G5440,""/""),,3),INDEX(SPLIT(G5440,""/""),,2),INDEX(SPLIT(G5440,""/""),,1))"),44639.0)</f>
        <v>44639</v>
      </c>
      <c r="I5440" s="1" t="s">
        <v>42</v>
      </c>
      <c r="J5440" s="4">
        <f>IFERROR(__xludf.DUMMYFUNCTION("DATE(INDEX(SPLIT(I5440,""/""),,3),INDEX(SPLIT(I5440,""/""),,2),INDEX(SPLIT(I5440,""/""),,1))"),44926.0)</f>
        <v>44926</v>
      </c>
      <c r="L5440" s="1">
        <v>0.0</v>
      </c>
      <c r="M5440" s="1" t="s">
        <v>5636</v>
      </c>
      <c r="N5440" s="1"/>
      <c r="O5440" s="1" t="s">
        <v>30</v>
      </c>
      <c r="P5440" s="1" t="s">
        <v>31</v>
      </c>
      <c r="Q5440" s="1" t="s">
        <v>228</v>
      </c>
      <c r="R5440" s="1" t="s">
        <v>228</v>
      </c>
      <c r="S5440" s="1" t="s">
        <v>229</v>
      </c>
      <c r="T5440" s="1" t="s">
        <v>513</v>
      </c>
      <c r="U5440" s="1">
        <v>1.00605581E8</v>
      </c>
      <c r="X5440" s="1" t="s">
        <v>46</v>
      </c>
      <c r="Y5440" s="1" t="s">
        <v>13107</v>
      </c>
      <c r="Z5440" s="1" t="s">
        <v>37</v>
      </c>
    </row>
    <row r="5441">
      <c r="A5441" s="1" t="s">
        <v>15089</v>
      </c>
      <c r="B5441" s="1" t="s">
        <v>15090</v>
      </c>
      <c r="C5441" s="1" t="s">
        <v>15091</v>
      </c>
      <c r="D5441" s="1" t="s">
        <v>78</v>
      </c>
      <c r="E5441" s="1" t="s">
        <v>28</v>
      </c>
      <c r="F5441" s="2">
        <v>30740.0</v>
      </c>
      <c r="G5441" s="1" t="s">
        <v>164</v>
      </c>
      <c r="H5441" s="4">
        <f>IFERROR(__xludf.DUMMYFUNCTION("DATE(INDEX(SPLIT(G5441,""/""),,3),INDEX(SPLIT(G5441,""/""),,2),INDEX(SPLIT(G5441,""/""),,1))"),44706.0)</f>
        <v>44706</v>
      </c>
      <c r="I5441" s="1" t="s">
        <v>1244</v>
      </c>
      <c r="J5441" s="4">
        <f>IFERROR(__xludf.DUMMYFUNCTION("DATE(INDEX(SPLIT(I5441,""/""),,3),INDEX(SPLIT(I5441,""/""),,2),INDEX(SPLIT(I5441,""/""),,1))"),44742.0)</f>
        <v>44742</v>
      </c>
      <c r="L5441" s="1">
        <v>0.0</v>
      </c>
      <c r="M5441" s="1" t="s">
        <v>9478</v>
      </c>
      <c r="N5441" s="1"/>
      <c r="O5441" s="1" t="s">
        <v>30</v>
      </c>
      <c r="P5441" s="1" t="s">
        <v>31</v>
      </c>
      <c r="Q5441" s="1" t="s">
        <v>228</v>
      </c>
      <c r="R5441" s="1" t="s">
        <v>228</v>
      </c>
      <c r="S5441" s="1" t="s">
        <v>229</v>
      </c>
      <c r="T5441" s="1" t="s">
        <v>513</v>
      </c>
      <c r="U5441" s="1">
        <v>1.00589357E8</v>
      </c>
      <c r="X5441" s="1" t="s">
        <v>239</v>
      </c>
      <c r="Y5441" s="1" t="s">
        <v>5688</v>
      </c>
      <c r="Z5441" s="1" t="s">
        <v>37</v>
      </c>
    </row>
    <row r="5442">
      <c r="A5442" s="1" t="s">
        <v>15092</v>
      </c>
      <c r="B5442" s="1" t="s">
        <v>15093</v>
      </c>
      <c r="C5442" s="1" t="s">
        <v>11861</v>
      </c>
      <c r="D5442" s="1" t="s">
        <v>68</v>
      </c>
      <c r="E5442" s="1" t="s">
        <v>28</v>
      </c>
      <c r="F5442" s="2">
        <v>30000.0</v>
      </c>
      <c r="G5442" s="4">
        <v>44872.0</v>
      </c>
      <c r="H5442" s="4">
        <f>IFERROR(__xludf.DUMMYFUNCTION("DATE(INDEX(SPLIT(G5442,""/""),,3),INDEX(SPLIT(G5442,""/""),,2),INDEX(SPLIT(G5442,""/""),,1))"),44753.0)</f>
        <v>44753</v>
      </c>
      <c r="I5442" s="1" t="s">
        <v>69</v>
      </c>
      <c r="J5442" s="4">
        <f>IFERROR(__xludf.DUMMYFUNCTION("DATE(INDEX(SPLIT(I5442,""/""),,3),INDEX(SPLIT(I5442,""/""),,2),INDEX(SPLIT(I5442,""/""),,1))"),44773.0)</f>
        <v>44773</v>
      </c>
      <c r="L5442" s="1">
        <v>0.0</v>
      </c>
      <c r="M5442" s="1" t="s">
        <v>11190</v>
      </c>
      <c r="N5442" s="1"/>
      <c r="O5442" s="1" t="s">
        <v>30</v>
      </c>
      <c r="P5442" s="1" t="s">
        <v>31</v>
      </c>
      <c r="Q5442" s="1" t="s">
        <v>228</v>
      </c>
      <c r="R5442" s="1" t="s">
        <v>228</v>
      </c>
      <c r="S5442" s="1" t="s">
        <v>229</v>
      </c>
      <c r="T5442" s="1" t="s">
        <v>513</v>
      </c>
      <c r="U5442" s="1">
        <v>1.00608136E8</v>
      </c>
      <c r="X5442" s="1" t="s">
        <v>63</v>
      </c>
      <c r="Y5442" s="1" t="s">
        <v>11862</v>
      </c>
      <c r="Z5442" s="1" t="s">
        <v>37</v>
      </c>
    </row>
    <row r="5443" hidden="1">
      <c r="A5443" s="1" t="s">
        <v>15094</v>
      </c>
      <c r="B5443" s="1" t="s">
        <v>1511</v>
      </c>
      <c r="C5443" s="1" t="s">
        <v>15095</v>
      </c>
      <c r="D5443" s="1" t="s">
        <v>78</v>
      </c>
      <c r="E5443" s="1" t="s">
        <v>28</v>
      </c>
      <c r="F5443" s="2">
        <v>30000.0</v>
      </c>
      <c r="G5443" s="1" t="s">
        <v>446</v>
      </c>
      <c r="H5443" s="4">
        <f>IFERROR(__xludf.DUMMYFUNCTION("DATE(INDEX(SPLIT(G5443,""/""),,3),INDEX(SPLIT(G5443,""/""),,2),INDEX(SPLIT(G5443,""/""),,1))"),44210.0)</f>
        <v>44210</v>
      </c>
      <c r="I5443" s="1" t="s">
        <v>203</v>
      </c>
      <c r="J5443" s="4">
        <f>IFERROR(__xludf.DUMMYFUNCTION("DATE(INDEX(SPLIT(I5443,""/""),,3),INDEX(SPLIT(I5443,""/""),,2),INDEX(SPLIT(I5443,""/""),,1))"),44925.0)</f>
        <v>44925</v>
      </c>
      <c r="L5443" s="1">
        <v>0.0</v>
      </c>
      <c r="M5443" s="1" t="s">
        <v>1840</v>
      </c>
      <c r="N5443" s="1"/>
      <c r="O5443" s="1" t="s">
        <v>30</v>
      </c>
      <c r="P5443" s="1" t="s">
        <v>31</v>
      </c>
      <c r="Q5443" s="1" t="s">
        <v>71</v>
      </c>
      <c r="R5443" s="1" t="s">
        <v>71</v>
      </c>
      <c r="S5443" s="1" t="s">
        <v>72</v>
      </c>
      <c r="T5443" s="1" t="s">
        <v>615</v>
      </c>
      <c r="U5443" s="1">
        <v>1.00617113E8</v>
      </c>
      <c r="X5443" s="1" t="s">
        <v>490</v>
      </c>
      <c r="Y5443" s="1" t="s">
        <v>8809</v>
      </c>
      <c r="Z5443" s="1" t="s">
        <v>37</v>
      </c>
    </row>
    <row r="5444">
      <c r="A5444" s="1" t="s">
        <v>15096</v>
      </c>
      <c r="B5444" s="1" t="s">
        <v>15097</v>
      </c>
      <c r="C5444" s="1" t="s">
        <v>15098</v>
      </c>
      <c r="D5444" s="1" t="s">
        <v>122</v>
      </c>
      <c r="E5444" s="1" t="s">
        <v>28</v>
      </c>
      <c r="F5444" s="2">
        <v>30000.0</v>
      </c>
      <c r="G5444" s="1" t="s">
        <v>2077</v>
      </c>
      <c r="H5444" s="4">
        <f>IFERROR(__xludf.DUMMYFUNCTION("DATE(INDEX(SPLIT(G5444,""/""),,3),INDEX(SPLIT(G5444,""/""),,2),INDEX(SPLIT(G5444,""/""),,1))"),44700.0)</f>
        <v>44700</v>
      </c>
      <c r="I5444" s="1" t="s">
        <v>1244</v>
      </c>
      <c r="J5444" s="4">
        <f>IFERROR(__xludf.DUMMYFUNCTION("DATE(INDEX(SPLIT(I5444,""/""),,3),INDEX(SPLIT(I5444,""/""),,2),INDEX(SPLIT(I5444,""/""),,1))"),44742.0)</f>
        <v>44742</v>
      </c>
      <c r="L5444" s="1">
        <v>0.0</v>
      </c>
      <c r="M5444" s="1" t="s">
        <v>7088</v>
      </c>
      <c r="N5444" s="1"/>
      <c r="O5444" s="1" t="s">
        <v>30</v>
      </c>
      <c r="P5444" s="1" t="s">
        <v>31</v>
      </c>
      <c r="Q5444" s="1" t="s">
        <v>228</v>
      </c>
      <c r="R5444" s="1" t="s">
        <v>228</v>
      </c>
      <c r="S5444" s="1" t="s">
        <v>229</v>
      </c>
      <c r="T5444" s="1" t="s">
        <v>513</v>
      </c>
      <c r="U5444" s="1">
        <v>1.00597339E8</v>
      </c>
      <c r="X5444" s="1" t="s">
        <v>81</v>
      </c>
      <c r="Y5444" s="1" t="s">
        <v>7089</v>
      </c>
      <c r="Z5444" s="1" t="s">
        <v>37</v>
      </c>
    </row>
    <row r="5445" hidden="1">
      <c r="A5445" s="1" t="s">
        <v>15099</v>
      </c>
      <c r="B5445" s="1" t="s">
        <v>15100</v>
      </c>
      <c r="C5445" s="1" t="s">
        <v>15101</v>
      </c>
      <c r="D5445" s="1" t="s">
        <v>78</v>
      </c>
      <c r="E5445" s="1" t="s">
        <v>28</v>
      </c>
      <c r="F5445" s="2">
        <v>30000.0</v>
      </c>
      <c r="G5445" s="1" t="s">
        <v>798</v>
      </c>
      <c r="H5445" s="4">
        <f>IFERROR(__xludf.DUMMYFUNCTION("DATE(INDEX(SPLIT(G5445,""/""),,3),INDEX(SPLIT(G5445,""/""),,2),INDEX(SPLIT(G5445,""/""),,1))"),44313.0)</f>
        <v>44313</v>
      </c>
      <c r="I5445" s="1" t="s">
        <v>42</v>
      </c>
      <c r="J5445" s="4">
        <f>IFERROR(__xludf.DUMMYFUNCTION("DATE(INDEX(SPLIT(I5445,""/""),,3),INDEX(SPLIT(I5445,""/""),,2),INDEX(SPLIT(I5445,""/""),,1))"),44926.0)</f>
        <v>44926</v>
      </c>
      <c r="L5445" s="1">
        <v>0.0</v>
      </c>
      <c r="M5445" s="1" t="s">
        <v>11254</v>
      </c>
      <c r="N5445" s="1"/>
      <c r="O5445" s="1" t="s">
        <v>30</v>
      </c>
      <c r="P5445" s="1" t="s">
        <v>31</v>
      </c>
      <c r="Q5445" s="1" t="s">
        <v>228</v>
      </c>
      <c r="R5445" s="1" t="s">
        <v>228</v>
      </c>
      <c r="S5445" s="1" t="s">
        <v>229</v>
      </c>
      <c r="T5445" s="1" t="s">
        <v>513</v>
      </c>
      <c r="U5445" s="1">
        <v>1.00602248E8</v>
      </c>
      <c r="X5445" s="1" t="s">
        <v>98</v>
      </c>
      <c r="Y5445" s="1" t="s">
        <v>13638</v>
      </c>
      <c r="Z5445" s="1" t="s">
        <v>37</v>
      </c>
    </row>
    <row r="5446" hidden="1">
      <c r="A5446" s="1" t="s">
        <v>15102</v>
      </c>
      <c r="B5446" s="1" t="s">
        <v>3288</v>
      </c>
      <c r="C5446" s="1" t="s">
        <v>15103</v>
      </c>
      <c r="D5446" s="1" t="s">
        <v>78</v>
      </c>
      <c r="E5446" s="1" t="s">
        <v>28</v>
      </c>
      <c r="F5446" s="2">
        <v>30000.0</v>
      </c>
      <c r="G5446" s="1" t="s">
        <v>1244</v>
      </c>
      <c r="H5446" s="4">
        <f>IFERROR(__xludf.DUMMYFUNCTION("DATE(INDEX(SPLIT(G5446,""/""),,3),INDEX(SPLIT(G5446,""/""),,2),INDEX(SPLIT(G5446,""/""),,1))"),44742.0)</f>
        <v>44742</v>
      </c>
      <c r="I5446" s="4">
        <v>44569.0</v>
      </c>
      <c r="J5446" s="4">
        <f>IFERROR(__xludf.DUMMYFUNCTION("DATE(INDEX(SPLIT(I5446,""/""),,3),INDEX(SPLIT(I5446,""/""),,2),INDEX(SPLIT(I5446,""/""),,1))"),44774.0)</f>
        <v>44774</v>
      </c>
      <c r="L5446" s="1">
        <v>0.0</v>
      </c>
      <c r="M5446" s="1" t="s">
        <v>1828</v>
      </c>
      <c r="N5446" s="1"/>
      <c r="O5446" s="1" t="s">
        <v>30</v>
      </c>
      <c r="P5446" s="1" t="s">
        <v>31</v>
      </c>
      <c r="Q5446" s="1" t="s">
        <v>235</v>
      </c>
      <c r="R5446" s="1" t="s">
        <v>235</v>
      </c>
      <c r="S5446" s="1" t="s">
        <v>236</v>
      </c>
      <c r="T5446" s="1" t="s">
        <v>1349</v>
      </c>
      <c r="U5446" s="1">
        <v>1.00593918E8</v>
      </c>
      <c r="X5446" s="1" t="s">
        <v>609</v>
      </c>
      <c r="Y5446" s="1" t="s">
        <v>1829</v>
      </c>
      <c r="Z5446" s="1" t="s">
        <v>37</v>
      </c>
    </row>
    <row r="5447">
      <c r="A5447" s="1" t="s">
        <v>15104</v>
      </c>
      <c r="B5447" s="1" t="s">
        <v>15105</v>
      </c>
      <c r="C5447" s="1" t="s">
        <v>15106</v>
      </c>
      <c r="D5447" s="1" t="s">
        <v>27</v>
      </c>
      <c r="E5447" s="1" t="s">
        <v>28</v>
      </c>
      <c r="F5447" s="2">
        <v>30000.0</v>
      </c>
      <c r="G5447" s="4">
        <v>43772.0</v>
      </c>
      <c r="H5447" s="4">
        <f>IFERROR(__xludf.DUMMYFUNCTION("DATE(INDEX(SPLIT(G5447,""/""),,3),INDEX(SPLIT(G5447,""/""),,2),INDEX(SPLIT(G5447,""/""),,1))"),43535.0)</f>
        <v>43535</v>
      </c>
      <c r="I5447" s="1" t="s">
        <v>414</v>
      </c>
      <c r="J5447" s="4">
        <f>IFERROR(__xludf.DUMMYFUNCTION("DATE(INDEX(SPLIT(I5447,""/""),,3),INDEX(SPLIT(I5447,""/""),,2),INDEX(SPLIT(I5447,""/""),,1))"),44772.0)</f>
        <v>44772</v>
      </c>
      <c r="L5447" s="1">
        <v>0.0</v>
      </c>
      <c r="M5447" s="1" t="s">
        <v>4735</v>
      </c>
      <c r="N5447" s="1"/>
      <c r="O5447" s="1" t="s">
        <v>30</v>
      </c>
      <c r="P5447" s="1" t="s">
        <v>31</v>
      </c>
      <c r="Q5447" s="1" t="s">
        <v>71</v>
      </c>
      <c r="R5447" s="1" t="s">
        <v>71</v>
      </c>
      <c r="S5447" s="1" t="s">
        <v>72</v>
      </c>
      <c r="T5447" s="1" t="s">
        <v>136</v>
      </c>
      <c r="U5447" s="1">
        <v>1.00609615E8</v>
      </c>
      <c r="X5447" s="1" t="s">
        <v>74</v>
      </c>
      <c r="Y5447" s="1" t="s">
        <v>12569</v>
      </c>
      <c r="Z5447" s="1" t="s">
        <v>206</v>
      </c>
    </row>
    <row r="5448" hidden="1">
      <c r="A5448" s="1" t="s">
        <v>15107</v>
      </c>
      <c r="B5448" s="1" t="s">
        <v>15108</v>
      </c>
      <c r="C5448" s="1" t="s">
        <v>15109</v>
      </c>
      <c r="D5448" s="1" t="s">
        <v>78</v>
      </c>
      <c r="E5448" s="1" t="s">
        <v>28</v>
      </c>
      <c r="F5448" s="2">
        <v>30000.0</v>
      </c>
      <c r="G5448" s="1" t="s">
        <v>210</v>
      </c>
      <c r="H5448" s="4">
        <f>IFERROR(__xludf.DUMMYFUNCTION("DATE(INDEX(SPLIT(G5448,""/""),,3),INDEX(SPLIT(G5448,""/""),,2),INDEX(SPLIT(G5448,""/""),,1))"),44329.0)</f>
        <v>44329</v>
      </c>
      <c r="I5448" s="1" t="s">
        <v>447</v>
      </c>
      <c r="J5448" s="4">
        <f>IFERROR(__xludf.DUMMYFUNCTION("DATE(INDEX(SPLIT(I5448,""/""),,3),INDEX(SPLIT(I5448,""/""),,2),INDEX(SPLIT(I5448,""/""),,1))"),44910.0)</f>
        <v>44910</v>
      </c>
      <c r="L5448" s="1">
        <v>0.0</v>
      </c>
      <c r="M5448" s="1" t="s">
        <v>11254</v>
      </c>
      <c r="N5448" s="1"/>
      <c r="O5448" s="1" t="s">
        <v>30</v>
      </c>
      <c r="P5448" s="1" t="s">
        <v>31</v>
      </c>
      <c r="Q5448" s="1" t="s">
        <v>228</v>
      </c>
      <c r="R5448" s="1" t="s">
        <v>228</v>
      </c>
      <c r="S5448" s="1" t="s">
        <v>229</v>
      </c>
      <c r="U5448" s="1">
        <v>1.00602248E8</v>
      </c>
      <c r="X5448" s="1" t="s">
        <v>98</v>
      </c>
      <c r="Y5448" s="1" t="s">
        <v>12637</v>
      </c>
      <c r="Z5448" s="1" t="s">
        <v>37</v>
      </c>
    </row>
    <row r="5449">
      <c r="A5449" s="1" t="s">
        <v>15110</v>
      </c>
      <c r="B5449" s="1" t="s">
        <v>15111</v>
      </c>
      <c r="C5449" s="1" t="s">
        <v>15112</v>
      </c>
      <c r="D5449" s="1" t="s">
        <v>68</v>
      </c>
      <c r="E5449" s="1" t="s">
        <v>28</v>
      </c>
      <c r="F5449" s="2">
        <v>30000.0</v>
      </c>
      <c r="G5449" s="1" t="s">
        <v>2110</v>
      </c>
      <c r="H5449" s="4">
        <f>IFERROR(__xludf.DUMMYFUNCTION("DATE(INDEX(SPLIT(G5449,""/""),,3),INDEX(SPLIT(G5449,""/""),,2),INDEX(SPLIT(G5449,""/""),,1))"),44650.0)</f>
        <v>44650</v>
      </c>
      <c r="I5449" s="1" t="s">
        <v>1244</v>
      </c>
      <c r="J5449" s="4">
        <f>IFERROR(__xludf.DUMMYFUNCTION("DATE(INDEX(SPLIT(I5449,""/""),,3),INDEX(SPLIT(I5449,""/""),,2),INDEX(SPLIT(I5449,""/""),,1))"),44742.0)</f>
        <v>44742</v>
      </c>
      <c r="L5449" s="1">
        <v>0.0</v>
      </c>
      <c r="M5449" s="1" t="s">
        <v>7088</v>
      </c>
      <c r="N5449" s="1"/>
      <c r="O5449" s="1" t="s">
        <v>30</v>
      </c>
      <c r="P5449" s="1" t="s">
        <v>31</v>
      </c>
      <c r="Q5449" s="1" t="s">
        <v>228</v>
      </c>
      <c r="R5449" s="1" t="s">
        <v>228</v>
      </c>
      <c r="S5449" s="1" t="s">
        <v>229</v>
      </c>
      <c r="T5449" s="1" t="s">
        <v>513</v>
      </c>
      <c r="U5449" s="1">
        <v>1.00597339E8</v>
      </c>
      <c r="X5449" s="1" t="s">
        <v>117</v>
      </c>
      <c r="Y5449" s="1" t="s">
        <v>7088</v>
      </c>
      <c r="Z5449" s="1" t="s">
        <v>37</v>
      </c>
    </row>
    <row r="5450" hidden="1">
      <c r="A5450" s="1" t="s">
        <v>15113</v>
      </c>
      <c r="B5450" s="1" t="s">
        <v>12597</v>
      </c>
      <c r="C5450" s="1" t="s">
        <v>15114</v>
      </c>
      <c r="D5450" s="1" t="s">
        <v>68</v>
      </c>
      <c r="E5450" s="1" t="s">
        <v>28</v>
      </c>
      <c r="F5450" s="2">
        <v>30000.0</v>
      </c>
      <c r="G5450" s="1" t="s">
        <v>2110</v>
      </c>
      <c r="H5450" s="4">
        <f>IFERROR(__xludf.DUMMYFUNCTION("DATE(INDEX(SPLIT(G5450,""/""),,3),INDEX(SPLIT(G5450,""/""),,2),INDEX(SPLIT(G5450,""/""),,1))"),44650.0)</f>
        <v>44650</v>
      </c>
      <c r="I5450" s="1" t="s">
        <v>130</v>
      </c>
      <c r="J5450" s="4">
        <f>IFERROR(__xludf.DUMMYFUNCTION("DATE(INDEX(SPLIT(I5450,""/""),,3),INDEX(SPLIT(I5450,""/""),,2),INDEX(SPLIT(I5450,""/""),,1))"),44804.0)</f>
        <v>44804</v>
      </c>
      <c r="L5450" s="1">
        <v>0.0</v>
      </c>
      <c r="M5450" s="1" t="s">
        <v>6045</v>
      </c>
      <c r="N5450" s="1"/>
      <c r="O5450" s="1" t="s">
        <v>30</v>
      </c>
      <c r="P5450" s="1" t="s">
        <v>31</v>
      </c>
      <c r="Q5450" s="1" t="s">
        <v>228</v>
      </c>
      <c r="R5450" s="1" t="s">
        <v>228</v>
      </c>
      <c r="S5450" s="1" t="s">
        <v>229</v>
      </c>
      <c r="T5450" s="1" t="s">
        <v>513</v>
      </c>
      <c r="U5450" s="1">
        <v>1.00652479E8</v>
      </c>
      <c r="X5450" s="1" t="s">
        <v>81</v>
      </c>
      <c r="Y5450" s="1" t="s">
        <v>15115</v>
      </c>
      <c r="Z5450" s="1" t="s">
        <v>37</v>
      </c>
    </row>
    <row r="5451" hidden="1">
      <c r="A5451" s="1" t="s">
        <v>15116</v>
      </c>
      <c r="B5451" s="1" t="s">
        <v>15117</v>
      </c>
      <c r="C5451" s="1" t="s">
        <v>15118</v>
      </c>
      <c r="D5451" s="1" t="s">
        <v>122</v>
      </c>
      <c r="E5451" s="1" t="s">
        <v>28</v>
      </c>
      <c r="F5451" s="2">
        <v>30000.0</v>
      </c>
      <c r="G5451" s="4">
        <v>44451.0</v>
      </c>
      <c r="H5451" s="4">
        <f>IFERROR(__xludf.DUMMYFUNCTION("DATE(INDEX(SPLIT(G5451,""/""),,3),INDEX(SPLIT(G5451,""/""),,2),INDEX(SPLIT(G5451,""/""),,1))"),44539.0)</f>
        <v>44539</v>
      </c>
      <c r="I5451" s="1" t="s">
        <v>203</v>
      </c>
      <c r="J5451" s="4">
        <f>IFERROR(__xludf.DUMMYFUNCTION("DATE(INDEX(SPLIT(I5451,""/""),,3),INDEX(SPLIT(I5451,""/""),,2),INDEX(SPLIT(I5451,""/""),,1))"),44925.0)</f>
        <v>44925</v>
      </c>
      <c r="L5451" s="1">
        <v>0.0</v>
      </c>
      <c r="M5451" s="1" t="s">
        <v>9854</v>
      </c>
      <c r="N5451" s="1"/>
      <c r="O5451" s="1" t="s">
        <v>30</v>
      </c>
      <c r="P5451" s="1" t="s">
        <v>31</v>
      </c>
      <c r="Q5451" s="1" t="s">
        <v>53</v>
      </c>
      <c r="R5451" s="1" t="s">
        <v>53</v>
      </c>
      <c r="S5451" s="1" t="s">
        <v>54</v>
      </c>
      <c r="T5451" s="1" t="s">
        <v>1386</v>
      </c>
      <c r="U5451" s="1">
        <v>1.01148689E8</v>
      </c>
      <c r="X5451" s="1" t="s">
        <v>125</v>
      </c>
      <c r="Y5451" s="1" t="s">
        <v>10287</v>
      </c>
      <c r="Z5451" s="1" t="s">
        <v>206</v>
      </c>
    </row>
    <row r="5452">
      <c r="A5452" s="1" t="s">
        <v>15119</v>
      </c>
      <c r="B5452" s="1" t="s">
        <v>15120</v>
      </c>
      <c r="C5452" s="1" t="s">
        <v>15121</v>
      </c>
      <c r="D5452" s="1" t="s">
        <v>78</v>
      </c>
      <c r="E5452" s="1" t="s">
        <v>28</v>
      </c>
      <c r="F5452" s="2">
        <v>30000.0</v>
      </c>
      <c r="G5452" s="1" t="s">
        <v>2324</v>
      </c>
      <c r="H5452" s="4">
        <f>IFERROR(__xludf.DUMMYFUNCTION("DATE(INDEX(SPLIT(G5452,""/""),,3),INDEX(SPLIT(G5452,""/""),,2),INDEX(SPLIT(G5452,""/""),,1))"),44705.0)</f>
        <v>44705</v>
      </c>
      <c r="I5452" s="1" t="s">
        <v>69</v>
      </c>
      <c r="J5452" s="4">
        <f>IFERROR(__xludf.DUMMYFUNCTION("DATE(INDEX(SPLIT(I5452,""/""),,3),INDEX(SPLIT(I5452,""/""),,2),INDEX(SPLIT(I5452,""/""),,1))"),44773.0)</f>
        <v>44773</v>
      </c>
      <c r="L5452" s="1">
        <v>0.0</v>
      </c>
      <c r="M5452" s="1" t="s">
        <v>2207</v>
      </c>
      <c r="N5452" s="1"/>
      <c r="O5452" s="1" t="s">
        <v>30</v>
      </c>
      <c r="P5452" s="1" t="s">
        <v>31</v>
      </c>
      <c r="Q5452" s="1" t="s">
        <v>228</v>
      </c>
      <c r="R5452" s="1" t="s">
        <v>228</v>
      </c>
      <c r="S5452" s="1" t="s">
        <v>229</v>
      </c>
      <c r="U5452" s="1">
        <v>1.00596618E8</v>
      </c>
      <c r="X5452" s="1" t="s">
        <v>490</v>
      </c>
      <c r="Y5452" s="1" t="s">
        <v>13491</v>
      </c>
      <c r="Z5452" s="1" t="s">
        <v>37</v>
      </c>
    </row>
    <row r="5453">
      <c r="A5453" s="1" t="s">
        <v>15122</v>
      </c>
      <c r="B5453" s="1" t="s">
        <v>15123</v>
      </c>
      <c r="C5453" s="1" t="s">
        <v>15124</v>
      </c>
      <c r="D5453" s="1" t="s">
        <v>78</v>
      </c>
      <c r="E5453" s="1" t="s">
        <v>28</v>
      </c>
      <c r="F5453" s="2">
        <v>30000.0</v>
      </c>
      <c r="G5453" s="4">
        <v>44900.0</v>
      </c>
      <c r="H5453" s="4">
        <f>IFERROR(__xludf.DUMMYFUNCTION("DATE(INDEX(SPLIT(G5453,""/""),,3),INDEX(SPLIT(G5453,""/""),,2),INDEX(SPLIT(G5453,""/""),,1))"),44693.0)</f>
        <v>44693</v>
      </c>
      <c r="I5453" s="1" t="s">
        <v>2300</v>
      </c>
      <c r="J5453" s="4">
        <f>IFERROR(__xludf.DUMMYFUNCTION("DATE(INDEX(SPLIT(I5453,""/""),,3),INDEX(SPLIT(I5453,""/""),,2),INDEX(SPLIT(I5453,""/""),,1))"),44712.0)</f>
        <v>44712</v>
      </c>
      <c r="L5453" s="1">
        <v>0.0</v>
      </c>
      <c r="M5453" s="1" t="s">
        <v>512</v>
      </c>
      <c r="N5453" s="1"/>
      <c r="O5453" s="1" t="s">
        <v>30</v>
      </c>
      <c r="P5453" s="1" t="s">
        <v>31</v>
      </c>
      <c r="Q5453" s="1" t="s">
        <v>228</v>
      </c>
      <c r="R5453" s="1" t="s">
        <v>228</v>
      </c>
      <c r="S5453" s="1" t="s">
        <v>229</v>
      </c>
      <c r="T5453" s="1" t="s">
        <v>513</v>
      </c>
      <c r="U5453" s="1">
        <v>1.00654864E8</v>
      </c>
      <c r="X5453" s="1" t="s">
        <v>63</v>
      </c>
      <c r="Y5453" s="1" t="s">
        <v>11118</v>
      </c>
      <c r="Z5453" s="1" t="s">
        <v>37</v>
      </c>
    </row>
    <row r="5454">
      <c r="A5454" s="1" t="s">
        <v>15125</v>
      </c>
      <c r="B5454" s="1" t="s">
        <v>15126</v>
      </c>
      <c r="C5454" s="1" t="s">
        <v>15127</v>
      </c>
      <c r="D5454" s="1" t="s">
        <v>78</v>
      </c>
      <c r="E5454" s="1" t="s">
        <v>28</v>
      </c>
      <c r="F5454" s="2">
        <v>30000.0</v>
      </c>
      <c r="G5454" s="4">
        <v>44869.0</v>
      </c>
      <c r="H5454" s="4">
        <f>IFERROR(__xludf.DUMMYFUNCTION("DATE(INDEX(SPLIT(G5454,""/""),,3),INDEX(SPLIT(G5454,""/""),,2),INDEX(SPLIT(G5454,""/""),,1))"),44662.0)</f>
        <v>44662</v>
      </c>
      <c r="I5454" s="1" t="s">
        <v>2300</v>
      </c>
      <c r="J5454" s="4">
        <f>IFERROR(__xludf.DUMMYFUNCTION("DATE(INDEX(SPLIT(I5454,""/""),,3),INDEX(SPLIT(I5454,""/""),,2),INDEX(SPLIT(I5454,""/""),,1))"),44712.0)</f>
        <v>44712</v>
      </c>
      <c r="L5454" s="1">
        <v>0.0</v>
      </c>
      <c r="M5454" s="1" t="s">
        <v>6045</v>
      </c>
      <c r="N5454" s="1"/>
      <c r="O5454" s="1" t="s">
        <v>30</v>
      </c>
      <c r="P5454" s="1" t="s">
        <v>31</v>
      </c>
      <c r="Q5454" s="1" t="s">
        <v>228</v>
      </c>
      <c r="R5454" s="1" t="s">
        <v>228</v>
      </c>
      <c r="S5454" s="1" t="s">
        <v>229</v>
      </c>
      <c r="T5454" s="1" t="s">
        <v>513</v>
      </c>
      <c r="U5454" s="1">
        <v>1.00652479E8</v>
      </c>
      <c r="X5454" s="1" t="s">
        <v>254</v>
      </c>
      <c r="Y5454" s="1" t="s">
        <v>13862</v>
      </c>
      <c r="Z5454" s="1" t="s">
        <v>37</v>
      </c>
    </row>
    <row r="5455">
      <c r="A5455" s="1" t="s">
        <v>15128</v>
      </c>
      <c r="B5455" s="1" t="s">
        <v>15129</v>
      </c>
      <c r="C5455" s="1" t="s">
        <v>15130</v>
      </c>
      <c r="D5455" s="1" t="s">
        <v>122</v>
      </c>
      <c r="E5455" s="1" t="s">
        <v>28</v>
      </c>
      <c r="F5455" s="2">
        <v>30000.0</v>
      </c>
      <c r="G5455" s="1" t="s">
        <v>534</v>
      </c>
      <c r="H5455" s="4">
        <f>IFERROR(__xludf.DUMMYFUNCTION("DATE(INDEX(SPLIT(G5455,""/""),,3),INDEX(SPLIT(G5455,""/""),,2),INDEX(SPLIT(G5455,""/""),,1))"),44704.0)</f>
        <v>44704</v>
      </c>
      <c r="I5455" s="1" t="s">
        <v>69</v>
      </c>
      <c r="J5455" s="4">
        <f>IFERROR(__xludf.DUMMYFUNCTION("DATE(INDEX(SPLIT(I5455,""/""),,3),INDEX(SPLIT(I5455,""/""),,2),INDEX(SPLIT(I5455,""/""),,1))"),44773.0)</f>
        <v>44773</v>
      </c>
      <c r="L5455" s="1">
        <v>0.0</v>
      </c>
      <c r="M5455" s="1" t="s">
        <v>2568</v>
      </c>
      <c r="N5455" s="1"/>
      <c r="O5455" s="1" t="s">
        <v>30</v>
      </c>
      <c r="P5455" s="1" t="s">
        <v>31</v>
      </c>
      <c r="Q5455" s="1" t="s">
        <v>228</v>
      </c>
      <c r="R5455" s="1" t="s">
        <v>228</v>
      </c>
      <c r="S5455" s="1" t="s">
        <v>229</v>
      </c>
      <c r="T5455" s="1" t="s">
        <v>513</v>
      </c>
      <c r="U5455" s="1">
        <v>1.00659458E8</v>
      </c>
      <c r="X5455" s="1" t="s">
        <v>468</v>
      </c>
      <c r="Y5455" s="1" t="s">
        <v>2568</v>
      </c>
      <c r="Z5455" s="1" t="s">
        <v>37</v>
      </c>
    </row>
    <row r="5456" hidden="1">
      <c r="A5456" s="1" t="s">
        <v>15131</v>
      </c>
      <c r="B5456" s="1" t="s">
        <v>916</v>
      </c>
      <c r="C5456" s="1" t="s">
        <v>15132</v>
      </c>
      <c r="D5456" s="1" t="s">
        <v>78</v>
      </c>
      <c r="E5456" s="1" t="s">
        <v>28</v>
      </c>
      <c r="F5456" s="2">
        <v>30000.0</v>
      </c>
      <c r="G5456" s="4">
        <v>44748.0</v>
      </c>
      <c r="H5456" s="4">
        <f>IFERROR(__xludf.DUMMYFUNCTION("DATE(INDEX(SPLIT(G5456,""/""),,3),INDEX(SPLIT(G5456,""/""),,2),INDEX(SPLIT(G5456,""/""),,1))"),44719.0)</f>
        <v>44719</v>
      </c>
      <c r="I5456" s="1" t="s">
        <v>130</v>
      </c>
      <c r="J5456" s="4">
        <f>IFERROR(__xludf.DUMMYFUNCTION("DATE(INDEX(SPLIT(I5456,""/""),,3),INDEX(SPLIT(I5456,""/""),,2),INDEX(SPLIT(I5456,""/""),,1))"),44804.0)</f>
        <v>44804</v>
      </c>
      <c r="L5456" s="1">
        <v>0.0</v>
      </c>
      <c r="M5456" s="1" t="s">
        <v>14029</v>
      </c>
      <c r="N5456" s="1"/>
      <c r="O5456" s="1" t="s">
        <v>30</v>
      </c>
      <c r="P5456" s="1" t="s">
        <v>31</v>
      </c>
      <c r="Q5456" s="1" t="s">
        <v>228</v>
      </c>
      <c r="R5456" s="1" t="s">
        <v>228</v>
      </c>
      <c r="S5456" s="1" t="s">
        <v>229</v>
      </c>
      <c r="U5456" s="1">
        <v>1.00634698E8</v>
      </c>
      <c r="X5456" s="1" t="s">
        <v>35</v>
      </c>
      <c r="Y5456" s="1" t="s">
        <v>15133</v>
      </c>
      <c r="Z5456" s="1" t="s">
        <v>37</v>
      </c>
    </row>
    <row r="5457">
      <c r="A5457" s="1" t="s">
        <v>15134</v>
      </c>
      <c r="B5457" s="1" t="s">
        <v>2462</v>
      </c>
      <c r="C5457" s="1" t="s">
        <v>15135</v>
      </c>
      <c r="D5457" s="1" t="s">
        <v>68</v>
      </c>
      <c r="E5457" s="1" t="s">
        <v>28</v>
      </c>
      <c r="F5457" s="2">
        <v>30000.0</v>
      </c>
      <c r="G5457" s="1" t="s">
        <v>1118</v>
      </c>
      <c r="H5457" s="4">
        <f>IFERROR(__xludf.DUMMYFUNCTION("DATE(INDEX(SPLIT(G5457,""/""),,3),INDEX(SPLIT(G5457,""/""),,2),INDEX(SPLIT(G5457,""/""),,1))"),44334.0)</f>
        <v>44334</v>
      </c>
      <c r="I5457" s="1" t="s">
        <v>15136</v>
      </c>
      <c r="J5457" s="4">
        <f>IFERROR(__xludf.DUMMYFUNCTION("DATE(INDEX(SPLIT(I5457,""/""),,3),INDEX(SPLIT(I5457,""/""),,2),INDEX(SPLIT(I5457,""/""),,1))"),44408.0)</f>
        <v>44408</v>
      </c>
      <c r="K5457" s="1" t="s">
        <v>15137</v>
      </c>
      <c r="L5457" s="1">
        <v>0.0</v>
      </c>
      <c r="M5457" s="1" t="s">
        <v>8859</v>
      </c>
      <c r="N5457" s="1"/>
      <c r="O5457" s="1" t="s">
        <v>30</v>
      </c>
      <c r="P5457" s="1" t="s">
        <v>31</v>
      </c>
      <c r="Q5457" s="1" t="s">
        <v>228</v>
      </c>
      <c r="R5457" s="1" t="s">
        <v>228</v>
      </c>
      <c r="S5457" s="1" t="s">
        <v>229</v>
      </c>
      <c r="T5457" s="1" t="s">
        <v>513</v>
      </c>
      <c r="U5457" s="1">
        <v>1.00604296E8</v>
      </c>
      <c r="X5457" s="1" t="s">
        <v>490</v>
      </c>
      <c r="Y5457" s="1" t="s">
        <v>15138</v>
      </c>
      <c r="Z5457" s="1" t="s">
        <v>37</v>
      </c>
    </row>
    <row r="5458" hidden="1">
      <c r="A5458" s="1" t="s">
        <v>15139</v>
      </c>
      <c r="B5458" s="1" t="s">
        <v>1734</v>
      </c>
      <c r="C5458" s="1" t="s">
        <v>15140</v>
      </c>
      <c r="D5458" s="1" t="s">
        <v>78</v>
      </c>
      <c r="E5458" s="1" t="s">
        <v>28</v>
      </c>
      <c r="F5458" s="2">
        <v>30000.0</v>
      </c>
      <c r="G5458" s="1" t="s">
        <v>5872</v>
      </c>
      <c r="H5458" s="4">
        <f>IFERROR(__xludf.DUMMYFUNCTION("DATE(INDEX(SPLIT(G5458,""/""),,3),INDEX(SPLIT(G5458,""/""),,2),INDEX(SPLIT(G5458,""/""),,1))"),44057.0)</f>
        <v>44057</v>
      </c>
      <c r="I5458" s="1" t="s">
        <v>109</v>
      </c>
      <c r="J5458" s="4">
        <f>IFERROR(__xludf.DUMMYFUNCTION("DATE(INDEX(SPLIT(I5458,""/""),,3),INDEX(SPLIT(I5458,""/""),,2),INDEX(SPLIT(I5458,""/""),,1))"),44834.0)</f>
        <v>44834</v>
      </c>
      <c r="K5458" s="1" t="s">
        <v>15141</v>
      </c>
      <c r="L5458" s="1">
        <v>0.0</v>
      </c>
      <c r="M5458" s="1" t="s">
        <v>11254</v>
      </c>
      <c r="N5458" s="1"/>
      <c r="O5458" s="1" t="s">
        <v>30</v>
      </c>
      <c r="P5458" s="1" t="s">
        <v>31</v>
      </c>
      <c r="Q5458" s="1" t="s">
        <v>228</v>
      </c>
      <c r="R5458" s="1" t="s">
        <v>228</v>
      </c>
      <c r="S5458" s="1" t="s">
        <v>229</v>
      </c>
      <c r="T5458" s="1" t="s">
        <v>513</v>
      </c>
      <c r="U5458" s="1">
        <v>1.00602248E8</v>
      </c>
      <c r="X5458" s="1" t="s">
        <v>125</v>
      </c>
      <c r="Y5458" s="1" t="s">
        <v>12637</v>
      </c>
      <c r="Z5458" s="1" t="s">
        <v>37</v>
      </c>
    </row>
    <row r="5459">
      <c r="A5459" s="1" t="s">
        <v>15142</v>
      </c>
      <c r="B5459" s="1" t="s">
        <v>15143</v>
      </c>
      <c r="C5459" s="1" t="s">
        <v>15144</v>
      </c>
      <c r="D5459" s="1" t="s">
        <v>78</v>
      </c>
      <c r="E5459" s="1" t="s">
        <v>28</v>
      </c>
      <c r="F5459" s="2">
        <v>30000.0</v>
      </c>
      <c r="G5459" s="1" t="s">
        <v>298</v>
      </c>
      <c r="H5459" s="4">
        <f>IFERROR(__xludf.DUMMYFUNCTION("DATE(INDEX(SPLIT(G5459,""/""),,3),INDEX(SPLIT(G5459,""/""),,2),INDEX(SPLIT(G5459,""/""),,1))"),44762.0)</f>
        <v>44762</v>
      </c>
      <c r="I5459" s="1" t="s">
        <v>935</v>
      </c>
      <c r="J5459" s="4">
        <f>IFERROR(__xludf.DUMMYFUNCTION("DATE(INDEX(SPLIT(I5459,""/""),,3),INDEX(SPLIT(I5459,""/""),,2),INDEX(SPLIT(I5459,""/""),,1))"),44764.0)</f>
        <v>44764</v>
      </c>
      <c r="L5459" s="1">
        <v>0.0</v>
      </c>
      <c r="M5459" s="1" t="s">
        <v>2207</v>
      </c>
      <c r="N5459" s="1"/>
      <c r="O5459" s="1" t="s">
        <v>30</v>
      </c>
      <c r="P5459" s="1" t="s">
        <v>31</v>
      </c>
      <c r="Q5459" s="1" t="s">
        <v>228</v>
      </c>
      <c r="R5459" s="1" t="s">
        <v>228</v>
      </c>
      <c r="S5459" s="1" t="s">
        <v>229</v>
      </c>
      <c r="U5459" s="1">
        <v>1.00596618E8</v>
      </c>
      <c r="X5459" s="1" t="s">
        <v>117</v>
      </c>
      <c r="Y5459" s="1" t="s">
        <v>15145</v>
      </c>
      <c r="Z5459" s="1" t="s">
        <v>37</v>
      </c>
    </row>
    <row r="5460">
      <c r="A5460" s="1" t="s">
        <v>15146</v>
      </c>
      <c r="B5460" s="1" t="s">
        <v>8268</v>
      </c>
      <c r="C5460" s="1" t="s">
        <v>15147</v>
      </c>
      <c r="D5460" s="1" t="s">
        <v>78</v>
      </c>
      <c r="E5460" s="1" t="s">
        <v>28</v>
      </c>
      <c r="F5460" s="2">
        <v>30000.0</v>
      </c>
      <c r="G5460" s="4">
        <v>44902.0</v>
      </c>
      <c r="H5460" s="4">
        <f>IFERROR(__xludf.DUMMYFUNCTION("DATE(INDEX(SPLIT(G5460,""/""),,3),INDEX(SPLIT(G5460,""/""),,2),INDEX(SPLIT(G5460,""/""),,1))"),44754.0)</f>
        <v>44754</v>
      </c>
      <c r="I5460" s="1" t="s">
        <v>518</v>
      </c>
      <c r="J5460" s="4">
        <f>IFERROR(__xludf.DUMMYFUNCTION("DATE(INDEX(SPLIT(I5460,""/""),,3),INDEX(SPLIT(I5460,""/""),,2),INDEX(SPLIT(I5460,""/""),,1))"),44757.0)</f>
        <v>44757</v>
      </c>
      <c r="L5460" s="1">
        <v>0.0</v>
      </c>
      <c r="M5460" s="1" t="s">
        <v>406</v>
      </c>
      <c r="N5460" s="1"/>
      <c r="O5460" s="1" t="s">
        <v>30</v>
      </c>
      <c r="P5460" s="1" t="s">
        <v>31</v>
      </c>
      <c r="Q5460" s="1" t="s">
        <v>32</v>
      </c>
      <c r="R5460" s="1" t="s">
        <v>32</v>
      </c>
      <c r="S5460" s="1" t="s">
        <v>33</v>
      </c>
      <c r="U5460" s="1">
        <v>1.00642129E8</v>
      </c>
      <c r="X5460" s="1" t="s">
        <v>312</v>
      </c>
      <c r="Y5460" s="1" t="s">
        <v>406</v>
      </c>
      <c r="Z5460" s="1" t="s">
        <v>37</v>
      </c>
    </row>
    <row r="5461">
      <c r="A5461" s="1" t="s">
        <v>15148</v>
      </c>
      <c r="B5461" s="1" t="s">
        <v>15149</v>
      </c>
      <c r="C5461" s="1" t="s">
        <v>15150</v>
      </c>
      <c r="D5461" s="1" t="s">
        <v>78</v>
      </c>
      <c r="E5461" s="1" t="s">
        <v>28</v>
      </c>
      <c r="F5461" s="2">
        <v>30000.0</v>
      </c>
      <c r="G5461" s="4">
        <v>44777.0</v>
      </c>
      <c r="H5461" s="4">
        <f>IFERROR(__xludf.DUMMYFUNCTION("DATE(INDEX(SPLIT(G5461,""/""),,3),INDEX(SPLIT(G5461,""/""),,2),INDEX(SPLIT(G5461,""/""),,1))"),44659.0)</f>
        <v>44659</v>
      </c>
      <c r="I5461" s="1" t="s">
        <v>1244</v>
      </c>
      <c r="J5461" s="4">
        <f>IFERROR(__xludf.DUMMYFUNCTION("DATE(INDEX(SPLIT(I5461,""/""),,3),INDEX(SPLIT(I5461,""/""),,2),INDEX(SPLIT(I5461,""/""),,1))"),44742.0)</f>
        <v>44742</v>
      </c>
      <c r="L5461" s="1">
        <v>0.0</v>
      </c>
      <c r="M5461" s="1" t="s">
        <v>2207</v>
      </c>
      <c r="N5461" s="1"/>
      <c r="O5461" s="1" t="s">
        <v>30</v>
      </c>
      <c r="P5461" s="1" t="s">
        <v>31</v>
      </c>
      <c r="Q5461" s="1" t="s">
        <v>228</v>
      </c>
      <c r="R5461" s="1" t="s">
        <v>228</v>
      </c>
      <c r="S5461" s="1" t="s">
        <v>229</v>
      </c>
      <c r="T5461" s="1" t="s">
        <v>513</v>
      </c>
      <c r="U5461" s="1">
        <v>1.00596618E8</v>
      </c>
      <c r="X5461" s="1" t="s">
        <v>63</v>
      </c>
      <c r="Y5461" s="1" t="s">
        <v>13491</v>
      </c>
      <c r="Z5461" s="1" t="s">
        <v>37</v>
      </c>
    </row>
    <row r="5462">
      <c r="A5462" s="1" t="s">
        <v>15151</v>
      </c>
      <c r="B5462" s="1" t="s">
        <v>315</v>
      </c>
      <c r="C5462" s="1" t="s">
        <v>15152</v>
      </c>
      <c r="D5462" s="1" t="s">
        <v>122</v>
      </c>
      <c r="E5462" s="1" t="s">
        <v>28</v>
      </c>
      <c r="F5462" s="2">
        <v>30000.0</v>
      </c>
      <c r="G5462" s="1" t="s">
        <v>1244</v>
      </c>
      <c r="H5462" s="4">
        <f>IFERROR(__xludf.DUMMYFUNCTION("DATE(INDEX(SPLIT(G5462,""/""),,3),INDEX(SPLIT(G5462,""/""),,2),INDEX(SPLIT(G5462,""/""),,1))"),44742.0)</f>
        <v>44742</v>
      </c>
      <c r="I5462" s="4">
        <v>44780.0</v>
      </c>
      <c r="J5462" s="4">
        <f>IFERROR(__xludf.DUMMYFUNCTION("DATE(INDEX(SPLIT(I5462,""/""),,3),INDEX(SPLIT(I5462,""/""),,2),INDEX(SPLIT(I5462,""/""),,1))"),44750.0)</f>
        <v>44750</v>
      </c>
      <c r="L5462" s="1">
        <v>0.0</v>
      </c>
      <c r="M5462" s="1" t="s">
        <v>2444</v>
      </c>
      <c r="N5462" s="1"/>
      <c r="O5462" s="1" t="s">
        <v>30</v>
      </c>
      <c r="P5462" s="1" t="s">
        <v>31</v>
      </c>
      <c r="Q5462" s="1" t="s">
        <v>71</v>
      </c>
      <c r="R5462" s="1" t="s">
        <v>71</v>
      </c>
      <c r="S5462" s="1" t="s">
        <v>72</v>
      </c>
      <c r="T5462" s="1" t="s">
        <v>136</v>
      </c>
      <c r="U5462" s="1">
        <v>1.00612395E8</v>
      </c>
      <c r="X5462" s="1" t="s">
        <v>74</v>
      </c>
      <c r="Y5462" s="1" t="s">
        <v>15153</v>
      </c>
      <c r="Z5462" s="1" t="s">
        <v>37</v>
      </c>
    </row>
    <row r="5463" hidden="1">
      <c r="A5463" s="1" t="s">
        <v>15154</v>
      </c>
      <c r="B5463" s="1" t="s">
        <v>15155</v>
      </c>
      <c r="C5463" s="1" t="s">
        <v>15156</v>
      </c>
      <c r="D5463" s="1" t="s">
        <v>78</v>
      </c>
      <c r="E5463" s="1" t="s">
        <v>28</v>
      </c>
      <c r="F5463" s="2">
        <v>30000.0</v>
      </c>
      <c r="G5463" s="1" t="s">
        <v>185</v>
      </c>
      <c r="H5463" s="4">
        <f>IFERROR(__xludf.DUMMYFUNCTION("DATE(INDEX(SPLIT(G5463,""/""),,3),INDEX(SPLIT(G5463,""/""),,2),INDEX(SPLIT(G5463,""/""),,1))"),44741.0)</f>
        <v>44741</v>
      </c>
      <c r="I5463" s="4">
        <v>44569.0</v>
      </c>
      <c r="J5463" s="4">
        <f>IFERROR(__xludf.DUMMYFUNCTION("DATE(INDEX(SPLIT(I5463,""/""),,3),INDEX(SPLIT(I5463,""/""),,2),INDEX(SPLIT(I5463,""/""),,1))"),44774.0)</f>
        <v>44774</v>
      </c>
      <c r="L5463" s="1">
        <v>0.0</v>
      </c>
      <c r="M5463" s="1" t="s">
        <v>11181</v>
      </c>
      <c r="N5463" s="1"/>
      <c r="O5463" s="1" t="s">
        <v>30</v>
      </c>
      <c r="P5463" s="1" t="s">
        <v>31</v>
      </c>
      <c r="Q5463" s="1" t="s">
        <v>228</v>
      </c>
      <c r="R5463" s="1" t="s">
        <v>228</v>
      </c>
      <c r="S5463" s="1" t="s">
        <v>229</v>
      </c>
      <c r="T5463" s="1" t="s">
        <v>513</v>
      </c>
      <c r="U5463" s="1">
        <v>1.00629304E8</v>
      </c>
      <c r="X5463" s="1" t="s">
        <v>254</v>
      </c>
      <c r="Y5463" s="1" t="s">
        <v>11181</v>
      </c>
      <c r="Z5463" s="1" t="s">
        <v>527</v>
      </c>
    </row>
    <row r="5464" hidden="1">
      <c r="A5464" s="1" t="s">
        <v>15157</v>
      </c>
      <c r="B5464" s="1" t="s">
        <v>5260</v>
      </c>
      <c r="C5464" s="1" t="s">
        <v>15158</v>
      </c>
      <c r="D5464" s="1" t="s">
        <v>27</v>
      </c>
      <c r="E5464" s="1" t="s">
        <v>28</v>
      </c>
      <c r="F5464" s="2">
        <v>30000.0</v>
      </c>
      <c r="G5464" s="1" t="s">
        <v>15159</v>
      </c>
      <c r="H5464" s="4">
        <f>IFERROR(__xludf.DUMMYFUNCTION("DATE(INDEX(SPLIT(G5464,""/""),,3),INDEX(SPLIT(G5464,""/""),,2),INDEX(SPLIT(G5464,""/""),,1))"),44059.0)</f>
        <v>44059</v>
      </c>
      <c r="I5464" s="1" t="s">
        <v>42</v>
      </c>
      <c r="J5464" s="4">
        <f>IFERROR(__xludf.DUMMYFUNCTION("DATE(INDEX(SPLIT(I5464,""/""),,3),INDEX(SPLIT(I5464,""/""),,2),INDEX(SPLIT(I5464,""/""),,1))"),44926.0)</f>
        <v>44926</v>
      </c>
      <c r="L5464" s="1">
        <v>0.0</v>
      </c>
      <c r="M5464" s="1" t="s">
        <v>11254</v>
      </c>
      <c r="N5464" s="1"/>
      <c r="O5464" s="1" t="s">
        <v>30</v>
      </c>
      <c r="P5464" s="1" t="s">
        <v>31</v>
      </c>
      <c r="Q5464" s="1" t="s">
        <v>228</v>
      </c>
      <c r="R5464" s="1" t="s">
        <v>228</v>
      </c>
      <c r="S5464" s="1" t="s">
        <v>229</v>
      </c>
      <c r="T5464" s="1" t="s">
        <v>513</v>
      </c>
      <c r="U5464" s="1">
        <v>1.00602248E8</v>
      </c>
      <c r="X5464" s="1" t="s">
        <v>74</v>
      </c>
      <c r="Y5464" s="1" t="s">
        <v>13638</v>
      </c>
      <c r="Z5464" s="1" t="s">
        <v>37</v>
      </c>
    </row>
    <row r="5465" hidden="1">
      <c r="A5465" s="1" t="s">
        <v>15160</v>
      </c>
      <c r="B5465" s="1" t="s">
        <v>1417</v>
      </c>
      <c r="C5465" s="1" t="s">
        <v>15161</v>
      </c>
      <c r="D5465" s="1" t="s">
        <v>122</v>
      </c>
      <c r="E5465" s="1" t="s">
        <v>28</v>
      </c>
      <c r="F5465" s="2">
        <v>30000.0</v>
      </c>
      <c r="G5465" s="1" t="s">
        <v>298</v>
      </c>
      <c r="H5465" s="4">
        <f>IFERROR(__xludf.DUMMYFUNCTION("DATE(INDEX(SPLIT(G5465,""/""),,3),INDEX(SPLIT(G5465,""/""),,2),INDEX(SPLIT(G5465,""/""),,1))"),44762.0)</f>
        <v>44762</v>
      </c>
      <c r="I5465" s="4">
        <v>44903.0</v>
      </c>
      <c r="J5465" s="4">
        <f>IFERROR(__xludf.DUMMYFUNCTION("DATE(INDEX(SPLIT(I5465,""/""),,3),INDEX(SPLIT(I5465,""/""),,2),INDEX(SPLIT(I5465,""/""),,1))"),44785.0)</f>
        <v>44785</v>
      </c>
      <c r="L5465" s="1">
        <v>0.0</v>
      </c>
      <c r="M5465" s="1" t="s">
        <v>4039</v>
      </c>
      <c r="N5465" s="1"/>
      <c r="O5465" s="1" t="s">
        <v>30</v>
      </c>
      <c r="P5465" s="1" t="s">
        <v>31</v>
      </c>
      <c r="Q5465" s="1" t="s">
        <v>228</v>
      </c>
      <c r="R5465" s="1" t="s">
        <v>228</v>
      </c>
      <c r="S5465" s="1" t="s">
        <v>229</v>
      </c>
      <c r="T5465" s="1" t="s">
        <v>640</v>
      </c>
      <c r="U5465" s="1">
        <v>1.00662113E8</v>
      </c>
      <c r="X5465" s="1" t="s">
        <v>74</v>
      </c>
      <c r="Y5465" s="1" t="s">
        <v>4039</v>
      </c>
      <c r="Z5465" s="1" t="s">
        <v>37</v>
      </c>
    </row>
    <row r="5466" hidden="1">
      <c r="A5466" s="1" t="s">
        <v>15162</v>
      </c>
      <c r="B5466" s="1" t="s">
        <v>15163</v>
      </c>
      <c r="C5466" s="1" t="s">
        <v>15164</v>
      </c>
      <c r="D5466" s="1" t="s">
        <v>122</v>
      </c>
      <c r="E5466" s="1" t="s">
        <v>28</v>
      </c>
      <c r="F5466" s="2">
        <v>30000.0</v>
      </c>
      <c r="G5466" s="1" t="s">
        <v>9159</v>
      </c>
      <c r="H5466" s="4">
        <f>IFERROR(__xludf.DUMMYFUNCTION("DATE(INDEX(SPLIT(G5466,""/""),,3),INDEX(SPLIT(G5466,""/""),,2),INDEX(SPLIT(G5466,""/""),,1))"),44515.0)</f>
        <v>44515</v>
      </c>
      <c r="I5466" s="1" t="s">
        <v>203</v>
      </c>
      <c r="J5466" s="4">
        <f>IFERROR(__xludf.DUMMYFUNCTION("DATE(INDEX(SPLIT(I5466,""/""),,3),INDEX(SPLIT(I5466,""/""),,2),INDEX(SPLIT(I5466,""/""),,1))"),44925.0)</f>
        <v>44925</v>
      </c>
      <c r="L5466" s="1">
        <v>0.0</v>
      </c>
      <c r="M5466" s="1" t="s">
        <v>12468</v>
      </c>
      <c r="N5466" s="1"/>
      <c r="O5466" s="1" t="s">
        <v>30</v>
      </c>
      <c r="P5466" s="1" t="s">
        <v>31</v>
      </c>
      <c r="Q5466" s="1" t="s">
        <v>228</v>
      </c>
      <c r="R5466" s="1" t="s">
        <v>228</v>
      </c>
      <c r="S5466" s="1" t="s">
        <v>229</v>
      </c>
      <c r="T5466" s="1" t="s">
        <v>513</v>
      </c>
      <c r="U5466" s="1">
        <v>1.00626837E8</v>
      </c>
      <c r="X5466" s="1" t="s">
        <v>63</v>
      </c>
      <c r="Y5466" s="1" t="s">
        <v>11862</v>
      </c>
      <c r="Z5466" s="1" t="s">
        <v>206</v>
      </c>
    </row>
    <row r="5467" hidden="1">
      <c r="A5467" s="1" t="s">
        <v>15165</v>
      </c>
      <c r="B5467" s="1" t="s">
        <v>4421</v>
      </c>
      <c r="C5467" s="1" t="s">
        <v>15166</v>
      </c>
      <c r="D5467" s="1" t="s">
        <v>122</v>
      </c>
      <c r="E5467" s="1" t="s">
        <v>28</v>
      </c>
      <c r="F5467" s="2">
        <v>30000.0</v>
      </c>
      <c r="G5467" s="4">
        <v>44872.0</v>
      </c>
      <c r="H5467" s="4">
        <f>IFERROR(__xludf.DUMMYFUNCTION("DATE(INDEX(SPLIT(G5467,""/""),,3),INDEX(SPLIT(G5467,""/""),,2),INDEX(SPLIT(G5467,""/""),,1))"),44753.0)</f>
        <v>44753</v>
      </c>
      <c r="I5467" s="1" t="s">
        <v>130</v>
      </c>
      <c r="J5467" s="4">
        <f>IFERROR(__xludf.DUMMYFUNCTION("DATE(INDEX(SPLIT(I5467,""/""),,3),INDEX(SPLIT(I5467,""/""),,2),INDEX(SPLIT(I5467,""/""),,1))"),44804.0)</f>
        <v>44804</v>
      </c>
      <c r="L5467" s="1">
        <v>0.0</v>
      </c>
      <c r="M5467" s="1" t="s">
        <v>7088</v>
      </c>
      <c r="N5467" s="1"/>
      <c r="O5467" s="1" t="s">
        <v>30</v>
      </c>
      <c r="P5467" s="1" t="s">
        <v>31</v>
      </c>
      <c r="Q5467" s="1" t="s">
        <v>228</v>
      </c>
      <c r="R5467" s="1" t="s">
        <v>228</v>
      </c>
      <c r="S5467" s="1" t="s">
        <v>229</v>
      </c>
      <c r="T5467" s="1" t="s">
        <v>513</v>
      </c>
      <c r="U5467" s="1">
        <v>1.00597339E8</v>
      </c>
      <c r="X5467" s="1" t="s">
        <v>490</v>
      </c>
      <c r="Y5467" s="1" t="s">
        <v>15167</v>
      </c>
      <c r="Z5467" s="1" t="s">
        <v>37</v>
      </c>
    </row>
    <row r="5468" hidden="1">
      <c r="A5468" s="1" t="s">
        <v>15168</v>
      </c>
      <c r="B5468" s="1" t="s">
        <v>12087</v>
      </c>
      <c r="C5468" s="1" t="s">
        <v>15169</v>
      </c>
      <c r="D5468" s="1" t="s">
        <v>27</v>
      </c>
      <c r="E5468" s="1" t="s">
        <v>28</v>
      </c>
      <c r="F5468" s="2">
        <v>30000.0</v>
      </c>
      <c r="G5468" s="1" t="s">
        <v>41</v>
      </c>
      <c r="H5468" s="4">
        <f>IFERROR(__xludf.DUMMYFUNCTION("DATE(INDEX(SPLIT(G5468,""/""),,3),INDEX(SPLIT(G5468,""/""),,2),INDEX(SPLIT(G5468,""/""),,1))"),44607.0)</f>
        <v>44607</v>
      </c>
      <c r="I5468" s="4">
        <v>44573.0</v>
      </c>
      <c r="J5468" s="4">
        <f>IFERROR(__xludf.DUMMYFUNCTION("DATE(INDEX(SPLIT(I5468,""/""),,3),INDEX(SPLIT(I5468,""/""),,2),INDEX(SPLIT(I5468,""/""),,1))"),44896.0)</f>
        <v>44896</v>
      </c>
      <c r="L5468" s="1">
        <v>0.0</v>
      </c>
      <c r="M5468" s="1" t="s">
        <v>1385</v>
      </c>
      <c r="N5468" s="1"/>
      <c r="O5468" s="1" t="s">
        <v>30</v>
      </c>
      <c r="P5468" s="1" t="s">
        <v>31</v>
      </c>
      <c r="Q5468" s="1" t="s">
        <v>235</v>
      </c>
      <c r="R5468" s="1" t="s">
        <v>235</v>
      </c>
      <c r="S5468" s="1" t="s">
        <v>236</v>
      </c>
      <c r="T5468" s="1" t="s">
        <v>1386</v>
      </c>
      <c r="U5468" s="1">
        <v>1.00594397E8</v>
      </c>
      <c r="X5468" s="1" t="s">
        <v>239</v>
      </c>
      <c r="Y5468" s="1" t="s">
        <v>1387</v>
      </c>
      <c r="Z5468" s="1" t="s">
        <v>37</v>
      </c>
    </row>
    <row r="5469">
      <c r="A5469" s="1" t="s">
        <v>15170</v>
      </c>
      <c r="B5469" s="1" t="s">
        <v>8030</v>
      </c>
      <c r="C5469" s="1" t="s">
        <v>15171</v>
      </c>
      <c r="D5469" s="1" t="s">
        <v>27</v>
      </c>
      <c r="E5469" s="1" t="s">
        <v>28</v>
      </c>
      <c r="F5469" s="2">
        <v>30000.0</v>
      </c>
      <c r="G5469" s="4">
        <v>44599.0</v>
      </c>
      <c r="H5469" s="4">
        <f>IFERROR(__xludf.DUMMYFUNCTION("DATE(INDEX(SPLIT(G5469,""/""),,3),INDEX(SPLIT(G5469,""/""),,2),INDEX(SPLIT(G5469,""/""),,1))"),44744.0)</f>
        <v>44744</v>
      </c>
      <c r="I5469" s="1" t="s">
        <v>69</v>
      </c>
      <c r="J5469" s="4">
        <f>IFERROR(__xludf.DUMMYFUNCTION("DATE(INDEX(SPLIT(I5469,""/""),,3),INDEX(SPLIT(I5469,""/""),,2),INDEX(SPLIT(I5469,""/""),,1))"),44773.0)</f>
        <v>44773</v>
      </c>
      <c r="L5469" s="1">
        <v>0.0</v>
      </c>
      <c r="M5469" s="1" t="s">
        <v>5722</v>
      </c>
      <c r="N5469" s="1"/>
      <c r="O5469" s="1" t="s">
        <v>30</v>
      </c>
      <c r="P5469" s="1" t="s">
        <v>31</v>
      </c>
      <c r="Q5469" s="1" t="s">
        <v>228</v>
      </c>
      <c r="R5469" s="1" t="s">
        <v>228</v>
      </c>
      <c r="S5469" s="1" t="s">
        <v>229</v>
      </c>
      <c r="U5469" s="1">
        <v>1.0066023E8</v>
      </c>
      <c r="X5469" s="1" t="s">
        <v>63</v>
      </c>
      <c r="Y5469" s="1" t="s">
        <v>5722</v>
      </c>
      <c r="Z5469" s="1" t="s">
        <v>37</v>
      </c>
    </row>
    <row r="5470" hidden="1">
      <c r="A5470" s="1" t="s">
        <v>15172</v>
      </c>
      <c r="B5470" s="1" t="s">
        <v>15173</v>
      </c>
      <c r="C5470" s="1" t="s">
        <v>15174</v>
      </c>
      <c r="D5470" s="1" t="s">
        <v>78</v>
      </c>
      <c r="E5470" s="1" t="s">
        <v>28</v>
      </c>
      <c r="F5470" s="2">
        <v>28000.0</v>
      </c>
      <c r="G5470" s="1" t="s">
        <v>13924</v>
      </c>
      <c r="H5470" s="4">
        <f>IFERROR(__xludf.DUMMYFUNCTION("DATE(INDEX(SPLIT(G5470,""/""),,3),INDEX(SPLIT(G5470,""/""),,2),INDEX(SPLIT(G5470,""/""),,1))"),43858.0)</f>
        <v>43858</v>
      </c>
      <c r="I5470" s="1" t="s">
        <v>42</v>
      </c>
      <c r="J5470" s="4">
        <f>IFERROR(__xludf.DUMMYFUNCTION("DATE(INDEX(SPLIT(I5470,""/""),,3),INDEX(SPLIT(I5470,""/""),,2),INDEX(SPLIT(I5470,""/""),,1))"),44926.0)</f>
        <v>44926</v>
      </c>
      <c r="L5470" s="1">
        <v>0.0</v>
      </c>
      <c r="M5470" s="1" t="s">
        <v>2696</v>
      </c>
      <c r="N5470" s="1"/>
      <c r="O5470" s="1" t="s">
        <v>30</v>
      </c>
      <c r="P5470" s="1" t="s">
        <v>31</v>
      </c>
      <c r="Q5470" s="1" t="s">
        <v>157</v>
      </c>
      <c r="R5470" s="1" t="s">
        <v>157</v>
      </c>
      <c r="S5470" s="1" t="s">
        <v>158</v>
      </c>
      <c r="T5470" s="1" t="s">
        <v>402</v>
      </c>
      <c r="U5470" s="1">
        <v>1.00611351E8</v>
      </c>
      <c r="X5470" s="1" t="s">
        <v>781</v>
      </c>
      <c r="Y5470" s="1" t="s">
        <v>3016</v>
      </c>
      <c r="Z5470" s="1" t="s">
        <v>37</v>
      </c>
    </row>
    <row r="5471" hidden="1">
      <c r="A5471" s="1" t="s">
        <v>15175</v>
      </c>
      <c r="B5471" s="1" t="s">
        <v>12008</v>
      </c>
      <c r="C5471" s="1" t="s">
        <v>15176</v>
      </c>
      <c r="D5471" s="1" t="s">
        <v>78</v>
      </c>
      <c r="E5471" s="1" t="s">
        <v>28</v>
      </c>
      <c r="F5471" s="2">
        <v>27550.0</v>
      </c>
      <c r="G5471" s="1" t="s">
        <v>5160</v>
      </c>
      <c r="H5471" s="4">
        <f>IFERROR(__xludf.DUMMYFUNCTION("DATE(INDEX(SPLIT(G5471,""/""),,3),INDEX(SPLIT(G5471,""/""),,2),INDEX(SPLIT(G5471,""/""),,1))"),44426.0)</f>
        <v>44426</v>
      </c>
      <c r="I5471" s="1" t="s">
        <v>109</v>
      </c>
      <c r="J5471" s="4">
        <f>IFERROR(__xludf.DUMMYFUNCTION("DATE(INDEX(SPLIT(I5471,""/""),,3),INDEX(SPLIT(I5471,""/""),,2),INDEX(SPLIT(I5471,""/""),,1))"),44834.0)</f>
        <v>44834</v>
      </c>
      <c r="L5471" s="1">
        <v>0.0</v>
      </c>
      <c r="M5471" s="1" t="s">
        <v>12039</v>
      </c>
      <c r="N5471" s="1"/>
      <c r="O5471" s="1" t="s">
        <v>30</v>
      </c>
      <c r="P5471" s="1" t="s">
        <v>31</v>
      </c>
      <c r="Q5471" s="1" t="s">
        <v>228</v>
      </c>
      <c r="R5471" s="1" t="s">
        <v>228</v>
      </c>
      <c r="S5471" s="1" t="s">
        <v>229</v>
      </c>
      <c r="T5471" s="1" t="s">
        <v>513</v>
      </c>
      <c r="U5471" s="1">
        <v>1.00612509E8</v>
      </c>
      <c r="X5471" s="1" t="s">
        <v>74</v>
      </c>
      <c r="Y5471" s="1" t="s">
        <v>12637</v>
      </c>
      <c r="Z5471" s="1" t="s">
        <v>37</v>
      </c>
    </row>
    <row r="5472" hidden="1">
      <c r="A5472" s="1" t="s">
        <v>15177</v>
      </c>
      <c r="B5472" s="1" t="s">
        <v>15178</v>
      </c>
      <c r="C5472" s="1" t="s">
        <v>15179</v>
      </c>
      <c r="D5472" s="1" t="s">
        <v>78</v>
      </c>
      <c r="E5472" s="1" t="s">
        <v>28</v>
      </c>
      <c r="F5472" s="2">
        <v>27550.0</v>
      </c>
      <c r="G5472" s="1" t="s">
        <v>14886</v>
      </c>
      <c r="H5472" s="4">
        <f>IFERROR(__xludf.DUMMYFUNCTION("DATE(INDEX(SPLIT(G5472,""/""),,3),INDEX(SPLIT(G5472,""/""),,2),INDEX(SPLIT(G5472,""/""),,1))"),44058.0)</f>
        <v>44058</v>
      </c>
      <c r="I5472" s="1" t="s">
        <v>109</v>
      </c>
      <c r="J5472" s="4">
        <f>IFERROR(__xludf.DUMMYFUNCTION("DATE(INDEX(SPLIT(I5472,""/""),,3),INDEX(SPLIT(I5472,""/""),,2),INDEX(SPLIT(I5472,""/""),,1))"),44834.0)</f>
        <v>44834</v>
      </c>
      <c r="L5472" s="1">
        <v>0.0</v>
      </c>
      <c r="M5472" s="1" t="s">
        <v>11254</v>
      </c>
      <c r="N5472" s="1"/>
      <c r="O5472" s="1" t="s">
        <v>30</v>
      </c>
      <c r="P5472" s="1" t="s">
        <v>31</v>
      </c>
      <c r="Q5472" s="1" t="s">
        <v>228</v>
      </c>
      <c r="R5472" s="1" t="s">
        <v>228</v>
      </c>
      <c r="S5472" s="1" t="s">
        <v>229</v>
      </c>
      <c r="T5472" s="1" t="s">
        <v>513</v>
      </c>
      <c r="U5472" s="1">
        <v>1.00602248E8</v>
      </c>
      <c r="X5472" s="1" t="s">
        <v>74</v>
      </c>
      <c r="Y5472" s="1" t="s">
        <v>12637</v>
      </c>
      <c r="Z5472" s="1" t="s">
        <v>37</v>
      </c>
    </row>
    <row r="5473" hidden="1">
      <c r="A5473" s="1" t="s">
        <v>15180</v>
      </c>
      <c r="B5473" s="1" t="s">
        <v>315</v>
      </c>
      <c r="C5473" s="1" t="s">
        <v>15181</v>
      </c>
      <c r="D5473" s="1" t="s">
        <v>27</v>
      </c>
      <c r="E5473" s="1" t="s">
        <v>28</v>
      </c>
      <c r="F5473" s="2">
        <v>27550.0</v>
      </c>
      <c r="G5473" s="1" t="s">
        <v>779</v>
      </c>
      <c r="H5473" s="4">
        <f>IFERROR(__xludf.DUMMYFUNCTION("DATE(INDEX(SPLIT(G5473,""/""),,3),INDEX(SPLIT(G5473,""/""),,2),INDEX(SPLIT(G5473,""/""),,1))"),44734.0)</f>
        <v>44734</v>
      </c>
      <c r="I5473" s="1" t="s">
        <v>203</v>
      </c>
      <c r="J5473" s="4">
        <f>IFERROR(__xludf.DUMMYFUNCTION("DATE(INDEX(SPLIT(I5473,""/""),,3),INDEX(SPLIT(I5473,""/""),,2),INDEX(SPLIT(I5473,""/""),,1))"),44925.0)</f>
        <v>44925</v>
      </c>
      <c r="L5473" s="1">
        <v>0.0</v>
      </c>
      <c r="M5473" s="1" t="s">
        <v>11254</v>
      </c>
      <c r="N5473" s="1"/>
      <c r="O5473" s="1" t="s">
        <v>30</v>
      </c>
      <c r="P5473" s="1" t="s">
        <v>31</v>
      </c>
      <c r="Q5473" s="1" t="s">
        <v>228</v>
      </c>
      <c r="R5473" s="1" t="s">
        <v>228</v>
      </c>
      <c r="S5473" s="1" t="s">
        <v>229</v>
      </c>
      <c r="T5473" s="1" t="s">
        <v>513</v>
      </c>
      <c r="U5473" s="1">
        <v>1.00602248E8</v>
      </c>
      <c r="X5473" s="1" t="s">
        <v>74</v>
      </c>
      <c r="Y5473" s="1" t="s">
        <v>12637</v>
      </c>
      <c r="Z5473" s="1" t="s">
        <v>37</v>
      </c>
    </row>
    <row r="5474" hidden="1">
      <c r="A5474" s="1" t="s">
        <v>15182</v>
      </c>
      <c r="B5474" s="1" t="s">
        <v>15183</v>
      </c>
      <c r="C5474" s="1" t="s">
        <v>15184</v>
      </c>
      <c r="D5474" s="1" t="s">
        <v>27</v>
      </c>
      <c r="E5474" s="1" t="s">
        <v>28</v>
      </c>
      <c r="F5474" s="2">
        <v>27550.0</v>
      </c>
      <c r="G5474" s="1" t="s">
        <v>359</v>
      </c>
      <c r="H5474" s="4">
        <f>IFERROR(__xludf.DUMMYFUNCTION("DATE(INDEX(SPLIT(G5474,""/""),,3),INDEX(SPLIT(G5474,""/""),,2),INDEX(SPLIT(G5474,""/""),,1))"),44740.0)</f>
        <v>44740</v>
      </c>
      <c r="I5474" s="1" t="s">
        <v>1097</v>
      </c>
      <c r="J5474" s="4">
        <f>IFERROR(__xludf.DUMMYFUNCTION("DATE(INDEX(SPLIT(I5474,""/""),,3),INDEX(SPLIT(I5474,""/""),,2),INDEX(SPLIT(I5474,""/""),,1))"),45107.0)</f>
        <v>45107</v>
      </c>
      <c r="L5474" s="1">
        <v>0.0</v>
      </c>
      <c r="M5474" s="1" t="s">
        <v>11254</v>
      </c>
      <c r="N5474" s="1"/>
      <c r="O5474" s="1" t="s">
        <v>30</v>
      </c>
      <c r="P5474" s="1" t="s">
        <v>31</v>
      </c>
      <c r="Q5474" s="1" t="s">
        <v>228</v>
      </c>
      <c r="R5474" s="1" t="s">
        <v>228</v>
      </c>
      <c r="S5474" s="1" t="s">
        <v>229</v>
      </c>
      <c r="T5474" s="1" t="s">
        <v>513</v>
      </c>
      <c r="U5474" s="1">
        <v>1.00602248E8</v>
      </c>
      <c r="X5474" s="1" t="s">
        <v>74</v>
      </c>
      <c r="Y5474" s="1" t="s">
        <v>13944</v>
      </c>
      <c r="Z5474" s="1" t="s">
        <v>37</v>
      </c>
    </row>
    <row r="5475" hidden="1">
      <c r="A5475" s="1" t="s">
        <v>15185</v>
      </c>
      <c r="B5475" s="1" t="s">
        <v>15186</v>
      </c>
      <c r="C5475" s="1" t="s">
        <v>15187</v>
      </c>
      <c r="D5475" s="1" t="s">
        <v>122</v>
      </c>
      <c r="E5475" s="1" t="s">
        <v>28</v>
      </c>
      <c r="F5475" s="2">
        <v>27550.0</v>
      </c>
      <c r="G5475" s="4">
        <v>44478.0</v>
      </c>
      <c r="H5475" s="4">
        <f>IFERROR(__xludf.DUMMYFUNCTION("DATE(INDEX(SPLIT(G5475,""/""),,3),INDEX(SPLIT(G5475,""/""),,2),INDEX(SPLIT(G5475,""/""),,1))"),44449.0)</f>
        <v>44449</v>
      </c>
      <c r="I5475" s="1" t="s">
        <v>109</v>
      </c>
      <c r="J5475" s="4">
        <f>IFERROR(__xludf.DUMMYFUNCTION("DATE(INDEX(SPLIT(I5475,""/""),,3),INDEX(SPLIT(I5475,""/""),,2),INDEX(SPLIT(I5475,""/""),,1))"),44834.0)</f>
        <v>44834</v>
      </c>
      <c r="L5475" s="1">
        <v>0.0</v>
      </c>
      <c r="M5475" s="1" t="s">
        <v>11254</v>
      </c>
      <c r="N5475" s="1"/>
      <c r="O5475" s="1" t="s">
        <v>30</v>
      </c>
      <c r="P5475" s="1" t="s">
        <v>31</v>
      </c>
      <c r="Q5475" s="1" t="s">
        <v>228</v>
      </c>
      <c r="R5475" s="1" t="s">
        <v>228</v>
      </c>
      <c r="S5475" s="1" t="s">
        <v>229</v>
      </c>
      <c r="T5475" s="1" t="s">
        <v>513</v>
      </c>
      <c r="U5475" s="1">
        <v>1.00602248E8</v>
      </c>
      <c r="X5475" s="1" t="s">
        <v>2769</v>
      </c>
      <c r="Y5475" s="1" t="s">
        <v>12637</v>
      </c>
      <c r="Z5475" s="1" t="s">
        <v>37</v>
      </c>
    </row>
    <row r="5476" hidden="1">
      <c r="A5476" s="1" t="s">
        <v>15188</v>
      </c>
      <c r="B5476" s="1" t="s">
        <v>15189</v>
      </c>
      <c r="C5476" s="1" t="s">
        <v>15190</v>
      </c>
      <c r="D5476" s="1" t="s">
        <v>27</v>
      </c>
      <c r="E5476" s="1" t="s">
        <v>28</v>
      </c>
      <c r="F5476" s="2">
        <v>27550.0</v>
      </c>
      <c r="G5476" s="1" t="s">
        <v>185</v>
      </c>
      <c r="H5476" s="4">
        <f>IFERROR(__xludf.DUMMYFUNCTION("DATE(INDEX(SPLIT(G5476,""/""),,3),INDEX(SPLIT(G5476,""/""),,2),INDEX(SPLIT(G5476,""/""),,1))"),44741.0)</f>
        <v>44741</v>
      </c>
      <c r="I5476" s="1" t="s">
        <v>1097</v>
      </c>
      <c r="J5476" s="4">
        <f>IFERROR(__xludf.DUMMYFUNCTION("DATE(INDEX(SPLIT(I5476,""/""),,3),INDEX(SPLIT(I5476,""/""),,2),INDEX(SPLIT(I5476,""/""),,1))"),45107.0)</f>
        <v>45107</v>
      </c>
      <c r="L5476" s="1">
        <v>0.0</v>
      </c>
      <c r="M5476" s="1" t="s">
        <v>11254</v>
      </c>
      <c r="N5476" s="1"/>
      <c r="O5476" s="1" t="s">
        <v>30</v>
      </c>
      <c r="P5476" s="1" t="s">
        <v>31</v>
      </c>
      <c r="Q5476" s="1" t="s">
        <v>228</v>
      </c>
      <c r="R5476" s="1" t="s">
        <v>228</v>
      </c>
      <c r="S5476" s="1" t="s">
        <v>229</v>
      </c>
      <c r="T5476" s="1" t="s">
        <v>513</v>
      </c>
      <c r="U5476" s="1">
        <v>1.00602248E8</v>
      </c>
      <c r="X5476" s="1" t="s">
        <v>81</v>
      </c>
      <c r="Y5476" s="1" t="s">
        <v>13944</v>
      </c>
      <c r="Z5476" s="1" t="s">
        <v>37</v>
      </c>
    </row>
    <row r="5477" hidden="1">
      <c r="A5477" s="1" t="s">
        <v>15191</v>
      </c>
      <c r="B5477" s="1" t="s">
        <v>1417</v>
      </c>
      <c r="C5477" s="1" t="s">
        <v>15192</v>
      </c>
      <c r="D5477" s="1" t="s">
        <v>27</v>
      </c>
      <c r="E5477" s="1" t="s">
        <v>28</v>
      </c>
      <c r="F5477" s="2">
        <v>27550.0</v>
      </c>
      <c r="G5477" s="1" t="s">
        <v>359</v>
      </c>
      <c r="H5477" s="4">
        <f>IFERROR(__xludf.DUMMYFUNCTION("DATE(INDEX(SPLIT(G5477,""/""),,3),INDEX(SPLIT(G5477,""/""),,2),INDEX(SPLIT(G5477,""/""),,1))"),44740.0)</f>
        <v>44740</v>
      </c>
      <c r="I5477" s="1" t="s">
        <v>1097</v>
      </c>
      <c r="J5477" s="4">
        <f>IFERROR(__xludf.DUMMYFUNCTION("DATE(INDEX(SPLIT(I5477,""/""),,3),INDEX(SPLIT(I5477,""/""),,2),INDEX(SPLIT(I5477,""/""),,1))"),45107.0)</f>
        <v>45107</v>
      </c>
      <c r="L5477" s="1">
        <v>0.0</v>
      </c>
      <c r="M5477" s="1" t="s">
        <v>11254</v>
      </c>
      <c r="N5477" s="1"/>
      <c r="O5477" s="1" t="s">
        <v>30</v>
      </c>
      <c r="P5477" s="1" t="s">
        <v>31</v>
      </c>
      <c r="Q5477" s="1" t="s">
        <v>228</v>
      </c>
      <c r="R5477" s="1" t="s">
        <v>228</v>
      </c>
      <c r="S5477" s="1" t="s">
        <v>229</v>
      </c>
      <c r="T5477" s="1" t="s">
        <v>513</v>
      </c>
      <c r="U5477" s="1">
        <v>1.00602248E8</v>
      </c>
      <c r="X5477" s="1" t="s">
        <v>239</v>
      </c>
      <c r="Y5477" s="1" t="s">
        <v>13944</v>
      </c>
      <c r="Z5477" s="1" t="s">
        <v>37</v>
      </c>
    </row>
    <row r="5478" hidden="1">
      <c r="A5478" s="1" t="s">
        <v>15193</v>
      </c>
      <c r="B5478" s="1" t="s">
        <v>15183</v>
      </c>
      <c r="C5478" s="1" t="s">
        <v>15184</v>
      </c>
      <c r="D5478" s="1" t="s">
        <v>78</v>
      </c>
      <c r="E5478" s="1" t="s">
        <v>28</v>
      </c>
      <c r="F5478" s="2">
        <v>27550.0</v>
      </c>
      <c r="G5478" s="4">
        <v>44682.0</v>
      </c>
      <c r="H5478" s="4">
        <f>IFERROR(__xludf.DUMMYFUNCTION("DATE(INDEX(SPLIT(G5478,""/""),,3),INDEX(SPLIT(G5478,""/""),,2),INDEX(SPLIT(G5478,""/""),,1))"),44566.0)</f>
        <v>44566</v>
      </c>
      <c r="I5478" s="1" t="s">
        <v>109</v>
      </c>
      <c r="J5478" s="4">
        <f>IFERROR(__xludf.DUMMYFUNCTION("DATE(INDEX(SPLIT(I5478,""/""),,3),INDEX(SPLIT(I5478,""/""),,2),INDEX(SPLIT(I5478,""/""),,1))"),44834.0)</f>
        <v>44834</v>
      </c>
      <c r="L5478" s="1">
        <v>0.0</v>
      </c>
      <c r="M5478" s="1" t="s">
        <v>11254</v>
      </c>
      <c r="N5478" s="1"/>
      <c r="O5478" s="1" t="s">
        <v>30</v>
      </c>
      <c r="P5478" s="1" t="s">
        <v>31</v>
      </c>
      <c r="Q5478" s="1" t="s">
        <v>228</v>
      </c>
      <c r="R5478" s="1" t="s">
        <v>228</v>
      </c>
      <c r="S5478" s="1" t="s">
        <v>229</v>
      </c>
      <c r="T5478" s="1" t="s">
        <v>513</v>
      </c>
      <c r="U5478" s="1">
        <v>1.00602248E8</v>
      </c>
      <c r="X5478" s="1" t="s">
        <v>74</v>
      </c>
      <c r="Y5478" s="1" t="s">
        <v>13638</v>
      </c>
      <c r="Z5478" s="1" t="s">
        <v>37</v>
      </c>
    </row>
    <row r="5479" hidden="1">
      <c r="A5479" s="1" t="s">
        <v>15194</v>
      </c>
      <c r="B5479" s="1" t="s">
        <v>15195</v>
      </c>
      <c r="C5479" s="1" t="s">
        <v>15196</v>
      </c>
      <c r="D5479" s="1" t="s">
        <v>27</v>
      </c>
      <c r="E5479" s="1" t="s">
        <v>28</v>
      </c>
      <c r="F5479" s="2">
        <v>27550.0</v>
      </c>
      <c r="G5479" s="4">
        <v>44599.0</v>
      </c>
      <c r="H5479" s="4">
        <f>IFERROR(__xludf.DUMMYFUNCTION("DATE(INDEX(SPLIT(G5479,""/""),,3),INDEX(SPLIT(G5479,""/""),,2),INDEX(SPLIT(G5479,""/""),,1))"),44744.0)</f>
        <v>44744</v>
      </c>
      <c r="I5479" s="1" t="s">
        <v>1097</v>
      </c>
      <c r="J5479" s="4">
        <f>IFERROR(__xludf.DUMMYFUNCTION("DATE(INDEX(SPLIT(I5479,""/""),,3),INDEX(SPLIT(I5479,""/""),,2),INDEX(SPLIT(I5479,""/""),,1))"),45107.0)</f>
        <v>45107</v>
      </c>
      <c r="L5479" s="1">
        <v>0.0</v>
      </c>
      <c r="M5479" s="1" t="s">
        <v>12039</v>
      </c>
      <c r="N5479" s="1"/>
      <c r="O5479" s="1" t="s">
        <v>30</v>
      </c>
      <c r="P5479" s="1" t="s">
        <v>31</v>
      </c>
      <c r="Q5479" s="1" t="s">
        <v>228</v>
      </c>
      <c r="R5479" s="1" t="s">
        <v>228</v>
      </c>
      <c r="S5479" s="1" t="s">
        <v>229</v>
      </c>
      <c r="U5479" s="1">
        <v>1.00612509E8</v>
      </c>
      <c r="X5479" s="1" t="s">
        <v>74</v>
      </c>
      <c r="Y5479" s="1" t="s">
        <v>12640</v>
      </c>
      <c r="Z5479" s="1" t="s">
        <v>37</v>
      </c>
    </row>
    <row r="5480" hidden="1">
      <c r="A5480" s="1" t="s">
        <v>15197</v>
      </c>
      <c r="B5480" s="1" t="s">
        <v>1820</v>
      </c>
      <c r="C5480" s="1" t="s">
        <v>15198</v>
      </c>
      <c r="D5480" s="1" t="s">
        <v>27</v>
      </c>
      <c r="E5480" s="1" t="s">
        <v>28</v>
      </c>
      <c r="F5480" s="2">
        <v>27550.0</v>
      </c>
      <c r="G5480" s="4">
        <v>44599.0</v>
      </c>
      <c r="H5480" s="4">
        <f>IFERROR(__xludf.DUMMYFUNCTION("DATE(INDEX(SPLIT(G5480,""/""),,3),INDEX(SPLIT(G5480,""/""),,2),INDEX(SPLIT(G5480,""/""),,1))"),44744.0)</f>
        <v>44744</v>
      </c>
      <c r="I5480" s="1" t="s">
        <v>1097</v>
      </c>
      <c r="J5480" s="4">
        <f>IFERROR(__xludf.DUMMYFUNCTION("DATE(INDEX(SPLIT(I5480,""/""),,3),INDEX(SPLIT(I5480,""/""),,2),INDEX(SPLIT(I5480,""/""),,1))"),45107.0)</f>
        <v>45107</v>
      </c>
      <c r="L5480" s="1">
        <v>0.0</v>
      </c>
      <c r="M5480" s="1" t="s">
        <v>11254</v>
      </c>
      <c r="N5480" s="1"/>
      <c r="O5480" s="1" t="s">
        <v>30</v>
      </c>
      <c r="P5480" s="1" t="s">
        <v>31</v>
      </c>
      <c r="Q5480" s="1" t="s">
        <v>228</v>
      </c>
      <c r="R5480" s="1" t="s">
        <v>228</v>
      </c>
      <c r="S5480" s="1" t="s">
        <v>229</v>
      </c>
      <c r="T5480" s="1" t="s">
        <v>513</v>
      </c>
      <c r="U5480" s="1">
        <v>1.00602248E8</v>
      </c>
      <c r="X5480" s="1" t="s">
        <v>74</v>
      </c>
      <c r="Y5480" s="1" t="s">
        <v>12640</v>
      </c>
      <c r="Z5480" s="1" t="s">
        <v>37</v>
      </c>
    </row>
    <row r="5481" hidden="1">
      <c r="A5481" s="1" t="s">
        <v>15199</v>
      </c>
      <c r="B5481" s="1" t="s">
        <v>15200</v>
      </c>
      <c r="C5481" s="1" t="s">
        <v>15201</v>
      </c>
      <c r="D5481" s="1" t="s">
        <v>27</v>
      </c>
      <c r="E5481" s="1" t="s">
        <v>28</v>
      </c>
      <c r="F5481" s="2">
        <v>27550.0</v>
      </c>
      <c r="G5481" s="4">
        <v>44599.0</v>
      </c>
      <c r="H5481" s="4">
        <f>IFERROR(__xludf.DUMMYFUNCTION("DATE(INDEX(SPLIT(G5481,""/""),,3),INDEX(SPLIT(G5481,""/""),,2),INDEX(SPLIT(G5481,""/""),,1))"),44744.0)</f>
        <v>44744</v>
      </c>
      <c r="I5481" s="1" t="s">
        <v>1097</v>
      </c>
      <c r="J5481" s="4">
        <f>IFERROR(__xludf.DUMMYFUNCTION("DATE(INDEX(SPLIT(I5481,""/""),,3),INDEX(SPLIT(I5481,""/""),,2),INDEX(SPLIT(I5481,""/""),,1))"),45107.0)</f>
        <v>45107</v>
      </c>
      <c r="L5481" s="1">
        <v>0.0</v>
      </c>
      <c r="M5481" s="1" t="s">
        <v>11254</v>
      </c>
      <c r="N5481" s="1"/>
      <c r="O5481" s="1" t="s">
        <v>30</v>
      </c>
      <c r="P5481" s="1" t="s">
        <v>31</v>
      </c>
      <c r="Q5481" s="1" t="s">
        <v>228</v>
      </c>
      <c r="R5481" s="1" t="s">
        <v>228</v>
      </c>
      <c r="S5481" s="1" t="s">
        <v>229</v>
      </c>
      <c r="T5481" s="1" t="s">
        <v>513</v>
      </c>
      <c r="U5481" s="1">
        <v>1.00602248E8</v>
      </c>
      <c r="X5481" s="1" t="s">
        <v>74</v>
      </c>
      <c r="Y5481" s="1" t="s">
        <v>14932</v>
      </c>
      <c r="Z5481" s="1" t="s">
        <v>37</v>
      </c>
    </row>
    <row r="5482" hidden="1">
      <c r="A5482" s="1" t="s">
        <v>15202</v>
      </c>
      <c r="B5482" s="1" t="s">
        <v>15203</v>
      </c>
      <c r="C5482" s="1" t="s">
        <v>15204</v>
      </c>
      <c r="D5482" s="1" t="s">
        <v>27</v>
      </c>
      <c r="E5482" s="1" t="s">
        <v>28</v>
      </c>
      <c r="F5482" s="2">
        <v>27550.0</v>
      </c>
      <c r="G5482" s="4">
        <v>44599.0</v>
      </c>
      <c r="H5482" s="4">
        <f>IFERROR(__xludf.DUMMYFUNCTION("DATE(INDEX(SPLIT(G5482,""/""),,3),INDEX(SPLIT(G5482,""/""),,2),INDEX(SPLIT(G5482,""/""),,1))"),44744.0)</f>
        <v>44744</v>
      </c>
      <c r="I5482" s="1" t="s">
        <v>1097</v>
      </c>
      <c r="J5482" s="4">
        <f>IFERROR(__xludf.DUMMYFUNCTION("DATE(INDEX(SPLIT(I5482,""/""),,3),INDEX(SPLIT(I5482,""/""),,2),INDEX(SPLIT(I5482,""/""),,1))"),45107.0)</f>
        <v>45107</v>
      </c>
      <c r="L5482" s="1">
        <v>0.0</v>
      </c>
      <c r="M5482" s="1" t="s">
        <v>12039</v>
      </c>
      <c r="N5482" s="1"/>
      <c r="O5482" s="1" t="s">
        <v>30</v>
      </c>
      <c r="P5482" s="1" t="s">
        <v>31</v>
      </c>
      <c r="Q5482" s="1" t="s">
        <v>228</v>
      </c>
      <c r="R5482" s="1" t="s">
        <v>228</v>
      </c>
      <c r="S5482" s="1" t="s">
        <v>229</v>
      </c>
      <c r="U5482" s="1">
        <v>1.00612509E8</v>
      </c>
      <c r="X5482" s="1" t="s">
        <v>74</v>
      </c>
      <c r="Y5482" s="1" t="s">
        <v>12640</v>
      </c>
      <c r="Z5482" s="1" t="s">
        <v>37</v>
      </c>
    </row>
    <row r="5483" hidden="1">
      <c r="A5483" s="1" t="s">
        <v>15205</v>
      </c>
      <c r="B5483" s="1" t="s">
        <v>1542</v>
      </c>
      <c r="C5483" s="1" t="s">
        <v>15206</v>
      </c>
      <c r="D5483" s="1" t="s">
        <v>27</v>
      </c>
      <c r="E5483" s="1" t="s">
        <v>28</v>
      </c>
      <c r="F5483" s="2">
        <v>27550.0</v>
      </c>
      <c r="G5483" s="4">
        <v>44599.0</v>
      </c>
      <c r="H5483" s="4">
        <f>IFERROR(__xludf.DUMMYFUNCTION("DATE(INDEX(SPLIT(G5483,""/""),,3),INDEX(SPLIT(G5483,""/""),,2),INDEX(SPLIT(G5483,""/""),,1))"),44744.0)</f>
        <v>44744</v>
      </c>
      <c r="I5483" s="1" t="s">
        <v>1097</v>
      </c>
      <c r="J5483" s="4">
        <f>IFERROR(__xludf.DUMMYFUNCTION("DATE(INDEX(SPLIT(I5483,""/""),,3),INDEX(SPLIT(I5483,""/""),,2),INDEX(SPLIT(I5483,""/""),,1))"),45107.0)</f>
        <v>45107</v>
      </c>
      <c r="L5483" s="1">
        <v>0.0</v>
      </c>
      <c r="M5483" s="1" t="s">
        <v>12039</v>
      </c>
      <c r="N5483" s="1"/>
      <c r="O5483" s="1" t="s">
        <v>30</v>
      </c>
      <c r="P5483" s="1" t="s">
        <v>31</v>
      </c>
      <c r="Q5483" s="1" t="s">
        <v>228</v>
      </c>
      <c r="R5483" s="1" t="s">
        <v>228</v>
      </c>
      <c r="S5483" s="1" t="s">
        <v>229</v>
      </c>
      <c r="T5483" s="1" t="s">
        <v>513</v>
      </c>
      <c r="U5483" s="1">
        <v>1.00612509E8</v>
      </c>
      <c r="X5483" s="1" t="s">
        <v>74</v>
      </c>
      <c r="Y5483" s="1" t="s">
        <v>12640</v>
      </c>
      <c r="Z5483" s="1" t="s">
        <v>37</v>
      </c>
    </row>
    <row r="5484" hidden="1">
      <c r="A5484" s="1" t="s">
        <v>15207</v>
      </c>
      <c r="B5484" s="1" t="s">
        <v>15186</v>
      </c>
      <c r="C5484" s="1" t="s">
        <v>15208</v>
      </c>
      <c r="D5484" s="1" t="s">
        <v>27</v>
      </c>
      <c r="E5484" s="1" t="s">
        <v>28</v>
      </c>
      <c r="F5484" s="2">
        <v>27550.0</v>
      </c>
      <c r="G5484" s="4">
        <v>44568.0</v>
      </c>
      <c r="H5484" s="4">
        <f>IFERROR(__xludf.DUMMYFUNCTION("DATE(INDEX(SPLIT(G5484,""/""),,3),INDEX(SPLIT(G5484,""/""),,2),INDEX(SPLIT(G5484,""/""),,1))"),44743.0)</f>
        <v>44743</v>
      </c>
      <c r="I5484" s="1" t="s">
        <v>1097</v>
      </c>
      <c r="J5484" s="4">
        <f>IFERROR(__xludf.DUMMYFUNCTION("DATE(INDEX(SPLIT(I5484,""/""),,3),INDEX(SPLIT(I5484,""/""),,2),INDEX(SPLIT(I5484,""/""),,1))"),45107.0)</f>
        <v>45107</v>
      </c>
      <c r="L5484" s="1">
        <v>0.0</v>
      </c>
      <c r="M5484" s="1" t="s">
        <v>11254</v>
      </c>
      <c r="N5484" s="1"/>
      <c r="O5484" s="1" t="s">
        <v>30</v>
      </c>
      <c r="P5484" s="1" t="s">
        <v>31</v>
      </c>
      <c r="Q5484" s="1" t="s">
        <v>228</v>
      </c>
      <c r="R5484" s="1" t="s">
        <v>228</v>
      </c>
      <c r="S5484" s="1" t="s">
        <v>229</v>
      </c>
      <c r="U5484" s="1">
        <v>1.00602248E8</v>
      </c>
      <c r="X5484" s="1" t="s">
        <v>2028</v>
      </c>
      <c r="Y5484" s="1" t="s">
        <v>12640</v>
      </c>
      <c r="Z5484" s="1" t="s">
        <v>37</v>
      </c>
    </row>
    <row r="5485" hidden="1">
      <c r="A5485" s="1" t="s">
        <v>15209</v>
      </c>
      <c r="B5485" s="1" t="s">
        <v>4747</v>
      </c>
      <c r="C5485" s="1" t="s">
        <v>15210</v>
      </c>
      <c r="D5485" s="1" t="s">
        <v>122</v>
      </c>
      <c r="E5485" s="1" t="s">
        <v>28</v>
      </c>
      <c r="F5485" s="2">
        <v>27550.0</v>
      </c>
      <c r="G5485" s="4">
        <v>44565.0</v>
      </c>
      <c r="H5485" s="4">
        <f>IFERROR(__xludf.DUMMYFUNCTION("DATE(INDEX(SPLIT(G5485,""/""),,3),INDEX(SPLIT(G5485,""/""),,2),INDEX(SPLIT(G5485,""/""),,1))"),44652.0)</f>
        <v>44652</v>
      </c>
      <c r="I5485" s="1" t="s">
        <v>42</v>
      </c>
      <c r="J5485" s="4">
        <f>IFERROR(__xludf.DUMMYFUNCTION("DATE(INDEX(SPLIT(I5485,""/""),,3),INDEX(SPLIT(I5485,""/""),,2),INDEX(SPLIT(I5485,""/""),,1))"),44926.0)</f>
        <v>44926</v>
      </c>
      <c r="L5485" s="1">
        <v>0.0</v>
      </c>
      <c r="M5485" s="1" t="s">
        <v>11254</v>
      </c>
      <c r="N5485" s="1"/>
      <c r="O5485" s="1" t="s">
        <v>30</v>
      </c>
      <c r="P5485" s="1" t="s">
        <v>31</v>
      </c>
      <c r="Q5485" s="1" t="s">
        <v>228</v>
      </c>
      <c r="R5485" s="1" t="s">
        <v>228</v>
      </c>
      <c r="S5485" s="1" t="s">
        <v>229</v>
      </c>
      <c r="T5485" s="1" t="s">
        <v>513</v>
      </c>
      <c r="U5485" s="1">
        <v>1.00602248E8</v>
      </c>
      <c r="X5485" s="1" t="s">
        <v>305</v>
      </c>
      <c r="Y5485" s="1" t="s">
        <v>13638</v>
      </c>
      <c r="Z5485" s="1" t="s">
        <v>37</v>
      </c>
    </row>
    <row r="5486" hidden="1">
      <c r="A5486" s="1" t="s">
        <v>15211</v>
      </c>
      <c r="B5486" s="1" t="s">
        <v>1117</v>
      </c>
      <c r="C5486" s="1" t="s">
        <v>15212</v>
      </c>
      <c r="D5486" s="1" t="s">
        <v>27</v>
      </c>
      <c r="E5486" s="1" t="s">
        <v>28</v>
      </c>
      <c r="F5486" s="2">
        <v>27550.0</v>
      </c>
      <c r="G5486" s="1" t="s">
        <v>779</v>
      </c>
      <c r="H5486" s="4">
        <f>IFERROR(__xludf.DUMMYFUNCTION("DATE(INDEX(SPLIT(G5486,""/""),,3),INDEX(SPLIT(G5486,""/""),,2),INDEX(SPLIT(G5486,""/""),,1))"),44734.0)</f>
        <v>44734</v>
      </c>
      <c r="I5486" s="1" t="s">
        <v>1097</v>
      </c>
      <c r="J5486" s="4">
        <f>IFERROR(__xludf.DUMMYFUNCTION("DATE(INDEX(SPLIT(I5486,""/""),,3),INDEX(SPLIT(I5486,""/""),,2),INDEX(SPLIT(I5486,""/""),,1))"),45107.0)</f>
        <v>45107</v>
      </c>
      <c r="L5486" s="1">
        <v>0.0</v>
      </c>
      <c r="M5486" s="1" t="s">
        <v>12039</v>
      </c>
      <c r="N5486" s="1"/>
      <c r="O5486" s="1" t="s">
        <v>30</v>
      </c>
      <c r="P5486" s="1" t="s">
        <v>31</v>
      </c>
      <c r="Q5486" s="1" t="s">
        <v>228</v>
      </c>
      <c r="R5486" s="1" t="s">
        <v>228</v>
      </c>
      <c r="S5486" s="1" t="s">
        <v>229</v>
      </c>
      <c r="T5486" s="1" t="s">
        <v>513</v>
      </c>
      <c r="U5486" s="1">
        <v>1.00612509E8</v>
      </c>
      <c r="X5486" s="1" t="s">
        <v>74</v>
      </c>
      <c r="Y5486" s="1" t="s">
        <v>13944</v>
      </c>
      <c r="Z5486" s="1" t="s">
        <v>37</v>
      </c>
    </row>
    <row r="5487" hidden="1">
      <c r="A5487" s="1" t="s">
        <v>15213</v>
      </c>
      <c r="B5487" s="1" t="s">
        <v>9128</v>
      </c>
      <c r="C5487" s="1" t="s">
        <v>15214</v>
      </c>
      <c r="D5487" s="1" t="s">
        <v>27</v>
      </c>
      <c r="E5487" s="1" t="s">
        <v>28</v>
      </c>
      <c r="F5487" s="2">
        <v>27500.0</v>
      </c>
      <c r="G5487" s="4">
        <v>44599.0</v>
      </c>
      <c r="H5487" s="4">
        <f>IFERROR(__xludf.DUMMYFUNCTION("DATE(INDEX(SPLIT(G5487,""/""),,3),INDEX(SPLIT(G5487,""/""),,2),INDEX(SPLIT(G5487,""/""),,1))"),44744.0)</f>
        <v>44744</v>
      </c>
      <c r="I5487" s="1" t="s">
        <v>1097</v>
      </c>
      <c r="J5487" s="4">
        <f>IFERROR(__xludf.DUMMYFUNCTION("DATE(INDEX(SPLIT(I5487,""/""),,3),INDEX(SPLIT(I5487,""/""),,2),INDEX(SPLIT(I5487,""/""),,1))"),45107.0)</f>
        <v>45107</v>
      </c>
      <c r="L5487" s="1">
        <v>0.0</v>
      </c>
      <c r="M5487" s="1" t="s">
        <v>12039</v>
      </c>
      <c r="N5487" s="1"/>
      <c r="O5487" s="1" t="s">
        <v>30</v>
      </c>
      <c r="P5487" s="1" t="s">
        <v>31</v>
      </c>
      <c r="Q5487" s="1" t="s">
        <v>228</v>
      </c>
      <c r="R5487" s="1" t="s">
        <v>228</v>
      </c>
      <c r="S5487" s="1" t="s">
        <v>229</v>
      </c>
      <c r="U5487" s="1">
        <v>1.00612509E8</v>
      </c>
      <c r="X5487" s="1" t="s">
        <v>74</v>
      </c>
      <c r="Y5487" s="1" t="s">
        <v>12640</v>
      </c>
      <c r="Z5487" s="1" t="s">
        <v>37</v>
      </c>
    </row>
    <row r="5488" hidden="1">
      <c r="A5488" s="1" t="s">
        <v>15215</v>
      </c>
      <c r="B5488" s="1" t="s">
        <v>15216</v>
      </c>
      <c r="C5488" s="1" t="s">
        <v>15217</v>
      </c>
      <c r="D5488" s="1" t="s">
        <v>27</v>
      </c>
      <c r="E5488" s="1" t="s">
        <v>28</v>
      </c>
      <c r="F5488" s="2">
        <v>27500.0</v>
      </c>
      <c r="G5488" s="4">
        <v>44568.0</v>
      </c>
      <c r="H5488" s="4">
        <f>IFERROR(__xludf.DUMMYFUNCTION("DATE(INDEX(SPLIT(G5488,""/""),,3),INDEX(SPLIT(G5488,""/""),,2),INDEX(SPLIT(G5488,""/""),,1))"),44743.0)</f>
        <v>44743</v>
      </c>
      <c r="I5488" s="1" t="s">
        <v>1097</v>
      </c>
      <c r="J5488" s="4">
        <f>IFERROR(__xludf.DUMMYFUNCTION("DATE(INDEX(SPLIT(I5488,""/""),,3),INDEX(SPLIT(I5488,""/""),,2),INDEX(SPLIT(I5488,""/""),,1))"),45107.0)</f>
        <v>45107</v>
      </c>
      <c r="L5488" s="1">
        <v>0.0</v>
      </c>
      <c r="M5488" s="1" t="s">
        <v>1685</v>
      </c>
      <c r="N5488" s="1"/>
      <c r="O5488" s="1" t="s">
        <v>30</v>
      </c>
      <c r="P5488" s="1" t="s">
        <v>31</v>
      </c>
      <c r="Q5488" s="1" t="s">
        <v>228</v>
      </c>
      <c r="R5488" s="1" t="s">
        <v>228</v>
      </c>
      <c r="S5488" s="1" t="s">
        <v>229</v>
      </c>
      <c r="U5488" s="1">
        <v>1.00612055E8</v>
      </c>
      <c r="X5488" s="1" t="s">
        <v>239</v>
      </c>
      <c r="Y5488" s="1" t="s">
        <v>12640</v>
      </c>
      <c r="Z5488" s="1" t="s">
        <v>37</v>
      </c>
    </row>
    <row r="5489">
      <c r="A5489" s="1" t="s">
        <v>15218</v>
      </c>
      <c r="B5489" s="1" t="s">
        <v>15219</v>
      </c>
      <c r="C5489" s="1" t="s">
        <v>15220</v>
      </c>
      <c r="D5489" s="1" t="s">
        <v>78</v>
      </c>
      <c r="E5489" s="1" t="s">
        <v>28</v>
      </c>
      <c r="F5489" s="2">
        <v>27000.0</v>
      </c>
      <c r="G5489" s="4">
        <v>43627.0</v>
      </c>
      <c r="H5489" s="4">
        <f>IFERROR(__xludf.DUMMYFUNCTION("DATE(INDEX(SPLIT(G5489,""/""),,3),INDEX(SPLIT(G5489,""/""),,2),INDEX(SPLIT(G5489,""/""),,1))"),43775.0)</f>
        <v>43775</v>
      </c>
      <c r="I5489" s="1" t="s">
        <v>226</v>
      </c>
      <c r="J5489" s="4">
        <f>IFERROR(__xludf.DUMMYFUNCTION("DATE(INDEX(SPLIT(I5489,""/""),,3),INDEX(SPLIT(I5489,""/""),,2),INDEX(SPLIT(I5489,""/""),,1))"),44771.0)</f>
        <v>44771</v>
      </c>
      <c r="L5489" s="1">
        <v>0.0</v>
      </c>
      <c r="M5489" s="1" t="s">
        <v>2696</v>
      </c>
      <c r="N5489" s="1"/>
      <c r="O5489" s="1" t="s">
        <v>30</v>
      </c>
      <c r="P5489" s="1" t="s">
        <v>31</v>
      </c>
      <c r="Q5489" s="1" t="s">
        <v>157</v>
      </c>
      <c r="R5489" s="1" t="s">
        <v>157</v>
      </c>
      <c r="S5489" s="1" t="s">
        <v>158</v>
      </c>
      <c r="T5489" s="1" t="s">
        <v>402</v>
      </c>
      <c r="U5489" s="1">
        <v>1.00611351E8</v>
      </c>
      <c r="X5489" s="1" t="s">
        <v>781</v>
      </c>
      <c r="Y5489" s="1" t="s">
        <v>3016</v>
      </c>
      <c r="Z5489" s="1" t="s">
        <v>37</v>
      </c>
    </row>
    <row r="5490">
      <c r="A5490" s="1" t="s">
        <v>15221</v>
      </c>
      <c r="B5490" s="1" t="s">
        <v>9414</v>
      </c>
      <c r="C5490" s="1" t="s">
        <v>15222</v>
      </c>
      <c r="D5490" s="1" t="s">
        <v>78</v>
      </c>
      <c r="E5490" s="1" t="s">
        <v>28</v>
      </c>
      <c r="F5490" s="2">
        <v>27000.0</v>
      </c>
      <c r="G5490" s="1" t="s">
        <v>164</v>
      </c>
      <c r="H5490" s="4">
        <f>IFERROR(__xludf.DUMMYFUNCTION("DATE(INDEX(SPLIT(G5490,""/""),,3),INDEX(SPLIT(G5490,""/""),,2),INDEX(SPLIT(G5490,""/""),,1))"),44706.0)</f>
        <v>44706</v>
      </c>
      <c r="I5490" s="1" t="s">
        <v>1244</v>
      </c>
      <c r="J5490" s="4">
        <f>IFERROR(__xludf.DUMMYFUNCTION("DATE(INDEX(SPLIT(I5490,""/""),,3),INDEX(SPLIT(I5490,""/""),,2),INDEX(SPLIT(I5490,""/""),,1))"),44742.0)</f>
        <v>44742</v>
      </c>
      <c r="L5490" s="1">
        <v>0.0</v>
      </c>
      <c r="M5490" s="1" t="s">
        <v>2568</v>
      </c>
      <c r="N5490" s="1"/>
      <c r="O5490" s="1" t="s">
        <v>30</v>
      </c>
      <c r="P5490" s="1" t="s">
        <v>31</v>
      </c>
      <c r="Q5490" s="1" t="s">
        <v>228</v>
      </c>
      <c r="R5490" s="1" t="s">
        <v>228</v>
      </c>
      <c r="S5490" s="1" t="s">
        <v>229</v>
      </c>
      <c r="T5490" s="1" t="s">
        <v>513</v>
      </c>
      <c r="U5490" s="1">
        <v>1.00659458E8</v>
      </c>
      <c r="X5490" s="1" t="s">
        <v>35</v>
      </c>
      <c r="Y5490" s="1" t="s">
        <v>5688</v>
      </c>
      <c r="Z5490" s="1" t="s">
        <v>37</v>
      </c>
    </row>
    <row r="5491" hidden="1">
      <c r="A5491" s="1" t="s">
        <v>15223</v>
      </c>
      <c r="B5491" s="1" t="s">
        <v>14879</v>
      </c>
      <c r="C5491" s="1" t="s">
        <v>15224</v>
      </c>
      <c r="D5491" s="1" t="s">
        <v>27</v>
      </c>
      <c r="E5491" s="1" t="s">
        <v>28</v>
      </c>
      <c r="F5491" s="2">
        <v>26000.0</v>
      </c>
      <c r="G5491" s="1" t="s">
        <v>185</v>
      </c>
      <c r="H5491" s="4">
        <f>IFERROR(__xludf.DUMMYFUNCTION("DATE(INDEX(SPLIT(G5491,""/""),,3),INDEX(SPLIT(G5491,""/""),,2),INDEX(SPLIT(G5491,""/""),,1))"),44741.0)</f>
        <v>44741</v>
      </c>
      <c r="I5491" s="1" t="s">
        <v>134</v>
      </c>
      <c r="J5491" s="4">
        <f>IFERROR(__xludf.DUMMYFUNCTION("DATE(INDEX(SPLIT(I5491,""/""),,3),INDEX(SPLIT(I5491,""/""),,2),INDEX(SPLIT(I5491,""/""),,1))"),44792.0)</f>
        <v>44792</v>
      </c>
      <c r="L5491" s="1">
        <v>0.0</v>
      </c>
      <c r="M5491" s="1" t="s">
        <v>11254</v>
      </c>
      <c r="N5491" s="1"/>
      <c r="O5491" s="1" t="s">
        <v>30</v>
      </c>
      <c r="P5491" s="1" t="s">
        <v>31</v>
      </c>
      <c r="Q5491" s="1" t="s">
        <v>228</v>
      </c>
      <c r="R5491" s="1" t="s">
        <v>228</v>
      </c>
      <c r="S5491" s="1" t="s">
        <v>229</v>
      </c>
      <c r="U5491" s="1">
        <v>1.00602248E8</v>
      </c>
      <c r="X5491" s="1" t="s">
        <v>98</v>
      </c>
      <c r="Y5491" s="1" t="s">
        <v>14684</v>
      </c>
      <c r="Z5491" s="1" t="s">
        <v>37</v>
      </c>
    </row>
    <row r="5492" hidden="1">
      <c r="A5492" s="1" t="s">
        <v>15225</v>
      </c>
      <c r="B5492" s="1" t="s">
        <v>14191</v>
      </c>
      <c r="C5492" s="1" t="s">
        <v>15226</v>
      </c>
      <c r="D5492" s="1" t="s">
        <v>27</v>
      </c>
      <c r="E5492" s="1" t="s">
        <v>28</v>
      </c>
      <c r="F5492" s="2">
        <v>25800.0</v>
      </c>
      <c r="G5492" s="1" t="s">
        <v>935</v>
      </c>
      <c r="H5492" s="4">
        <f>IFERROR(__xludf.DUMMYFUNCTION("DATE(INDEX(SPLIT(G5492,""/""),,3),INDEX(SPLIT(G5492,""/""),,2),INDEX(SPLIT(G5492,""/""),,1))"),44764.0)</f>
        <v>44764</v>
      </c>
      <c r="I5492" s="1" t="s">
        <v>109</v>
      </c>
      <c r="J5492" s="4">
        <f>IFERROR(__xludf.DUMMYFUNCTION("DATE(INDEX(SPLIT(I5492,""/""),,3),INDEX(SPLIT(I5492,""/""),,2),INDEX(SPLIT(I5492,""/""),,1))"),44834.0)</f>
        <v>44834</v>
      </c>
      <c r="L5492" s="1">
        <v>0.0</v>
      </c>
      <c r="M5492" s="1" t="s">
        <v>4735</v>
      </c>
      <c r="N5492" s="1"/>
      <c r="O5492" s="1" t="s">
        <v>30</v>
      </c>
      <c r="P5492" s="1" t="s">
        <v>31</v>
      </c>
      <c r="Q5492" s="1" t="s">
        <v>71</v>
      </c>
      <c r="R5492" s="1" t="s">
        <v>71</v>
      </c>
      <c r="S5492" s="1" t="s">
        <v>72</v>
      </c>
      <c r="T5492" s="1" t="s">
        <v>136</v>
      </c>
      <c r="U5492" s="1">
        <v>1.00609615E8</v>
      </c>
      <c r="X5492" s="1" t="s">
        <v>74</v>
      </c>
      <c r="Y5492" s="1" t="s">
        <v>2593</v>
      </c>
      <c r="Z5492" s="1" t="s">
        <v>206</v>
      </c>
    </row>
    <row r="5493" hidden="1">
      <c r="A5493" s="1" t="s">
        <v>15227</v>
      </c>
      <c r="B5493" s="1" t="s">
        <v>14262</v>
      </c>
      <c r="C5493" s="1" t="s">
        <v>15228</v>
      </c>
      <c r="D5493" s="1" t="s">
        <v>27</v>
      </c>
      <c r="E5493" s="1" t="s">
        <v>28</v>
      </c>
      <c r="F5493" s="2">
        <v>25800.0</v>
      </c>
      <c r="G5493" s="1" t="s">
        <v>935</v>
      </c>
      <c r="H5493" s="4">
        <f>IFERROR(__xludf.DUMMYFUNCTION("DATE(INDEX(SPLIT(G5493,""/""),,3),INDEX(SPLIT(G5493,""/""),,2),INDEX(SPLIT(G5493,""/""),,1))"),44764.0)</f>
        <v>44764</v>
      </c>
      <c r="I5493" s="1" t="s">
        <v>569</v>
      </c>
      <c r="J5493" s="4">
        <f>IFERROR(__xludf.DUMMYFUNCTION("DATE(INDEX(SPLIT(I5493,""/""),,3),INDEX(SPLIT(I5493,""/""),,2),INDEX(SPLIT(I5493,""/""),,1))"),45016.0)</f>
        <v>45016</v>
      </c>
      <c r="L5493" s="1">
        <v>0.0</v>
      </c>
      <c r="M5493" s="1" t="s">
        <v>4735</v>
      </c>
      <c r="N5493" s="1"/>
      <c r="O5493" s="1" t="s">
        <v>30</v>
      </c>
      <c r="P5493" s="1" t="s">
        <v>31</v>
      </c>
      <c r="Q5493" s="1" t="s">
        <v>71</v>
      </c>
      <c r="R5493" s="1" t="s">
        <v>71</v>
      </c>
      <c r="S5493" s="1" t="s">
        <v>72</v>
      </c>
      <c r="T5493" s="1" t="s">
        <v>136</v>
      </c>
      <c r="U5493" s="1">
        <v>1.00609615E8</v>
      </c>
      <c r="X5493" s="1" t="s">
        <v>74</v>
      </c>
      <c r="Y5493" s="1" t="s">
        <v>2593</v>
      </c>
      <c r="Z5493" s="1" t="s">
        <v>206</v>
      </c>
    </row>
    <row r="5494" hidden="1">
      <c r="A5494" s="1" t="s">
        <v>15229</v>
      </c>
      <c r="B5494" s="1" t="s">
        <v>14855</v>
      </c>
      <c r="C5494" s="1" t="s">
        <v>15230</v>
      </c>
      <c r="D5494" s="1" t="s">
        <v>78</v>
      </c>
      <c r="E5494" s="1" t="s">
        <v>28</v>
      </c>
      <c r="F5494" s="2">
        <v>25500.0</v>
      </c>
      <c r="G5494" s="1" t="s">
        <v>935</v>
      </c>
      <c r="H5494" s="4">
        <f>IFERROR(__xludf.DUMMYFUNCTION("DATE(INDEX(SPLIT(G5494,""/""),,3),INDEX(SPLIT(G5494,""/""),,2),INDEX(SPLIT(G5494,""/""),,1))"),44764.0)</f>
        <v>44764</v>
      </c>
      <c r="I5494" s="1" t="s">
        <v>430</v>
      </c>
      <c r="J5494" s="4">
        <f>IFERROR(__xludf.DUMMYFUNCTION("DATE(INDEX(SPLIT(I5494,""/""),,3),INDEX(SPLIT(I5494,""/""),,2),INDEX(SPLIT(I5494,""/""),,1))"),44985.0)</f>
        <v>44985</v>
      </c>
      <c r="L5494" s="1">
        <v>0.0</v>
      </c>
      <c r="M5494" s="1" t="s">
        <v>4735</v>
      </c>
      <c r="N5494" s="1"/>
      <c r="O5494" s="1" t="s">
        <v>30</v>
      </c>
      <c r="P5494" s="1" t="s">
        <v>31</v>
      </c>
      <c r="Q5494" s="1" t="s">
        <v>71</v>
      </c>
      <c r="R5494" s="1" t="s">
        <v>71</v>
      </c>
      <c r="S5494" s="1" t="s">
        <v>72</v>
      </c>
      <c r="T5494" s="1" t="s">
        <v>136</v>
      </c>
      <c r="U5494" s="1">
        <v>1.00609615E8</v>
      </c>
      <c r="X5494" s="1" t="s">
        <v>74</v>
      </c>
      <c r="Y5494" s="1" t="s">
        <v>2593</v>
      </c>
      <c r="Z5494" s="1" t="s">
        <v>206</v>
      </c>
    </row>
    <row r="5495" hidden="1">
      <c r="A5495" s="1" t="s">
        <v>15231</v>
      </c>
      <c r="B5495" s="1" t="s">
        <v>1286</v>
      </c>
      <c r="C5495" s="1" t="s">
        <v>15232</v>
      </c>
      <c r="D5495" s="1" t="s">
        <v>27</v>
      </c>
      <c r="E5495" s="1" t="s">
        <v>28</v>
      </c>
      <c r="F5495" s="2">
        <v>25000.0</v>
      </c>
      <c r="G5495" s="1" t="s">
        <v>1244</v>
      </c>
      <c r="H5495" s="4">
        <f>IFERROR(__xludf.DUMMYFUNCTION("DATE(INDEX(SPLIT(G5495,""/""),,3),INDEX(SPLIT(G5495,""/""),,2),INDEX(SPLIT(G5495,""/""),,1))"),44742.0)</f>
        <v>44742</v>
      </c>
      <c r="I5495" s="1" t="s">
        <v>360</v>
      </c>
      <c r="J5495" s="4">
        <f>IFERROR(__xludf.DUMMYFUNCTION("DATE(INDEX(SPLIT(I5495,""/""),,3),INDEX(SPLIT(I5495,""/""),,2),INDEX(SPLIT(I5495,""/""),,1))"),44895.0)</f>
        <v>44895</v>
      </c>
      <c r="L5495" s="1">
        <v>0.0</v>
      </c>
      <c r="M5495" s="1" t="s">
        <v>482</v>
      </c>
      <c r="N5495" s="1"/>
      <c r="O5495" s="1" t="s">
        <v>30</v>
      </c>
      <c r="P5495" s="1" t="s">
        <v>31</v>
      </c>
      <c r="Q5495" s="1" t="s">
        <v>95</v>
      </c>
      <c r="R5495" s="1" t="s">
        <v>95</v>
      </c>
      <c r="S5495" s="1" t="s">
        <v>96</v>
      </c>
      <c r="T5495" s="1" t="s">
        <v>505</v>
      </c>
      <c r="U5495" s="1">
        <v>1.00657929E8</v>
      </c>
      <c r="X5495" s="1" t="s">
        <v>88</v>
      </c>
      <c r="Y5495" s="1" t="s">
        <v>2367</v>
      </c>
      <c r="Z5495" s="1" t="s">
        <v>37</v>
      </c>
    </row>
    <row r="5496" hidden="1">
      <c r="A5496" s="1" t="s">
        <v>15233</v>
      </c>
      <c r="B5496" s="1" t="s">
        <v>1286</v>
      </c>
      <c r="C5496" s="1" t="s">
        <v>15232</v>
      </c>
      <c r="D5496" s="1" t="s">
        <v>27</v>
      </c>
      <c r="E5496" s="1" t="s">
        <v>28</v>
      </c>
      <c r="F5496" s="2">
        <v>25000.0</v>
      </c>
      <c r="G5496" s="1" t="s">
        <v>1244</v>
      </c>
      <c r="H5496" s="4">
        <f>IFERROR(__xludf.DUMMYFUNCTION("DATE(INDEX(SPLIT(G5496,""/""),,3),INDEX(SPLIT(G5496,""/""),,2),INDEX(SPLIT(G5496,""/""),,1))"),44742.0)</f>
        <v>44742</v>
      </c>
      <c r="I5496" s="1" t="s">
        <v>360</v>
      </c>
      <c r="J5496" s="4">
        <f>IFERROR(__xludf.DUMMYFUNCTION("DATE(INDEX(SPLIT(I5496,""/""),,3),INDEX(SPLIT(I5496,""/""),,2),INDEX(SPLIT(I5496,""/""),,1))"),44895.0)</f>
        <v>44895</v>
      </c>
      <c r="L5496" s="1">
        <v>0.0</v>
      </c>
      <c r="M5496" s="1" t="s">
        <v>482</v>
      </c>
      <c r="N5496" s="1"/>
      <c r="O5496" s="1" t="s">
        <v>30</v>
      </c>
      <c r="P5496" s="1" t="s">
        <v>31</v>
      </c>
      <c r="Q5496" s="1" t="s">
        <v>95</v>
      </c>
      <c r="R5496" s="1" t="s">
        <v>95</v>
      </c>
      <c r="S5496" s="1" t="s">
        <v>96</v>
      </c>
      <c r="T5496" s="1" t="s">
        <v>505</v>
      </c>
      <c r="U5496" s="1">
        <v>1.00657929E8</v>
      </c>
      <c r="X5496" s="1" t="s">
        <v>88</v>
      </c>
      <c r="Y5496" s="1" t="s">
        <v>2367</v>
      </c>
      <c r="Z5496" s="1" t="s">
        <v>37</v>
      </c>
    </row>
    <row r="5497" hidden="1">
      <c r="A5497" s="1" t="s">
        <v>15234</v>
      </c>
      <c r="B5497" s="1" t="s">
        <v>3396</v>
      </c>
      <c r="C5497" s="1" t="s">
        <v>15235</v>
      </c>
      <c r="D5497" s="1" t="s">
        <v>27</v>
      </c>
      <c r="E5497" s="1" t="s">
        <v>28</v>
      </c>
      <c r="F5497" s="2">
        <v>25000.0</v>
      </c>
      <c r="G5497" s="4">
        <v>44684.0</v>
      </c>
      <c r="H5497" s="4">
        <f>IFERROR(__xludf.DUMMYFUNCTION("DATE(INDEX(SPLIT(G5497,""/""),,3),INDEX(SPLIT(G5497,""/""),,2),INDEX(SPLIT(G5497,""/""),,1))"),44625.0)</f>
        <v>44625</v>
      </c>
      <c r="I5497" s="1" t="s">
        <v>42</v>
      </c>
      <c r="J5497" s="4">
        <f>IFERROR(__xludf.DUMMYFUNCTION("DATE(INDEX(SPLIT(I5497,""/""),,3),INDEX(SPLIT(I5497,""/""),,2),INDEX(SPLIT(I5497,""/""),,1))"),44926.0)</f>
        <v>44926</v>
      </c>
      <c r="L5497" s="1">
        <v>0.0</v>
      </c>
      <c r="M5497" s="1" t="s">
        <v>6688</v>
      </c>
      <c r="N5497" s="1"/>
      <c r="O5497" s="1" t="s">
        <v>30</v>
      </c>
      <c r="P5497" s="1" t="s">
        <v>31</v>
      </c>
      <c r="Q5497" s="1" t="s">
        <v>53</v>
      </c>
      <c r="R5497" s="1" t="s">
        <v>53</v>
      </c>
      <c r="S5497" s="1" t="s">
        <v>54</v>
      </c>
      <c r="T5497" s="1" t="s">
        <v>1386</v>
      </c>
      <c r="U5497" s="1">
        <v>1.01204051E8</v>
      </c>
      <c r="X5497" s="1" t="s">
        <v>117</v>
      </c>
      <c r="Y5497" s="1" t="s">
        <v>15236</v>
      </c>
      <c r="Z5497" s="1" t="s">
        <v>37</v>
      </c>
    </row>
    <row r="5498" hidden="1">
      <c r="A5498" s="1" t="s">
        <v>15237</v>
      </c>
      <c r="B5498" s="1" t="s">
        <v>3396</v>
      </c>
      <c r="C5498" s="1" t="s">
        <v>15238</v>
      </c>
      <c r="D5498" s="1" t="s">
        <v>27</v>
      </c>
      <c r="E5498" s="1" t="s">
        <v>28</v>
      </c>
      <c r="F5498" s="2">
        <v>25000.0</v>
      </c>
      <c r="G5498" s="4">
        <v>44684.0</v>
      </c>
      <c r="H5498" s="4">
        <f>IFERROR(__xludf.DUMMYFUNCTION("DATE(INDEX(SPLIT(G5498,""/""),,3),INDEX(SPLIT(G5498,""/""),,2),INDEX(SPLIT(G5498,""/""),,1))"),44625.0)</f>
        <v>44625</v>
      </c>
      <c r="I5498" s="1" t="s">
        <v>42</v>
      </c>
      <c r="J5498" s="4">
        <f>IFERROR(__xludf.DUMMYFUNCTION("DATE(INDEX(SPLIT(I5498,""/""),,3),INDEX(SPLIT(I5498,""/""),,2),INDEX(SPLIT(I5498,""/""),,1))"),44926.0)</f>
        <v>44926</v>
      </c>
      <c r="L5498" s="1">
        <v>0.0</v>
      </c>
      <c r="M5498" s="1" t="s">
        <v>6688</v>
      </c>
      <c r="N5498" s="1"/>
      <c r="O5498" s="1" t="s">
        <v>30</v>
      </c>
      <c r="P5498" s="1" t="s">
        <v>31</v>
      </c>
      <c r="Q5498" s="1" t="s">
        <v>53</v>
      </c>
      <c r="R5498" s="1" t="s">
        <v>53</v>
      </c>
      <c r="S5498" s="1" t="s">
        <v>54</v>
      </c>
      <c r="T5498" s="1" t="s">
        <v>1386</v>
      </c>
      <c r="U5498" s="1">
        <v>1.01204051E8</v>
      </c>
      <c r="X5498" s="1" t="s">
        <v>117</v>
      </c>
      <c r="Y5498" s="1" t="s">
        <v>15236</v>
      </c>
      <c r="Z5498" s="1" t="s">
        <v>37</v>
      </c>
    </row>
    <row r="5499" hidden="1">
      <c r="A5499" s="1" t="s">
        <v>15239</v>
      </c>
      <c r="B5499" s="1" t="s">
        <v>2200</v>
      </c>
      <c r="C5499" s="1" t="s">
        <v>15240</v>
      </c>
      <c r="D5499" s="1" t="s">
        <v>78</v>
      </c>
      <c r="E5499" s="1" t="s">
        <v>28</v>
      </c>
      <c r="F5499" s="2">
        <v>25000.0</v>
      </c>
      <c r="G5499" s="1" t="s">
        <v>2900</v>
      </c>
      <c r="H5499" s="4">
        <f>IFERROR(__xludf.DUMMYFUNCTION("DATE(INDEX(SPLIT(G5499,""/""),,3),INDEX(SPLIT(G5499,""/""),,2),INDEX(SPLIT(G5499,""/""),,1))"),44678.0)</f>
        <v>44678</v>
      </c>
      <c r="I5499" s="1" t="s">
        <v>130</v>
      </c>
      <c r="J5499" s="4">
        <f>IFERROR(__xludf.DUMMYFUNCTION("DATE(INDEX(SPLIT(I5499,""/""),,3),INDEX(SPLIT(I5499,""/""),,2),INDEX(SPLIT(I5499,""/""),,1))"),44804.0)</f>
        <v>44804</v>
      </c>
      <c r="L5499" s="1">
        <v>0.0</v>
      </c>
      <c r="M5499" s="1" t="s">
        <v>2444</v>
      </c>
      <c r="N5499" s="1"/>
      <c r="O5499" s="1" t="s">
        <v>30</v>
      </c>
      <c r="P5499" s="1" t="s">
        <v>31</v>
      </c>
      <c r="Q5499" s="1" t="s">
        <v>71</v>
      </c>
      <c r="R5499" s="1" t="s">
        <v>71</v>
      </c>
      <c r="S5499" s="1" t="s">
        <v>72</v>
      </c>
      <c r="T5499" s="1" t="s">
        <v>73</v>
      </c>
      <c r="U5499" s="1">
        <v>1.00612395E8</v>
      </c>
      <c r="X5499" s="1" t="s">
        <v>74</v>
      </c>
      <c r="Y5499" s="1" t="s">
        <v>2445</v>
      </c>
      <c r="Z5499" s="1" t="s">
        <v>37</v>
      </c>
    </row>
    <row r="5500">
      <c r="A5500" s="1" t="s">
        <v>15241</v>
      </c>
      <c r="B5500" s="1" t="s">
        <v>15242</v>
      </c>
      <c r="C5500" s="1" t="s">
        <v>15243</v>
      </c>
      <c r="D5500" s="1" t="s">
        <v>122</v>
      </c>
      <c r="E5500" s="1" t="s">
        <v>28</v>
      </c>
      <c r="F5500" s="2">
        <v>25000.0</v>
      </c>
      <c r="G5500" s="1" t="s">
        <v>5039</v>
      </c>
      <c r="H5500" s="4">
        <f>IFERROR(__xludf.DUMMYFUNCTION("DATE(INDEX(SPLIT(G5500,""/""),,3),INDEX(SPLIT(G5500,""/""),,2),INDEX(SPLIT(G5500,""/""),,1))"),44674.0)</f>
        <v>44674</v>
      </c>
      <c r="I5500" s="1" t="s">
        <v>1244</v>
      </c>
      <c r="J5500" s="4">
        <f>IFERROR(__xludf.DUMMYFUNCTION("DATE(INDEX(SPLIT(I5500,""/""),,3),INDEX(SPLIT(I5500,""/""),,2),INDEX(SPLIT(I5500,""/""),,1))"),44742.0)</f>
        <v>44742</v>
      </c>
      <c r="L5500" s="1">
        <v>0.0</v>
      </c>
      <c r="M5500" s="1" t="s">
        <v>7088</v>
      </c>
      <c r="N5500" s="1"/>
      <c r="O5500" s="1" t="s">
        <v>30</v>
      </c>
      <c r="P5500" s="1" t="s">
        <v>31</v>
      </c>
      <c r="Q5500" s="1" t="s">
        <v>228</v>
      </c>
      <c r="R5500" s="1" t="s">
        <v>228</v>
      </c>
      <c r="S5500" s="1" t="s">
        <v>229</v>
      </c>
      <c r="T5500" s="1" t="s">
        <v>513</v>
      </c>
      <c r="U5500" s="1">
        <v>1.00597339E8</v>
      </c>
      <c r="X5500" s="1" t="s">
        <v>125</v>
      </c>
      <c r="Y5500" s="1" t="s">
        <v>7089</v>
      </c>
      <c r="Z5500" s="1" t="s">
        <v>37</v>
      </c>
    </row>
    <row r="5501">
      <c r="A5501" s="1" t="s">
        <v>15244</v>
      </c>
      <c r="B5501" s="1" t="s">
        <v>1492</v>
      </c>
      <c r="C5501" s="1" t="s">
        <v>15245</v>
      </c>
      <c r="D5501" s="1" t="s">
        <v>122</v>
      </c>
      <c r="E5501" s="1" t="s">
        <v>28</v>
      </c>
      <c r="F5501" s="2">
        <v>25000.0</v>
      </c>
      <c r="G5501" s="1" t="s">
        <v>1288</v>
      </c>
      <c r="H5501" s="4">
        <f>IFERROR(__xludf.DUMMYFUNCTION("DATE(INDEX(SPLIT(G5501,""/""),,3),INDEX(SPLIT(G5501,""/""),,2),INDEX(SPLIT(G5501,""/""),,1))"),44707.0)</f>
        <v>44707</v>
      </c>
      <c r="I5501" s="1" t="s">
        <v>414</v>
      </c>
      <c r="J5501" s="4">
        <f>IFERROR(__xludf.DUMMYFUNCTION("DATE(INDEX(SPLIT(I5501,""/""),,3),INDEX(SPLIT(I5501,""/""),,2),INDEX(SPLIT(I5501,""/""),,1))"),44772.0)</f>
        <v>44772</v>
      </c>
      <c r="L5501" s="1">
        <v>0.0</v>
      </c>
      <c r="M5501" s="1" t="s">
        <v>15246</v>
      </c>
      <c r="N5501" s="1"/>
      <c r="O5501" s="1" t="s">
        <v>30</v>
      </c>
      <c r="P5501" s="1" t="s">
        <v>31</v>
      </c>
      <c r="Q5501" s="1" t="s">
        <v>32</v>
      </c>
      <c r="R5501" s="1" t="s">
        <v>32</v>
      </c>
      <c r="S5501" s="1" t="s">
        <v>33</v>
      </c>
      <c r="U5501" s="1">
        <v>1.01056431E8</v>
      </c>
      <c r="X5501" s="1" t="s">
        <v>81</v>
      </c>
      <c r="Y5501" s="1" t="s">
        <v>15246</v>
      </c>
      <c r="Z5501" s="1" t="s">
        <v>37</v>
      </c>
    </row>
    <row r="5502" hidden="1">
      <c r="A5502" s="1" t="s">
        <v>15247</v>
      </c>
      <c r="B5502" s="1" t="s">
        <v>1152</v>
      </c>
      <c r="C5502" s="1" t="s">
        <v>15248</v>
      </c>
      <c r="D5502" s="1" t="s">
        <v>27</v>
      </c>
      <c r="E5502" s="1" t="s">
        <v>28</v>
      </c>
      <c r="F5502" s="2">
        <v>25000.0</v>
      </c>
      <c r="G5502" s="1" t="s">
        <v>4036</v>
      </c>
      <c r="H5502" s="4">
        <f>IFERROR(__xludf.DUMMYFUNCTION("DATE(INDEX(SPLIT(G5502,""/""),,3),INDEX(SPLIT(G5502,""/""),,2),INDEX(SPLIT(G5502,""/""),,1))"),44592.0)</f>
        <v>44592</v>
      </c>
      <c r="I5502" s="4">
        <v>44569.0</v>
      </c>
      <c r="J5502" s="4">
        <f>IFERROR(__xludf.DUMMYFUNCTION("DATE(INDEX(SPLIT(I5502,""/""),,3),INDEX(SPLIT(I5502,""/""),,2),INDEX(SPLIT(I5502,""/""),,1))"),44774.0)</f>
        <v>44774</v>
      </c>
      <c r="L5502" s="1">
        <v>0.0</v>
      </c>
      <c r="M5502" s="1" t="s">
        <v>9854</v>
      </c>
      <c r="N5502" s="1"/>
      <c r="O5502" s="1" t="s">
        <v>30</v>
      </c>
      <c r="P5502" s="1" t="s">
        <v>31</v>
      </c>
      <c r="Q5502" s="1" t="s">
        <v>53</v>
      </c>
      <c r="R5502" s="1" t="s">
        <v>53</v>
      </c>
      <c r="S5502" s="1" t="s">
        <v>54</v>
      </c>
      <c r="T5502" s="1" t="s">
        <v>1386</v>
      </c>
      <c r="U5502" s="1">
        <v>1.01148689E8</v>
      </c>
      <c r="X5502" s="1" t="s">
        <v>125</v>
      </c>
      <c r="Y5502" s="1" t="s">
        <v>1387</v>
      </c>
      <c r="Z5502" s="1" t="s">
        <v>206</v>
      </c>
    </row>
    <row r="5503" hidden="1">
      <c r="A5503" s="1" t="s">
        <v>15249</v>
      </c>
      <c r="B5503" s="1" t="s">
        <v>15250</v>
      </c>
      <c r="C5503" s="1" t="s">
        <v>15248</v>
      </c>
      <c r="D5503" s="1" t="s">
        <v>27</v>
      </c>
      <c r="E5503" s="1" t="s">
        <v>28</v>
      </c>
      <c r="F5503" s="2">
        <v>25000.0</v>
      </c>
      <c r="G5503" s="1" t="s">
        <v>4036</v>
      </c>
      <c r="H5503" s="4">
        <f>IFERROR(__xludf.DUMMYFUNCTION("DATE(INDEX(SPLIT(G5503,""/""),,3),INDEX(SPLIT(G5503,""/""),,2),INDEX(SPLIT(G5503,""/""),,1))"),44592.0)</f>
        <v>44592</v>
      </c>
      <c r="I5503" s="4">
        <v>44569.0</v>
      </c>
      <c r="J5503" s="4">
        <f>IFERROR(__xludf.DUMMYFUNCTION("DATE(INDEX(SPLIT(I5503,""/""),,3),INDEX(SPLIT(I5503,""/""),,2),INDEX(SPLIT(I5503,""/""),,1))"),44774.0)</f>
        <v>44774</v>
      </c>
      <c r="L5503" s="1">
        <v>0.0</v>
      </c>
      <c r="M5503" s="1" t="s">
        <v>9854</v>
      </c>
      <c r="N5503" s="1"/>
      <c r="O5503" s="1" t="s">
        <v>30</v>
      </c>
      <c r="P5503" s="1" t="s">
        <v>31</v>
      </c>
      <c r="Q5503" s="1" t="s">
        <v>53</v>
      </c>
      <c r="R5503" s="1" t="s">
        <v>53</v>
      </c>
      <c r="S5503" s="1" t="s">
        <v>54</v>
      </c>
      <c r="T5503" s="1" t="s">
        <v>1386</v>
      </c>
      <c r="U5503" s="1">
        <v>1.01148689E8</v>
      </c>
      <c r="X5503" s="1" t="s">
        <v>490</v>
      </c>
      <c r="Y5503" s="1" t="s">
        <v>1387</v>
      </c>
      <c r="Z5503" s="1" t="s">
        <v>206</v>
      </c>
    </row>
    <row r="5504" hidden="1">
      <c r="A5504" s="1" t="s">
        <v>15251</v>
      </c>
      <c r="B5504" s="1" t="s">
        <v>15252</v>
      </c>
      <c r="C5504" s="1" t="s">
        <v>15248</v>
      </c>
      <c r="D5504" s="1" t="s">
        <v>27</v>
      </c>
      <c r="E5504" s="1" t="s">
        <v>28</v>
      </c>
      <c r="F5504" s="2">
        <v>25000.0</v>
      </c>
      <c r="G5504" s="1" t="s">
        <v>4036</v>
      </c>
      <c r="H5504" s="4">
        <f>IFERROR(__xludf.DUMMYFUNCTION("DATE(INDEX(SPLIT(G5504,""/""),,3),INDEX(SPLIT(G5504,""/""),,2),INDEX(SPLIT(G5504,""/""),,1))"),44592.0)</f>
        <v>44592</v>
      </c>
      <c r="I5504" s="4">
        <v>44569.0</v>
      </c>
      <c r="J5504" s="4">
        <f>IFERROR(__xludf.DUMMYFUNCTION("DATE(INDEX(SPLIT(I5504,""/""),,3),INDEX(SPLIT(I5504,""/""),,2),INDEX(SPLIT(I5504,""/""),,1))"),44774.0)</f>
        <v>44774</v>
      </c>
      <c r="L5504" s="1">
        <v>0.0</v>
      </c>
      <c r="M5504" s="1" t="s">
        <v>9854</v>
      </c>
      <c r="N5504" s="1"/>
      <c r="O5504" s="1" t="s">
        <v>30</v>
      </c>
      <c r="P5504" s="1" t="s">
        <v>31</v>
      </c>
      <c r="Q5504" s="1" t="s">
        <v>53</v>
      </c>
      <c r="R5504" s="1" t="s">
        <v>53</v>
      </c>
      <c r="S5504" s="1" t="s">
        <v>54</v>
      </c>
      <c r="T5504" s="1" t="s">
        <v>1386</v>
      </c>
      <c r="U5504" s="1">
        <v>1.01148689E8</v>
      </c>
      <c r="X5504" s="1" t="s">
        <v>361</v>
      </c>
      <c r="Y5504" s="1" t="s">
        <v>1387</v>
      </c>
      <c r="Z5504" s="1" t="s">
        <v>206</v>
      </c>
    </row>
    <row r="5505" hidden="1">
      <c r="A5505" s="1" t="s">
        <v>15253</v>
      </c>
      <c r="B5505" s="1" t="s">
        <v>15254</v>
      </c>
      <c r="C5505" s="1" t="s">
        <v>15248</v>
      </c>
      <c r="D5505" s="1" t="s">
        <v>27</v>
      </c>
      <c r="E5505" s="1" t="s">
        <v>28</v>
      </c>
      <c r="F5505" s="2">
        <v>25000.0</v>
      </c>
      <c r="G5505" s="1" t="s">
        <v>4036</v>
      </c>
      <c r="H5505" s="4">
        <f>IFERROR(__xludf.DUMMYFUNCTION("DATE(INDEX(SPLIT(G5505,""/""),,3),INDEX(SPLIT(G5505,""/""),,2),INDEX(SPLIT(G5505,""/""),,1))"),44592.0)</f>
        <v>44592</v>
      </c>
      <c r="I5505" s="4">
        <v>44569.0</v>
      </c>
      <c r="J5505" s="4">
        <f>IFERROR(__xludf.DUMMYFUNCTION("DATE(INDEX(SPLIT(I5505,""/""),,3),INDEX(SPLIT(I5505,""/""),,2),INDEX(SPLIT(I5505,""/""),,1))"),44774.0)</f>
        <v>44774</v>
      </c>
      <c r="L5505" s="1">
        <v>0.0</v>
      </c>
      <c r="M5505" s="1" t="s">
        <v>9854</v>
      </c>
      <c r="N5505" s="1"/>
      <c r="O5505" s="1" t="s">
        <v>30</v>
      </c>
      <c r="P5505" s="1" t="s">
        <v>31</v>
      </c>
      <c r="Q5505" s="1" t="s">
        <v>53</v>
      </c>
      <c r="R5505" s="1" t="s">
        <v>53</v>
      </c>
      <c r="S5505" s="1" t="s">
        <v>54</v>
      </c>
      <c r="T5505" s="1" t="s">
        <v>1386</v>
      </c>
      <c r="U5505" s="1">
        <v>1.01148689E8</v>
      </c>
      <c r="X5505" s="1" t="s">
        <v>125</v>
      </c>
      <c r="Y5505" s="1" t="s">
        <v>1387</v>
      </c>
      <c r="Z5505" s="1" t="s">
        <v>206</v>
      </c>
    </row>
    <row r="5506" hidden="1">
      <c r="A5506" s="1" t="s">
        <v>15255</v>
      </c>
      <c r="B5506" s="1" t="s">
        <v>15256</v>
      </c>
      <c r="C5506" s="1" t="s">
        <v>15248</v>
      </c>
      <c r="D5506" s="1" t="s">
        <v>27</v>
      </c>
      <c r="E5506" s="1" t="s">
        <v>28</v>
      </c>
      <c r="F5506" s="2">
        <v>25000.0</v>
      </c>
      <c r="G5506" s="1" t="s">
        <v>4036</v>
      </c>
      <c r="H5506" s="4">
        <f>IFERROR(__xludf.DUMMYFUNCTION("DATE(INDEX(SPLIT(G5506,""/""),,3),INDEX(SPLIT(G5506,""/""),,2),INDEX(SPLIT(G5506,""/""),,1))"),44592.0)</f>
        <v>44592</v>
      </c>
      <c r="I5506" s="4">
        <v>44569.0</v>
      </c>
      <c r="J5506" s="4">
        <f>IFERROR(__xludf.DUMMYFUNCTION("DATE(INDEX(SPLIT(I5506,""/""),,3),INDEX(SPLIT(I5506,""/""),,2),INDEX(SPLIT(I5506,""/""),,1))"),44774.0)</f>
        <v>44774</v>
      </c>
      <c r="L5506" s="1">
        <v>0.0</v>
      </c>
      <c r="M5506" s="1" t="s">
        <v>9854</v>
      </c>
      <c r="N5506" s="1"/>
      <c r="O5506" s="1" t="s">
        <v>30</v>
      </c>
      <c r="P5506" s="1" t="s">
        <v>31</v>
      </c>
      <c r="Q5506" s="1" t="s">
        <v>53</v>
      </c>
      <c r="R5506" s="1" t="s">
        <v>53</v>
      </c>
      <c r="S5506" s="1" t="s">
        <v>54</v>
      </c>
      <c r="T5506" s="1" t="s">
        <v>1386</v>
      </c>
      <c r="U5506" s="1">
        <v>1.01148689E8</v>
      </c>
      <c r="X5506" s="1" t="s">
        <v>2769</v>
      </c>
      <c r="Y5506" s="1" t="s">
        <v>1387</v>
      </c>
      <c r="Z5506" s="1" t="s">
        <v>206</v>
      </c>
    </row>
    <row r="5507" hidden="1">
      <c r="A5507" s="1" t="s">
        <v>15257</v>
      </c>
      <c r="B5507" s="1" t="s">
        <v>1355</v>
      </c>
      <c r="C5507" s="1" t="s">
        <v>15248</v>
      </c>
      <c r="D5507" s="1" t="s">
        <v>27</v>
      </c>
      <c r="E5507" s="1" t="s">
        <v>28</v>
      </c>
      <c r="F5507" s="2">
        <v>25000.0</v>
      </c>
      <c r="G5507" s="1" t="s">
        <v>4036</v>
      </c>
      <c r="H5507" s="4">
        <f>IFERROR(__xludf.DUMMYFUNCTION("DATE(INDEX(SPLIT(G5507,""/""),,3),INDEX(SPLIT(G5507,""/""),,2),INDEX(SPLIT(G5507,""/""),,1))"),44592.0)</f>
        <v>44592</v>
      </c>
      <c r="I5507" s="4">
        <v>44569.0</v>
      </c>
      <c r="J5507" s="4">
        <f>IFERROR(__xludf.DUMMYFUNCTION("DATE(INDEX(SPLIT(I5507,""/""),,3),INDEX(SPLIT(I5507,""/""),,2),INDEX(SPLIT(I5507,""/""),,1))"),44774.0)</f>
        <v>44774</v>
      </c>
      <c r="K5507" s="9">
        <v>44655.78472222222</v>
      </c>
      <c r="L5507" s="1">
        <v>0.0</v>
      </c>
      <c r="M5507" s="1" t="s">
        <v>9854</v>
      </c>
      <c r="N5507" s="1"/>
      <c r="O5507" s="1" t="s">
        <v>30</v>
      </c>
      <c r="P5507" s="1" t="s">
        <v>31</v>
      </c>
      <c r="Q5507" s="1" t="s">
        <v>53</v>
      </c>
      <c r="R5507" s="1" t="s">
        <v>53</v>
      </c>
      <c r="S5507" s="1" t="s">
        <v>54</v>
      </c>
      <c r="T5507" s="1" t="s">
        <v>1386</v>
      </c>
      <c r="U5507" s="1">
        <v>1.01148689E8</v>
      </c>
      <c r="X5507" s="1" t="s">
        <v>35</v>
      </c>
      <c r="Y5507" s="1" t="s">
        <v>1387</v>
      </c>
      <c r="Z5507" s="1" t="s">
        <v>206</v>
      </c>
    </row>
    <row r="5508" hidden="1">
      <c r="A5508" s="1" t="s">
        <v>15258</v>
      </c>
      <c r="B5508" s="1" t="s">
        <v>15259</v>
      </c>
      <c r="C5508" s="1" t="s">
        <v>15248</v>
      </c>
      <c r="D5508" s="1" t="s">
        <v>27</v>
      </c>
      <c r="E5508" s="1" t="s">
        <v>28</v>
      </c>
      <c r="F5508" s="2">
        <v>25000.0</v>
      </c>
      <c r="G5508" s="1" t="s">
        <v>4036</v>
      </c>
      <c r="H5508" s="4">
        <f>IFERROR(__xludf.DUMMYFUNCTION("DATE(INDEX(SPLIT(G5508,""/""),,3),INDEX(SPLIT(G5508,""/""),,2),INDEX(SPLIT(G5508,""/""),,1))"),44592.0)</f>
        <v>44592</v>
      </c>
      <c r="I5508" s="4">
        <v>44569.0</v>
      </c>
      <c r="J5508" s="4">
        <f>IFERROR(__xludf.DUMMYFUNCTION("DATE(INDEX(SPLIT(I5508,""/""),,3),INDEX(SPLIT(I5508,""/""),,2),INDEX(SPLIT(I5508,""/""),,1))"),44774.0)</f>
        <v>44774</v>
      </c>
      <c r="L5508" s="1">
        <v>0.0</v>
      </c>
      <c r="M5508" s="1" t="s">
        <v>9854</v>
      </c>
      <c r="N5508" s="1"/>
      <c r="O5508" s="1" t="s">
        <v>30</v>
      </c>
      <c r="P5508" s="1" t="s">
        <v>31</v>
      </c>
      <c r="Q5508" s="1" t="s">
        <v>53</v>
      </c>
      <c r="R5508" s="1" t="s">
        <v>53</v>
      </c>
      <c r="S5508" s="1" t="s">
        <v>54</v>
      </c>
      <c r="T5508" s="1" t="s">
        <v>1386</v>
      </c>
      <c r="U5508" s="1">
        <v>1.01148689E8</v>
      </c>
      <c r="X5508" s="1" t="s">
        <v>289</v>
      </c>
      <c r="Y5508" s="1" t="s">
        <v>1387</v>
      </c>
      <c r="Z5508" s="1" t="s">
        <v>206</v>
      </c>
    </row>
    <row r="5509" hidden="1">
      <c r="A5509" s="1" t="s">
        <v>15260</v>
      </c>
      <c r="B5509" s="1" t="s">
        <v>5976</v>
      </c>
      <c r="C5509" s="1" t="s">
        <v>15261</v>
      </c>
      <c r="D5509" s="1" t="s">
        <v>27</v>
      </c>
      <c r="E5509" s="1" t="s">
        <v>28</v>
      </c>
      <c r="F5509" s="2">
        <v>25000.0</v>
      </c>
      <c r="G5509" s="1" t="s">
        <v>4036</v>
      </c>
      <c r="H5509" s="4">
        <f>IFERROR(__xludf.DUMMYFUNCTION("DATE(INDEX(SPLIT(G5509,""/""),,3),INDEX(SPLIT(G5509,""/""),,2),INDEX(SPLIT(G5509,""/""),,1))"),44592.0)</f>
        <v>44592</v>
      </c>
      <c r="I5509" s="1" t="s">
        <v>281</v>
      </c>
      <c r="J5509" s="4">
        <f>IFERROR(__xludf.DUMMYFUNCTION("DATE(INDEX(SPLIT(I5509,""/""),,3),INDEX(SPLIT(I5509,""/""),,2),INDEX(SPLIT(I5509,""/""),,1))"),44865.0)</f>
        <v>44865</v>
      </c>
      <c r="L5509" s="1">
        <v>0.0</v>
      </c>
      <c r="M5509" s="1" t="s">
        <v>9854</v>
      </c>
      <c r="N5509" s="1"/>
      <c r="O5509" s="1" t="s">
        <v>30</v>
      </c>
      <c r="P5509" s="1" t="s">
        <v>31</v>
      </c>
      <c r="Q5509" s="1" t="s">
        <v>53</v>
      </c>
      <c r="R5509" s="1" t="s">
        <v>53</v>
      </c>
      <c r="S5509" s="1" t="s">
        <v>54</v>
      </c>
      <c r="T5509" s="1" t="s">
        <v>1386</v>
      </c>
      <c r="U5509" s="1">
        <v>1.01148689E8</v>
      </c>
      <c r="X5509" s="1" t="s">
        <v>190</v>
      </c>
      <c r="Y5509" s="1" t="s">
        <v>1387</v>
      </c>
      <c r="Z5509" s="1" t="s">
        <v>206</v>
      </c>
    </row>
    <row r="5510" hidden="1">
      <c r="A5510" s="1" t="s">
        <v>15262</v>
      </c>
      <c r="B5510" s="1" t="s">
        <v>1734</v>
      </c>
      <c r="C5510" s="1" t="s">
        <v>15248</v>
      </c>
      <c r="D5510" s="1" t="s">
        <v>27</v>
      </c>
      <c r="E5510" s="1" t="s">
        <v>28</v>
      </c>
      <c r="F5510" s="2">
        <v>25000.0</v>
      </c>
      <c r="G5510" s="1" t="s">
        <v>4036</v>
      </c>
      <c r="H5510" s="4">
        <f>IFERROR(__xludf.DUMMYFUNCTION("DATE(INDEX(SPLIT(G5510,""/""),,3),INDEX(SPLIT(G5510,""/""),,2),INDEX(SPLIT(G5510,""/""),,1))"),44592.0)</f>
        <v>44592</v>
      </c>
      <c r="I5510" s="4">
        <v>44569.0</v>
      </c>
      <c r="J5510" s="4">
        <f>IFERROR(__xludf.DUMMYFUNCTION("DATE(INDEX(SPLIT(I5510,""/""),,3),INDEX(SPLIT(I5510,""/""),,2),INDEX(SPLIT(I5510,""/""),,1))"),44774.0)</f>
        <v>44774</v>
      </c>
      <c r="L5510" s="1">
        <v>0.0</v>
      </c>
      <c r="M5510" s="1" t="s">
        <v>9854</v>
      </c>
      <c r="N5510" s="1"/>
      <c r="O5510" s="1" t="s">
        <v>30</v>
      </c>
      <c r="P5510" s="1" t="s">
        <v>31</v>
      </c>
      <c r="Q5510" s="1" t="s">
        <v>53</v>
      </c>
      <c r="R5510" s="1" t="s">
        <v>53</v>
      </c>
      <c r="S5510" s="1" t="s">
        <v>54</v>
      </c>
      <c r="T5510" s="1" t="s">
        <v>1386</v>
      </c>
      <c r="U5510" s="1">
        <v>1.01148689E8</v>
      </c>
      <c r="X5510" s="1" t="s">
        <v>125</v>
      </c>
      <c r="Y5510" s="1" t="s">
        <v>1387</v>
      </c>
      <c r="Z5510" s="1" t="s">
        <v>206</v>
      </c>
    </row>
    <row r="5511" hidden="1">
      <c r="A5511" s="1" t="s">
        <v>15263</v>
      </c>
      <c r="B5511" s="1" t="s">
        <v>3673</v>
      </c>
      <c r="C5511" s="1" t="s">
        <v>15248</v>
      </c>
      <c r="D5511" s="1" t="s">
        <v>27</v>
      </c>
      <c r="E5511" s="1" t="s">
        <v>28</v>
      </c>
      <c r="F5511" s="2">
        <v>25000.0</v>
      </c>
      <c r="G5511" s="1" t="s">
        <v>4036</v>
      </c>
      <c r="H5511" s="4">
        <f>IFERROR(__xludf.DUMMYFUNCTION("DATE(INDEX(SPLIT(G5511,""/""),,3),INDEX(SPLIT(G5511,""/""),,2),INDEX(SPLIT(G5511,""/""),,1))"),44592.0)</f>
        <v>44592</v>
      </c>
      <c r="I5511" s="4">
        <v>44569.0</v>
      </c>
      <c r="J5511" s="4">
        <f>IFERROR(__xludf.DUMMYFUNCTION("DATE(INDEX(SPLIT(I5511,""/""),,3),INDEX(SPLIT(I5511,""/""),,2),INDEX(SPLIT(I5511,""/""),,1))"),44774.0)</f>
        <v>44774</v>
      </c>
      <c r="L5511" s="1">
        <v>0.0</v>
      </c>
      <c r="M5511" s="1" t="s">
        <v>9854</v>
      </c>
      <c r="N5511" s="1"/>
      <c r="O5511" s="1" t="s">
        <v>30</v>
      </c>
      <c r="P5511" s="1" t="s">
        <v>31</v>
      </c>
      <c r="Q5511" s="1" t="s">
        <v>53</v>
      </c>
      <c r="R5511" s="1" t="s">
        <v>53</v>
      </c>
      <c r="S5511" s="1" t="s">
        <v>54</v>
      </c>
      <c r="T5511" s="1" t="s">
        <v>1386</v>
      </c>
      <c r="U5511" s="1">
        <v>1.01148689E8</v>
      </c>
      <c r="X5511" s="1" t="s">
        <v>125</v>
      </c>
      <c r="Y5511" s="1" t="s">
        <v>1387</v>
      </c>
      <c r="Z5511" s="1" t="s">
        <v>206</v>
      </c>
    </row>
    <row r="5512" hidden="1">
      <c r="A5512" s="1" t="s">
        <v>15264</v>
      </c>
      <c r="B5512" s="1" t="s">
        <v>15265</v>
      </c>
      <c r="C5512" s="1" t="s">
        <v>15248</v>
      </c>
      <c r="D5512" s="1" t="s">
        <v>27</v>
      </c>
      <c r="E5512" s="1" t="s">
        <v>28</v>
      </c>
      <c r="F5512" s="2">
        <v>25000.0</v>
      </c>
      <c r="G5512" s="1" t="s">
        <v>4036</v>
      </c>
      <c r="H5512" s="4">
        <f>IFERROR(__xludf.DUMMYFUNCTION("DATE(INDEX(SPLIT(G5512,""/""),,3),INDEX(SPLIT(G5512,""/""),,2),INDEX(SPLIT(G5512,""/""),,1))"),44592.0)</f>
        <v>44592</v>
      </c>
      <c r="I5512" s="4">
        <v>44569.0</v>
      </c>
      <c r="J5512" s="4">
        <f>IFERROR(__xludf.DUMMYFUNCTION("DATE(INDEX(SPLIT(I5512,""/""),,3),INDEX(SPLIT(I5512,""/""),,2),INDEX(SPLIT(I5512,""/""),,1))"),44774.0)</f>
        <v>44774</v>
      </c>
      <c r="L5512" s="1">
        <v>0.0</v>
      </c>
      <c r="M5512" s="1" t="s">
        <v>9854</v>
      </c>
      <c r="N5512" s="1"/>
      <c r="O5512" s="1" t="s">
        <v>30</v>
      </c>
      <c r="P5512" s="1" t="s">
        <v>31</v>
      </c>
      <c r="Q5512" s="1" t="s">
        <v>53</v>
      </c>
      <c r="R5512" s="1" t="s">
        <v>53</v>
      </c>
      <c r="S5512" s="1" t="s">
        <v>54</v>
      </c>
      <c r="T5512" s="1" t="s">
        <v>1386</v>
      </c>
      <c r="U5512" s="1">
        <v>1.01148689E8</v>
      </c>
      <c r="X5512" s="1" t="s">
        <v>98</v>
      </c>
      <c r="Y5512" s="1" t="s">
        <v>1387</v>
      </c>
      <c r="Z5512" s="1" t="s">
        <v>206</v>
      </c>
    </row>
    <row r="5513" hidden="1">
      <c r="A5513" s="1" t="s">
        <v>15266</v>
      </c>
      <c r="B5513" s="1" t="s">
        <v>15267</v>
      </c>
      <c r="C5513" s="1" t="s">
        <v>15268</v>
      </c>
      <c r="D5513" s="1" t="s">
        <v>122</v>
      </c>
      <c r="E5513" s="1" t="s">
        <v>28</v>
      </c>
      <c r="F5513" s="2">
        <v>25000.0</v>
      </c>
      <c r="G5513" s="1" t="s">
        <v>359</v>
      </c>
      <c r="H5513" s="4">
        <f>IFERROR(__xludf.DUMMYFUNCTION("DATE(INDEX(SPLIT(G5513,""/""),,3),INDEX(SPLIT(G5513,""/""),,2),INDEX(SPLIT(G5513,""/""),,1))"),44740.0)</f>
        <v>44740</v>
      </c>
      <c r="I5513" s="1" t="s">
        <v>109</v>
      </c>
      <c r="J5513" s="4">
        <f>IFERROR(__xludf.DUMMYFUNCTION("DATE(INDEX(SPLIT(I5513,""/""),,3),INDEX(SPLIT(I5513,""/""),,2),INDEX(SPLIT(I5513,""/""),,1))"),44834.0)</f>
        <v>44834</v>
      </c>
      <c r="L5513" s="1">
        <v>0.0</v>
      </c>
      <c r="M5513" s="1" t="s">
        <v>11254</v>
      </c>
      <c r="N5513" s="1"/>
      <c r="O5513" s="1" t="s">
        <v>30</v>
      </c>
      <c r="P5513" s="1" t="s">
        <v>31</v>
      </c>
      <c r="Q5513" s="1" t="s">
        <v>228</v>
      </c>
      <c r="R5513" s="1" t="s">
        <v>228</v>
      </c>
      <c r="S5513" s="1" t="s">
        <v>229</v>
      </c>
      <c r="T5513" s="1" t="s">
        <v>513</v>
      </c>
      <c r="U5513" s="1">
        <v>1.00602248E8</v>
      </c>
      <c r="X5513" s="1" t="s">
        <v>375</v>
      </c>
      <c r="Y5513" s="1" t="s">
        <v>12640</v>
      </c>
      <c r="Z5513" s="1" t="s">
        <v>37</v>
      </c>
    </row>
    <row r="5514" hidden="1">
      <c r="A5514" s="1" t="s">
        <v>15269</v>
      </c>
      <c r="B5514" s="1" t="s">
        <v>9814</v>
      </c>
      <c r="C5514" s="1" t="s">
        <v>15270</v>
      </c>
      <c r="D5514" s="1" t="s">
        <v>122</v>
      </c>
      <c r="E5514" s="1" t="s">
        <v>28</v>
      </c>
      <c r="F5514" s="2">
        <v>25000.0</v>
      </c>
      <c r="G5514" s="4">
        <v>44777.0</v>
      </c>
      <c r="H5514" s="4">
        <f>IFERROR(__xludf.DUMMYFUNCTION("DATE(INDEX(SPLIT(G5514,""/""),,3),INDEX(SPLIT(G5514,""/""),,2),INDEX(SPLIT(G5514,""/""),,1))"),44659.0)</f>
        <v>44659</v>
      </c>
      <c r="I5514" s="1" t="s">
        <v>42</v>
      </c>
      <c r="J5514" s="4">
        <f>IFERROR(__xludf.DUMMYFUNCTION("DATE(INDEX(SPLIT(I5514,""/""),,3),INDEX(SPLIT(I5514,""/""),,2),INDEX(SPLIT(I5514,""/""),,1))"),44926.0)</f>
        <v>44926</v>
      </c>
      <c r="L5514" s="1">
        <v>0.0</v>
      </c>
      <c r="M5514" s="1" t="s">
        <v>11254</v>
      </c>
      <c r="N5514" s="1"/>
      <c r="O5514" s="1" t="s">
        <v>30</v>
      </c>
      <c r="P5514" s="1" t="s">
        <v>31</v>
      </c>
      <c r="Q5514" s="1" t="s">
        <v>228</v>
      </c>
      <c r="R5514" s="1" t="s">
        <v>228</v>
      </c>
      <c r="S5514" s="1" t="s">
        <v>229</v>
      </c>
      <c r="T5514" s="1" t="s">
        <v>640</v>
      </c>
      <c r="U5514" s="1">
        <v>1.00602248E8</v>
      </c>
      <c r="X5514" s="1" t="s">
        <v>88</v>
      </c>
      <c r="Y5514" s="1" t="s">
        <v>11255</v>
      </c>
      <c r="Z5514" s="1" t="s">
        <v>37</v>
      </c>
    </row>
    <row r="5515">
      <c r="A5515" s="1" t="s">
        <v>15271</v>
      </c>
      <c r="B5515" s="1" t="s">
        <v>2889</v>
      </c>
      <c r="C5515" s="1" t="s">
        <v>15272</v>
      </c>
      <c r="D5515" s="1" t="s">
        <v>27</v>
      </c>
      <c r="E5515" s="1" t="s">
        <v>28</v>
      </c>
      <c r="F5515" s="2">
        <v>25000.0</v>
      </c>
      <c r="G5515" s="4">
        <v>44474.0</v>
      </c>
      <c r="H5515" s="4">
        <f>IFERROR(__xludf.DUMMYFUNCTION("DATE(INDEX(SPLIT(G5515,""/""),,3),INDEX(SPLIT(G5515,""/""),,2),INDEX(SPLIT(G5515,""/""),,1))"),44326.0)</f>
        <v>44326</v>
      </c>
      <c r="I5515" s="1" t="s">
        <v>1244</v>
      </c>
      <c r="J5515" s="4">
        <f>IFERROR(__xludf.DUMMYFUNCTION("DATE(INDEX(SPLIT(I5515,""/""),,3),INDEX(SPLIT(I5515,""/""),,2),INDEX(SPLIT(I5515,""/""),,1))"),44742.0)</f>
        <v>44742</v>
      </c>
      <c r="L5515" s="1">
        <v>0.0</v>
      </c>
      <c r="M5515" s="1" t="s">
        <v>1723</v>
      </c>
      <c r="N5515" s="1"/>
      <c r="O5515" s="1" t="s">
        <v>30</v>
      </c>
      <c r="P5515" s="1" t="s">
        <v>31</v>
      </c>
      <c r="Q5515" s="1" t="s">
        <v>157</v>
      </c>
      <c r="R5515" s="1" t="s">
        <v>157</v>
      </c>
      <c r="S5515" s="1" t="s">
        <v>158</v>
      </c>
      <c r="U5515" s="1">
        <v>1.00654085E8</v>
      </c>
      <c r="X5515" s="1" t="s">
        <v>74</v>
      </c>
      <c r="Y5515" s="1" t="s">
        <v>15273</v>
      </c>
      <c r="Z5515" s="1" t="s">
        <v>37</v>
      </c>
    </row>
    <row r="5516">
      <c r="A5516" s="1" t="s">
        <v>15274</v>
      </c>
      <c r="B5516" s="1" t="s">
        <v>2000</v>
      </c>
      <c r="C5516" s="1" t="s">
        <v>15275</v>
      </c>
      <c r="D5516" s="1" t="s">
        <v>27</v>
      </c>
      <c r="E5516" s="1" t="s">
        <v>28</v>
      </c>
      <c r="F5516" s="2">
        <v>25000.0</v>
      </c>
      <c r="G5516" s="1" t="s">
        <v>557</v>
      </c>
      <c r="H5516" s="4">
        <f>IFERROR(__xludf.DUMMYFUNCTION("DATE(INDEX(SPLIT(G5516,""/""),,3),INDEX(SPLIT(G5516,""/""),,2),INDEX(SPLIT(G5516,""/""),,1))"),44439.0)</f>
        <v>44439</v>
      </c>
      <c r="I5516" s="1" t="s">
        <v>69</v>
      </c>
      <c r="J5516" s="4">
        <f>IFERROR(__xludf.DUMMYFUNCTION("DATE(INDEX(SPLIT(I5516,""/""),,3),INDEX(SPLIT(I5516,""/""),,2),INDEX(SPLIT(I5516,""/""),,1))"),44773.0)</f>
        <v>44773</v>
      </c>
      <c r="L5516" s="1">
        <v>0.0</v>
      </c>
      <c r="M5516" s="1" t="s">
        <v>7088</v>
      </c>
      <c r="N5516" s="1"/>
      <c r="O5516" s="1" t="s">
        <v>30</v>
      </c>
      <c r="P5516" s="1" t="s">
        <v>31</v>
      </c>
      <c r="Q5516" s="1" t="s">
        <v>228</v>
      </c>
      <c r="R5516" s="1" t="s">
        <v>228</v>
      </c>
      <c r="S5516" s="1" t="s">
        <v>229</v>
      </c>
      <c r="T5516" s="1" t="s">
        <v>513</v>
      </c>
      <c r="U5516" s="1">
        <v>1.00597339E8</v>
      </c>
      <c r="X5516" s="1" t="s">
        <v>46</v>
      </c>
      <c r="Y5516" s="1" t="s">
        <v>7089</v>
      </c>
      <c r="Z5516" s="1" t="s">
        <v>37</v>
      </c>
    </row>
    <row r="5517" hidden="1">
      <c r="A5517" s="1" t="s">
        <v>15276</v>
      </c>
      <c r="B5517" s="1" t="s">
        <v>1506</v>
      </c>
      <c r="C5517" s="1" t="s">
        <v>15277</v>
      </c>
      <c r="D5517" s="1" t="s">
        <v>78</v>
      </c>
      <c r="E5517" s="1" t="s">
        <v>28</v>
      </c>
      <c r="F5517" s="2">
        <v>25000.0</v>
      </c>
      <c r="G5517" s="1" t="s">
        <v>4985</v>
      </c>
      <c r="H5517" s="4">
        <f>IFERROR(__xludf.DUMMYFUNCTION("DATE(INDEX(SPLIT(G5517,""/""),,3),INDEX(SPLIT(G5517,""/""),,2),INDEX(SPLIT(G5517,""/""),,1))"),44273.0)</f>
        <v>44273</v>
      </c>
      <c r="I5517" s="1" t="s">
        <v>130</v>
      </c>
      <c r="J5517" s="4">
        <f>IFERROR(__xludf.DUMMYFUNCTION("DATE(INDEX(SPLIT(I5517,""/""),,3),INDEX(SPLIT(I5517,""/""),,2),INDEX(SPLIT(I5517,""/""),,1))"),44804.0)</f>
        <v>44804</v>
      </c>
      <c r="L5517" s="1">
        <v>0.0</v>
      </c>
      <c r="M5517" s="1" t="s">
        <v>4756</v>
      </c>
      <c r="N5517" s="1"/>
      <c r="O5517" s="1" t="s">
        <v>30</v>
      </c>
      <c r="P5517" s="1" t="s">
        <v>31</v>
      </c>
      <c r="Q5517" s="1" t="s">
        <v>188</v>
      </c>
      <c r="R5517" s="1" t="s">
        <v>188</v>
      </c>
      <c r="S5517" s="1" t="s">
        <v>189</v>
      </c>
      <c r="U5517" s="1">
        <v>1.00600975E8</v>
      </c>
      <c r="X5517" s="1" t="s">
        <v>35</v>
      </c>
      <c r="Y5517" s="1" t="s">
        <v>4289</v>
      </c>
      <c r="Z5517" s="1" t="s">
        <v>37</v>
      </c>
    </row>
    <row r="5518">
      <c r="A5518" s="1" t="s">
        <v>15278</v>
      </c>
      <c r="B5518" s="1" t="s">
        <v>4929</v>
      </c>
      <c r="C5518" s="1" t="s">
        <v>15279</v>
      </c>
      <c r="D5518" s="1" t="s">
        <v>122</v>
      </c>
      <c r="E5518" s="1" t="s">
        <v>28</v>
      </c>
      <c r="F5518" s="2">
        <v>25000.0</v>
      </c>
      <c r="G5518" s="1" t="s">
        <v>1288</v>
      </c>
      <c r="H5518" s="4">
        <f>IFERROR(__xludf.DUMMYFUNCTION("DATE(INDEX(SPLIT(G5518,""/""),,3),INDEX(SPLIT(G5518,""/""),,2),INDEX(SPLIT(G5518,""/""),,1))"),44707.0)</f>
        <v>44707</v>
      </c>
      <c r="I5518" s="1" t="s">
        <v>1438</v>
      </c>
      <c r="J5518" s="4">
        <f>IFERROR(__xludf.DUMMYFUNCTION("DATE(INDEX(SPLIT(I5518,""/""),,3),INDEX(SPLIT(I5518,""/""),,2),INDEX(SPLIT(I5518,""/""),,1))"),44708.0)</f>
        <v>44708</v>
      </c>
      <c r="L5518" s="1">
        <v>0.0</v>
      </c>
      <c r="M5518" s="1" t="s">
        <v>674</v>
      </c>
      <c r="N5518" s="1"/>
      <c r="O5518" s="1" t="s">
        <v>30</v>
      </c>
      <c r="P5518" s="1" t="s">
        <v>31</v>
      </c>
      <c r="Q5518" s="1" t="s">
        <v>228</v>
      </c>
      <c r="R5518" s="1" t="s">
        <v>228</v>
      </c>
      <c r="S5518" s="1" t="s">
        <v>229</v>
      </c>
      <c r="T5518" s="1" t="s">
        <v>640</v>
      </c>
      <c r="U5518" s="1">
        <v>1.0089503E8</v>
      </c>
      <c r="X5518" s="1" t="s">
        <v>609</v>
      </c>
      <c r="Y5518" s="1" t="s">
        <v>8772</v>
      </c>
      <c r="Z5518" s="1" t="s">
        <v>37</v>
      </c>
    </row>
    <row r="5519" hidden="1">
      <c r="A5519" s="1" t="s">
        <v>15280</v>
      </c>
      <c r="B5519" s="1" t="s">
        <v>2884</v>
      </c>
      <c r="C5519" s="1" t="s">
        <v>15281</v>
      </c>
      <c r="D5519" s="1" t="s">
        <v>27</v>
      </c>
      <c r="E5519" s="1" t="s">
        <v>28</v>
      </c>
      <c r="F5519" s="2">
        <v>25000.0</v>
      </c>
      <c r="G5519" s="1" t="s">
        <v>1806</v>
      </c>
      <c r="H5519" s="4">
        <f>IFERROR(__xludf.DUMMYFUNCTION("DATE(INDEX(SPLIT(G5519,""/""),,3),INDEX(SPLIT(G5519,""/""),,2),INDEX(SPLIT(G5519,""/""),,1))"),44694.0)</f>
        <v>44694</v>
      </c>
      <c r="I5519" s="1" t="s">
        <v>203</v>
      </c>
      <c r="J5519" s="4">
        <f>IFERROR(__xludf.DUMMYFUNCTION("DATE(INDEX(SPLIT(I5519,""/""),,3),INDEX(SPLIT(I5519,""/""),,2),INDEX(SPLIT(I5519,""/""),,1))"),44925.0)</f>
        <v>44925</v>
      </c>
      <c r="L5519" s="1">
        <v>0.0</v>
      </c>
      <c r="M5519" s="1" t="s">
        <v>10627</v>
      </c>
      <c r="N5519" s="1"/>
      <c r="O5519" s="1" t="s">
        <v>30</v>
      </c>
      <c r="P5519" s="1" t="s">
        <v>31</v>
      </c>
      <c r="Q5519" s="1" t="s">
        <v>228</v>
      </c>
      <c r="R5519" s="1" t="s">
        <v>228</v>
      </c>
      <c r="S5519" s="1" t="s">
        <v>229</v>
      </c>
      <c r="T5519" s="1" t="s">
        <v>640</v>
      </c>
      <c r="U5519" s="1">
        <v>1.00614969E8</v>
      </c>
      <c r="X5519" s="1" t="s">
        <v>239</v>
      </c>
      <c r="Y5519" s="1" t="s">
        <v>8809</v>
      </c>
      <c r="Z5519" s="1" t="s">
        <v>37</v>
      </c>
    </row>
    <row r="5520">
      <c r="A5520" s="1" t="s">
        <v>15282</v>
      </c>
      <c r="B5520" s="1" t="s">
        <v>15283</v>
      </c>
      <c r="C5520" s="1" t="s">
        <v>15284</v>
      </c>
      <c r="D5520" s="1" t="s">
        <v>27</v>
      </c>
      <c r="E5520" s="1" t="s">
        <v>28</v>
      </c>
      <c r="F5520" s="2">
        <v>25000.0</v>
      </c>
      <c r="G5520" s="1" t="s">
        <v>600</v>
      </c>
      <c r="H5520" s="4">
        <f>IFERROR(__xludf.DUMMYFUNCTION("DATE(INDEX(SPLIT(G5520,""/""),,3),INDEX(SPLIT(G5520,""/""),,2),INDEX(SPLIT(G5520,""/""),,1))"),44665.0)</f>
        <v>44665</v>
      </c>
      <c r="I5520" s="1" t="s">
        <v>1244</v>
      </c>
      <c r="J5520" s="4">
        <f>IFERROR(__xludf.DUMMYFUNCTION("DATE(INDEX(SPLIT(I5520,""/""),,3),INDEX(SPLIT(I5520,""/""),,2),INDEX(SPLIT(I5520,""/""),,1))"),44742.0)</f>
        <v>44742</v>
      </c>
      <c r="L5520" s="1">
        <v>0.0</v>
      </c>
      <c r="M5520" s="1" t="s">
        <v>1959</v>
      </c>
      <c r="N5520" s="1"/>
      <c r="O5520" s="1" t="s">
        <v>30</v>
      </c>
      <c r="P5520" s="1" t="s">
        <v>31</v>
      </c>
      <c r="Q5520" s="1" t="s">
        <v>228</v>
      </c>
      <c r="R5520" s="1" t="s">
        <v>228</v>
      </c>
      <c r="S5520" s="1" t="s">
        <v>229</v>
      </c>
      <c r="T5520" s="1" t="s">
        <v>640</v>
      </c>
      <c r="U5520" s="1">
        <v>1.00955805E8</v>
      </c>
      <c r="X5520" s="1" t="s">
        <v>46</v>
      </c>
      <c r="Y5520" s="1" t="s">
        <v>15285</v>
      </c>
      <c r="Z5520" s="1" t="s">
        <v>37</v>
      </c>
    </row>
    <row r="5521">
      <c r="A5521" s="1" t="s">
        <v>15286</v>
      </c>
      <c r="B5521" s="1" t="s">
        <v>15287</v>
      </c>
      <c r="C5521" s="1" t="s">
        <v>15288</v>
      </c>
      <c r="D5521" s="1" t="s">
        <v>27</v>
      </c>
      <c r="E5521" s="1" t="s">
        <v>28</v>
      </c>
      <c r="F5521" s="2">
        <v>25000.0</v>
      </c>
      <c r="G5521" s="4">
        <v>44564.0</v>
      </c>
      <c r="H5521" s="4">
        <f>IFERROR(__xludf.DUMMYFUNCTION("DATE(INDEX(SPLIT(G5521,""/""),,3),INDEX(SPLIT(G5521,""/""),,2),INDEX(SPLIT(G5521,""/""),,1))"),44621.0)</f>
        <v>44621</v>
      </c>
      <c r="I5521" s="1" t="s">
        <v>1244</v>
      </c>
      <c r="J5521" s="4">
        <f>IFERROR(__xludf.DUMMYFUNCTION("DATE(INDEX(SPLIT(I5521,""/""),,3),INDEX(SPLIT(I5521,""/""),,2),INDEX(SPLIT(I5521,""/""),,1))"),44742.0)</f>
        <v>44742</v>
      </c>
      <c r="L5521" s="1">
        <v>0.0</v>
      </c>
      <c r="M5521" s="1" t="s">
        <v>9478</v>
      </c>
      <c r="N5521" s="1"/>
      <c r="O5521" s="1" t="s">
        <v>30</v>
      </c>
      <c r="P5521" s="1" t="s">
        <v>31</v>
      </c>
      <c r="Q5521" s="1" t="s">
        <v>228</v>
      </c>
      <c r="R5521" s="1" t="s">
        <v>228</v>
      </c>
      <c r="S5521" s="1" t="s">
        <v>229</v>
      </c>
      <c r="T5521" s="1" t="s">
        <v>513</v>
      </c>
      <c r="U5521" s="1">
        <v>1.00589357E8</v>
      </c>
      <c r="X5521" s="1" t="s">
        <v>375</v>
      </c>
      <c r="Y5521" s="1" t="s">
        <v>9478</v>
      </c>
      <c r="Z5521" s="1" t="s">
        <v>37</v>
      </c>
    </row>
    <row r="5522" hidden="1">
      <c r="A5522" s="1" t="s">
        <v>15289</v>
      </c>
      <c r="B5522" s="1" t="s">
        <v>14262</v>
      </c>
      <c r="C5522" s="1" t="s">
        <v>15290</v>
      </c>
      <c r="D5522" s="1" t="s">
        <v>78</v>
      </c>
      <c r="E5522" s="1" t="s">
        <v>28</v>
      </c>
      <c r="F5522" s="2">
        <v>25000.0</v>
      </c>
      <c r="G5522" s="1" t="s">
        <v>15291</v>
      </c>
      <c r="H5522" s="4">
        <f>IFERROR(__xludf.DUMMYFUNCTION("DATE(INDEX(SPLIT(G5522,""/""),,3),INDEX(SPLIT(G5522,""/""),,2),INDEX(SPLIT(G5522,""/""),,1))"),44063.0)</f>
        <v>44063</v>
      </c>
      <c r="I5522" s="1" t="s">
        <v>1097</v>
      </c>
      <c r="J5522" s="4">
        <f>IFERROR(__xludf.DUMMYFUNCTION("DATE(INDEX(SPLIT(I5522,""/""),,3),INDEX(SPLIT(I5522,""/""),,2),INDEX(SPLIT(I5522,""/""),,1))"),45107.0)</f>
        <v>45107</v>
      </c>
      <c r="L5522" s="1">
        <v>0.0</v>
      </c>
      <c r="M5522" s="1" t="s">
        <v>4735</v>
      </c>
      <c r="N5522" s="1"/>
      <c r="O5522" s="1" t="s">
        <v>30</v>
      </c>
      <c r="P5522" s="1" t="s">
        <v>31</v>
      </c>
      <c r="Q5522" s="1" t="s">
        <v>71</v>
      </c>
      <c r="R5522" s="1" t="s">
        <v>71</v>
      </c>
      <c r="S5522" s="1" t="s">
        <v>72</v>
      </c>
      <c r="T5522" s="1" t="s">
        <v>136</v>
      </c>
      <c r="U5522" s="1">
        <v>1.00609615E8</v>
      </c>
      <c r="X5522" s="1" t="s">
        <v>74</v>
      </c>
      <c r="Y5522" s="1" t="s">
        <v>2593</v>
      </c>
      <c r="Z5522" s="1" t="s">
        <v>206</v>
      </c>
    </row>
    <row r="5523">
      <c r="A5523" s="1" t="s">
        <v>15292</v>
      </c>
      <c r="B5523" s="1" t="s">
        <v>7034</v>
      </c>
      <c r="C5523" s="1" t="s">
        <v>15293</v>
      </c>
      <c r="D5523" s="1" t="s">
        <v>122</v>
      </c>
      <c r="E5523" s="1" t="s">
        <v>28</v>
      </c>
      <c r="F5523" s="2">
        <v>25000.0</v>
      </c>
      <c r="G5523" s="1" t="s">
        <v>7582</v>
      </c>
      <c r="H5523" s="4">
        <f>IFERROR(__xludf.DUMMYFUNCTION("DATE(INDEX(SPLIT(G5523,""/""),,3),INDEX(SPLIT(G5523,""/""),,2),INDEX(SPLIT(G5523,""/""),,1))"),44667.0)</f>
        <v>44667</v>
      </c>
      <c r="I5523" s="1" t="s">
        <v>1244</v>
      </c>
      <c r="J5523" s="4">
        <f>IFERROR(__xludf.DUMMYFUNCTION("DATE(INDEX(SPLIT(I5523,""/""),,3),INDEX(SPLIT(I5523,""/""),,2),INDEX(SPLIT(I5523,""/""),,1))"),44742.0)</f>
        <v>44742</v>
      </c>
      <c r="L5523" s="1">
        <v>0.0</v>
      </c>
      <c r="M5523" s="1" t="s">
        <v>3187</v>
      </c>
      <c r="N5523" s="1"/>
      <c r="O5523" s="1" t="s">
        <v>30</v>
      </c>
      <c r="P5523" s="1" t="s">
        <v>31</v>
      </c>
      <c r="Q5523" s="1" t="s">
        <v>228</v>
      </c>
      <c r="R5523" s="1" t="s">
        <v>228</v>
      </c>
      <c r="S5523" s="1" t="s">
        <v>229</v>
      </c>
      <c r="T5523" s="1" t="s">
        <v>640</v>
      </c>
      <c r="U5523" s="1">
        <v>1.00638978E8</v>
      </c>
      <c r="V5523" s="1" t="s">
        <v>15294</v>
      </c>
      <c r="W5523" s="1" t="s">
        <v>45</v>
      </c>
      <c r="X5523" s="1" t="s">
        <v>81</v>
      </c>
      <c r="Y5523" s="1" t="s">
        <v>3187</v>
      </c>
      <c r="Z5523" s="1" t="s">
        <v>37</v>
      </c>
    </row>
    <row r="5524" hidden="1">
      <c r="A5524" s="1" t="s">
        <v>15295</v>
      </c>
      <c r="B5524" s="1" t="s">
        <v>566</v>
      </c>
      <c r="C5524" s="1" t="s">
        <v>15296</v>
      </c>
      <c r="D5524" s="1" t="s">
        <v>27</v>
      </c>
      <c r="E5524" s="1" t="s">
        <v>28</v>
      </c>
      <c r="F5524" s="2">
        <v>25000.0</v>
      </c>
      <c r="G5524" s="4">
        <v>44839.0</v>
      </c>
      <c r="H5524" s="4">
        <f>IFERROR(__xludf.DUMMYFUNCTION("DATE(INDEX(SPLIT(G5524,""/""),,3),INDEX(SPLIT(G5524,""/""),,2),INDEX(SPLIT(G5524,""/""),,1))"),44691.0)</f>
        <v>44691</v>
      </c>
      <c r="I5524" s="1" t="s">
        <v>203</v>
      </c>
      <c r="J5524" s="4">
        <f>IFERROR(__xludf.DUMMYFUNCTION("DATE(INDEX(SPLIT(I5524,""/""),,3),INDEX(SPLIT(I5524,""/""),,2),INDEX(SPLIT(I5524,""/""),,1))"),44925.0)</f>
        <v>44925</v>
      </c>
      <c r="L5524" s="1">
        <v>0.0</v>
      </c>
      <c r="M5524" s="1" t="s">
        <v>941</v>
      </c>
      <c r="N5524" s="1"/>
      <c r="O5524" s="1" t="s">
        <v>30</v>
      </c>
      <c r="P5524" s="1" t="s">
        <v>31</v>
      </c>
      <c r="Q5524" s="1" t="s">
        <v>235</v>
      </c>
      <c r="R5524" s="1" t="s">
        <v>235</v>
      </c>
      <c r="S5524" s="1" t="s">
        <v>236</v>
      </c>
      <c r="U5524" s="1">
        <v>1.00652846E8</v>
      </c>
      <c r="X5524" s="1" t="s">
        <v>63</v>
      </c>
      <c r="Y5524" s="1" t="s">
        <v>767</v>
      </c>
      <c r="Z5524" s="1" t="s">
        <v>37</v>
      </c>
    </row>
    <row r="5525" hidden="1">
      <c r="A5525" s="1" t="s">
        <v>15297</v>
      </c>
      <c r="B5525" s="1" t="s">
        <v>15298</v>
      </c>
      <c r="C5525" s="1" t="s">
        <v>15299</v>
      </c>
      <c r="D5525" s="1" t="s">
        <v>122</v>
      </c>
      <c r="E5525" s="1" t="s">
        <v>28</v>
      </c>
      <c r="F5525" s="2">
        <v>25000.0</v>
      </c>
      <c r="G5525" s="4">
        <v>43262.0</v>
      </c>
      <c r="H5525" s="4">
        <f>IFERROR(__xludf.DUMMYFUNCTION("DATE(INDEX(SPLIT(G5525,""/""),,3),INDEX(SPLIT(G5525,""/""),,2),INDEX(SPLIT(G5525,""/""),,1))"),43410.0)</f>
        <v>43410</v>
      </c>
      <c r="I5525" s="1" t="s">
        <v>42</v>
      </c>
      <c r="J5525" s="4">
        <f>IFERROR(__xludf.DUMMYFUNCTION("DATE(INDEX(SPLIT(I5525,""/""),,3),INDEX(SPLIT(I5525,""/""),,2),INDEX(SPLIT(I5525,""/""),,1))"),44926.0)</f>
        <v>44926</v>
      </c>
      <c r="L5525" s="1">
        <v>0.0</v>
      </c>
      <c r="M5525" s="1" t="s">
        <v>2568</v>
      </c>
      <c r="N5525" s="1"/>
      <c r="O5525" s="1" t="s">
        <v>30</v>
      </c>
      <c r="P5525" s="1" t="s">
        <v>31</v>
      </c>
      <c r="Q5525" s="1" t="s">
        <v>228</v>
      </c>
      <c r="R5525" s="1" t="s">
        <v>228</v>
      </c>
      <c r="S5525" s="1" t="s">
        <v>229</v>
      </c>
      <c r="T5525" s="1" t="s">
        <v>513</v>
      </c>
      <c r="U5525" s="1">
        <v>1.00659458E8</v>
      </c>
      <c r="X5525" s="1" t="s">
        <v>375</v>
      </c>
      <c r="Y5525" s="1" t="s">
        <v>2568</v>
      </c>
      <c r="Z5525" s="1" t="s">
        <v>37</v>
      </c>
    </row>
    <row r="5526" hidden="1">
      <c r="A5526" s="1" t="s">
        <v>15300</v>
      </c>
      <c r="B5526" s="1" t="s">
        <v>1709</v>
      </c>
      <c r="C5526" s="1" t="s">
        <v>15301</v>
      </c>
      <c r="D5526" s="1" t="s">
        <v>27</v>
      </c>
      <c r="E5526" s="1" t="s">
        <v>28</v>
      </c>
      <c r="F5526" s="2">
        <v>25000.0</v>
      </c>
      <c r="G5526" s="4">
        <v>44535.0</v>
      </c>
      <c r="H5526" s="4">
        <f>IFERROR(__xludf.DUMMYFUNCTION("DATE(INDEX(SPLIT(G5526,""/""),,3),INDEX(SPLIT(G5526,""/""),,2),INDEX(SPLIT(G5526,""/""),,1))"),44328.0)</f>
        <v>44328</v>
      </c>
      <c r="I5526" s="1" t="s">
        <v>4867</v>
      </c>
      <c r="J5526" s="4">
        <f>IFERROR(__xludf.DUMMYFUNCTION("DATE(INDEX(SPLIT(I5526,""/""),,3),INDEX(SPLIT(I5526,""/""),,2),INDEX(SPLIT(I5526,""/""),,1))"),44854.0)</f>
        <v>44854</v>
      </c>
      <c r="L5526" s="1">
        <v>0.0</v>
      </c>
      <c r="M5526" s="1" t="s">
        <v>3631</v>
      </c>
      <c r="N5526" s="1"/>
      <c r="O5526" s="1" t="s">
        <v>30</v>
      </c>
      <c r="P5526" s="1" t="s">
        <v>31</v>
      </c>
      <c r="Q5526" s="1" t="s">
        <v>95</v>
      </c>
      <c r="R5526" s="1" t="s">
        <v>95</v>
      </c>
      <c r="S5526" s="1" t="s">
        <v>96</v>
      </c>
      <c r="U5526" s="1">
        <v>1.00628795E8</v>
      </c>
      <c r="X5526" s="1" t="s">
        <v>312</v>
      </c>
      <c r="Y5526" s="1" t="s">
        <v>3631</v>
      </c>
      <c r="Z5526" s="1" t="s">
        <v>37</v>
      </c>
    </row>
    <row r="5527">
      <c r="A5527" s="1" t="s">
        <v>15302</v>
      </c>
      <c r="B5527" s="1" t="s">
        <v>8910</v>
      </c>
      <c r="C5527" s="1" t="s">
        <v>15303</v>
      </c>
      <c r="D5527" s="1" t="s">
        <v>27</v>
      </c>
      <c r="E5527" s="1" t="s">
        <v>28</v>
      </c>
      <c r="F5527" s="2">
        <v>25000.0</v>
      </c>
      <c r="G5527" s="4">
        <v>44776.0</v>
      </c>
      <c r="H5527" s="4">
        <f>IFERROR(__xludf.DUMMYFUNCTION("DATE(INDEX(SPLIT(G5527,""/""),,3),INDEX(SPLIT(G5527,""/""),,2),INDEX(SPLIT(G5527,""/""),,1))"),44628.0)</f>
        <v>44628</v>
      </c>
      <c r="I5527" s="4">
        <v>44626.0</v>
      </c>
      <c r="J5527" s="4">
        <f>IFERROR(__xludf.DUMMYFUNCTION("DATE(INDEX(SPLIT(I5527,""/""),,3),INDEX(SPLIT(I5527,""/""),,2),INDEX(SPLIT(I5527,""/""),,1))"),44715.0)</f>
        <v>44715</v>
      </c>
      <c r="L5527" s="1">
        <v>0.0</v>
      </c>
      <c r="M5527" s="1" t="s">
        <v>9854</v>
      </c>
      <c r="N5527" s="1"/>
      <c r="O5527" s="1" t="s">
        <v>30</v>
      </c>
      <c r="P5527" s="1" t="s">
        <v>31</v>
      </c>
      <c r="Q5527" s="1" t="s">
        <v>53</v>
      </c>
      <c r="R5527" s="1" t="s">
        <v>53</v>
      </c>
      <c r="S5527" s="1" t="s">
        <v>54</v>
      </c>
      <c r="T5527" s="1" t="s">
        <v>1386</v>
      </c>
      <c r="U5527" s="1">
        <v>1.01148689E8</v>
      </c>
      <c r="X5527" s="1" t="s">
        <v>125</v>
      </c>
      <c r="Y5527" s="1" t="s">
        <v>9854</v>
      </c>
      <c r="Z5527" s="1" t="s">
        <v>206</v>
      </c>
    </row>
    <row r="5528">
      <c r="A5528" s="1" t="s">
        <v>15304</v>
      </c>
      <c r="B5528" s="1" t="s">
        <v>373</v>
      </c>
      <c r="C5528" s="1" t="s">
        <v>15305</v>
      </c>
      <c r="D5528" s="1" t="s">
        <v>122</v>
      </c>
      <c r="E5528" s="1" t="s">
        <v>28</v>
      </c>
      <c r="F5528" s="2">
        <v>25000.0</v>
      </c>
      <c r="G5528" s="4">
        <v>44902.0</v>
      </c>
      <c r="H5528" s="4">
        <f>IFERROR(__xludf.DUMMYFUNCTION("DATE(INDEX(SPLIT(G5528,""/""),,3),INDEX(SPLIT(G5528,""/""),,2),INDEX(SPLIT(G5528,""/""),,1))"),44754.0)</f>
        <v>44754</v>
      </c>
      <c r="I5528" s="1" t="s">
        <v>226</v>
      </c>
      <c r="J5528" s="4">
        <f>IFERROR(__xludf.DUMMYFUNCTION("DATE(INDEX(SPLIT(I5528,""/""),,3),INDEX(SPLIT(I5528,""/""),,2),INDEX(SPLIT(I5528,""/""),,1))"),44771.0)</f>
        <v>44771</v>
      </c>
      <c r="L5528" s="1">
        <v>0.0</v>
      </c>
      <c r="M5528" s="1" t="s">
        <v>2831</v>
      </c>
      <c r="N5528" s="1"/>
      <c r="O5528" s="1" t="s">
        <v>30</v>
      </c>
      <c r="P5528" s="1" t="s">
        <v>31</v>
      </c>
      <c r="Q5528" s="1" t="s">
        <v>32</v>
      </c>
      <c r="R5528" s="1" t="s">
        <v>32</v>
      </c>
      <c r="S5528" s="1" t="s">
        <v>33</v>
      </c>
      <c r="U5528" s="1">
        <v>1.0119869E8</v>
      </c>
      <c r="X5528" s="1" t="s">
        <v>125</v>
      </c>
      <c r="Y5528" s="1" t="s">
        <v>2831</v>
      </c>
      <c r="Z5528" s="1" t="s">
        <v>37</v>
      </c>
    </row>
    <row r="5529">
      <c r="A5529" s="1" t="s">
        <v>15306</v>
      </c>
      <c r="B5529" s="1" t="s">
        <v>497</v>
      </c>
      <c r="C5529" s="1" t="s">
        <v>15307</v>
      </c>
      <c r="D5529" s="1" t="s">
        <v>27</v>
      </c>
      <c r="E5529" s="1" t="s">
        <v>28</v>
      </c>
      <c r="F5529" s="2">
        <v>25000.0</v>
      </c>
      <c r="G5529" s="1" t="s">
        <v>15308</v>
      </c>
      <c r="H5529" s="4">
        <f>IFERROR(__xludf.DUMMYFUNCTION("DATE(INDEX(SPLIT(G5529,""/""),,3),INDEX(SPLIT(G5529,""/""),,2),INDEX(SPLIT(G5529,""/""),,1))"),44156.0)</f>
        <v>44156</v>
      </c>
      <c r="I5529" s="1" t="s">
        <v>1244</v>
      </c>
      <c r="J5529" s="4">
        <f>IFERROR(__xludf.DUMMYFUNCTION("DATE(INDEX(SPLIT(I5529,""/""),,3),INDEX(SPLIT(I5529,""/""),,2),INDEX(SPLIT(I5529,""/""),,1))"),44742.0)</f>
        <v>44742</v>
      </c>
      <c r="L5529" s="1">
        <v>0.0</v>
      </c>
      <c r="M5529" s="1" t="s">
        <v>7088</v>
      </c>
      <c r="N5529" s="1"/>
      <c r="O5529" s="1" t="s">
        <v>30</v>
      </c>
      <c r="P5529" s="1" t="s">
        <v>31</v>
      </c>
      <c r="Q5529" s="1" t="s">
        <v>228</v>
      </c>
      <c r="R5529" s="1" t="s">
        <v>228</v>
      </c>
      <c r="S5529" s="1" t="s">
        <v>229</v>
      </c>
      <c r="T5529" s="1" t="s">
        <v>513</v>
      </c>
      <c r="U5529" s="1">
        <v>1.00597339E8</v>
      </c>
      <c r="X5529" s="1" t="s">
        <v>35</v>
      </c>
      <c r="Y5529" s="1" t="s">
        <v>7089</v>
      </c>
      <c r="Z5529" s="1" t="s">
        <v>37</v>
      </c>
    </row>
    <row r="5530" hidden="1">
      <c r="A5530" s="1" t="s">
        <v>15309</v>
      </c>
      <c r="B5530" s="1" t="s">
        <v>1629</v>
      </c>
      <c r="C5530" s="1" t="s">
        <v>15310</v>
      </c>
      <c r="D5530" s="1" t="s">
        <v>78</v>
      </c>
      <c r="E5530" s="1" t="s">
        <v>28</v>
      </c>
      <c r="F5530" s="2">
        <v>25000.0</v>
      </c>
      <c r="G5530" s="1" t="s">
        <v>7559</v>
      </c>
      <c r="H5530" s="4">
        <f>IFERROR(__xludf.DUMMYFUNCTION("DATE(INDEX(SPLIT(G5530,""/""),,3),INDEX(SPLIT(G5530,""/""),,2),INDEX(SPLIT(G5530,""/""),,1))"),43762.0)</f>
        <v>43762</v>
      </c>
      <c r="I5530" s="4">
        <v>44569.0</v>
      </c>
      <c r="J5530" s="4">
        <f>IFERROR(__xludf.DUMMYFUNCTION("DATE(INDEX(SPLIT(I5530,""/""),,3),INDEX(SPLIT(I5530,""/""),,2),INDEX(SPLIT(I5530,""/""),,1))"),44774.0)</f>
        <v>44774</v>
      </c>
      <c r="L5530" s="1">
        <v>0.0</v>
      </c>
      <c r="M5530" s="1" t="s">
        <v>1000</v>
      </c>
      <c r="N5530" s="1"/>
      <c r="O5530" s="1" t="s">
        <v>30</v>
      </c>
      <c r="P5530" s="1" t="s">
        <v>31</v>
      </c>
      <c r="Q5530" s="1" t="s">
        <v>95</v>
      </c>
      <c r="R5530" s="1" t="s">
        <v>95</v>
      </c>
      <c r="S5530" s="1" t="s">
        <v>96</v>
      </c>
      <c r="T5530" s="1" t="s">
        <v>15311</v>
      </c>
      <c r="U5530" s="1">
        <v>1.00623453E8</v>
      </c>
      <c r="X5530" s="1" t="s">
        <v>410</v>
      </c>
      <c r="Y5530" s="1" t="s">
        <v>2761</v>
      </c>
      <c r="Z5530" s="1" t="s">
        <v>37</v>
      </c>
    </row>
    <row r="5531">
      <c r="A5531" s="1" t="s">
        <v>15312</v>
      </c>
      <c r="B5531" s="1" t="s">
        <v>9490</v>
      </c>
      <c r="C5531" s="1" t="s">
        <v>15313</v>
      </c>
      <c r="D5531" s="1" t="s">
        <v>78</v>
      </c>
      <c r="E5531" s="1" t="s">
        <v>28</v>
      </c>
      <c r="F5531" s="2">
        <v>25000.0</v>
      </c>
      <c r="G5531" s="4">
        <v>44420.0</v>
      </c>
      <c r="H5531" s="4">
        <f>IFERROR(__xludf.DUMMYFUNCTION("DATE(INDEX(SPLIT(G5531,""/""),,3),INDEX(SPLIT(G5531,""/""),,2),INDEX(SPLIT(G5531,""/""),,1))"),44538.0)</f>
        <v>44538</v>
      </c>
      <c r="I5531" s="1" t="s">
        <v>226</v>
      </c>
      <c r="J5531" s="4">
        <f>IFERROR(__xludf.DUMMYFUNCTION("DATE(INDEX(SPLIT(I5531,""/""),,3),INDEX(SPLIT(I5531,""/""),,2),INDEX(SPLIT(I5531,""/""),,1))"),44771.0)</f>
        <v>44771</v>
      </c>
      <c r="L5531" s="1">
        <v>0.0</v>
      </c>
      <c r="M5531" s="1" t="s">
        <v>211</v>
      </c>
      <c r="N5531" s="1"/>
      <c r="O5531" s="1" t="s">
        <v>30</v>
      </c>
      <c r="P5531" s="1" t="s">
        <v>31</v>
      </c>
      <c r="Q5531" s="1" t="s">
        <v>71</v>
      </c>
      <c r="R5531" s="1" t="s">
        <v>71</v>
      </c>
      <c r="S5531" s="1" t="s">
        <v>72</v>
      </c>
      <c r="T5531" s="1" t="s">
        <v>136</v>
      </c>
      <c r="U5531" s="1">
        <v>1.00590896E8</v>
      </c>
      <c r="X5531" s="1" t="s">
        <v>74</v>
      </c>
      <c r="Y5531" s="1" t="s">
        <v>3280</v>
      </c>
      <c r="Z5531" s="1" t="s">
        <v>37</v>
      </c>
    </row>
    <row r="5532" hidden="1">
      <c r="A5532" s="1" t="s">
        <v>15314</v>
      </c>
      <c r="B5532" s="1" t="s">
        <v>15315</v>
      </c>
      <c r="C5532" s="1" t="s">
        <v>15316</v>
      </c>
      <c r="D5532" s="1" t="s">
        <v>27</v>
      </c>
      <c r="E5532" s="1" t="s">
        <v>28</v>
      </c>
      <c r="F5532" s="2">
        <v>25000.0</v>
      </c>
      <c r="G5532" s="1" t="s">
        <v>15317</v>
      </c>
      <c r="H5532" s="4">
        <f>IFERROR(__xludf.DUMMYFUNCTION("DATE(INDEX(SPLIT(G5532,""/""),,3),INDEX(SPLIT(G5532,""/""),,2),INDEX(SPLIT(G5532,""/""),,1))"),44341.0)</f>
        <v>44341</v>
      </c>
      <c r="I5532" s="1" t="s">
        <v>109</v>
      </c>
      <c r="J5532" s="4">
        <f>IFERROR(__xludf.DUMMYFUNCTION("DATE(INDEX(SPLIT(I5532,""/""),,3),INDEX(SPLIT(I5532,""/""),,2),INDEX(SPLIT(I5532,""/""),,1))"),44834.0)</f>
        <v>44834</v>
      </c>
      <c r="L5532" s="1">
        <v>0.0</v>
      </c>
      <c r="M5532" s="1" t="s">
        <v>2869</v>
      </c>
      <c r="N5532" s="1"/>
      <c r="O5532" s="1" t="s">
        <v>30</v>
      </c>
      <c r="P5532" s="1" t="s">
        <v>31</v>
      </c>
      <c r="Q5532" s="1" t="s">
        <v>228</v>
      </c>
      <c r="R5532" s="1" t="s">
        <v>228</v>
      </c>
      <c r="S5532" s="1" t="s">
        <v>229</v>
      </c>
      <c r="T5532" s="1" t="s">
        <v>640</v>
      </c>
      <c r="U5532" s="1">
        <v>1.00641939E8</v>
      </c>
      <c r="X5532" s="1" t="s">
        <v>81</v>
      </c>
      <c r="Y5532" s="1" t="s">
        <v>1533</v>
      </c>
      <c r="Z5532" s="1" t="s">
        <v>37</v>
      </c>
    </row>
    <row r="5533" hidden="1">
      <c r="A5533" s="1" t="s">
        <v>15318</v>
      </c>
      <c r="B5533" s="1" t="s">
        <v>12818</v>
      </c>
      <c r="C5533" s="1" t="s">
        <v>15319</v>
      </c>
      <c r="D5533" s="1" t="s">
        <v>27</v>
      </c>
      <c r="E5533" s="1" t="s">
        <v>28</v>
      </c>
      <c r="F5533" s="2">
        <v>25000.0</v>
      </c>
      <c r="G5533" s="1" t="s">
        <v>3245</v>
      </c>
      <c r="H5533" s="4">
        <f>IFERROR(__xludf.DUMMYFUNCTION("DATE(INDEX(SPLIT(G5533,""/""),,3),INDEX(SPLIT(G5533,""/""),,2),INDEX(SPLIT(G5533,""/""),,1))"),44452.0)</f>
        <v>44452</v>
      </c>
      <c r="I5533" s="1" t="s">
        <v>42</v>
      </c>
      <c r="J5533" s="4">
        <f>IFERROR(__xludf.DUMMYFUNCTION("DATE(INDEX(SPLIT(I5533,""/""),,3),INDEX(SPLIT(I5533,""/""),,2),INDEX(SPLIT(I5533,""/""),,1))"),44926.0)</f>
        <v>44926</v>
      </c>
      <c r="L5533" s="1">
        <v>0.0</v>
      </c>
      <c r="M5533" s="1" t="s">
        <v>1745</v>
      </c>
      <c r="N5533" s="1"/>
      <c r="O5533" s="1" t="s">
        <v>30</v>
      </c>
      <c r="P5533" s="1" t="s">
        <v>31</v>
      </c>
      <c r="Q5533" s="1" t="s">
        <v>71</v>
      </c>
      <c r="R5533" s="1" t="s">
        <v>71</v>
      </c>
      <c r="S5533" s="1" t="s">
        <v>72</v>
      </c>
      <c r="T5533" s="1" t="s">
        <v>136</v>
      </c>
      <c r="U5533" s="1">
        <v>1.00582847E8</v>
      </c>
      <c r="X5533" s="1" t="s">
        <v>74</v>
      </c>
      <c r="Y5533" s="1" t="s">
        <v>1745</v>
      </c>
      <c r="Z5533" s="1" t="s">
        <v>37</v>
      </c>
    </row>
    <row r="5534">
      <c r="A5534" s="1" t="s">
        <v>15320</v>
      </c>
      <c r="B5534" s="1" t="s">
        <v>341</v>
      </c>
      <c r="C5534" s="1" t="s">
        <v>15321</v>
      </c>
      <c r="D5534" s="1" t="s">
        <v>78</v>
      </c>
      <c r="E5534" s="1" t="s">
        <v>28</v>
      </c>
      <c r="F5534" s="2">
        <v>25000.0</v>
      </c>
      <c r="G5534" s="1" t="s">
        <v>503</v>
      </c>
      <c r="H5534" s="4">
        <f>IFERROR(__xludf.DUMMYFUNCTION("DATE(INDEX(SPLIT(G5534,""/""),,3),INDEX(SPLIT(G5534,""/""),,2),INDEX(SPLIT(G5534,""/""),,1))"),44736.0)</f>
        <v>44736</v>
      </c>
      <c r="I5534" s="1" t="s">
        <v>518</v>
      </c>
      <c r="J5534" s="4">
        <f>IFERROR(__xludf.DUMMYFUNCTION("DATE(INDEX(SPLIT(I5534,""/""),,3),INDEX(SPLIT(I5534,""/""),,2),INDEX(SPLIT(I5534,""/""),,1))"),44757.0)</f>
        <v>44757</v>
      </c>
      <c r="L5534" s="1">
        <v>0.0</v>
      </c>
      <c r="M5534" s="1" t="s">
        <v>2147</v>
      </c>
      <c r="N5534" s="1"/>
      <c r="O5534" s="1" t="s">
        <v>30</v>
      </c>
      <c r="P5534" s="1" t="s">
        <v>31</v>
      </c>
      <c r="Q5534" s="1" t="s">
        <v>235</v>
      </c>
      <c r="R5534" s="1" t="s">
        <v>235</v>
      </c>
      <c r="S5534" s="1" t="s">
        <v>236</v>
      </c>
      <c r="T5534" s="1" t="s">
        <v>237</v>
      </c>
      <c r="U5534" s="1">
        <v>1.00647935E8</v>
      </c>
      <c r="X5534" s="1" t="s">
        <v>239</v>
      </c>
      <c r="Y5534" s="1" t="s">
        <v>3585</v>
      </c>
      <c r="Z5534" s="1" t="s">
        <v>37</v>
      </c>
    </row>
    <row r="5535" hidden="1">
      <c r="A5535" s="1" t="s">
        <v>15322</v>
      </c>
      <c r="B5535" s="1" t="s">
        <v>4854</v>
      </c>
      <c r="C5535" s="1" t="s">
        <v>15323</v>
      </c>
      <c r="D5535" s="1" t="s">
        <v>78</v>
      </c>
      <c r="E5535" s="1" t="s">
        <v>28</v>
      </c>
      <c r="F5535" s="2">
        <v>25000.0</v>
      </c>
      <c r="G5535" s="1" t="s">
        <v>7918</v>
      </c>
      <c r="H5535" s="4">
        <f>IFERROR(__xludf.DUMMYFUNCTION("DATE(INDEX(SPLIT(G5535,""/""),,3),INDEX(SPLIT(G5535,""/""),,2),INDEX(SPLIT(G5535,""/""),,1))"),44280.0)</f>
        <v>44280</v>
      </c>
      <c r="I5535" s="4">
        <v>44663.0</v>
      </c>
      <c r="J5535" s="4">
        <f>IFERROR(__xludf.DUMMYFUNCTION("DATE(INDEX(SPLIT(I5535,""/""),,3),INDEX(SPLIT(I5535,""/""),,2),INDEX(SPLIT(I5535,""/""),,1))"),44899.0)</f>
        <v>44899</v>
      </c>
      <c r="L5535" s="1">
        <v>0.0</v>
      </c>
      <c r="M5535" s="1" t="s">
        <v>2237</v>
      </c>
      <c r="N5535" s="1"/>
      <c r="O5535" s="1" t="s">
        <v>30</v>
      </c>
      <c r="P5535" s="1" t="s">
        <v>31</v>
      </c>
      <c r="Q5535" s="1" t="s">
        <v>32</v>
      </c>
      <c r="R5535" s="1" t="s">
        <v>32</v>
      </c>
      <c r="S5535" s="1" t="s">
        <v>33</v>
      </c>
      <c r="T5535" s="1" t="s">
        <v>197</v>
      </c>
      <c r="U5535" s="1">
        <v>1.00611284E8</v>
      </c>
      <c r="X5535" s="1" t="s">
        <v>375</v>
      </c>
      <c r="Y5535" s="1" t="s">
        <v>4857</v>
      </c>
      <c r="Z5535" s="1" t="s">
        <v>37</v>
      </c>
    </row>
    <row r="5536" hidden="1">
      <c r="A5536" s="1" t="s">
        <v>15324</v>
      </c>
      <c r="B5536" s="1" t="s">
        <v>15325</v>
      </c>
      <c r="C5536" s="1" t="s">
        <v>15326</v>
      </c>
      <c r="D5536" s="1" t="s">
        <v>122</v>
      </c>
      <c r="E5536" s="1" t="s">
        <v>28</v>
      </c>
      <c r="F5536" s="2">
        <v>25000.0</v>
      </c>
      <c r="G5536" s="4">
        <v>44780.0</v>
      </c>
      <c r="H5536" s="4">
        <f>IFERROR(__xludf.DUMMYFUNCTION("DATE(INDEX(SPLIT(G5536,""/""),,3),INDEX(SPLIT(G5536,""/""),,2),INDEX(SPLIT(G5536,""/""),,1))"),44750.0)</f>
        <v>44750</v>
      </c>
      <c r="I5536" s="1" t="s">
        <v>42</v>
      </c>
      <c r="J5536" s="4">
        <f>IFERROR(__xludf.DUMMYFUNCTION("DATE(INDEX(SPLIT(I5536,""/""),,3),INDEX(SPLIT(I5536,""/""),,2),INDEX(SPLIT(I5536,""/""),,1))"),44926.0)</f>
        <v>44926</v>
      </c>
      <c r="L5536" s="1">
        <v>0.0</v>
      </c>
      <c r="M5536" s="1" t="s">
        <v>2568</v>
      </c>
      <c r="N5536" s="1"/>
      <c r="O5536" s="1" t="s">
        <v>30</v>
      </c>
      <c r="P5536" s="1" t="s">
        <v>31</v>
      </c>
      <c r="Q5536" s="1" t="s">
        <v>228</v>
      </c>
      <c r="R5536" s="1" t="s">
        <v>228</v>
      </c>
      <c r="S5536" s="1" t="s">
        <v>229</v>
      </c>
      <c r="T5536" s="1" t="s">
        <v>513</v>
      </c>
      <c r="U5536" s="1">
        <v>1.00659458E8</v>
      </c>
      <c r="X5536" s="1" t="s">
        <v>74</v>
      </c>
      <c r="Y5536" s="1" t="s">
        <v>2568</v>
      </c>
      <c r="Z5536" s="1" t="s">
        <v>37</v>
      </c>
    </row>
    <row r="5537" hidden="1">
      <c r="A5537" s="1" t="s">
        <v>15327</v>
      </c>
      <c r="B5537" s="1" t="s">
        <v>1120</v>
      </c>
      <c r="C5537" s="1" t="s">
        <v>15328</v>
      </c>
      <c r="D5537" s="1" t="s">
        <v>27</v>
      </c>
      <c r="E5537" s="1" t="s">
        <v>28</v>
      </c>
      <c r="F5537" s="2">
        <v>25000.0</v>
      </c>
      <c r="G5537" s="4">
        <v>44599.0</v>
      </c>
      <c r="H5537" s="4">
        <f>IFERROR(__xludf.DUMMYFUNCTION("DATE(INDEX(SPLIT(G5537,""/""),,3),INDEX(SPLIT(G5537,""/""),,2),INDEX(SPLIT(G5537,""/""),,1))"),44744.0)</f>
        <v>44744</v>
      </c>
      <c r="I5537" s="1" t="s">
        <v>1097</v>
      </c>
      <c r="J5537" s="4">
        <f>IFERROR(__xludf.DUMMYFUNCTION("DATE(INDEX(SPLIT(I5537,""/""),,3),INDEX(SPLIT(I5537,""/""),,2),INDEX(SPLIT(I5537,""/""),,1))"),45107.0)</f>
        <v>45107</v>
      </c>
      <c r="L5537" s="1">
        <v>0.0</v>
      </c>
      <c r="M5537" s="1" t="s">
        <v>11254</v>
      </c>
      <c r="N5537" s="1"/>
      <c r="O5537" s="1" t="s">
        <v>30</v>
      </c>
      <c r="P5537" s="1" t="s">
        <v>31</v>
      </c>
      <c r="Q5537" s="1" t="s">
        <v>228</v>
      </c>
      <c r="R5537" s="1" t="s">
        <v>228</v>
      </c>
      <c r="S5537" s="1" t="s">
        <v>229</v>
      </c>
      <c r="T5537" s="1" t="s">
        <v>513</v>
      </c>
      <c r="U5537" s="1">
        <v>1.00602248E8</v>
      </c>
      <c r="X5537" s="1" t="s">
        <v>46</v>
      </c>
      <c r="Y5537" s="1" t="s">
        <v>12640</v>
      </c>
      <c r="Z5537" s="1" t="s">
        <v>37</v>
      </c>
    </row>
    <row r="5538" hidden="1">
      <c r="A5538" s="1" t="s">
        <v>15329</v>
      </c>
      <c r="B5538" s="1" t="s">
        <v>15330</v>
      </c>
      <c r="C5538" s="1" t="s">
        <v>15331</v>
      </c>
      <c r="D5538" s="1" t="s">
        <v>27</v>
      </c>
      <c r="E5538" s="1" t="s">
        <v>28</v>
      </c>
      <c r="F5538" s="2">
        <v>25000.0</v>
      </c>
      <c r="G5538" s="1" t="s">
        <v>10195</v>
      </c>
      <c r="H5538" s="4">
        <f>IFERROR(__xludf.DUMMYFUNCTION("DATE(INDEX(SPLIT(G5538,""/""),,3),INDEX(SPLIT(G5538,""/""),,2),INDEX(SPLIT(G5538,""/""),,1))"),44513.0)</f>
        <v>44513</v>
      </c>
      <c r="I5538" s="1" t="s">
        <v>447</v>
      </c>
      <c r="J5538" s="4">
        <f>IFERROR(__xludf.DUMMYFUNCTION("DATE(INDEX(SPLIT(I5538,""/""),,3),INDEX(SPLIT(I5538,""/""),,2),INDEX(SPLIT(I5538,""/""),,1))"),44910.0)</f>
        <v>44910</v>
      </c>
      <c r="L5538" s="1">
        <v>0.0</v>
      </c>
      <c r="M5538" s="1" t="s">
        <v>1532</v>
      </c>
      <c r="N5538" s="1"/>
      <c r="O5538" s="1" t="s">
        <v>30</v>
      </c>
      <c r="P5538" s="1" t="s">
        <v>31</v>
      </c>
      <c r="Q5538" s="1" t="s">
        <v>228</v>
      </c>
      <c r="R5538" s="1" t="s">
        <v>228</v>
      </c>
      <c r="S5538" s="1" t="s">
        <v>229</v>
      </c>
      <c r="T5538" s="1" t="s">
        <v>640</v>
      </c>
      <c r="U5538" s="1">
        <v>1.00711752E8</v>
      </c>
      <c r="X5538" s="1" t="s">
        <v>410</v>
      </c>
      <c r="Y5538" s="1" t="s">
        <v>1532</v>
      </c>
      <c r="Z5538" s="1" t="s">
        <v>37</v>
      </c>
    </row>
    <row r="5539">
      <c r="A5539" s="1" t="s">
        <v>15332</v>
      </c>
      <c r="B5539" s="1" t="s">
        <v>6474</v>
      </c>
      <c r="C5539" s="1" t="s">
        <v>15333</v>
      </c>
      <c r="D5539" s="1" t="s">
        <v>78</v>
      </c>
      <c r="E5539" s="1" t="s">
        <v>28</v>
      </c>
      <c r="F5539" s="2">
        <v>25000.0</v>
      </c>
      <c r="G5539" s="1" t="s">
        <v>4047</v>
      </c>
      <c r="H5539" s="4">
        <f>IFERROR(__xludf.DUMMYFUNCTION("DATE(INDEX(SPLIT(G5539,""/""),,3),INDEX(SPLIT(G5539,""/""),,2),INDEX(SPLIT(G5539,""/""),,1))"),44580.0)</f>
        <v>44580</v>
      </c>
      <c r="I5539" s="1" t="s">
        <v>226</v>
      </c>
      <c r="J5539" s="4">
        <f>IFERROR(__xludf.DUMMYFUNCTION("DATE(INDEX(SPLIT(I5539,""/""),,3),INDEX(SPLIT(I5539,""/""),,2),INDEX(SPLIT(I5539,""/""),,1))"),44771.0)</f>
        <v>44771</v>
      </c>
      <c r="L5539" s="1">
        <v>0.0</v>
      </c>
      <c r="M5539" s="1" t="s">
        <v>303</v>
      </c>
      <c r="N5539" s="1"/>
      <c r="O5539" s="1" t="s">
        <v>30</v>
      </c>
      <c r="P5539" s="1" t="s">
        <v>31</v>
      </c>
      <c r="Q5539" s="1" t="s">
        <v>95</v>
      </c>
      <c r="R5539" s="1" t="s">
        <v>95</v>
      </c>
      <c r="S5539" s="1" t="s">
        <v>96</v>
      </c>
      <c r="T5539" s="1" t="s">
        <v>304</v>
      </c>
      <c r="U5539" s="1">
        <v>1.00623914E8</v>
      </c>
      <c r="X5539" s="1" t="s">
        <v>98</v>
      </c>
      <c r="Y5539" s="1" t="s">
        <v>8032</v>
      </c>
      <c r="Z5539" s="1" t="s">
        <v>37</v>
      </c>
    </row>
    <row r="5540" hidden="1">
      <c r="A5540" s="1" t="s">
        <v>15334</v>
      </c>
      <c r="B5540" s="1" t="s">
        <v>11610</v>
      </c>
      <c r="C5540" s="1" t="s">
        <v>15335</v>
      </c>
      <c r="D5540" s="1" t="s">
        <v>122</v>
      </c>
      <c r="E5540" s="1" t="s">
        <v>28</v>
      </c>
      <c r="F5540" s="2">
        <v>25000.0</v>
      </c>
      <c r="G5540" s="1" t="s">
        <v>458</v>
      </c>
      <c r="H5540" s="4">
        <f>IFERROR(__xludf.DUMMYFUNCTION("DATE(INDEX(SPLIT(G5540,""/""),,3),INDEX(SPLIT(G5540,""/""),,2),INDEX(SPLIT(G5540,""/""),,1))"),44649.0)</f>
        <v>44649</v>
      </c>
      <c r="I5540" s="1" t="s">
        <v>109</v>
      </c>
      <c r="J5540" s="4">
        <f>IFERROR(__xludf.DUMMYFUNCTION("DATE(INDEX(SPLIT(I5540,""/""),,3),INDEX(SPLIT(I5540,""/""),,2),INDEX(SPLIT(I5540,""/""),,1))"),44834.0)</f>
        <v>44834</v>
      </c>
      <c r="L5540" s="1">
        <v>0.0</v>
      </c>
      <c r="M5540" s="1" t="s">
        <v>2592</v>
      </c>
      <c r="N5540" s="1"/>
      <c r="O5540" s="1" t="s">
        <v>30</v>
      </c>
      <c r="P5540" s="1" t="s">
        <v>31</v>
      </c>
      <c r="Q5540" s="1" t="s">
        <v>71</v>
      </c>
      <c r="R5540" s="1" t="s">
        <v>71</v>
      </c>
      <c r="S5540" s="1" t="s">
        <v>72</v>
      </c>
      <c r="T5540" s="1" t="s">
        <v>136</v>
      </c>
      <c r="U5540" s="1">
        <v>1.00586452E8</v>
      </c>
      <c r="X5540" s="1" t="s">
        <v>74</v>
      </c>
      <c r="Y5540" s="1" t="s">
        <v>12849</v>
      </c>
      <c r="Z5540" s="1" t="s">
        <v>37</v>
      </c>
    </row>
    <row r="5541" hidden="1">
      <c r="A5541" s="1" t="s">
        <v>15336</v>
      </c>
      <c r="B5541" s="1" t="s">
        <v>14291</v>
      </c>
      <c r="C5541" s="1" t="s">
        <v>15337</v>
      </c>
      <c r="D5541" s="1" t="s">
        <v>78</v>
      </c>
      <c r="E5541" s="1" t="s">
        <v>28</v>
      </c>
      <c r="F5541" s="2">
        <v>25000.0</v>
      </c>
      <c r="G5541" s="4">
        <v>43959.0</v>
      </c>
      <c r="H5541" s="4">
        <f>IFERROR(__xludf.DUMMYFUNCTION("DATE(INDEX(SPLIT(G5541,""/""),,3),INDEX(SPLIT(G5541,""/""),,2),INDEX(SPLIT(G5541,""/""),,1))"),44048.0)</f>
        <v>44048</v>
      </c>
      <c r="I5541" s="1" t="s">
        <v>109</v>
      </c>
      <c r="J5541" s="4">
        <f>IFERROR(__xludf.DUMMYFUNCTION("DATE(INDEX(SPLIT(I5541,""/""),,3),INDEX(SPLIT(I5541,""/""),,2),INDEX(SPLIT(I5541,""/""),,1))"),44834.0)</f>
        <v>44834</v>
      </c>
      <c r="L5541" s="1">
        <v>0.0</v>
      </c>
      <c r="M5541" s="1" t="s">
        <v>4735</v>
      </c>
      <c r="N5541" s="1"/>
      <c r="O5541" s="1" t="s">
        <v>30</v>
      </c>
      <c r="P5541" s="1" t="s">
        <v>31</v>
      </c>
      <c r="Q5541" s="1" t="s">
        <v>71</v>
      </c>
      <c r="R5541" s="1" t="s">
        <v>71</v>
      </c>
      <c r="S5541" s="1" t="s">
        <v>72</v>
      </c>
      <c r="T5541" s="1" t="s">
        <v>136</v>
      </c>
      <c r="U5541" s="1">
        <v>1.00609615E8</v>
      </c>
      <c r="X5541" s="1" t="s">
        <v>74</v>
      </c>
      <c r="Y5541" s="1" t="s">
        <v>2593</v>
      </c>
      <c r="Z5541" s="1" t="s">
        <v>206</v>
      </c>
    </row>
    <row r="5542" hidden="1">
      <c r="A5542" s="1" t="s">
        <v>15338</v>
      </c>
      <c r="B5542" s="1" t="s">
        <v>1355</v>
      </c>
      <c r="C5542" s="1" t="s">
        <v>15339</v>
      </c>
      <c r="D5542" s="1" t="s">
        <v>27</v>
      </c>
      <c r="E5542" s="1" t="s">
        <v>28</v>
      </c>
      <c r="F5542" s="2">
        <v>25000.0</v>
      </c>
      <c r="G5542" s="1" t="s">
        <v>2101</v>
      </c>
      <c r="H5542" s="4">
        <f>IFERROR(__xludf.DUMMYFUNCTION("DATE(INDEX(SPLIT(G5542,""/""),,3),INDEX(SPLIT(G5542,""/""),,2),INDEX(SPLIT(G5542,""/""),,1))"),44579.0)</f>
        <v>44579</v>
      </c>
      <c r="I5542" s="1" t="s">
        <v>109</v>
      </c>
      <c r="J5542" s="4">
        <f>IFERROR(__xludf.DUMMYFUNCTION("DATE(INDEX(SPLIT(I5542,""/""),,3),INDEX(SPLIT(I5542,""/""),,2),INDEX(SPLIT(I5542,""/""),,1))"),44834.0)</f>
        <v>44834</v>
      </c>
      <c r="L5542" s="1">
        <v>0.0</v>
      </c>
      <c r="M5542" s="1" t="s">
        <v>1358</v>
      </c>
      <c r="N5542" s="1"/>
      <c r="O5542" s="1" t="s">
        <v>30</v>
      </c>
      <c r="P5542" s="1" t="s">
        <v>31</v>
      </c>
      <c r="Q5542" s="1" t="s">
        <v>32</v>
      </c>
      <c r="R5542" s="1" t="s">
        <v>32</v>
      </c>
      <c r="S5542" s="1" t="s">
        <v>33</v>
      </c>
      <c r="U5542" s="1">
        <v>1.00613915E8</v>
      </c>
      <c r="X5542" s="1" t="s">
        <v>35</v>
      </c>
      <c r="Y5542" s="1" t="s">
        <v>1533</v>
      </c>
      <c r="Z5542" s="1" t="s">
        <v>37</v>
      </c>
    </row>
    <row r="5543" hidden="1">
      <c r="A5543" s="1" t="s">
        <v>15340</v>
      </c>
      <c r="B5543" s="1" t="s">
        <v>672</v>
      </c>
      <c r="C5543" s="1" t="s">
        <v>15341</v>
      </c>
      <c r="D5543" s="1" t="s">
        <v>27</v>
      </c>
      <c r="E5543" s="1" t="s">
        <v>28</v>
      </c>
      <c r="F5543" s="2">
        <v>25000.0</v>
      </c>
      <c r="G5543" s="1" t="s">
        <v>1004</v>
      </c>
      <c r="H5543" s="4">
        <f>IFERROR(__xludf.DUMMYFUNCTION("DATE(INDEX(SPLIT(G5543,""/""),,3),INDEX(SPLIT(G5543,""/""),,2),INDEX(SPLIT(G5543,""/""),,1))"),44582.0)</f>
        <v>44582</v>
      </c>
      <c r="I5543" s="1" t="s">
        <v>109</v>
      </c>
      <c r="J5543" s="4">
        <f>IFERROR(__xludf.DUMMYFUNCTION("DATE(INDEX(SPLIT(I5543,""/""),,3),INDEX(SPLIT(I5543,""/""),,2),INDEX(SPLIT(I5543,""/""),,1))"),44834.0)</f>
        <v>44834</v>
      </c>
      <c r="L5543" s="1">
        <v>0.0</v>
      </c>
      <c r="M5543" s="1" t="s">
        <v>5256</v>
      </c>
      <c r="N5543" s="1"/>
      <c r="O5543" s="1" t="s">
        <v>30</v>
      </c>
      <c r="P5543" s="1" t="s">
        <v>31</v>
      </c>
      <c r="Q5543" s="1" t="s">
        <v>235</v>
      </c>
      <c r="R5543" s="1" t="s">
        <v>235</v>
      </c>
      <c r="S5543" s="1" t="s">
        <v>236</v>
      </c>
      <c r="T5543" s="1" t="s">
        <v>753</v>
      </c>
      <c r="U5543" s="1">
        <v>1.00634482E8</v>
      </c>
      <c r="X5543" s="1" t="s">
        <v>88</v>
      </c>
      <c r="Y5543" s="1" t="s">
        <v>13472</v>
      </c>
      <c r="Z5543" s="1" t="s">
        <v>37</v>
      </c>
    </row>
    <row r="5544" hidden="1">
      <c r="A5544" s="1" t="s">
        <v>15342</v>
      </c>
      <c r="B5544" s="1" t="s">
        <v>15343</v>
      </c>
      <c r="C5544" s="1" t="s">
        <v>15344</v>
      </c>
      <c r="D5544" s="1" t="s">
        <v>122</v>
      </c>
      <c r="E5544" s="1" t="s">
        <v>28</v>
      </c>
      <c r="F5544" s="2">
        <v>25000.0</v>
      </c>
      <c r="G5544" s="4">
        <v>44568.0</v>
      </c>
      <c r="H5544" s="4">
        <f>IFERROR(__xludf.DUMMYFUNCTION("DATE(INDEX(SPLIT(G5544,""/""),,3),INDEX(SPLIT(G5544,""/""),,2),INDEX(SPLIT(G5544,""/""),,1))"),44743.0)</f>
        <v>44743</v>
      </c>
      <c r="I5544" s="1" t="s">
        <v>42</v>
      </c>
      <c r="J5544" s="4">
        <f>IFERROR(__xludf.DUMMYFUNCTION("DATE(INDEX(SPLIT(I5544,""/""),,3),INDEX(SPLIT(I5544,""/""),,2),INDEX(SPLIT(I5544,""/""),,1))"),44926.0)</f>
        <v>44926</v>
      </c>
      <c r="L5544" s="1">
        <v>0.0</v>
      </c>
      <c r="M5544" s="1" t="s">
        <v>2568</v>
      </c>
      <c r="N5544" s="1"/>
      <c r="O5544" s="1" t="s">
        <v>30</v>
      </c>
      <c r="P5544" s="1" t="s">
        <v>31</v>
      </c>
      <c r="Q5544" s="1" t="s">
        <v>228</v>
      </c>
      <c r="R5544" s="1" t="s">
        <v>228</v>
      </c>
      <c r="S5544" s="1" t="s">
        <v>229</v>
      </c>
      <c r="T5544" s="1" t="s">
        <v>513</v>
      </c>
      <c r="U5544" s="1">
        <v>1.00659458E8</v>
      </c>
      <c r="X5544" s="1" t="s">
        <v>254</v>
      </c>
      <c r="Y5544" s="1" t="s">
        <v>2568</v>
      </c>
      <c r="Z5544" s="1" t="s">
        <v>37</v>
      </c>
    </row>
    <row r="5545" hidden="1">
      <c r="A5545" s="1" t="s">
        <v>15345</v>
      </c>
      <c r="B5545" s="1" t="s">
        <v>1108</v>
      </c>
      <c r="C5545" s="1" t="s">
        <v>15346</v>
      </c>
      <c r="D5545" s="1" t="s">
        <v>122</v>
      </c>
      <c r="E5545" s="1" t="s">
        <v>28</v>
      </c>
      <c r="F5545" s="2">
        <v>25000.0</v>
      </c>
      <c r="G5545" s="4">
        <v>44568.0</v>
      </c>
      <c r="H5545" s="4">
        <f>IFERROR(__xludf.DUMMYFUNCTION("DATE(INDEX(SPLIT(G5545,""/""),,3),INDEX(SPLIT(G5545,""/""),,2),INDEX(SPLIT(G5545,""/""),,1))"),44743.0)</f>
        <v>44743</v>
      </c>
      <c r="I5545" s="1" t="s">
        <v>42</v>
      </c>
      <c r="J5545" s="4">
        <f>IFERROR(__xludf.DUMMYFUNCTION("DATE(INDEX(SPLIT(I5545,""/""),,3),INDEX(SPLIT(I5545,""/""),,2),INDEX(SPLIT(I5545,""/""),,1))"),44926.0)</f>
        <v>44926</v>
      </c>
      <c r="L5545" s="1">
        <v>0.0</v>
      </c>
      <c r="M5545" s="1" t="s">
        <v>2568</v>
      </c>
      <c r="N5545" s="1"/>
      <c r="O5545" s="1" t="s">
        <v>30</v>
      </c>
      <c r="P5545" s="1" t="s">
        <v>31</v>
      </c>
      <c r="Q5545" s="1" t="s">
        <v>228</v>
      </c>
      <c r="R5545" s="1" t="s">
        <v>228</v>
      </c>
      <c r="S5545" s="1" t="s">
        <v>229</v>
      </c>
      <c r="T5545" s="1" t="s">
        <v>513</v>
      </c>
      <c r="U5545" s="1">
        <v>1.00659458E8</v>
      </c>
      <c r="X5545" s="1" t="s">
        <v>289</v>
      </c>
      <c r="Y5545" s="1" t="s">
        <v>2568</v>
      </c>
      <c r="Z5545" s="1" t="s">
        <v>37</v>
      </c>
    </row>
    <row r="5546" hidden="1">
      <c r="A5546" s="1" t="s">
        <v>15347</v>
      </c>
      <c r="B5546" s="1" t="s">
        <v>15348</v>
      </c>
      <c r="C5546" s="1" t="s">
        <v>15349</v>
      </c>
      <c r="D5546" s="1" t="s">
        <v>78</v>
      </c>
      <c r="E5546" s="1" t="s">
        <v>28</v>
      </c>
      <c r="F5546" s="2">
        <v>25000.0</v>
      </c>
      <c r="G5546" s="4">
        <v>44867.0</v>
      </c>
      <c r="H5546" s="4">
        <f>IFERROR(__xludf.DUMMYFUNCTION("DATE(INDEX(SPLIT(G5546,""/""),,3),INDEX(SPLIT(G5546,""/""),,2),INDEX(SPLIT(G5546,""/""),,1))"),44603.0)</f>
        <v>44603</v>
      </c>
      <c r="I5546" s="1" t="s">
        <v>15350</v>
      </c>
      <c r="J5546" s="4">
        <f>IFERROR(__xludf.DUMMYFUNCTION("DATE(INDEX(SPLIT(I5546,""/""),,3),INDEX(SPLIT(I5546,""/""),,2),INDEX(SPLIT(I5546,""/""),,1))"),44978.0)</f>
        <v>44978</v>
      </c>
      <c r="L5546" s="1">
        <v>0.0</v>
      </c>
      <c r="M5546" s="1" t="s">
        <v>3948</v>
      </c>
      <c r="N5546" s="1"/>
      <c r="O5546" s="1" t="s">
        <v>30</v>
      </c>
      <c r="P5546" s="1" t="s">
        <v>31</v>
      </c>
      <c r="Q5546" s="1" t="s">
        <v>228</v>
      </c>
      <c r="R5546" s="1" t="s">
        <v>228</v>
      </c>
      <c r="S5546" s="1" t="s">
        <v>229</v>
      </c>
      <c r="T5546" s="1" t="s">
        <v>513</v>
      </c>
      <c r="U5546" s="1">
        <v>1.0066189E8</v>
      </c>
      <c r="X5546" s="1" t="s">
        <v>117</v>
      </c>
      <c r="Y5546" s="1" t="s">
        <v>15351</v>
      </c>
      <c r="Z5546" s="1" t="s">
        <v>37</v>
      </c>
    </row>
    <row r="5547">
      <c r="A5547" s="1" t="s">
        <v>15352</v>
      </c>
      <c r="B5547" s="1" t="s">
        <v>427</v>
      </c>
      <c r="C5547" s="1" t="s">
        <v>15353</v>
      </c>
      <c r="D5547" s="1" t="s">
        <v>27</v>
      </c>
      <c r="E5547" s="1" t="s">
        <v>28</v>
      </c>
      <c r="F5547" s="2">
        <v>25000.0</v>
      </c>
      <c r="G5547" s="4">
        <v>44776.0</v>
      </c>
      <c r="H5547" s="4">
        <f>IFERROR(__xludf.DUMMYFUNCTION("DATE(INDEX(SPLIT(G5547,""/""),,3),INDEX(SPLIT(G5547,""/""),,2),INDEX(SPLIT(G5547,""/""),,1))"),44628.0)</f>
        <v>44628</v>
      </c>
      <c r="I5547" s="4">
        <v>44567.0</v>
      </c>
      <c r="J5547" s="4">
        <f>IFERROR(__xludf.DUMMYFUNCTION("DATE(INDEX(SPLIT(I5547,""/""),,3),INDEX(SPLIT(I5547,""/""),,2),INDEX(SPLIT(I5547,""/""),,1))"),44713.0)</f>
        <v>44713</v>
      </c>
      <c r="K5547" s="9">
        <v>44776.847916666666</v>
      </c>
      <c r="L5547" s="1">
        <v>0.0</v>
      </c>
      <c r="M5547" s="1" t="s">
        <v>9854</v>
      </c>
      <c r="N5547" s="1"/>
      <c r="O5547" s="1" t="s">
        <v>30</v>
      </c>
      <c r="P5547" s="1" t="s">
        <v>31</v>
      </c>
      <c r="Q5547" s="1" t="s">
        <v>53</v>
      </c>
      <c r="R5547" s="1" t="s">
        <v>53</v>
      </c>
      <c r="S5547" s="1" t="s">
        <v>54</v>
      </c>
      <c r="T5547" s="1" t="s">
        <v>1386</v>
      </c>
      <c r="U5547" s="1">
        <v>1.01148689E8</v>
      </c>
      <c r="X5547" s="1" t="s">
        <v>125</v>
      </c>
      <c r="Y5547" s="1" t="s">
        <v>1387</v>
      </c>
      <c r="Z5547" s="1" t="s">
        <v>206</v>
      </c>
    </row>
    <row r="5548" hidden="1">
      <c r="A5548" s="1" t="s">
        <v>15354</v>
      </c>
      <c r="B5548" s="1" t="s">
        <v>546</v>
      </c>
      <c r="C5548" s="1" t="s">
        <v>15355</v>
      </c>
      <c r="D5548" s="1" t="s">
        <v>27</v>
      </c>
      <c r="E5548" s="1" t="s">
        <v>28</v>
      </c>
      <c r="F5548" s="2">
        <v>25000.0</v>
      </c>
      <c r="G5548" s="4">
        <v>44229.0</v>
      </c>
      <c r="H5548" s="4">
        <f>IFERROR(__xludf.DUMMYFUNCTION("DATE(INDEX(SPLIT(G5548,""/""),,3),INDEX(SPLIT(G5548,""/""),,2),INDEX(SPLIT(G5548,""/""),,1))"),44229.0)</f>
        <v>44229</v>
      </c>
      <c r="I5548" s="1" t="s">
        <v>2111</v>
      </c>
      <c r="J5548" s="4">
        <f>IFERROR(__xludf.DUMMYFUNCTION("DATE(INDEX(SPLIT(I5548,""/""),,3),INDEX(SPLIT(I5548,""/""),,2),INDEX(SPLIT(I5548,""/""),,1))"),44914.0)</f>
        <v>44914</v>
      </c>
      <c r="L5548" s="1">
        <v>0.0</v>
      </c>
      <c r="M5548" s="1" t="s">
        <v>2106</v>
      </c>
      <c r="N5548" s="1"/>
      <c r="O5548" s="1" t="s">
        <v>30</v>
      </c>
      <c r="P5548" s="1" t="s">
        <v>31</v>
      </c>
      <c r="Q5548" s="1" t="s">
        <v>71</v>
      </c>
      <c r="R5548" s="1" t="s">
        <v>71</v>
      </c>
      <c r="S5548" s="1" t="s">
        <v>72</v>
      </c>
      <c r="T5548" s="1" t="s">
        <v>136</v>
      </c>
      <c r="U5548" s="1">
        <v>1.0061108E8</v>
      </c>
      <c r="X5548" s="1" t="s">
        <v>74</v>
      </c>
      <c r="Y5548" s="1" t="s">
        <v>8809</v>
      </c>
      <c r="Z5548" s="1" t="s">
        <v>37</v>
      </c>
    </row>
    <row r="5549" hidden="1">
      <c r="A5549" s="1" t="s">
        <v>15356</v>
      </c>
      <c r="B5549" s="1" t="s">
        <v>4938</v>
      </c>
      <c r="C5549" s="1" t="s">
        <v>15357</v>
      </c>
      <c r="D5549" s="1" t="s">
        <v>122</v>
      </c>
      <c r="E5549" s="1" t="s">
        <v>28</v>
      </c>
      <c r="F5549" s="2">
        <v>25000.0</v>
      </c>
      <c r="G5549" s="1" t="s">
        <v>1244</v>
      </c>
      <c r="H5549" s="4">
        <f>IFERROR(__xludf.DUMMYFUNCTION("DATE(INDEX(SPLIT(G5549,""/""),,3),INDEX(SPLIT(G5549,""/""),,2),INDEX(SPLIT(G5549,""/""),,1))"),44742.0)</f>
        <v>44742</v>
      </c>
      <c r="I5549" s="1" t="s">
        <v>109</v>
      </c>
      <c r="J5549" s="4">
        <f>IFERROR(__xludf.DUMMYFUNCTION("DATE(INDEX(SPLIT(I5549,""/""),,3),INDEX(SPLIT(I5549,""/""),,2),INDEX(SPLIT(I5549,""/""),,1))"),44834.0)</f>
        <v>44834</v>
      </c>
      <c r="L5549" s="1">
        <v>0.0</v>
      </c>
      <c r="M5549" s="1" t="s">
        <v>4477</v>
      </c>
      <c r="N5549" s="1"/>
      <c r="O5549" s="1" t="s">
        <v>30</v>
      </c>
      <c r="P5549" s="1" t="s">
        <v>31</v>
      </c>
      <c r="Q5549" s="1" t="s">
        <v>228</v>
      </c>
      <c r="R5549" s="1" t="s">
        <v>228</v>
      </c>
      <c r="S5549" s="1" t="s">
        <v>229</v>
      </c>
      <c r="T5549" s="1" t="s">
        <v>513</v>
      </c>
      <c r="U5549" s="1">
        <v>1.00592715E8</v>
      </c>
      <c r="X5549" s="1" t="s">
        <v>98</v>
      </c>
      <c r="Y5549" s="1" t="s">
        <v>4477</v>
      </c>
      <c r="Z5549" s="1" t="s">
        <v>37</v>
      </c>
    </row>
    <row r="5550" hidden="1">
      <c r="A5550" s="1" t="s">
        <v>15358</v>
      </c>
      <c r="B5550" s="1" t="s">
        <v>1991</v>
      </c>
      <c r="C5550" s="1" t="s">
        <v>15359</v>
      </c>
      <c r="D5550" s="1" t="s">
        <v>27</v>
      </c>
      <c r="E5550" s="1" t="s">
        <v>28</v>
      </c>
      <c r="F5550" s="2">
        <v>25000.0</v>
      </c>
      <c r="G5550" s="1" t="s">
        <v>185</v>
      </c>
      <c r="H5550" s="4">
        <f>IFERROR(__xludf.DUMMYFUNCTION("DATE(INDEX(SPLIT(G5550,""/""),,3),INDEX(SPLIT(G5550,""/""),,2),INDEX(SPLIT(G5550,""/""),,1))"),44741.0)</f>
        <v>44741</v>
      </c>
      <c r="I5550" s="1" t="s">
        <v>134</v>
      </c>
      <c r="J5550" s="4">
        <f>IFERROR(__xludf.DUMMYFUNCTION("DATE(INDEX(SPLIT(I5550,""/""),,3),INDEX(SPLIT(I5550,""/""),,2),INDEX(SPLIT(I5550,""/""),,1))"),44792.0)</f>
        <v>44792</v>
      </c>
      <c r="L5550" s="1">
        <v>0.0</v>
      </c>
      <c r="M5550" s="1" t="s">
        <v>14646</v>
      </c>
      <c r="N5550" s="1"/>
      <c r="O5550" s="1" t="s">
        <v>30</v>
      </c>
      <c r="P5550" s="1" t="s">
        <v>31</v>
      </c>
      <c r="Q5550" s="1" t="s">
        <v>157</v>
      </c>
      <c r="R5550" s="1" t="s">
        <v>157</v>
      </c>
      <c r="S5550" s="1" t="s">
        <v>158</v>
      </c>
      <c r="U5550" s="1">
        <v>1.01240927E8</v>
      </c>
      <c r="X5550" s="1" t="s">
        <v>490</v>
      </c>
      <c r="Y5550" s="1" t="s">
        <v>14646</v>
      </c>
      <c r="Z5550" s="1" t="s">
        <v>37</v>
      </c>
    </row>
    <row r="5551" hidden="1">
      <c r="A5551" s="1" t="s">
        <v>15360</v>
      </c>
      <c r="B5551" s="1" t="s">
        <v>15361</v>
      </c>
      <c r="C5551" s="1" t="s">
        <v>15362</v>
      </c>
      <c r="D5551" s="1" t="s">
        <v>27</v>
      </c>
      <c r="E5551" s="1" t="s">
        <v>28</v>
      </c>
      <c r="F5551" s="2">
        <v>24500.0</v>
      </c>
      <c r="G5551" s="4">
        <v>44599.0</v>
      </c>
      <c r="H5551" s="4">
        <f>IFERROR(__xludf.DUMMYFUNCTION("DATE(INDEX(SPLIT(G5551,""/""),,3),INDEX(SPLIT(G5551,""/""),,2),INDEX(SPLIT(G5551,""/""),,1))"),44744.0)</f>
        <v>44744</v>
      </c>
      <c r="I5551" s="1" t="s">
        <v>203</v>
      </c>
      <c r="J5551" s="4">
        <f>IFERROR(__xludf.DUMMYFUNCTION("DATE(INDEX(SPLIT(I5551,""/""),,3),INDEX(SPLIT(I5551,""/""),,2),INDEX(SPLIT(I5551,""/""),,1))"),44925.0)</f>
        <v>44925</v>
      </c>
      <c r="L5551" s="1">
        <v>0.0</v>
      </c>
      <c r="M5551" s="1" t="s">
        <v>11254</v>
      </c>
      <c r="N5551" s="1"/>
      <c r="O5551" s="1" t="s">
        <v>30</v>
      </c>
      <c r="P5551" s="1" t="s">
        <v>31</v>
      </c>
      <c r="Q5551" s="1" t="s">
        <v>228</v>
      </c>
      <c r="R5551" s="1" t="s">
        <v>228</v>
      </c>
      <c r="S5551" s="1" t="s">
        <v>229</v>
      </c>
      <c r="T5551" s="1" t="s">
        <v>513</v>
      </c>
      <c r="U5551" s="1">
        <v>1.00602248E8</v>
      </c>
      <c r="X5551" s="1" t="s">
        <v>190</v>
      </c>
      <c r="Y5551" s="1" t="s">
        <v>14932</v>
      </c>
      <c r="Z5551" s="1" t="s">
        <v>37</v>
      </c>
    </row>
    <row r="5552">
      <c r="A5552" s="1" t="s">
        <v>15363</v>
      </c>
      <c r="B5552" s="1" t="s">
        <v>15364</v>
      </c>
      <c r="C5552" s="1" t="s">
        <v>15365</v>
      </c>
      <c r="D5552" s="1" t="s">
        <v>78</v>
      </c>
      <c r="E5552" s="1" t="s">
        <v>28</v>
      </c>
      <c r="F5552" s="2">
        <v>24000.0</v>
      </c>
      <c r="G5552" s="1" t="s">
        <v>164</v>
      </c>
      <c r="H5552" s="4">
        <f>IFERROR(__xludf.DUMMYFUNCTION("DATE(INDEX(SPLIT(G5552,""/""),,3),INDEX(SPLIT(G5552,""/""),,2),INDEX(SPLIT(G5552,""/""),,1))"),44706.0)</f>
        <v>44706</v>
      </c>
      <c r="I5552" s="4">
        <v>44840.0</v>
      </c>
      <c r="J5552" s="4">
        <f>IFERROR(__xludf.DUMMYFUNCTION("DATE(INDEX(SPLIT(I5552,""/""),,3),INDEX(SPLIT(I5552,""/""),,2),INDEX(SPLIT(I5552,""/""),,1))"),44722.0)</f>
        <v>44722</v>
      </c>
      <c r="L5552" s="1">
        <v>0.0</v>
      </c>
      <c r="M5552" s="1" t="s">
        <v>3948</v>
      </c>
      <c r="N5552" s="1"/>
      <c r="O5552" s="1" t="s">
        <v>30</v>
      </c>
      <c r="P5552" s="1" t="s">
        <v>31</v>
      </c>
      <c r="Q5552" s="1" t="s">
        <v>228</v>
      </c>
      <c r="R5552" s="1" t="s">
        <v>228</v>
      </c>
      <c r="S5552" s="1" t="s">
        <v>229</v>
      </c>
      <c r="T5552" s="1" t="s">
        <v>513</v>
      </c>
      <c r="U5552" s="1">
        <v>1.0066189E8</v>
      </c>
      <c r="X5552" s="1" t="s">
        <v>63</v>
      </c>
      <c r="Y5552" s="1" t="s">
        <v>3949</v>
      </c>
      <c r="Z5552" s="1" t="s">
        <v>37</v>
      </c>
    </row>
    <row r="5553" hidden="1">
      <c r="A5553" s="1" t="s">
        <v>15366</v>
      </c>
      <c r="B5553" s="1" t="s">
        <v>14163</v>
      </c>
      <c r="C5553" s="1" t="s">
        <v>15367</v>
      </c>
      <c r="D5553" s="1" t="s">
        <v>78</v>
      </c>
      <c r="E5553" s="1" t="s">
        <v>28</v>
      </c>
      <c r="F5553" s="2">
        <v>24000.0</v>
      </c>
      <c r="G5553" s="1" t="s">
        <v>935</v>
      </c>
      <c r="H5553" s="4">
        <f>IFERROR(__xludf.DUMMYFUNCTION("DATE(INDEX(SPLIT(G5553,""/""),,3),INDEX(SPLIT(G5553,""/""),,2),INDEX(SPLIT(G5553,""/""),,1))"),44764.0)</f>
        <v>44764</v>
      </c>
      <c r="I5553" s="1" t="s">
        <v>281</v>
      </c>
      <c r="J5553" s="4">
        <f>IFERROR(__xludf.DUMMYFUNCTION("DATE(INDEX(SPLIT(I5553,""/""),,3),INDEX(SPLIT(I5553,""/""),,2),INDEX(SPLIT(I5553,""/""),,1))"),44865.0)</f>
        <v>44865</v>
      </c>
      <c r="L5553" s="1">
        <v>0.0</v>
      </c>
      <c r="M5553" s="1" t="s">
        <v>4735</v>
      </c>
      <c r="N5553" s="1"/>
      <c r="O5553" s="1" t="s">
        <v>30</v>
      </c>
      <c r="P5553" s="1" t="s">
        <v>31</v>
      </c>
      <c r="Q5553" s="1" t="s">
        <v>71</v>
      </c>
      <c r="R5553" s="1" t="s">
        <v>71</v>
      </c>
      <c r="S5553" s="1" t="s">
        <v>72</v>
      </c>
      <c r="T5553" s="1" t="s">
        <v>136</v>
      </c>
      <c r="U5553" s="1">
        <v>1.00609615E8</v>
      </c>
      <c r="X5553" s="1" t="s">
        <v>74</v>
      </c>
      <c r="Y5553" s="1" t="s">
        <v>2593</v>
      </c>
      <c r="Z5553" s="1" t="s">
        <v>206</v>
      </c>
    </row>
    <row r="5554" hidden="1">
      <c r="A5554" s="1" t="s">
        <v>15368</v>
      </c>
      <c r="B5554" s="1" t="s">
        <v>7571</v>
      </c>
      <c r="C5554" s="1" t="s">
        <v>15369</v>
      </c>
      <c r="D5554" s="1" t="s">
        <v>78</v>
      </c>
      <c r="E5554" s="1" t="s">
        <v>28</v>
      </c>
      <c r="F5554" s="2">
        <v>24000.0</v>
      </c>
      <c r="G5554" s="1" t="s">
        <v>15370</v>
      </c>
      <c r="H5554" s="4">
        <f>IFERROR(__xludf.DUMMYFUNCTION("DATE(INDEX(SPLIT(G5554,""/""),,3),INDEX(SPLIT(G5554,""/""),,2),INDEX(SPLIT(G5554,""/""),,1))"),44026.0)</f>
        <v>44026</v>
      </c>
      <c r="I5554" s="1" t="s">
        <v>1097</v>
      </c>
      <c r="J5554" s="4">
        <f>IFERROR(__xludf.DUMMYFUNCTION("DATE(INDEX(SPLIT(I5554,""/""),,3),INDEX(SPLIT(I5554,""/""),,2),INDEX(SPLIT(I5554,""/""),,1))"),45107.0)</f>
        <v>45107</v>
      </c>
      <c r="L5554" s="1">
        <v>0.0</v>
      </c>
      <c r="M5554" s="1" t="s">
        <v>6587</v>
      </c>
      <c r="N5554" s="1"/>
      <c r="O5554" s="1" t="s">
        <v>30</v>
      </c>
      <c r="P5554" s="1" t="s">
        <v>31</v>
      </c>
      <c r="Q5554" s="1" t="s">
        <v>71</v>
      </c>
      <c r="R5554" s="1" t="s">
        <v>71</v>
      </c>
      <c r="S5554" s="1" t="s">
        <v>72</v>
      </c>
      <c r="T5554" s="1" t="s">
        <v>136</v>
      </c>
      <c r="U5554" s="1">
        <v>1.00618376E8</v>
      </c>
      <c r="X5554" s="1" t="s">
        <v>74</v>
      </c>
      <c r="Y5554" s="1" t="s">
        <v>2593</v>
      </c>
      <c r="Z5554" s="1" t="s">
        <v>37</v>
      </c>
    </row>
    <row r="5555" hidden="1">
      <c r="A5555" s="1" t="s">
        <v>15371</v>
      </c>
      <c r="B5555" s="1" t="s">
        <v>15372</v>
      </c>
      <c r="C5555" s="1" t="s">
        <v>15373</v>
      </c>
      <c r="D5555" s="1" t="s">
        <v>27</v>
      </c>
      <c r="E5555" s="1" t="s">
        <v>28</v>
      </c>
      <c r="F5555" s="2">
        <v>22000.0</v>
      </c>
      <c r="G5555" s="4">
        <v>44568.0</v>
      </c>
      <c r="H5555" s="4">
        <f>IFERROR(__xludf.DUMMYFUNCTION("DATE(INDEX(SPLIT(G5555,""/""),,3),INDEX(SPLIT(G5555,""/""),,2),INDEX(SPLIT(G5555,""/""),,1))"),44743.0)</f>
        <v>44743</v>
      </c>
      <c r="I5555" s="1" t="s">
        <v>1097</v>
      </c>
      <c r="J5555" s="4">
        <f>IFERROR(__xludf.DUMMYFUNCTION("DATE(INDEX(SPLIT(I5555,""/""),,3),INDEX(SPLIT(I5555,""/""),,2),INDEX(SPLIT(I5555,""/""),,1))"),45107.0)</f>
        <v>45107</v>
      </c>
      <c r="L5555" s="1">
        <v>0.0</v>
      </c>
      <c r="M5555" s="1" t="s">
        <v>11254</v>
      </c>
      <c r="N5555" s="1"/>
      <c r="O5555" s="1" t="s">
        <v>30</v>
      </c>
      <c r="P5555" s="1" t="s">
        <v>31</v>
      </c>
      <c r="Q5555" s="1" t="s">
        <v>228</v>
      </c>
      <c r="R5555" s="1" t="s">
        <v>228</v>
      </c>
      <c r="S5555" s="1" t="s">
        <v>229</v>
      </c>
      <c r="T5555" s="1" t="s">
        <v>513</v>
      </c>
      <c r="U5555" s="1">
        <v>1.00602248E8</v>
      </c>
      <c r="X5555" s="1" t="s">
        <v>239</v>
      </c>
      <c r="Y5555" s="1" t="s">
        <v>12640</v>
      </c>
      <c r="Z5555" s="1" t="s">
        <v>37</v>
      </c>
    </row>
    <row r="5556">
      <c r="A5556" s="1" t="s">
        <v>15374</v>
      </c>
      <c r="B5556" s="1" t="s">
        <v>15375</v>
      </c>
      <c r="C5556" s="1" t="s">
        <v>15376</v>
      </c>
      <c r="D5556" s="1" t="s">
        <v>78</v>
      </c>
      <c r="E5556" s="1" t="s">
        <v>28</v>
      </c>
      <c r="F5556" s="2">
        <v>21000.0</v>
      </c>
      <c r="G5556" s="1" t="s">
        <v>2324</v>
      </c>
      <c r="H5556" s="4">
        <f>IFERROR(__xludf.DUMMYFUNCTION("DATE(INDEX(SPLIT(G5556,""/""),,3),INDEX(SPLIT(G5556,""/""),,2),INDEX(SPLIT(G5556,""/""),,1))"),44705.0)</f>
        <v>44705</v>
      </c>
      <c r="I5556" s="1" t="s">
        <v>1244</v>
      </c>
      <c r="J5556" s="4">
        <f>IFERROR(__xludf.DUMMYFUNCTION("DATE(INDEX(SPLIT(I5556,""/""),,3),INDEX(SPLIT(I5556,""/""),,2),INDEX(SPLIT(I5556,""/""),,1))"),44742.0)</f>
        <v>44742</v>
      </c>
      <c r="L5556" s="1">
        <v>0.0</v>
      </c>
      <c r="M5556" s="1" t="s">
        <v>9478</v>
      </c>
      <c r="N5556" s="1"/>
      <c r="O5556" s="1" t="s">
        <v>30</v>
      </c>
      <c r="P5556" s="1" t="s">
        <v>31</v>
      </c>
      <c r="Q5556" s="1" t="s">
        <v>228</v>
      </c>
      <c r="R5556" s="1" t="s">
        <v>228</v>
      </c>
      <c r="S5556" s="1" t="s">
        <v>229</v>
      </c>
      <c r="T5556" s="1" t="s">
        <v>513</v>
      </c>
      <c r="U5556" s="1">
        <v>1.00589357E8</v>
      </c>
      <c r="X5556" s="1" t="s">
        <v>312</v>
      </c>
      <c r="Y5556" s="1" t="s">
        <v>5688</v>
      </c>
      <c r="Z5556" s="1" t="s">
        <v>37</v>
      </c>
    </row>
    <row r="5557" hidden="1">
      <c r="A5557" s="1" t="s">
        <v>15377</v>
      </c>
      <c r="B5557" s="1" t="s">
        <v>15378</v>
      </c>
      <c r="C5557" s="1" t="s">
        <v>15379</v>
      </c>
      <c r="D5557" s="1" t="s">
        <v>78</v>
      </c>
      <c r="E5557" s="1" t="s">
        <v>28</v>
      </c>
      <c r="F5557" s="2">
        <v>20842.98</v>
      </c>
      <c r="G5557" s="4">
        <v>44902.0</v>
      </c>
      <c r="H5557" s="4">
        <f>IFERROR(__xludf.DUMMYFUNCTION("DATE(INDEX(SPLIT(G5557,""/""),,3),INDEX(SPLIT(G5557,""/""),,2),INDEX(SPLIT(G5557,""/""),,1))"),44754.0)</f>
        <v>44754</v>
      </c>
      <c r="I5557" s="4">
        <v>44988.0</v>
      </c>
      <c r="J5557" s="4">
        <f>IFERROR(__xludf.DUMMYFUNCTION("DATE(INDEX(SPLIT(I5557,""/""),,3),INDEX(SPLIT(I5557,""/""),,2),INDEX(SPLIT(I5557,""/""),,1))"),44988.0)</f>
        <v>44988</v>
      </c>
      <c r="L5557" s="1">
        <v>0.0</v>
      </c>
      <c r="M5557" s="1" t="s">
        <v>8755</v>
      </c>
      <c r="N5557" s="1"/>
      <c r="O5557" s="1" t="s">
        <v>30</v>
      </c>
      <c r="P5557" s="1" t="s">
        <v>31</v>
      </c>
      <c r="Q5557" s="1" t="s">
        <v>1320</v>
      </c>
      <c r="R5557" s="1" t="s">
        <v>1320</v>
      </c>
      <c r="S5557" s="1" t="s">
        <v>54</v>
      </c>
      <c r="U5557" s="1">
        <v>1.00591676E8</v>
      </c>
      <c r="X5557" s="1" t="s">
        <v>35</v>
      </c>
      <c r="Y5557" s="1" t="s">
        <v>15380</v>
      </c>
      <c r="Z5557" s="1" t="s">
        <v>37</v>
      </c>
    </row>
    <row r="5558" hidden="1">
      <c r="A5558" s="1" t="s">
        <v>15381</v>
      </c>
      <c r="B5558" s="1" t="s">
        <v>15382</v>
      </c>
      <c r="C5558" s="1" t="s">
        <v>15383</v>
      </c>
      <c r="D5558" s="1" t="s">
        <v>27</v>
      </c>
      <c r="E5558" s="1" t="s">
        <v>28</v>
      </c>
      <c r="F5558" s="2">
        <v>20000.0</v>
      </c>
      <c r="G5558" s="1" t="s">
        <v>343</v>
      </c>
      <c r="H5558" s="4">
        <f>IFERROR(__xludf.DUMMYFUNCTION("DATE(INDEX(SPLIT(G5558,""/""),,3),INDEX(SPLIT(G5558,""/""),,2),INDEX(SPLIT(G5558,""/""),,1))"),44761.0)</f>
        <v>44761</v>
      </c>
      <c r="I5558" s="1" t="s">
        <v>109</v>
      </c>
      <c r="J5558" s="4">
        <f>IFERROR(__xludf.DUMMYFUNCTION("DATE(INDEX(SPLIT(I5558,""/""),,3),INDEX(SPLIT(I5558,""/""),,2),INDEX(SPLIT(I5558,""/""),,1))"),44834.0)</f>
        <v>44834</v>
      </c>
      <c r="L5558" s="1">
        <v>0.0</v>
      </c>
      <c r="M5558" s="1" t="s">
        <v>2614</v>
      </c>
      <c r="N5558" s="1"/>
      <c r="O5558" s="1" t="s">
        <v>30</v>
      </c>
      <c r="P5558" s="1" t="s">
        <v>31</v>
      </c>
      <c r="Q5558" s="1" t="s">
        <v>53</v>
      </c>
      <c r="R5558" s="1" t="s">
        <v>53</v>
      </c>
      <c r="S5558" s="1" t="s">
        <v>54</v>
      </c>
      <c r="T5558" s="1" t="s">
        <v>197</v>
      </c>
      <c r="U5558" s="1">
        <v>1.00592932E8</v>
      </c>
      <c r="X5558" s="1" t="s">
        <v>254</v>
      </c>
      <c r="Y5558" s="1" t="s">
        <v>2614</v>
      </c>
      <c r="Z5558" s="1" t="s">
        <v>37</v>
      </c>
    </row>
    <row r="5559" hidden="1">
      <c r="A5559" s="1" t="s">
        <v>15384</v>
      </c>
      <c r="B5559" s="1" t="s">
        <v>15385</v>
      </c>
      <c r="C5559" s="1" t="s">
        <v>15386</v>
      </c>
      <c r="D5559" s="1" t="s">
        <v>27</v>
      </c>
      <c r="E5559" s="1" t="s">
        <v>28</v>
      </c>
      <c r="F5559" s="2">
        <v>20000.0</v>
      </c>
      <c r="G5559" s="1" t="s">
        <v>5160</v>
      </c>
      <c r="H5559" s="4">
        <f>IFERROR(__xludf.DUMMYFUNCTION("DATE(INDEX(SPLIT(G5559,""/""),,3),INDEX(SPLIT(G5559,""/""),,2),INDEX(SPLIT(G5559,""/""),,1))"),44426.0)</f>
        <v>44426</v>
      </c>
      <c r="I5559" s="1" t="s">
        <v>42</v>
      </c>
      <c r="J5559" s="4">
        <f>IFERROR(__xludf.DUMMYFUNCTION("DATE(INDEX(SPLIT(I5559,""/""),,3),INDEX(SPLIT(I5559,""/""),,2),INDEX(SPLIT(I5559,""/""),,1))"),44926.0)</f>
        <v>44926</v>
      </c>
      <c r="L5559" s="1">
        <v>0.0</v>
      </c>
      <c r="M5559" s="1" t="s">
        <v>11254</v>
      </c>
      <c r="N5559" s="1"/>
      <c r="O5559" s="1" t="s">
        <v>30</v>
      </c>
      <c r="P5559" s="1" t="s">
        <v>31</v>
      </c>
      <c r="Q5559" s="1" t="s">
        <v>228</v>
      </c>
      <c r="R5559" s="1" t="s">
        <v>228</v>
      </c>
      <c r="S5559" s="1" t="s">
        <v>229</v>
      </c>
      <c r="T5559" s="1" t="s">
        <v>513</v>
      </c>
      <c r="U5559" s="1">
        <v>1.00602248E8</v>
      </c>
      <c r="X5559" s="1" t="s">
        <v>46</v>
      </c>
      <c r="Y5559" s="1" t="s">
        <v>13638</v>
      </c>
      <c r="Z5559" s="1" t="s">
        <v>37</v>
      </c>
    </row>
    <row r="5560" hidden="1">
      <c r="A5560" s="1" t="s">
        <v>15387</v>
      </c>
      <c r="B5560" s="1" t="s">
        <v>1506</v>
      </c>
      <c r="C5560" s="1" t="s">
        <v>15388</v>
      </c>
      <c r="D5560" s="1" t="s">
        <v>27</v>
      </c>
      <c r="E5560" s="1" t="s">
        <v>28</v>
      </c>
      <c r="F5560" s="2">
        <v>20000.0</v>
      </c>
      <c r="G5560" s="1" t="s">
        <v>15389</v>
      </c>
      <c r="H5560" s="4">
        <f>IFERROR(__xludf.DUMMYFUNCTION("DATE(INDEX(SPLIT(G5560,""/""),,3),INDEX(SPLIT(G5560,""/""),,2),INDEX(SPLIT(G5560,""/""),,1))"),43881.0)</f>
        <v>43881</v>
      </c>
      <c r="I5560" s="1" t="s">
        <v>203</v>
      </c>
      <c r="J5560" s="4">
        <f>IFERROR(__xludf.DUMMYFUNCTION("DATE(INDEX(SPLIT(I5560,""/""),,3),INDEX(SPLIT(I5560,""/""),,2),INDEX(SPLIT(I5560,""/""),,1))"),44925.0)</f>
        <v>44925</v>
      </c>
      <c r="L5560" s="1">
        <v>0.0</v>
      </c>
      <c r="M5560" s="1" t="s">
        <v>1685</v>
      </c>
      <c r="N5560" s="1"/>
      <c r="O5560" s="1" t="s">
        <v>30</v>
      </c>
      <c r="P5560" s="1" t="s">
        <v>31</v>
      </c>
      <c r="Q5560" s="1" t="s">
        <v>228</v>
      </c>
      <c r="R5560" s="1" t="s">
        <v>228</v>
      </c>
      <c r="S5560" s="1" t="s">
        <v>229</v>
      </c>
      <c r="T5560" s="1" t="s">
        <v>513</v>
      </c>
      <c r="U5560" s="1">
        <v>1.00612055E8</v>
      </c>
      <c r="X5560" s="1" t="s">
        <v>35</v>
      </c>
      <c r="Y5560" s="1" t="s">
        <v>5009</v>
      </c>
      <c r="Z5560" s="1" t="s">
        <v>37</v>
      </c>
    </row>
    <row r="5561" hidden="1">
      <c r="A5561" s="1" t="s">
        <v>15390</v>
      </c>
      <c r="B5561" s="1" t="s">
        <v>15391</v>
      </c>
      <c r="C5561" s="1" t="s">
        <v>15392</v>
      </c>
      <c r="D5561" s="1" t="s">
        <v>122</v>
      </c>
      <c r="E5561" s="1" t="s">
        <v>28</v>
      </c>
      <c r="F5561" s="2">
        <v>20000.0</v>
      </c>
      <c r="G5561" s="1" t="s">
        <v>1044</v>
      </c>
      <c r="H5561" s="4">
        <f>IFERROR(__xludf.DUMMYFUNCTION("DATE(INDEX(SPLIT(G5561,""/""),,3),INDEX(SPLIT(G5561,""/""),,2),INDEX(SPLIT(G5561,""/""),,1))"),44588.0)</f>
        <v>44588</v>
      </c>
      <c r="I5561" s="1" t="s">
        <v>130</v>
      </c>
      <c r="J5561" s="4">
        <f>IFERROR(__xludf.DUMMYFUNCTION("DATE(INDEX(SPLIT(I5561,""/""),,3),INDEX(SPLIT(I5561,""/""),,2),INDEX(SPLIT(I5561,""/""),,1))"),44804.0)</f>
        <v>44804</v>
      </c>
      <c r="L5561" s="1">
        <v>0.0</v>
      </c>
      <c r="M5561" s="1" t="s">
        <v>11254</v>
      </c>
      <c r="N5561" s="1"/>
      <c r="O5561" s="1" t="s">
        <v>30</v>
      </c>
      <c r="P5561" s="1" t="s">
        <v>31</v>
      </c>
      <c r="Q5561" s="1" t="s">
        <v>228</v>
      </c>
      <c r="R5561" s="1" t="s">
        <v>228</v>
      </c>
      <c r="S5561" s="1" t="s">
        <v>229</v>
      </c>
      <c r="T5561" s="1" t="s">
        <v>640</v>
      </c>
      <c r="U5561" s="1">
        <v>1.00602248E8</v>
      </c>
      <c r="X5561" s="1" t="s">
        <v>88</v>
      </c>
      <c r="Y5561" s="1" t="s">
        <v>11485</v>
      </c>
      <c r="Z5561" s="1" t="s">
        <v>37</v>
      </c>
    </row>
    <row r="5562" hidden="1">
      <c r="A5562" s="1" t="s">
        <v>15393</v>
      </c>
      <c r="B5562" s="1" t="s">
        <v>605</v>
      </c>
      <c r="C5562" s="1" t="s">
        <v>15394</v>
      </c>
      <c r="D5562" s="1" t="s">
        <v>122</v>
      </c>
      <c r="E5562" s="1" t="s">
        <v>28</v>
      </c>
      <c r="F5562" s="2">
        <v>20000.0</v>
      </c>
      <c r="G5562" s="1" t="s">
        <v>3849</v>
      </c>
      <c r="H5562" s="4">
        <f>IFERROR(__xludf.DUMMYFUNCTION("DATE(INDEX(SPLIT(G5562,""/""),,3),INDEX(SPLIT(G5562,""/""),,2),INDEX(SPLIT(G5562,""/""),,1))"),44551.0)</f>
        <v>44551</v>
      </c>
      <c r="I5562" s="1" t="s">
        <v>42</v>
      </c>
      <c r="J5562" s="4">
        <f>IFERROR(__xludf.DUMMYFUNCTION("DATE(INDEX(SPLIT(I5562,""/""),,3),INDEX(SPLIT(I5562,""/""),,2),INDEX(SPLIT(I5562,""/""),,1))"),44926.0)</f>
        <v>44926</v>
      </c>
      <c r="L5562" s="1">
        <v>0.0</v>
      </c>
      <c r="M5562" s="1" t="s">
        <v>9922</v>
      </c>
      <c r="N5562" s="1"/>
      <c r="O5562" s="1" t="s">
        <v>30</v>
      </c>
      <c r="P5562" s="1" t="s">
        <v>31</v>
      </c>
      <c r="Q5562" s="1" t="s">
        <v>228</v>
      </c>
      <c r="R5562" s="1" t="s">
        <v>228</v>
      </c>
      <c r="S5562" s="1" t="s">
        <v>229</v>
      </c>
      <c r="T5562" s="1" t="s">
        <v>513</v>
      </c>
      <c r="U5562" s="1">
        <v>1.00609628E8</v>
      </c>
      <c r="X5562" s="1" t="s">
        <v>63</v>
      </c>
      <c r="Y5562" s="1" t="s">
        <v>15395</v>
      </c>
      <c r="Z5562" s="1" t="s">
        <v>37</v>
      </c>
    </row>
    <row r="5563" hidden="1">
      <c r="A5563" s="1" t="s">
        <v>15396</v>
      </c>
      <c r="B5563" s="1" t="s">
        <v>15397</v>
      </c>
      <c r="C5563" s="1" t="s">
        <v>15398</v>
      </c>
      <c r="D5563" s="1" t="s">
        <v>78</v>
      </c>
      <c r="E5563" s="1" t="s">
        <v>28</v>
      </c>
      <c r="F5563" s="2">
        <v>20000.0</v>
      </c>
      <c r="G5563" s="4">
        <v>43932.0</v>
      </c>
      <c r="H5563" s="4">
        <f>IFERROR(__xludf.DUMMYFUNCTION("DATE(INDEX(SPLIT(G5563,""/""),,3),INDEX(SPLIT(G5563,""/""),,2),INDEX(SPLIT(G5563,""/""),,1))"),44139.0)</f>
        <v>44139</v>
      </c>
      <c r="I5563" s="1" t="s">
        <v>109</v>
      </c>
      <c r="J5563" s="4">
        <f>IFERROR(__xludf.DUMMYFUNCTION("DATE(INDEX(SPLIT(I5563,""/""),,3),INDEX(SPLIT(I5563,""/""),,2),INDEX(SPLIT(I5563,""/""),,1))"),44834.0)</f>
        <v>44834</v>
      </c>
      <c r="L5563" s="1">
        <v>0.0</v>
      </c>
      <c r="M5563" s="1" t="s">
        <v>11254</v>
      </c>
      <c r="N5563" s="1"/>
      <c r="O5563" s="1" t="s">
        <v>30</v>
      </c>
      <c r="P5563" s="1" t="s">
        <v>31</v>
      </c>
      <c r="Q5563" s="1" t="s">
        <v>228</v>
      </c>
      <c r="R5563" s="1" t="s">
        <v>228</v>
      </c>
      <c r="S5563" s="1" t="s">
        <v>229</v>
      </c>
      <c r="T5563" s="1" t="s">
        <v>513</v>
      </c>
      <c r="U5563" s="1">
        <v>1.00602248E8</v>
      </c>
      <c r="X5563" s="1" t="s">
        <v>254</v>
      </c>
      <c r="Y5563" s="1" t="s">
        <v>12637</v>
      </c>
      <c r="Z5563" s="1" t="s">
        <v>37</v>
      </c>
    </row>
    <row r="5564" hidden="1">
      <c r="A5564" s="1" t="s">
        <v>15399</v>
      </c>
      <c r="B5564" s="1" t="s">
        <v>14528</v>
      </c>
      <c r="C5564" s="1" t="s">
        <v>15400</v>
      </c>
      <c r="D5564" s="1" t="s">
        <v>27</v>
      </c>
      <c r="E5564" s="1" t="s">
        <v>28</v>
      </c>
      <c r="F5564" s="2">
        <v>20000.0</v>
      </c>
      <c r="G5564" s="1" t="s">
        <v>185</v>
      </c>
      <c r="H5564" s="4">
        <f>IFERROR(__xludf.DUMMYFUNCTION("DATE(INDEX(SPLIT(G5564,""/""),,3),INDEX(SPLIT(G5564,""/""),,2),INDEX(SPLIT(G5564,""/""),,1))"),44741.0)</f>
        <v>44741</v>
      </c>
      <c r="I5564" s="1" t="s">
        <v>1097</v>
      </c>
      <c r="J5564" s="4">
        <f>IFERROR(__xludf.DUMMYFUNCTION("DATE(INDEX(SPLIT(I5564,""/""),,3),INDEX(SPLIT(I5564,""/""),,2),INDEX(SPLIT(I5564,""/""),,1))"),45107.0)</f>
        <v>45107</v>
      </c>
      <c r="L5564" s="1">
        <v>0.0</v>
      </c>
      <c r="M5564" s="1" t="s">
        <v>11254</v>
      </c>
      <c r="N5564" s="1"/>
      <c r="O5564" s="1" t="s">
        <v>30</v>
      </c>
      <c r="P5564" s="1" t="s">
        <v>31</v>
      </c>
      <c r="Q5564" s="1" t="s">
        <v>228</v>
      </c>
      <c r="R5564" s="1" t="s">
        <v>228</v>
      </c>
      <c r="S5564" s="1" t="s">
        <v>229</v>
      </c>
      <c r="T5564" s="1" t="s">
        <v>513</v>
      </c>
      <c r="U5564" s="1">
        <v>1.00602248E8</v>
      </c>
      <c r="X5564" s="1" t="s">
        <v>63</v>
      </c>
      <c r="Y5564" s="1" t="s">
        <v>13944</v>
      </c>
      <c r="Z5564" s="1" t="s">
        <v>37</v>
      </c>
    </row>
    <row r="5565" hidden="1">
      <c r="A5565" s="1" t="s">
        <v>15401</v>
      </c>
      <c r="B5565" s="1" t="s">
        <v>15402</v>
      </c>
      <c r="C5565" s="1" t="s">
        <v>15403</v>
      </c>
      <c r="D5565" s="1" t="s">
        <v>27</v>
      </c>
      <c r="E5565" s="1" t="s">
        <v>28</v>
      </c>
      <c r="F5565" s="2">
        <v>20000.0</v>
      </c>
      <c r="G5565" s="1" t="s">
        <v>5510</v>
      </c>
      <c r="H5565" s="4">
        <f>IFERROR(__xludf.DUMMYFUNCTION("DATE(INDEX(SPLIT(G5565,""/""),,3),INDEX(SPLIT(G5565,""/""),,2),INDEX(SPLIT(G5565,""/""),,1))"),44364.0)</f>
        <v>44364</v>
      </c>
      <c r="I5565" s="1" t="s">
        <v>109</v>
      </c>
      <c r="J5565" s="4">
        <f>IFERROR(__xludf.DUMMYFUNCTION("DATE(INDEX(SPLIT(I5565,""/""),,3),INDEX(SPLIT(I5565,""/""),,2),INDEX(SPLIT(I5565,""/""),,1))"),44834.0)</f>
        <v>44834</v>
      </c>
      <c r="L5565" s="1">
        <v>0.0</v>
      </c>
      <c r="M5565" s="1" t="s">
        <v>11254</v>
      </c>
      <c r="N5565" s="1"/>
      <c r="O5565" s="1" t="s">
        <v>30</v>
      </c>
      <c r="P5565" s="1" t="s">
        <v>31</v>
      </c>
      <c r="Q5565" s="1" t="s">
        <v>228</v>
      </c>
      <c r="R5565" s="1" t="s">
        <v>228</v>
      </c>
      <c r="S5565" s="1" t="s">
        <v>229</v>
      </c>
      <c r="T5565" s="1" t="s">
        <v>513</v>
      </c>
      <c r="U5565" s="1">
        <v>1.00602248E8</v>
      </c>
      <c r="X5565" s="1" t="s">
        <v>63</v>
      </c>
      <c r="Y5565" s="1" t="s">
        <v>12637</v>
      </c>
      <c r="Z5565" s="1" t="s">
        <v>37</v>
      </c>
    </row>
    <row r="5566">
      <c r="A5566" s="1" t="s">
        <v>15404</v>
      </c>
      <c r="B5566" s="1" t="s">
        <v>690</v>
      </c>
      <c r="C5566" s="1" t="s">
        <v>15405</v>
      </c>
      <c r="D5566" s="1" t="s">
        <v>78</v>
      </c>
      <c r="E5566" s="1" t="s">
        <v>28</v>
      </c>
      <c r="F5566" s="2">
        <v>20000.0</v>
      </c>
      <c r="G5566" s="1" t="s">
        <v>359</v>
      </c>
      <c r="H5566" s="4">
        <f>IFERROR(__xludf.DUMMYFUNCTION("DATE(INDEX(SPLIT(G5566,""/""),,3),INDEX(SPLIT(G5566,""/""),,2),INDEX(SPLIT(G5566,""/""),,1))"),44740.0)</f>
        <v>44740</v>
      </c>
      <c r="I5566" s="1" t="s">
        <v>226</v>
      </c>
      <c r="J5566" s="4">
        <f>IFERROR(__xludf.DUMMYFUNCTION("DATE(INDEX(SPLIT(I5566,""/""),,3),INDEX(SPLIT(I5566,""/""),,2),INDEX(SPLIT(I5566,""/""),,1))"),44771.0)</f>
        <v>44771</v>
      </c>
      <c r="L5566" s="1">
        <v>0.0</v>
      </c>
      <c r="M5566" s="1" t="s">
        <v>3860</v>
      </c>
      <c r="N5566" s="1"/>
      <c r="O5566" s="1" t="s">
        <v>30</v>
      </c>
      <c r="P5566" s="1" t="s">
        <v>31</v>
      </c>
      <c r="Q5566" s="1" t="s">
        <v>235</v>
      </c>
      <c r="R5566" s="1" t="s">
        <v>235</v>
      </c>
      <c r="S5566" s="1" t="s">
        <v>236</v>
      </c>
      <c r="T5566" s="1" t="s">
        <v>753</v>
      </c>
      <c r="U5566" s="1">
        <v>1.00636461E8</v>
      </c>
      <c r="X5566" s="1" t="s">
        <v>88</v>
      </c>
      <c r="Y5566" s="1" t="s">
        <v>15406</v>
      </c>
      <c r="Z5566" s="1" t="s">
        <v>37</v>
      </c>
    </row>
    <row r="5567" hidden="1">
      <c r="A5567" s="1" t="s">
        <v>15407</v>
      </c>
      <c r="B5567" s="1" t="s">
        <v>13197</v>
      </c>
      <c r="C5567" s="1" t="s">
        <v>15408</v>
      </c>
      <c r="D5567" s="1" t="s">
        <v>27</v>
      </c>
      <c r="E5567" s="1" t="s">
        <v>28</v>
      </c>
      <c r="F5567" s="2">
        <v>20000.0</v>
      </c>
      <c r="G5567" s="1" t="s">
        <v>2110</v>
      </c>
      <c r="H5567" s="4">
        <f>IFERROR(__xludf.DUMMYFUNCTION("DATE(INDEX(SPLIT(G5567,""/""),,3),INDEX(SPLIT(G5567,""/""),,2),INDEX(SPLIT(G5567,""/""),,1))"),44650.0)</f>
        <v>44650</v>
      </c>
      <c r="I5567" s="1" t="s">
        <v>42</v>
      </c>
      <c r="J5567" s="4">
        <f>IFERROR(__xludf.DUMMYFUNCTION("DATE(INDEX(SPLIT(I5567,""/""),,3),INDEX(SPLIT(I5567,""/""),,2),INDEX(SPLIT(I5567,""/""),,1))"),44926.0)</f>
        <v>44926</v>
      </c>
      <c r="L5567" s="1">
        <v>0.0</v>
      </c>
      <c r="M5567" s="1" t="s">
        <v>11254</v>
      </c>
      <c r="N5567" s="1"/>
      <c r="O5567" s="1" t="s">
        <v>30</v>
      </c>
      <c r="P5567" s="1" t="s">
        <v>31</v>
      </c>
      <c r="Q5567" s="1" t="s">
        <v>228</v>
      </c>
      <c r="R5567" s="1" t="s">
        <v>228</v>
      </c>
      <c r="S5567" s="1" t="s">
        <v>229</v>
      </c>
      <c r="T5567" s="1" t="s">
        <v>14924</v>
      </c>
      <c r="U5567" s="1">
        <v>1.00602248E8</v>
      </c>
      <c r="X5567" s="1" t="s">
        <v>125</v>
      </c>
      <c r="Y5567" s="1" t="s">
        <v>12640</v>
      </c>
      <c r="Z5567" s="1" t="s">
        <v>37</v>
      </c>
    </row>
    <row r="5568" hidden="1">
      <c r="A5568" s="1" t="s">
        <v>15409</v>
      </c>
      <c r="B5568" s="1" t="s">
        <v>15410</v>
      </c>
      <c r="C5568" s="1" t="s">
        <v>15411</v>
      </c>
      <c r="D5568" s="1" t="s">
        <v>68</v>
      </c>
      <c r="E5568" s="1" t="s">
        <v>28</v>
      </c>
      <c r="F5568" s="2">
        <v>20000.0</v>
      </c>
      <c r="G5568" s="1" t="s">
        <v>1447</v>
      </c>
      <c r="H5568" s="4">
        <f>IFERROR(__xludf.DUMMYFUNCTION("DATE(INDEX(SPLIT(G5568,""/""),,3),INDEX(SPLIT(G5568,""/""),,2),INDEX(SPLIT(G5568,""/""),,1))"),44424.0)</f>
        <v>44424</v>
      </c>
      <c r="I5568" s="1" t="s">
        <v>447</v>
      </c>
      <c r="J5568" s="4">
        <f>IFERROR(__xludf.DUMMYFUNCTION("DATE(INDEX(SPLIT(I5568,""/""),,3),INDEX(SPLIT(I5568,""/""),,2),INDEX(SPLIT(I5568,""/""),,1))"),44910.0)</f>
        <v>44910</v>
      </c>
      <c r="L5568" s="1">
        <v>0.0</v>
      </c>
      <c r="M5568" s="1" t="s">
        <v>11254</v>
      </c>
      <c r="N5568" s="1"/>
      <c r="O5568" s="1" t="s">
        <v>30</v>
      </c>
      <c r="P5568" s="1" t="s">
        <v>31</v>
      </c>
      <c r="Q5568" s="1" t="s">
        <v>228</v>
      </c>
      <c r="R5568" s="1" t="s">
        <v>228</v>
      </c>
      <c r="S5568" s="1" t="s">
        <v>229</v>
      </c>
      <c r="T5568" s="1" t="s">
        <v>513</v>
      </c>
      <c r="U5568" s="1">
        <v>1.00602248E8</v>
      </c>
      <c r="X5568" s="1" t="s">
        <v>490</v>
      </c>
      <c r="Y5568" s="1" t="s">
        <v>12637</v>
      </c>
      <c r="Z5568" s="1" t="s">
        <v>37</v>
      </c>
    </row>
    <row r="5569" hidden="1">
      <c r="A5569" s="1" t="s">
        <v>15412</v>
      </c>
      <c r="B5569" s="1" t="s">
        <v>15413</v>
      </c>
      <c r="C5569" s="1" t="s">
        <v>15414</v>
      </c>
      <c r="D5569" s="1" t="s">
        <v>78</v>
      </c>
      <c r="E5569" s="1" t="s">
        <v>28</v>
      </c>
      <c r="F5569" s="2">
        <v>20000.0</v>
      </c>
      <c r="G5569" s="4">
        <v>44477.0</v>
      </c>
      <c r="H5569" s="4">
        <f>IFERROR(__xludf.DUMMYFUNCTION("DATE(INDEX(SPLIT(G5569,""/""),,3),INDEX(SPLIT(G5569,""/""),,2),INDEX(SPLIT(G5569,""/""),,1))"),44418.0)</f>
        <v>44418</v>
      </c>
      <c r="I5569" s="1" t="s">
        <v>109</v>
      </c>
      <c r="J5569" s="4">
        <f>IFERROR(__xludf.DUMMYFUNCTION("DATE(INDEX(SPLIT(I5569,""/""),,3),INDEX(SPLIT(I5569,""/""),,2),INDEX(SPLIT(I5569,""/""),,1))"),44834.0)</f>
        <v>44834</v>
      </c>
      <c r="L5569" s="1">
        <v>0.0</v>
      </c>
      <c r="M5569" s="1" t="s">
        <v>11254</v>
      </c>
      <c r="N5569" s="1"/>
      <c r="O5569" s="1" t="s">
        <v>30</v>
      </c>
      <c r="P5569" s="1" t="s">
        <v>31</v>
      </c>
      <c r="Q5569" s="1" t="s">
        <v>228</v>
      </c>
      <c r="R5569" s="1" t="s">
        <v>228</v>
      </c>
      <c r="S5569" s="1" t="s">
        <v>229</v>
      </c>
      <c r="T5569" s="1" t="s">
        <v>513</v>
      </c>
      <c r="U5569" s="1">
        <v>1.00602248E8</v>
      </c>
      <c r="Y5569" s="1" t="s">
        <v>12637</v>
      </c>
      <c r="Z5569" s="1" t="s">
        <v>37</v>
      </c>
    </row>
    <row r="5570" hidden="1">
      <c r="A5570" s="1" t="s">
        <v>15415</v>
      </c>
      <c r="B5570" s="1" t="s">
        <v>1797</v>
      </c>
      <c r="C5570" s="1" t="s">
        <v>15416</v>
      </c>
      <c r="D5570" s="1" t="s">
        <v>78</v>
      </c>
      <c r="E5570" s="1" t="s">
        <v>28</v>
      </c>
      <c r="F5570" s="2">
        <v>20000.0</v>
      </c>
      <c r="G5570" s="1" t="s">
        <v>1475</v>
      </c>
      <c r="H5570" s="4">
        <f>IFERROR(__xludf.DUMMYFUNCTION("DATE(INDEX(SPLIT(G5570,""/""),,3),INDEX(SPLIT(G5570,""/""),,2),INDEX(SPLIT(G5570,""/""),,1))"),44425.0)</f>
        <v>44425</v>
      </c>
      <c r="I5570" s="1" t="s">
        <v>109</v>
      </c>
      <c r="J5570" s="4">
        <f>IFERROR(__xludf.DUMMYFUNCTION("DATE(INDEX(SPLIT(I5570,""/""),,3),INDEX(SPLIT(I5570,""/""),,2),INDEX(SPLIT(I5570,""/""),,1))"),44834.0)</f>
        <v>44834</v>
      </c>
      <c r="L5570" s="1">
        <v>0.0</v>
      </c>
      <c r="M5570" s="1" t="s">
        <v>11254</v>
      </c>
      <c r="N5570" s="1"/>
      <c r="O5570" s="1" t="s">
        <v>30</v>
      </c>
      <c r="P5570" s="1" t="s">
        <v>31</v>
      </c>
      <c r="Q5570" s="1" t="s">
        <v>228</v>
      </c>
      <c r="R5570" s="1" t="s">
        <v>228</v>
      </c>
      <c r="S5570" s="1" t="s">
        <v>229</v>
      </c>
      <c r="T5570" s="1" t="s">
        <v>513</v>
      </c>
      <c r="U5570" s="1">
        <v>1.00602248E8</v>
      </c>
      <c r="X5570" s="1" t="s">
        <v>490</v>
      </c>
      <c r="Y5570" s="1" t="s">
        <v>12637</v>
      </c>
      <c r="Z5570" s="1" t="s">
        <v>37</v>
      </c>
    </row>
    <row r="5571" hidden="1">
      <c r="A5571" s="1" t="s">
        <v>15417</v>
      </c>
      <c r="B5571" s="1" t="s">
        <v>15418</v>
      </c>
      <c r="C5571" s="1" t="s">
        <v>15419</v>
      </c>
      <c r="D5571" s="1" t="s">
        <v>78</v>
      </c>
      <c r="E5571" s="1" t="s">
        <v>28</v>
      </c>
      <c r="F5571" s="2">
        <v>20000.0</v>
      </c>
      <c r="G5571" s="1" t="s">
        <v>298</v>
      </c>
      <c r="H5571" s="4">
        <f>IFERROR(__xludf.DUMMYFUNCTION("DATE(INDEX(SPLIT(G5571,""/""),,3),INDEX(SPLIT(G5571,""/""),,2),INDEX(SPLIT(G5571,""/""),,1))"),44762.0)</f>
        <v>44762</v>
      </c>
      <c r="I5571" s="1" t="s">
        <v>130</v>
      </c>
      <c r="J5571" s="4">
        <f>IFERROR(__xludf.DUMMYFUNCTION("DATE(INDEX(SPLIT(I5571,""/""),,3),INDEX(SPLIT(I5571,""/""),,2),INDEX(SPLIT(I5571,""/""),,1))"),44804.0)</f>
        <v>44804</v>
      </c>
      <c r="L5571" s="1">
        <v>0.0</v>
      </c>
      <c r="M5571" s="1" t="s">
        <v>2207</v>
      </c>
      <c r="N5571" s="1"/>
      <c r="O5571" s="1" t="s">
        <v>30</v>
      </c>
      <c r="P5571" s="1" t="s">
        <v>31</v>
      </c>
      <c r="Q5571" s="1" t="s">
        <v>228</v>
      </c>
      <c r="R5571" s="1" t="s">
        <v>228</v>
      </c>
      <c r="S5571" s="1" t="s">
        <v>229</v>
      </c>
      <c r="T5571" s="1" t="s">
        <v>513</v>
      </c>
      <c r="U5571" s="1">
        <v>1.00596618E8</v>
      </c>
      <c r="X5571" s="1" t="s">
        <v>88</v>
      </c>
      <c r="Y5571" s="1" t="s">
        <v>15420</v>
      </c>
      <c r="Z5571" s="1" t="s">
        <v>37</v>
      </c>
    </row>
    <row r="5572" hidden="1">
      <c r="A5572" s="1" t="s">
        <v>15421</v>
      </c>
      <c r="B5572" s="1" t="s">
        <v>15422</v>
      </c>
      <c r="C5572" s="1" t="s">
        <v>15419</v>
      </c>
      <c r="D5572" s="1" t="s">
        <v>78</v>
      </c>
      <c r="E5572" s="1" t="s">
        <v>28</v>
      </c>
      <c r="F5572" s="2">
        <v>20000.0</v>
      </c>
      <c r="G5572" s="1" t="s">
        <v>298</v>
      </c>
      <c r="H5572" s="4">
        <f>IFERROR(__xludf.DUMMYFUNCTION("DATE(INDEX(SPLIT(G5572,""/""),,3),INDEX(SPLIT(G5572,""/""),,2),INDEX(SPLIT(G5572,""/""),,1))"),44762.0)</f>
        <v>44762</v>
      </c>
      <c r="I5572" s="1" t="s">
        <v>281</v>
      </c>
      <c r="J5572" s="4">
        <f>IFERROR(__xludf.DUMMYFUNCTION("DATE(INDEX(SPLIT(I5572,""/""),,3),INDEX(SPLIT(I5572,""/""),,2),INDEX(SPLIT(I5572,""/""),,1))"),44865.0)</f>
        <v>44865</v>
      </c>
      <c r="L5572" s="1">
        <v>0.0</v>
      </c>
      <c r="M5572" s="1" t="s">
        <v>2207</v>
      </c>
      <c r="N5572" s="1"/>
      <c r="O5572" s="1" t="s">
        <v>30</v>
      </c>
      <c r="P5572" s="1" t="s">
        <v>31</v>
      </c>
      <c r="Q5572" s="1" t="s">
        <v>228</v>
      </c>
      <c r="R5572" s="1" t="s">
        <v>228</v>
      </c>
      <c r="S5572" s="1" t="s">
        <v>229</v>
      </c>
      <c r="T5572" s="1" t="s">
        <v>513</v>
      </c>
      <c r="U5572" s="1">
        <v>1.00596618E8</v>
      </c>
      <c r="X5572" s="1" t="s">
        <v>375</v>
      </c>
      <c r="Y5572" s="1" t="s">
        <v>15420</v>
      </c>
      <c r="Z5572" s="1" t="s">
        <v>37</v>
      </c>
    </row>
    <row r="5573">
      <c r="A5573" s="1" t="s">
        <v>15423</v>
      </c>
      <c r="B5573" s="1" t="s">
        <v>15424</v>
      </c>
      <c r="C5573" s="1" t="s">
        <v>15425</v>
      </c>
      <c r="D5573" s="1" t="s">
        <v>122</v>
      </c>
      <c r="E5573" s="1" t="s">
        <v>28</v>
      </c>
      <c r="F5573" s="2">
        <v>20000.0</v>
      </c>
      <c r="G5573" s="4">
        <v>44598.0</v>
      </c>
      <c r="H5573" s="4">
        <f>IFERROR(__xludf.DUMMYFUNCTION("DATE(INDEX(SPLIT(G5573,""/""),,3),INDEX(SPLIT(G5573,""/""),,2),INDEX(SPLIT(G5573,""/""),,1))"),44714.0)</f>
        <v>44714</v>
      </c>
      <c r="I5573" s="1" t="s">
        <v>1442</v>
      </c>
      <c r="J5573" s="4">
        <f>IFERROR(__xludf.DUMMYFUNCTION("DATE(INDEX(SPLIT(I5573,""/""),,3),INDEX(SPLIT(I5573,""/""),,2),INDEX(SPLIT(I5573,""/""),,1))"),44727.0)</f>
        <v>44727</v>
      </c>
      <c r="L5573" s="1">
        <v>0.0</v>
      </c>
      <c r="M5573" s="1" t="s">
        <v>12468</v>
      </c>
      <c r="N5573" s="1"/>
      <c r="O5573" s="1" t="s">
        <v>30</v>
      </c>
      <c r="P5573" s="1" t="s">
        <v>31</v>
      </c>
      <c r="Q5573" s="1" t="s">
        <v>228</v>
      </c>
      <c r="R5573" s="1" t="s">
        <v>228</v>
      </c>
      <c r="S5573" s="1" t="s">
        <v>229</v>
      </c>
      <c r="T5573" s="1" t="s">
        <v>513</v>
      </c>
      <c r="U5573" s="1">
        <v>1.00626837E8</v>
      </c>
      <c r="X5573" s="1" t="s">
        <v>254</v>
      </c>
      <c r="Y5573" s="1" t="s">
        <v>12468</v>
      </c>
      <c r="Z5573" s="1" t="s">
        <v>206</v>
      </c>
    </row>
    <row r="5574">
      <c r="A5574" s="1" t="s">
        <v>15426</v>
      </c>
      <c r="B5574" s="1" t="s">
        <v>15427</v>
      </c>
      <c r="C5574" s="1" t="s">
        <v>15428</v>
      </c>
      <c r="D5574" s="1" t="s">
        <v>78</v>
      </c>
      <c r="E5574" s="1" t="s">
        <v>28</v>
      </c>
      <c r="F5574" s="2">
        <v>20000.0</v>
      </c>
      <c r="G5574" s="4">
        <v>44564.0</v>
      </c>
      <c r="H5574" s="4">
        <f>IFERROR(__xludf.DUMMYFUNCTION("DATE(INDEX(SPLIT(G5574,""/""),,3),INDEX(SPLIT(G5574,""/""),,2),INDEX(SPLIT(G5574,""/""),,1))"),44621.0)</f>
        <v>44621</v>
      </c>
      <c r="I5574" s="1" t="s">
        <v>1244</v>
      </c>
      <c r="J5574" s="4">
        <f>IFERROR(__xludf.DUMMYFUNCTION("DATE(INDEX(SPLIT(I5574,""/""),,3),INDEX(SPLIT(I5574,""/""),,2),INDEX(SPLIT(I5574,""/""),,1))"),44742.0)</f>
        <v>44742</v>
      </c>
      <c r="L5574" s="1">
        <v>0.0</v>
      </c>
      <c r="M5574" s="1" t="s">
        <v>10697</v>
      </c>
      <c r="N5574" s="1"/>
      <c r="O5574" s="1" t="s">
        <v>30</v>
      </c>
      <c r="P5574" s="1" t="s">
        <v>31</v>
      </c>
      <c r="Q5574" s="1" t="s">
        <v>228</v>
      </c>
      <c r="R5574" s="1" t="s">
        <v>228</v>
      </c>
      <c r="S5574" s="1" t="s">
        <v>229</v>
      </c>
      <c r="T5574" s="1" t="s">
        <v>513</v>
      </c>
      <c r="U5574" s="1">
        <v>1.00612201E8</v>
      </c>
      <c r="X5574" s="1" t="s">
        <v>98</v>
      </c>
      <c r="Y5574" s="1" t="s">
        <v>15429</v>
      </c>
      <c r="Z5574" s="1" t="s">
        <v>37</v>
      </c>
    </row>
    <row r="5575">
      <c r="A5575" s="1" t="s">
        <v>15430</v>
      </c>
      <c r="B5575" s="1" t="s">
        <v>15431</v>
      </c>
      <c r="C5575" s="1" t="s">
        <v>14121</v>
      </c>
      <c r="D5575" s="1" t="s">
        <v>122</v>
      </c>
      <c r="E5575" s="1" t="s">
        <v>28</v>
      </c>
      <c r="F5575" s="2">
        <v>20000.0</v>
      </c>
      <c r="G5575" s="4">
        <v>44870.0</v>
      </c>
      <c r="H5575" s="4">
        <f>IFERROR(__xludf.DUMMYFUNCTION("DATE(INDEX(SPLIT(G5575,""/""),,3),INDEX(SPLIT(G5575,""/""),,2),INDEX(SPLIT(G5575,""/""),,1))"),44692.0)</f>
        <v>44692</v>
      </c>
      <c r="I5575" s="1" t="s">
        <v>2300</v>
      </c>
      <c r="J5575" s="4">
        <f>IFERROR(__xludf.DUMMYFUNCTION("DATE(INDEX(SPLIT(I5575,""/""),,3),INDEX(SPLIT(I5575,""/""),,2),INDEX(SPLIT(I5575,""/""),,1))"),44712.0)</f>
        <v>44712</v>
      </c>
      <c r="L5575" s="1">
        <v>0.0</v>
      </c>
      <c r="M5575" s="1" t="s">
        <v>9922</v>
      </c>
      <c r="N5575" s="1"/>
      <c r="O5575" s="1" t="s">
        <v>30</v>
      </c>
      <c r="P5575" s="1" t="s">
        <v>31</v>
      </c>
      <c r="Q5575" s="1" t="s">
        <v>228</v>
      </c>
      <c r="R5575" s="1" t="s">
        <v>228</v>
      </c>
      <c r="S5575" s="1" t="s">
        <v>229</v>
      </c>
      <c r="T5575" s="1" t="s">
        <v>513</v>
      </c>
      <c r="U5575" s="1">
        <v>1.00609628E8</v>
      </c>
      <c r="X5575" s="1" t="s">
        <v>88</v>
      </c>
      <c r="Y5575" s="1" t="s">
        <v>15432</v>
      </c>
      <c r="Z5575" s="1" t="s">
        <v>37</v>
      </c>
    </row>
    <row r="5576" hidden="1">
      <c r="A5576" s="1" t="s">
        <v>15433</v>
      </c>
      <c r="B5576" s="1" t="s">
        <v>1854</v>
      </c>
      <c r="C5576" s="1" t="s">
        <v>15434</v>
      </c>
      <c r="D5576" s="1" t="s">
        <v>122</v>
      </c>
      <c r="E5576" s="1" t="s">
        <v>28</v>
      </c>
      <c r="F5576" s="2">
        <v>20000.0</v>
      </c>
      <c r="G5576" s="1" t="s">
        <v>1767</v>
      </c>
      <c r="H5576" s="4">
        <f>IFERROR(__xludf.DUMMYFUNCTION("DATE(INDEX(SPLIT(G5576,""/""),,3),INDEX(SPLIT(G5576,""/""),,2),INDEX(SPLIT(G5576,""/""),,1))"),44698.0)</f>
        <v>44698</v>
      </c>
      <c r="I5576" s="1" t="s">
        <v>42</v>
      </c>
      <c r="J5576" s="4">
        <f>IFERROR(__xludf.DUMMYFUNCTION("DATE(INDEX(SPLIT(I5576,""/""),,3),INDEX(SPLIT(I5576,""/""),,2),INDEX(SPLIT(I5576,""/""),,1))"),44926.0)</f>
        <v>44926</v>
      </c>
      <c r="L5576" s="1">
        <v>0.0</v>
      </c>
      <c r="M5576" s="1" t="s">
        <v>1573</v>
      </c>
      <c r="N5576" s="1"/>
      <c r="O5576" s="1" t="s">
        <v>30</v>
      </c>
      <c r="P5576" s="1" t="s">
        <v>31</v>
      </c>
      <c r="Q5576" s="1" t="s">
        <v>95</v>
      </c>
      <c r="R5576" s="1" t="s">
        <v>95</v>
      </c>
      <c r="S5576" s="1" t="s">
        <v>96</v>
      </c>
      <c r="U5576" s="1">
        <v>1.00595231E8</v>
      </c>
      <c r="V5576" s="1" t="s">
        <v>15434</v>
      </c>
      <c r="W5576" s="1" t="s">
        <v>9884</v>
      </c>
      <c r="X5576" s="1" t="s">
        <v>63</v>
      </c>
      <c r="Y5576" s="1" t="s">
        <v>2068</v>
      </c>
      <c r="Z5576" s="1" t="s">
        <v>37</v>
      </c>
    </row>
    <row r="5577" hidden="1">
      <c r="A5577" s="1" t="s">
        <v>15435</v>
      </c>
      <c r="B5577" s="1" t="s">
        <v>10138</v>
      </c>
      <c r="C5577" s="1" t="s">
        <v>15436</v>
      </c>
      <c r="D5577" s="1" t="s">
        <v>122</v>
      </c>
      <c r="E5577" s="1" t="s">
        <v>28</v>
      </c>
      <c r="F5577" s="2">
        <v>20000.0</v>
      </c>
      <c r="G5577" s="4">
        <v>44205.0</v>
      </c>
      <c r="H5577" s="4">
        <f>IFERROR(__xludf.DUMMYFUNCTION("DATE(INDEX(SPLIT(G5577,""/""),,3),INDEX(SPLIT(G5577,""/""),,2),INDEX(SPLIT(G5577,""/""),,1))"),44440.0)</f>
        <v>44440</v>
      </c>
      <c r="I5577" s="1" t="s">
        <v>109</v>
      </c>
      <c r="J5577" s="4">
        <f>IFERROR(__xludf.DUMMYFUNCTION("DATE(INDEX(SPLIT(I5577,""/""),,3),INDEX(SPLIT(I5577,""/""),,2),INDEX(SPLIT(I5577,""/""),,1))"),44834.0)</f>
        <v>44834</v>
      </c>
      <c r="L5577" s="1">
        <v>0.0</v>
      </c>
      <c r="M5577" s="1" t="s">
        <v>11254</v>
      </c>
      <c r="N5577" s="1"/>
      <c r="O5577" s="1" t="s">
        <v>30</v>
      </c>
      <c r="P5577" s="1" t="s">
        <v>31</v>
      </c>
      <c r="Q5577" s="1" t="s">
        <v>228</v>
      </c>
      <c r="R5577" s="1" t="s">
        <v>228</v>
      </c>
      <c r="S5577" s="1" t="s">
        <v>229</v>
      </c>
      <c r="T5577" s="1" t="s">
        <v>513</v>
      </c>
      <c r="U5577" s="1">
        <v>1.00602248E8</v>
      </c>
      <c r="X5577" s="1" t="s">
        <v>239</v>
      </c>
      <c r="Y5577" s="1" t="s">
        <v>12637</v>
      </c>
      <c r="Z5577" s="1" t="s">
        <v>37</v>
      </c>
    </row>
    <row r="5578" hidden="1">
      <c r="A5578" s="1" t="s">
        <v>15437</v>
      </c>
      <c r="B5578" s="1" t="s">
        <v>83</v>
      </c>
      <c r="C5578" s="1" t="s">
        <v>15438</v>
      </c>
      <c r="D5578" s="1" t="s">
        <v>78</v>
      </c>
      <c r="E5578" s="1" t="s">
        <v>28</v>
      </c>
      <c r="F5578" s="2">
        <v>20000.0</v>
      </c>
      <c r="G5578" s="1" t="s">
        <v>6460</v>
      </c>
      <c r="H5578" s="4">
        <f>IFERROR(__xludf.DUMMYFUNCTION("DATE(INDEX(SPLIT(G5578,""/""),,3),INDEX(SPLIT(G5578,""/""),,2),INDEX(SPLIT(G5578,""/""),,1))"),44433.0)</f>
        <v>44433</v>
      </c>
      <c r="I5578" s="1" t="s">
        <v>109</v>
      </c>
      <c r="J5578" s="4">
        <f>IFERROR(__xludf.DUMMYFUNCTION("DATE(INDEX(SPLIT(I5578,""/""),,3),INDEX(SPLIT(I5578,""/""),,2),INDEX(SPLIT(I5578,""/""),,1))"),44834.0)</f>
        <v>44834</v>
      </c>
      <c r="L5578" s="1">
        <v>0.0</v>
      </c>
      <c r="M5578" s="1" t="s">
        <v>11254</v>
      </c>
      <c r="N5578" s="1"/>
      <c r="O5578" s="1" t="s">
        <v>30</v>
      </c>
      <c r="P5578" s="1" t="s">
        <v>31</v>
      </c>
      <c r="Q5578" s="1" t="s">
        <v>228</v>
      </c>
      <c r="R5578" s="1" t="s">
        <v>228</v>
      </c>
      <c r="S5578" s="1" t="s">
        <v>229</v>
      </c>
      <c r="T5578" s="1" t="s">
        <v>513</v>
      </c>
      <c r="U5578" s="1">
        <v>1.00602248E8</v>
      </c>
      <c r="X5578" s="1" t="s">
        <v>88</v>
      </c>
      <c r="Y5578" s="1" t="s">
        <v>13638</v>
      </c>
      <c r="Z5578" s="1" t="s">
        <v>37</v>
      </c>
    </row>
    <row r="5579">
      <c r="A5579" s="1" t="s">
        <v>15439</v>
      </c>
      <c r="B5579" s="1" t="s">
        <v>13792</v>
      </c>
      <c r="C5579" s="1" t="s">
        <v>15440</v>
      </c>
      <c r="D5579" s="1" t="s">
        <v>78</v>
      </c>
      <c r="E5579" s="1" t="s">
        <v>28</v>
      </c>
      <c r="F5579" s="2">
        <v>20000.0</v>
      </c>
      <c r="G5579" s="1" t="s">
        <v>1438</v>
      </c>
      <c r="H5579" s="4">
        <f>IFERROR(__xludf.DUMMYFUNCTION("DATE(INDEX(SPLIT(G5579,""/""),,3),INDEX(SPLIT(G5579,""/""),,2),INDEX(SPLIT(G5579,""/""),,1))"),44708.0)</f>
        <v>44708</v>
      </c>
      <c r="I5579" s="1" t="s">
        <v>69</v>
      </c>
      <c r="J5579" s="4">
        <f>IFERROR(__xludf.DUMMYFUNCTION("DATE(INDEX(SPLIT(I5579,""/""),,3),INDEX(SPLIT(I5579,""/""),,2),INDEX(SPLIT(I5579,""/""),,1))"),44773.0)</f>
        <v>44773</v>
      </c>
      <c r="L5579" s="1">
        <v>0.0</v>
      </c>
      <c r="M5579" s="1" t="s">
        <v>9478</v>
      </c>
      <c r="N5579" s="1"/>
      <c r="O5579" s="1" t="s">
        <v>30</v>
      </c>
      <c r="P5579" s="1" t="s">
        <v>31</v>
      </c>
      <c r="Q5579" s="1" t="s">
        <v>228</v>
      </c>
      <c r="R5579" s="1" t="s">
        <v>228</v>
      </c>
      <c r="S5579" s="1" t="s">
        <v>229</v>
      </c>
      <c r="T5579" s="1" t="s">
        <v>513</v>
      </c>
      <c r="U5579" s="1">
        <v>1.00589357E8</v>
      </c>
      <c r="X5579" s="1" t="s">
        <v>98</v>
      </c>
      <c r="Y5579" s="1" t="s">
        <v>9478</v>
      </c>
      <c r="Z5579" s="1" t="s">
        <v>37</v>
      </c>
    </row>
    <row r="5580" hidden="1">
      <c r="A5580" s="1" t="s">
        <v>15441</v>
      </c>
      <c r="B5580" s="1" t="s">
        <v>7161</v>
      </c>
      <c r="C5580" s="1" t="s">
        <v>15442</v>
      </c>
      <c r="D5580" s="1" t="s">
        <v>122</v>
      </c>
      <c r="E5580" s="1" t="s">
        <v>28</v>
      </c>
      <c r="F5580" s="2">
        <v>20000.0</v>
      </c>
      <c r="G5580" s="4">
        <v>44568.0</v>
      </c>
      <c r="H5580" s="4">
        <f>IFERROR(__xludf.DUMMYFUNCTION("DATE(INDEX(SPLIT(G5580,""/""),,3),INDEX(SPLIT(G5580,""/""),,2),INDEX(SPLIT(G5580,""/""),,1))"),44743.0)</f>
        <v>44743</v>
      </c>
      <c r="I5580" s="4">
        <v>44903.0</v>
      </c>
      <c r="J5580" s="4">
        <f>IFERROR(__xludf.DUMMYFUNCTION("DATE(INDEX(SPLIT(I5580,""/""),,3),INDEX(SPLIT(I5580,""/""),,2),INDEX(SPLIT(I5580,""/""),,1))"),44785.0)</f>
        <v>44785</v>
      </c>
      <c r="L5580" s="1">
        <v>0.0</v>
      </c>
      <c r="M5580" s="1" t="s">
        <v>5880</v>
      </c>
      <c r="N5580" s="1"/>
      <c r="O5580" s="1" t="s">
        <v>30</v>
      </c>
      <c r="P5580" s="1" t="s">
        <v>31</v>
      </c>
      <c r="Q5580" s="1" t="s">
        <v>228</v>
      </c>
      <c r="R5580" s="1" t="s">
        <v>228</v>
      </c>
      <c r="S5580" s="1" t="s">
        <v>229</v>
      </c>
      <c r="U5580" s="1">
        <v>1.00933537E8</v>
      </c>
      <c r="X5580" s="1" t="s">
        <v>74</v>
      </c>
      <c r="Y5580" s="1" t="s">
        <v>15443</v>
      </c>
      <c r="Z5580" s="1" t="s">
        <v>37</v>
      </c>
    </row>
    <row r="5581" hidden="1">
      <c r="A5581" s="1" t="s">
        <v>15444</v>
      </c>
      <c r="B5581" s="1" t="s">
        <v>605</v>
      </c>
      <c r="C5581" s="1" t="s">
        <v>15445</v>
      </c>
      <c r="D5581" s="1" t="s">
        <v>27</v>
      </c>
      <c r="E5581" s="1" t="s">
        <v>28</v>
      </c>
      <c r="F5581" s="2">
        <v>20000.0</v>
      </c>
      <c r="G5581" s="1" t="s">
        <v>1806</v>
      </c>
      <c r="H5581" s="4">
        <f>IFERROR(__xludf.DUMMYFUNCTION("DATE(INDEX(SPLIT(G5581,""/""),,3),INDEX(SPLIT(G5581,""/""),,2),INDEX(SPLIT(G5581,""/""),,1))"),44694.0)</f>
        <v>44694</v>
      </c>
      <c r="I5581" s="1" t="s">
        <v>130</v>
      </c>
      <c r="J5581" s="4">
        <f>IFERROR(__xludf.DUMMYFUNCTION("DATE(INDEX(SPLIT(I5581,""/""),,3),INDEX(SPLIT(I5581,""/""),,2),INDEX(SPLIT(I5581,""/""),,1))"),44804.0)</f>
        <v>44804</v>
      </c>
      <c r="L5581" s="1">
        <v>0.0</v>
      </c>
      <c r="M5581" s="1" t="s">
        <v>7088</v>
      </c>
      <c r="N5581" s="1"/>
      <c r="O5581" s="1" t="s">
        <v>30</v>
      </c>
      <c r="P5581" s="1" t="s">
        <v>31</v>
      </c>
      <c r="Q5581" s="1" t="s">
        <v>228</v>
      </c>
      <c r="R5581" s="1" t="s">
        <v>228</v>
      </c>
      <c r="S5581" s="1" t="s">
        <v>229</v>
      </c>
      <c r="U5581" s="1">
        <v>1.00597339E8</v>
      </c>
      <c r="X5581" s="1" t="s">
        <v>63</v>
      </c>
      <c r="Y5581" s="1" t="s">
        <v>7089</v>
      </c>
      <c r="Z5581" s="1" t="s">
        <v>37</v>
      </c>
    </row>
    <row r="5582" hidden="1">
      <c r="A5582" s="1" t="s">
        <v>15446</v>
      </c>
      <c r="B5582" s="1" t="s">
        <v>15447</v>
      </c>
      <c r="C5582" s="1" t="s">
        <v>15448</v>
      </c>
      <c r="D5582" s="1" t="s">
        <v>27</v>
      </c>
      <c r="E5582" s="1" t="s">
        <v>28</v>
      </c>
      <c r="F5582" s="2">
        <v>20000.0</v>
      </c>
      <c r="G5582" s="4">
        <v>44599.0</v>
      </c>
      <c r="H5582" s="4">
        <f>IFERROR(__xludf.DUMMYFUNCTION("DATE(INDEX(SPLIT(G5582,""/""),,3),INDEX(SPLIT(G5582,""/""),,2),INDEX(SPLIT(G5582,""/""),,1))"),44744.0)</f>
        <v>44744</v>
      </c>
      <c r="I5582" s="1" t="s">
        <v>1097</v>
      </c>
      <c r="J5582" s="4">
        <f>IFERROR(__xludf.DUMMYFUNCTION("DATE(INDEX(SPLIT(I5582,""/""),,3),INDEX(SPLIT(I5582,""/""),,2),INDEX(SPLIT(I5582,""/""),,1))"),45107.0)</f>
        <v>45107</v>
      </c>
      <c r="L5582" s="1">
        <v>0.0</v>
      </c>
      <c r="M5582" s="1" t="s">
        <v>11254</v>
      </c>
      <c r="N5582" s="1"/>
      <c r="O5582" s="1" t="s">
        <v>30</v>
      </c>
      <c r="P5582" s="1" t="s">
        <v>31</v>
      </c>
      <c r="Q5582" s="1" t="s">
        <v>228</v>
      </c>
      <c r="R5582" s="1" t="s">
        <v>228</v>
      </c>
      <c r="S5582" s="1" t="s">
        <v>229</v>
      </c>
      <c r="T5582" s="1" t="s">
        <v>513</v>
      </c>
      <c r="U5582" s="1">
        <v>1.00602248E8</v>
      </c>
      <c r="X5582" s="1" t="s">
        <v>63</v>
      </c>
      <c r="Y5582" s="1" t="s">
        <v>12640</v>
      </c>
      <c r="Z5582" s="1" t="s">
        <v>37</v>
      </c>
    </row>
    <row r="5583" hidden="1">
      <c r="A5583" s="1" t="s">
        <v>15449</v>
      </c>
      <c r="B5583" s="1" t="s">
        <v>566</v>
      </c>
      <c r="C5583" s="1" t="s">
        <v>15450</v>
      </c>
      <c r="D5583" s="1" t="s">
        <v>27</v>
      </c>
      <c r="E5583" s="1" t="s">
        <v>28</v>
      </c>
      <c r="F5583" s="2">
        <v>20000.0</v>
      </c>
      <c r="G5583" s="1" t="s">
        <v>458</v>
      </c>
      <c r="H5583" s="4">
        <f>IFERROR(__xludf.DUMMYFUNCTION("DATE(INDEX(SPLIT(G5583,""/""),,3),INDEX(SPLIT(G5583,""/""),,2),INDEX(SPLIT(G5583,""/""),,1))"),44649.0)</f>
        <v>44649</v>
      </c>
      <c r="I5583" s="1" t="s">
        <v>109</v>
      </c>
      <c r="J5583" s="4">
        <f>IFERROR(__xludf.DUMMYFUNCTION("DATE(INDEX(SPLIT(I5583,""/""),,3),INDEX(SPLIT(I5583,""/""),,2),INDEX(SPLIT(I5583,""/""),,1))"),44834.0)</f>
        <v>44834</v>
      </c>
      <c r="L5583" s="1">
        <v>0.0</v>
      </c>
      <c r="M5583" s="1" t="s">
        <v>11254</v>
      </c>
      <c r="N5583" s="1"/>
      <c r="O5583" s="1" t="s">
        <v>30</v>
      </c>
      <c r="P5583" s="1" t="s">
        <v>31</v>
      </c>
      <c r="Q5583" s="1" t="s">
        <v>228</v>
      </c>
      <c r="R5583" s="1" t="s">
        <v>228</v>
      </c>
      <c r="S5583" s="1" t="s">
        <v>229</v>
      </c>
      <c r="T5583" s="1" t="s">
        <v>513</v>
      </c>
      <c r="U5583" s="1">
        <v>1.00602248E8</v>
      </c>
      <c r="X5583" s="1" t="s">
        <v>63</v>
      </c>
      <c r="Y5583" s="1" t="s">
        <v>14932</v>
      </c>
      <c r="Z5583" s="1" t="s">
        <v>37</v>
      </c>
    </row>
    <row r="5584" hidden="1">
      <c r="A5584" s="1" t="s">
        <v>15451</v>
      </c>
      <c r="B5584" s="1" t="s">
        <v>15452</v>
      </c>
      <c r="C5584" s="1" t="s">
        <v>15453</v>
      </c>
      <c r="D5584" s="1" t="s">
        <v>27</v>
      </c>
      <c r="E5584" s="1" t="s">
        <v>28</v>
      </c>
      <c r="F5584" s="2">
        <v>20000.0</v>
      </c>
      <c r="G5584" s="4">
        <v>44599.0</v>
      </c>
      <c r="H5584" s="4">
        <f>IFERROR(__xludf.DUMMYFUNCTION("DATE(INDEX(SPLIT(G5584,""/""),,3),INDEX(SPLIT(G5584,""/""),,2),INDEX(SPLIT(G5584,""/""),,1))"),44744.0)</f>
        <v>44744</v>
      </c>
      <c r="I5584" s="1" t="s">
        <v>1097</v>
      </c>
      <c r="J5584" s="4">
        <f>IFERROR(__xludf.DUMMYFUNCTION("DATE(INDEX(SPLIT(I5584,""/""),,3),INDEX(SPLIT(I5584,""/""),,2),INDEX(SPLIT(I5584,""/""),,1))"),45107.0)</f>
        <v>45107</v>
      </c>
      <c r="L5584" s="1">
        <v>0.0</v>
      </c>
      <c r="M5584" s="1" t="s">
        <v>11254</v>
      </c>
      <c r="N5584" s="1"/>
      <c r="O5584" s="1" t="s">
        <v>30</v>
      </c>
      <c r="P5584" s="1" t="s">
        <v>31</v>
      </c>
      <c r="Q5584" s="1" t="s">
        <v>228</v>
      </c>
      <c r="R5584" s="1" t="s">
        <v>228</v>
      </c>
      <c r="S5584" s="1" t="s">
        <v>229</v>
      </c>
      <c r="T5584" s="1" t="s">
        <v>513</v>
      </c>
      <c r="U5584" s="1">
        <v>1.00602248E8</v>
      </c>
      <c r="X5584" s="1" t="s">
        <v>125</v>
      </c>
      <c r="Y5584" s="1" t="s">
        <v>12640</v>
      </c>
      <c r="Z5584" s="1" t="s">
        <v>37</v>
      </c>
    </row>
    <row r="5585" hidden="1">
      <c r="A5585" s="1" t="s">
        <v>15454</v>
      </c>
      <c r="B5585" s="1" t="s">
        <v>1030</v>
      </c>
      <c r="C5585" s="1" t="s">
        <v>15455</v>
      </c>
      <c r="D5585" s="1" t="s">
        <v>27</v>
      </c>
      <c r="E5585" s="1" t="s">
        <v>28</v>
      </c>
      <c r="F5585" s="2">
        <v>20000.0</v>
      </c>
      <c r="G5585" s="4">
        <v>44599.0</v>
      </c>
      <c r="H5585" s="4">
        <f>IFERROR(__xludf.DUMMYFUNCTION("DATE(INDEX(SPLIT(G5585,""/""),,3),INDEX(SPLIT(G5585,""/""),,2),INDEX(SPLIT(G5585,""/""),,1))"),44744.0)</f>
        <v>44744</v>
      </c>
      <c r="I5585" s="1" t="s">
        <v>203</v>
      </c>
      <c r="J5585" s="4">
        <f>IFERROR(__xludf.DUMMYFUNCTION("DATE(INDEX(SPLIT(I5585,""/""),,3),INDEX(SPLIT(I5585,""/""),,2),INDEX(SPLIT(I5585,""/""),,1))"),44925.0)</f>
        <v>44925</v>
      </c>
      <c r="L5585" s="1">
        <v>0.0</v>
      </c>
      <c r="M5585" s="1" t="s">
        <v>11254</v>
      </c>
      <c r="N5585" s="1"/>
      <c r="O5585" s="1" t="s">
        <v>30</v>
      </c>
      <c r="P5585" s="1" t="s">
        <v>31</v>
      </c>
      <c r="Q5585" s="1" t="s">
        <v>228</v>
      </c>
      <c r="R5585" s="1" t="s">
        <v>228</v>
      </c>
      <c r="S5585" s="1" t="s">
        <v>229</v>
      </c>
      <c r="T5585" s="1" t="s">
        <v>513</v>
      </c>
      <c r="U5585" s="1">
        <v>1.00602248E8</v>
      </c>
      <c r="X5585" s="1" t="s">
        <v>63</v>
      </c>
      <c r="Y5585" s="1" t="s">
        <v>14932</v>
      </c>
      <c r="Z5585" s="1" t="s">
        <v>37</v>
      </c>
    </row>
    <row r="5586" hidden="1">
      <c r="A5586" s="1" t="s">
        <v>15456</v>
      </c>
      <c r="B5586" s="1" t="s">
        <v>1070</v>
      </c>
      <c r="C5586" s="1" t="s">
        <v>15457</v>
      </c>
      <c r="D5586" s="1" t="s">
        <v>27</v>
      </c>
      <c r="E5586" s="1" t="s">
        <v>28</v>
      </c>
      <c r="F5586" s="2">
        <v>20000.0</v>
      </c>
      <c r="G5586" s="4">
        <v>44568.0</v>
      </c>
      <c r="H5586" s="4">
        <f>IFERROR(__xludf.DUMMYFUNCTION("DATE(INDEX(SPLIT(G5586,""/""),,3),INDEX(SPLIT(G5586,""/""),,2),INDEX(SPLIT(G5586,""/""),,1))"),44743.0)</f>
        <v>44743</v>
      </c>
      <c r="I5586" s="1" t="s">
        <v>1097</v>
      </c>
      <c r="J5586" s="4">
        <f>IFERROR(__xludf.DUMMYFUNCTION("DATE(INDEX(SPLIT(I5586,""/""),,3),INDEX(SPLIT(I5586,""/""),,2),INDEX(SPLIT(I5586,""/""),,1))"),45107.0)</f>
        <v>45107</v>
      </c>
      <c r="L5586" s="1">
        <v>0.0</v>
      </c>
      <c r="M5586" s="1" t="s">
        <v>11254</v>
      </c>
      <c r="N5586" s="1"/>
      <c r="O5586" s="1" t="s">
        <v>30</v>
      </c>
      <c r="P5586" s="1" t="s">
        <v>31</v>
      </c>
      <c r="Q5586" s="1" t="s">
        <v>228</v>
      </c>
      <c r="R5586" s="1" t="s">
        <v>228</v>
      </c>
      <c r="S5586" s="1" t="s">
        <v>229</v>
      </c>
      <c r="T5586" s="1" t="s">
        <v>513</v>
      </c>
      <c r="U5586" s="1">
        <v>1.00602248E8</v>
      </c>
      <c r="X5586" s="1" t="s">
        <v>305</v>
      </c>
      <c r="Y5586" s="1" t="s">
        <v>12640</v>
      </c>
      <c r="Z5586" s="1" t="s">
        <v>37</v>
      </c>
    </row>
    <row r="5587" hidden="1">
      <c r="A5587" s="1" t="s">
        <v>15458</v>
      </c>
      <c r="B5587" s="1" t="s">
        <v>15459</v>
      </c>
      <c r="C5587" s="1" t="s">
        <v>15460</v>
      </c>
      <c r="D5587" s="1" t="s">
        <v>27</v>
      </c>
      <c r="E5587" s="1" t="s">
        <v>28</v>
      </c>
      <c r="F5587" s="2">
        <v>20000.0</v>
      </c>
      <c r="G5587" s="4">
        <v>44568.0</v>
      </c>
      <c r="H5587" s="4">
        <f>IFERROR(__xludf.DUMMYFUNCTION("DATE(INDEX(SPLIT(G5587,""/""),,3),INDEX(SPLIT(G5587,""/""),,2),INDEX(SPLIT(G5587,""/""),,1))"),44743.0)</f>
        <v>44743</v>
      </c>
      <c r="I5587" s="1" t="s">
        <v>1097</v>
      </c>
      <c r="J5587" s="4">
        <f>IFERROR(__xludf.DUMMYFUNCTION("DATE(INDEX(SPLIT(I5587,""/""),,3),INDEX(SPLIT(I5587,""/""),,2),INDEX(SPLIT(I5587,""/""),,1))"),45107.0)</f>
        <v>45107</v>
      </c>
      <c r="L5587" s="1">
        <v>0.0</v>
      </c>
      <c r="M5587" s="1" t="s">
        <v>11254</v>
      </c>
      <c r="N5587" s="1"/>
      <c r="O5587" s="1" t="s">
        <v>30</v>
      </c>
      <c r="P5587" s="1" t="s">
        <v>31</v>
      </c>
      <c r="Q5587" s="1" t="s">
        <v>228</v>
      </c>
      <c r="R5587" s="1" t="s">
        <v>228</v>
      </c>
      <c r="S5587" s="1" t="s">
        <v>229</v>
      </c>
      <c r="T5587" s="1" t="s">
        <v>513</v>
      </c>
      <c r="U5587" s="1">
        <v>1.00602248E8</v>
      </c>
      <c r="X5587" s="1" t="s">
        <v>117</v>
      </c>
      <c r="Y5587" s="1" t="s">
        <v>14932</v>
      </c>
      <c r="Z5587" s="1" t="s">
        <v>37</v>
      </c>
    </row>
    <row r="5588" hidden="1">
      <c r="A5588" s="1" t="s">
        <v>15461</v>
      </c>
      <c r="B5588" s="1" t="s">
        <v>1379</v>
      </c>
      <c r="C5588" s="1" t="s">
        <v>15462</v>
      </c>
      <c r="D5588" s="1" t="s">
        <v>27</v>
      </c>
      <c r="E5588" s="1" t="s">
        <v>28</v>
      </c>
      <c r="F5588" s="2">
        <v>20000.0</v>
      </c>
      <c r="G5588" s="4">
        <v>44568.0</v>
      </c>
      <c r="H5588" s="4">
        <f>IFERROR(__xludf.DUMMYFUNCTION("DATE(INDEX(SPLIT(G5588,""/""),,3),INDEX(SPLIT(G5588,""/""),,2),INDEX(SPLIT(G5588,""/""),,1))"),44743.0)</f>
        <v>44743</v>
      </c>
      <c r="I5588" s="1" t="s">
        <v>1097</v>
      </c>
      <c r="J5588" s="4">
        <f>IFERROR(__xludf.DUMMYFUNCTION("DATE(INDEX(SPLIT(I5588,""/""),,3),INDEX(SPLIT(I5588,""/""),,2),INDEX(SPLIT(I5588,""/""),,1))"),45107.0)</f>
        <v>45107</v>
      </c>
      <c r="L5588" s="1">
        <v>0.0</v>
      </c>
      <c r="M5588" s="1" t="s">
        <v>11254</v>
      </c>
      <c r="N5588" s="1"/>
      <c r="O5588" s="1" t="s">
        <v>30</v>
      </c>
      <c r="P5588" s="1" t="s">
        <v>31</v>
      </c>
      <c r="Q5588" s="1" t="s">
        <v>228</v>
      </c>
      <c r="R5588" s="1" t="s">
        <v>228</v>
      </c>
      <c r="S5588" s="1" t="s">
        <v>229</v>
      </c>
      <c r="T5588" s="1" t="s">
        <v>513</v>
      </c>
      <c r="U5588" s="1">
        <v>1.00602248E8</v>
      </c>
      <c r="X5588" s="1" t="s">
        <v>63</v>
      </c>
      <c r="Y5588" s="1" t="s">
        <v>14932</v>
      </c>
      <c r="Z5588" s="1" t="s">
        <v>37</v>
      </c>
    </row>
    <row r="5589" hidden="1">
      <c r="A5589" s="1" t="s">
        <v>15463</v>
      </c>
      <c r="B5589" s="1" t="s">
        <v>15464</v>
      </c>
      <c r="C5589" s="1" t="s">
        <v>15465</v>
      </c>
      <c r="D5589" s="1" t="s">
        <v>27</v>
      </c>
      <c r="E5589" s="1" t="s">
        <v>28</v>
      </c>
      <c r="F5589" s="2">
        <v>20000.0</v>
      </c>
      <c r="G5589" s="4">
        <v>44568.0</v>
      </c>
      <c r="H5589" s="4">
        <f>IFERROR(__xludf.DUMMYFUNCTION("DATE(INDEX(SPLIT(G5589,""/""),,3),INDEX(SPLIT(G5589,""/""),,2),INDEX(SPLIT(G5589,""/""),,1))"),44743.0)</f>
        <v>44743</v>
      </c>
      <c r="I5589" s="1" t="s">
        <v>1097</v>
      </c>
      <c r="J5589" s="4">
        <f>IFERROR(__xludf.DUMMYFUNCTION("DATE(INDEX(SPLIT(I5589,""/""),,3),INDEX(SPLIT(I5589,""/""),,2),INDEX(SPLIT(I5589,""/""),,1))"),45107.0)</f>
        <v>45107</v>
      </c>
      <c r="L5589" s="1">
        <v>0.0</v>
      </c>
      <c r="M5589" s="1" t="s">
        <v>11254</v>
      </c>
      <c r="N5589" s="1"/>
      <c r="O5589" s="1" t="s">
        <v>30</v>
      </c>
      <c r="P5589" s="1" t="s">
        <v>31</v>
      </c>
      <c r="Q5589" s="1" t="s">
        <v>228</v>
      </c>
      <c r="R5589" s="1" t="s">
        <v>228</v>
      </c>
      <c r="S5589" s="1" t="s">
        <v>229</v>
      </c>
      <c r="T5589" s="1" t="s">
        <v>513</v>
      </c>
      <c r="U5589" s="1">
        <v>1.00602248E8</v>
      </c>
      <c r="X5589" s="1" t="s">
        <v>490</v>
      </c>
      <c r="Y5589" s="1" t="s">
        <v>12640</v>
      </c>
      <c r="Z5589" s="1" t="s">
        <v>37</v>
      </c>
    </row>
    <row r="5590" hidden="1">
      <c r="A5590" s="1" t="s">
        <v>15466</v>
      </c>
      <c r="B5590" s="1" t="s">
        <v>15467</v>
      </c>
      <c r="C5590" s="1" t="s">
        <v>15468</v>
      </c>
      <c r="D5590" s="1" t="s">
        <v>122</v>
      </c>
      <c r="E5590" s="1" t="s">
        <v>28</v>
      </c>
      <c r="F5590" s="2">
        <v>20000.0</v>
      </c>
      <c r="G5590" s="1" t="s">
        <v>458</v>
      </c>
      <c r="H5590" s="4">
        <f>IFERROR(__xludf.DUMMYFUNCTION("DATE(INDEX(SPLIT(G5590,""/""),,3),INDEX(SPLIT(G5590,""/""),,2),INDEX(SPLIT(G5590,""/""),,1))"),44649.0)</f>
        <v>44649</v>
      </c>
      <c r="I5590" s="1" t="s">
        <v>535</v>
      </c>
      <c r="J5590" s="4">
        <f>IFERROR(__xludf.DUMMYFUNCTION("DATE(INDEX(SPLIT(I5590,""/""),,3),INDEX(SPLIT(I5590,""/""),,2),INDEX(SPLIT(I5590,""/""),,1))"),44957.0)</f>
        <v>44957</v>
      </c>
      <c r="L5590" s="1">
        <v>0.0</v>
      </c>
      <c r="M5590" s="1" t="s">
        <v>6045</v>
      </c>
      <c r="N5590" s="1"/>
      <c r="O5590" s="1" t="s">
        <v>30</v>
      </c>
      <c r="P5590" s="1" t="s">
        <v>31</v>
      </c>
      <c r="Q5590" s="1" t="s">
        <v>228</v>
      </c>
      <c r="R5590" s="1" t="s">
        <v>228</v>
      </c>
      <c r="S5590" s="1" t="s">
        <v>229</v>
      </c>
      <c r="T5590" s="1" t="s">
        <v>513</v>
      </c>
      <c r="U5590" s="1">
        <v>1.00652479E8</v>
      </c>
      <c r="X5590" s="1" t="s">
        <v>98</v>
      </c>
      <c r="Y5590" s="1" t="s">
        <v>14042</v>
      </c>
      <c r="Z5590" s="1" t="s">
        <v>37</v>
      </c>
    </row>
    <row r="5591" hidden="1">
      <c r="A5591" s="1" t="s">
        <v>15469</v>
      </c>
      <c r="B5591" s="1" t="s">
        <v>1192</v>
      </c>
      <c r="C5591" s="1" t="s">
        <v>15470</v>
      </c>
      <c r="D5591" s="1" t="s">
        <v>78</v>
      </c>
      <c r="E5591" s="1" t="s">
        <v>28</v>
      </c>
      <c r="F5591" s="2">
        <v>20000.0</v>
      </c>
      <c r="G5591" s="1" t="s">
        <v>13657</v>
      </c>
      <c r="H5591" s="4">
        <f>IFERROR(__xludf.DUMMYFUNCTION("DATE(INDEX(SPLIT(G5591,""/""),,3),INDEX(SPLIT(G5591,""/""),,2),INDEX(SPLIT(G5591,""/""),,1))"),44091.0)</f>
        <v>44091</v>
      </c>
      <c r="I5591" s="1" t="s">
        <v>109</v>
      </c>
      <c r="J5591" s="4">
        <f>IFERROR(__xludf.DUMMYFUNCTION("DATE(INDEX(SPLIT(I5591,""/""),,3),INDEX(SPLIT(I5591,""/""),,2),INDEX(SPLIT(I5591,""/""),,1))"),44834.0)</f>
        <v>44834</v>
      </c>
      <c r="L5591" s="1">
        <v>0.0</v>
      </c>
      <c r="M5591" s="1" t="s">
        <v>11254</v>
      </c>
      <c r="N5591" s="1"/>
      <c r="O5591" s="1" t="s">
        <v>30</v>
      </c>
      <c r="P5591" s="1" t="s">
        <v>31</v>
      </c>
      <c r="Q5591" s="1" t="s">
        <v>228</v>
      </c>
      <c r="R5591" s="1" t="s">
        <v>228</v>
      </c>
      <c r="S5591" s="1" t="s">
        <v>229</v>
      </c>
      <c r="T5591" s="1" t="s">
        <v>513</v>
      </c>
      <c r="U5591" s="1">
        <v>1.00602248E8</v>
      </c>
      <c r="X5591" s="1" t="s">
        <v>125</v>
      </c>
      <c r="Y5591" s="1" t="s">
        <v>12637</v>
      </c>
      <c r="Z5591" s="1" t="s">
        <v>37</v>
      </c>
    </row>
    <row r="5592" hidden="1">
      <c r="A5592" s="1" t="s">
        <v>15471</v>
      </c>
      <c r="B5592" s="1" t="s">
        <v>15472</v>
      </c>
      <c r="C5592" s="1" t="s">
        <v>15473</v>
      </c>
      <c r="D5592" s="1" t="s">
        <v>78</v>
      </c>
      <c r="E5592" s="1" t="s">
        <v>28</v>
      </c>
      <c r="F5592" s="2">
        <v>20000.0</v>
      </c>
      <c r="G5592" s="1" t="s">
        <v>1581</v>
      </c>
      <c r="H5592" s="4">
        <f>IFERROR(__xludf.DUMMYFUNCTION("DATE(INDEX(SPLIT(G5592,""/""),,3),INDEX(SPLIT(G5592,""/""),,2),INDEX(SPLIT(G5592,""/""),,1))"),44453.0)</f>
        <v>44453</v>
      </c>
      <c r="I5592" s="1" t="s">
        <v>109</v>
      </c>
      <c r="J5592" s="4">
        <f>IFERROR(__xludf.DUMMYFUNCTION("DATE(INDEX(SPLIT(I5592,""/""),,3),INDEX(SPLIT(I5592,""/""),,2),INDEX(SPLIT(I5592,""/""),,1))"),44834.0)</f>
        <v>44834</v>
      </c>
      <c r="L5592" s="1">
        <v>0.0</v>
      </c>
      <c r="M5592" s="1" t="s">
        <v>11254</v>
      </c>
      <c r="N5592" s="1"/>
      <c r="O5592" s="1" t="s">
        <v>30</v>
      </c>
      <c r="P5592" s="1" t="s">
        <v>31</v>
      </c>
      <c r="Q5592" s="1" t="s">
        <v>228</v>
      </c>
      <c r="R5592" s="1" t="s">
        <v>228</v>
      </c>
      <c r="S5592" s="1" t="s">
        <v>229</v>
      </c>
      <c r="T5592" s="1" t="s">
        <v>513</v>
      </c>
      <c r="U5592" s="1">
        <v>1.00602248E8</v>
      </c>
      <c r="X5592" s="1" t="s">
        <v>63</v>
      </c>
      <c r="Y5592" s="1" t="s">
        <v>12637</v>
      </c>
      <c r="Z5592" s="1" t="s">
        <v>37</v>
      </c>
    </row>
    <row r="5593" hidden="1">
      <c r="A5593" s="1" t="s">
        <v>15474</v>
      </c>
      <c r="B5593" s="1" t="s">
        <v>2642</v>
      </c>
      <c r="C5593" s="1" t="s">
        <v>15475</v>
      </c>
      <c r="D5593" s="1" t="s">
        <v>27</v>
      </c>
      <c r="E5593" s="1" t="s">
        <v>28</v>
      </c>
      <c r="F5593" s="2">
        <v>20000.0</v>
      </c>
      <c r="G5593" s="1" t="s">
        <v>935</v>
      </c>
      <c r="H5593" s="4">
        <f>IFERROR(__xludf.DUMMYFUNCTION("DATE(INDEX(SPLIT(G5593,""/""),,3),INDEX(SPLIT(G5593,""/""),,2),INDEX(SPLIT(G5593,""/""),,1))"),44764.0)</f>
        <v>44764</v>
      </c>
      <c r="I5593" s="1" t="s">
        <v>102</v>
      </c>
      <c r="J5593" s="4">
        <f>IFERROR(__xludf.DUMMYFUNCTION("DATE(INDEX(SPLIT(I5593,""/""),,3),INDEX(SPLIT(I5593,""/""),,2),INDEX(SPLIT(I5593,""/""),,1))"),45046.0)</f>
        <v>45046</v>
      </c>
      <c r="L5593" s="1">
        <v>0.0</v>
      </c>
      <c r="M5593" s="1" t="s">
        <v>4735</v>
      </c>
      <c r="N5593" s="1"/>
      <c r="O5593" s="1" t="s">
        <v>30</v>
      </c>
      <c r="P5593" s="1" t="s">
        <v>31</v>
      </c>
      <c r="Q5593" s="1" t="s">
        <v>71</v>
      </c>
      <c r="R5593" s="1" t="s">
        <v>71</v>
      </c>
      <c r="S5593" s="1" t="s">
        <v>72</v>
      </c>
      <c r="T5593" s="1" t="s">
        <v>136</v>
      </c>
      <c r="U5593" s="1">
        <v>1.00609615E8</v>
      </c>
      <c r="X5593" s="1" t="s">
        <v>74</v>
      </c>
      <c r="Y5593" s="1" t="s">
        <v>2593</v>
      </c>
      <c r="Z5593" s="1" t="s">
        <v>206</v>
      </c>
    </row>
    <row r="5594" hidden="1">
      <c r="A5594" s="1" t="s">
        <v>15476</v>
      </c>
      <c r="B5594" s="1" t="s">
        <v>15477</v>
      </c>
      <c r="C5594" s="1" t="s">
        <v>15478</v>
      </c>
      <c r="D5594" s="1" t="s">
        <v>27</v>
      </c>
      <c r="E5594" s="1" t="s">
        <v>28</v>
      </c>
      <c r="F5594" s="2">
        <v>18900.0</v>
      </c>
      <c r="G5594" s="4">
        <v>44599.0</v>
      </c>
      <c r="H5594" s="4">
        <f>IFERROR(__xludf.DUMMYFUNCTION("DATE(INDEX(SPLIT(G5594,""/""),,3),INDEX(SPLIT(G5594,""/""),,2),INDEX(SPLIT(G5594,""/""),,1))"),44744.0)</f>
        <v>44744</v>
      </c>
      <c r="I5594" s="1" t="s">
        <v>1097</v>
      </c>
      <c r="J5594" s="4">
        <f>IFERROR(__xludf.DUMMYFUNCTION("DATE(INDEX(SPLIT(I5594,""/""),,3),INDEX(SPLIT(I5594,""/""),,2),INDEX(SPLIT(I5594,""/""),,1))"),45107.0)</f>
        <v>45107</v>
      </c>
      <c r="L5594" s="1">
        <v>0.0</v>
      </c>
      <c r="M5594" s="1" t="s">
        <v>11254</v>
      </c>
      <c r="N5594" s="1"/>
      <c r="O5594" s="1" t="s">
        <v>30</v>
      </c>
      <c r="P5594" s="1" t="s">
        <v>31</v>
      </c>
      <c r="Q5594" s="1" t="s">
        <v>228</v>
      </c>
      <c r="R5594" s="1" t="s">
        <v>228</v>
      </c>
      <c r="S5594" s="1" t="s">
        <v>229</v>
      </c>
      <c r="T5594" s="1" t="s">
        <v>513</v>
      </c>
      <c r="U5594" s="1">
        <v>1.00602248E8</v>
      </c>
      <c r="X5594" s="1" t="s">
        <v>63</v>
      </c>
      <c r="Y5594" s="1" t="s">
        <v>12640</v>
      </c>
      <c r="Z5594" s="1" t="s">
        <v>37</v>
      </c>
    </row>
    <row r="5595" hidden="1">
      <c r="A5595" s="1" t="s">
        <v>15479</v>
      </c>
      <c r="B5595" s="1" t="s">
        <v>15480</v>
      </c>
      <c r="C5595" s="1" t="s">
        <v>15481</v>
      </c>
      <c r="D5595" s="1" t="s">
        <v>27</v>
      </c>
      <c r="E5595" s="1" t="s">
        <v>28</v>
      </c>
      <c r="F5595" s="2">
        <v>18900.0</v>
      </c>
      <c r="G5595" s="4">
        <v>44568.0</v>
      </c>
      <c r="H5595" s="4">
        <f>IFERROR(__xludf.DUMMYFUNCTION("DATE(INDEX(SPLIT(G5595,""/""),,3),INDEX(SPLIT(G5595,""/""),,2),INDEX(SPLIT(G5595,""/""),,1))"),44743.0)</f>
        <v>44743</v>
      </c>
      <c r="I5595" s="1" t="s">
        <v>1097</v>
      </c>
      <c r="J5595" s="4">
        <f>IFERROR(__xludf.DUMMYFUNCTION("DATE(INDEX(SPLIT(I5595,""/""),,3),INDEX(SPLIT(I5595,""/""),,2),INDEX(SPLIT(I5595,""/""),,1))"),45107.0)</f>
        <v>45107</v>
      </c>
      <c r="L5595" s="1">
        <v>0.0</v>
      </c>
      <c r="M5595" s="1" t="s">
        <v>11254</v>
      </c>
      <c r="N5595" s="1"/>
      <c r="O5595" s="1" t="s">
        <v>30</v>
      </c>
      <c r="P5595" s="1" t="s">
        <v>31</v>
      </c>
      <c r="Q5595" s="1" t="s">
        <v>228</v>
      </c>
      <c r="R5595" s="1" t="s">
        <v>228</v>
      </c>
      <c r="S5595" s="1" t="s">
        <v>229</v>
      </c>
      <c r="T5595" s="1" t="s">
        <v>513</v>
      </c>
      <c r="U5595" s="1">
        <v>1.00602248E8</v>
      </c>
      <c r="X5595" s="1" t="s">
        <v>289</v>
      </c>
      <c r="Y5595" s="1" t="s">
        <v>12640</v>
      </c>
      <c r="Z5595" s="1" t="s">
        <v>37</v>
      </c>
    </row>
    <row r="5596" hidden="1">
      <c r="A5596" s="1" t="s">
        <v>15482</v>
      </c>
      <c r="B5596" s="1" t="s">
        <v>2661</v>
      </c>
      <c r="C5596" s="1" t="s">
        <v>15483</v>
      </c>
      <c r="D5596" s="1" t="s">
        <v>27</v>
      </c>
      <c r="E5596" s="1" t="s">
        <v>28</v>
      </c>
      <c r="F5596" s="2">
        <v>18900.0</v>
      </c>
      <c r="G5596" s="4">
        <v>44568.0</v>
      </c>
      <c r="H5596" s="4">
        <f>IFERROR(__xludf.DUMMYFUNCTION("DATE(INDEX(SPLIT(G5596,""/""),,3),INDEX(SPLIT(G5596,""/""),,2),INDEX(SPLIT(G5596,""/""),,1))"),44743.0)</f>
        <v>44743</v>
      </c>
      <c r="I5596" s="1" t="s">
        <v>1097</v>
      </c>
      <c r="J5596" s="4">
        <f>IFERROR(__xludf.DUMMYFUNCTION("DATE(INDEX(SPLIT(I5596,""/""),,3),INDEX(SPLIT(I5596,""/""),,2),INDEX(SPLIT(I5596,""/""),,1))"),45107.0)</f>
        <v>45107</v>
      </c>
      <c r="L5596" s="1">
        <v>0.0</v>
      </c>
      <c r="M5596" s="1" t="s">
        <v>11254</v>
      </c>
      <c r="N5596" s="1"/>
      <c r="O5596" s="1" t="s">
        <v>30</v>
      </c>
      <c r="P5596" s="1" t="s">
        <v>31</v>
      </c>
      <c r="Q5596" s="1" t="s">
        <v>228</v>
      </c>
      <c r="R5596" s="1" t="s">
        <v>228</v>
      </c>
      <c r="S5596" s="1" t="s">
        <v>229</v>
      </c>
      <c r="T5596" s="1" t="s">
        <v>513</v>
      </c>
      <c r="U5596" s="1">
        <v>1.00602248E8</v>
      </c>
      <c r="X5596" s="1" t="s">
        <v>375</v>
      </c>
      <c r="Y5596" s="1" t="s">
        <v>12640</v>
      </c>
      <c r="Z5596" s="1" t="s">
        <v>37</v>
      </c>
    </row>
    <row r="5597" hidden="1">
      <c r="A5597" s="1" t="s">
        <v>15484</v>
      </c>
      <c r="B5597" s="1" t="s">
        <v>6188</v>
      </c>
      <c r="C5597" s="1" t="s">
        <v>15485</v>
      </c>
      <c r="D5597" s="1" t="s">
        <v>27</v>
      </c>
      <c r="E5597" s="1" t="s">
        <v>28</v>
      </c>
      <c r="F5597" s="2">
        <v>18000.0</v>
      </c>
      <c r="G5597" s="4">
        <v>44599.0</v>
      </c>
      <c r="H5597" s="4">
        <f>IFERROR(__xludf.DUMMYFUNCTION("DATE(INDEX(SPLIT(G5597,""/""),,3),INDEX(SPLIT(G5597,""/""),,2),INDEX(SPLIT(G5597,""/""),,1))"),44744.0)</f>
        <v>44744</v>
      </c>
      <c r="I5597" s="1" t="s">
        <v>203</v>
      </c>
      <c r="J5597" s="4">
        <f>IFERROR(__xludf.DUMMYFUNCTION("DATE(INDEX(SPLIT(I5597,""/""),,3),INDEX(SPLIT(I5597,""/""),,2),INDEX(SPLIT(I5597,""/""),,1))"),44925.0)</f>
        <v>44925</v>
      </c>
      <c r="L5597" s="1">
        <v>0.0</v>
      </c>
      <c r="M5597" s="1" t="s">
        <v>11254</v>
      </c>
      <c r="N5597" s="1"/>
      <c r="O5597" s="1" t="s">
        <v>30</v>
      </c>
      <c r="P5597" s="1" t="s">
        <v>31</v>
      </c>
      <c r="Q5597" s="1" t="s">
        <v>228</v>
      </c>
      <c r="R5597" s="1" t="s">
        <v>228</v>
      </c>
      <c r="S5597" s="1" t="s">
        <v>229</v>
      </c>
      <c r="T5597" s="1" t="s">
        <v>513</v>
      </c>
      <c r="U5597" s="1">
        <v>1.00602248E8</v>
      </c>
      <c r="X5597" s="1" t="s">
        <v>63</v>
      </c>
      <c r="Y5597" s="1" t="s">
        <v>15486</v>
      </c>
      <c r="Z5597" s="1" t="s">
        <v>37</v>
      </c>
    </row>
    <row r="5598">
      <c r="A5598" s="1" t="s">
        <v>15487</v>
      </c>
      <c r="B5598" s="1" t="s">
        <v>15488</v>
      </c>
      <c r="C5598" s="1" t="s">
        <v>15489</v>
      </c>
      <c r="D5598" s="1" t="s">
        <v>122</v>
      </c>
      <c r="E5598" s="1" t="s">
        <v>28</v>
      </c>
      <c r="F5598" s="2">
        <v>18000.0</v>
      </c>
      <c r="G5598" s="1" t="s">
        <v>576</v>
      </c>
      <c r="H5598" s="4">
        <f>IFERROR(__xludf.DUMMYFUNCTION("DATE(INDEX(SPLIT(G5598,""/""),,3),INDEX(SPLIT(G5598,""/""),,2),INDEX(SPLIT(G5598,""/""),,1))"),44614.0)</f>
        <v>44614</v>
      </c>
      <c r="I5598" s="1" t="s">
        <v>69</v>
      </c>
      <c r="J5598" s="4">
        <f>IFERROR(__xludf.DUMMYFUNCTION("DATE(INDEX(SPLIT(I5598,""/""),,3),INDEX(SPLIT(I5598,""/""),,2),INDEX(SPLIT(I5598,""/""),,1))"),44773.0)</f>
        <v>44773</v>
      </c>
      <c r="L5598" s="1">
        <v>0.0</v>
      </c>
      <c r="M5598" s="1" t="s">
        <v>13893</v>
      </c>
      <c r="N5598" s="1"/>
      <c r="O5598" s="1" t="s">
        <v>30</v>
      </c>
      <c r="P5598" s="1" t="s">
        <v>31</v>
      </c>
      <c r="Q5598" s="1" t="s">
        <v>228</v>
      </c>
      <c r="R5598" s="1" t="s">
        <v>228</v>
      </c>
      <c r="S5598" s="1" t="s">
        <v>229</v>
      </c>
      <c r="T5598" s="1" t="s">
        <v>513</v>
      </c>
      <c r="U5598" s="1">
        <v>1.00660529E8</v>
      </c>
      <c r="X5598" s="1" t="s">
        <v>375</v>
      </c>
      <c r="Y5598" s="1" t="s">
        <v>14321</v>
      </c>
      <c r="Z5598" s="1" t="s">
        <v>206</v>
      </c>
    </row>
    <row r="5599" hidden="1">
      <c r="A5599" s="1" t="s">
        <v>15490</v>
      </c>
      <c r="B5599" s="1" t="s">
        <v>15491</v>
      </c>
      <c r="C5599" s="1" t="s">
        <v>15492</v>
      </c>
      <c r="D5599" s="1" t="s">
        <v>27</v>
      </c>
      <c r="E5599" s="1" t="s">
        <v>28</v>
      </c>
      <c r="F5599" s="2">
        <v>18000.0</v>
      </c>
      <c r="G5599" s="4">
        <v>44599.0</v>
      </c>
      <c r="H5599" s="4">
        <f>IFERROR(__xludf.DUMMYFUNCTION("DATE(INDEX(SPLIT(G5599,""/""),,3),INDEX(SPLIT(G5599,""/""),,2),INDEX(SPLIT(G5599,""/""),,1))"),44744.0)</f>
        <v>44744</v>
      </c>
      <c r="I5599" s="1" t="s">
        <v>1097</v>
      </c>
      <c r="J5599" s="4">
        <f>IFERROR(__xludf.DUMMYFUNCTION("DATE(INDEX(SPLIT(I5599,""/""),,3),INDEX(SPLIT(I5599,""/""),,2),INDEX(SPLIT(I5599,""/""),,1))"),45107.0)</f>
        <v>45107</v>
      </c>
      <c r="L5599" s="1">
        <v>0.0</v>
      </c>
      <c r="M5599" s="1" t="s">
        <v>11254</v>
      </c>
      <c r="N5599" s="1"/>
      <c r="O5599" s="1" t="s">
        <v>30</v>
      </c>
      <c r="P5599" s="1" t="s">
        <v>31</v>
      </c>
      <c r="Q5599" s="1" t="s">
        <v>228</v>
      </c>
      <c r="R5599" s="1" t="s">
        <v>228</v>
      </c>
      <c r="S5599" s="1" t="s">
        <v>229</v>
      </c>
      <c r="T5599" s="1" t="s">
        <v>513</v>
      </c>
      <c r="U5599" s="1">
        <v>1.00602248E8</v>
      </c>
      <c r="X5599" s="1" t="s">
        <v>289</v>
      </c>
      <c r="Y5599" s="1" t="s">
        <v>14932</v>
      </c>
      <c r="Z5599" s="1" t="s">
        <v>37</v>
      </c>
    </row>
    <row r="5600">
      <c r="A5600" s="1" t="s">
        <v>15493</v>
      </c>
      <c r="B5600" s="1" t="s">
        <v>392</v>
      </c>
      <c r="C5600" s="1" t="s">
        <v>15494</v>
      </c>
      <c r="D5600" s="1" t="s">
        <v>27</v>
      </c>
      <c r="E5600" s="1" t="s">
        <v>28</v>
      </c>
      <c r="F5600" s="2">
        <v>18000.0</v>
      </c>
      <c r="G5600" s="4">
        <v>44599.0</v>
      </c>
      <c r="H5600" s="4">
        <f>IFERROR(__xludf.DUMMYFUNCTION("DATE(INDEX(SPLIT(G5600,""/""),,3),INDEX(SPLIT(G5600,""/""),,2),INDEX(SPLIT(G5600,""/""),,1))"),44744.0)</f>
        <v>44744</v>
      </c>
      <c r="I5600" s="1" t="s">
        <v>414</v>
      </c>
      <c r="J5600" s="4">
        <f>IFERROR(__xludf.DUMMYFUNCTION("DATE(INDEX(SPLIT(I5600,""/""),,3),INDEX(SPLIT(I5600,""/""),,2),INDEX(SPLIT(I5600,""/""),,1))"),44772.0)</f>
        <v>44772</v>
      </c>
      <c r="L5600" s="1">
        <v>0.0</v>
      </c>
      <c r="M5600" s="1" t="s">
        <v>11254</v>
      </c>
      <c r="N5600" s="1"/>
      <c r="O5600" s="1" t="s">
        <v>30</v>
      </c>
      <c r="P5600" s="1" t="s">
        <v>31</v>
      </c>
      <c r="Q5600" s="1" t="s">
        <v>228</v>
      </c>
      <c r="R5600" s="1" t="s">
        <v>228</v>
      </c>
      <c r="S5600" s="1" t="s">
        <v>229</v>
      </c>
      <c r="T5600" s="1" t="s">
        <v>513</v>
      </c>
      <c r="U5600" s="1">
        <v>1.00602248E8</v>
      </c>
      <c r="X5600" s="1" t="s">
        <v>239</v>
      </c>
      <c r="Y5600" s="1" t="s">
        <v>14932</v>
      </c>
      <c r="Z5600" s="1" t="s">
        <v>37</v>
      </c>
    </row>
    <row r="5601">
      <c r="A5601" s="1" t="s">
        <v>15495</v>
      </c>
      <c r="B5601" s="1" t="s">
        <v>15496</v>
      </c>
      <c r="C5601" s="1" t="s">
        <v>15497</v>
      </c>
      <c r="D5601" s="1" t="s">
        <v>122</v>
      </c>
      <c r="E5601" s="1" t="s">
        <v>28</v>
      </c>
      <c r="F5601" s="2">
        <v>17297.7</v>
      </c>
      <c r="G5601" s="1" t="s">
        <v>1058</v>
      </c>
      <c r="H5601" s="4">
        <f>IFERROR(__xludf.DUMMYFUNCTION("DATE(INDEX(SPLIT(G5601,""/""),,3),INDEX(SPLIT(G5601,""/""),,2),INDEX(SPLIT(G5601,""/""),,1))"),44733.0)</f>
        <v>44733</v>
      </c>
      <c r="I5601" s="1" t="s">
        <v>1244</v>
      </c>
      <c r="J5601" s="4">
        <f>IFERROR(__xludf.DUMMYFUNCTION("DATE(INDEX(SPLIT(I5601,""/""),,3),INDEX(SPLIT(I5601,""/""),,2),INDEX(SPLIT(I5601,""/""),,1))"),44742.0)</f>
        <v>44742</v>
      </c>
      <c r="L5601" s="1">
        <v>0.0</v>
      </c>
      <c r="M5601" s="1" t="s">
        <v>3948</v>
      </c>
      <c r="N5601" s="1"/>
      <c r="O5601" s="1" t="s">
        <v>30</v>
      </c>
      <c r="P5601" s="1" t="s">
        <v>31</v>
      </c>
      <c r="Q5601" s="1" t="s">
        <v>228</v>
      </c>
      <c r="R5601" s="1" t="s">
        <v>228</v>
      </c>
      <c r="S5601" s="1" t="s">
        <v>229</v>
      </c>
      <c r="T5601" s="1" t="s">
        <v>513</v>
      </c>
      <c r="U5601" s="1">
        <v>1.0066189E8</v>
      </c>
      <c r="X5601" s="1" t="s">
        <v>2028</v>
      </c>
      <c r="Y5601" s="1" t="s">
        <v>5688</v>
      </c>
      <c r="Z5601" s="1" t="s">
        <v>37</v>
      </c>
    </row>
    <row r="5602" hidden="1">
      <c r="A5602" s="1" t="s">
        <v>15498</v>
      </c>
      <c r="B5602" s="1" t="s">
        <v>529</v>
      </c>
      <c r="C5602" s="1" t="s">
        <v>15499</v>
      </c>
      <c r="D5602" s="1" t="s">
        <v>27</v>
      </c>
      <c r="E5602" s="1" t="s">
        <v>28</v>
      </c>
      <c r="F5602" s="2">
        <v>17100.0</v>
      </c>
      <c r="G5602" s="4">
        <v>44599.0</v>
      </c>
      <c r="H5602" s="4">
        <f>IFERROR(__xludf.DUMMYFUNCTION("DATE(INDEX(SPLIT(G5602,""/""),,3),INDEX(SPLIT(G5602,""/""),,2),INDEX(SPLIT(G5602,""/""),,1))"),44744.0)</f>
        <v>44744</v>
      </c>
      <c r="I5602" s="1" t="s">
        <v>203</v>
      </c>
      <c r="J5602" s="4">
        <f>IFERROR(__xludf.DUMMYFUNCTION("DATE(INDEX(SPLIT(I5602,""/""),,3),INDEX(SPLIT(I5602,""/""),,2),INDEX(SPLIT(I5602,""/""),,1))"),44925.0)</f>
        <v>44925</v>
      </c>
      <c r="L5602" s="1">
        <v>0.0</v>
      </c>
      <c r="M5602" s="1" t="s">
        <v>11254</v>
      </c>
      <c r="N5602" s="1"/>
      <c r="O5602" s="1" t="s">
        <v>30</v>
      </c>
      <c r="P5602" s="1" t="s">
        <v>31</v>
      </c>
      <c r="Q5602" s="1" t="s">
        <v>228</v>
      </c>
      <c r="R5602" s="1" t="s">
        <v>228</v>
      </c>
      <c r="S5602" s="1" t="s">
        <v>229</v>
      </c>
      <c r="T5602" s="1" t="s">
        <v>513</v>
      </c>
      <c r="U5602" s="1">
        <v>1.00602248E8</v>
      </c>
      <c r="X5602" s="1" t="s">
        <v>410</v>
      </c>
      <c r="Y5602" s="1" t="s">
        <v>14932</v>
      </c>
      <c r="Z5602" s="1" t="s">
        <v>37</v>
      </c>
    </row>
    <row r="5603" hidden="1">
      <c r="A5603" s="1" t="s">
        <v>15500</v>
      </c>
      <c r="B5603" s="1" t="s">
        <v>12718</v>
      </c>
      <c r="C5603" s="1" t="s">
        <v>15501</v>
      </c>
      <c r="D5603" s="1" t="s">
        <v>27</v>
      </c>
      <c r="E5603" s="1" t="s">
        <v>28</v>
      </c>
      <c r="F5603" s="2">
        <v>17000.0</v>
      </c>
      <c r="G5603" s="1" t="s">
        <v>3595</v>
      </c>
      <c r="H5603" s="4">
        <f>IFERROR(__xludf.DUMMYFUNCTION("DATE(INDEX(SPLIT(G5603,""/""),,3),INDEX(SPLIT(G5603,""/""),,2),INDEX(SPLIT(G5603,""/""),,1))"),44460.0)</f>
        <v>44460</v>
      </c>
      <c r="I5603" s="1" t="s">
        <v>42</v>
      </c>
      <c r="J5603" s="4">
        <f>IFERROR(__xludf.DUMMYFUNCTION("DATE(INDEX(SPLIT(I5603,""/""),,3),INDEX(SPLIT(I5603,""/""),,2),INDEX(SPLIT(I5603,""/""),,1))"),44926.0)</f>
        <v>44926</v>
      </c>
      <c r="L5603" s="1">
        <v>0.0</v>
      </c>
      <c r="M5603" s="1" t="s">
        <v>11254</v>
      </c>
      <c r="N5603" s="1"/>
      <c r="O5603" s="1" t="s">
        <v>30</v>
      </c>
      <c r="P5603" s="1" t="s">
        <v>31</v>
      </c>
      <c r="Q5603" s="1" t="s">
        <v>228</v>
      </c>
      <c r="R5603" s="1" t="s">
        <v>228</v>
      </c>
      <c r="S5603" s="1" t="s">
        <v>229</v>
      </c>
      <c r="T5603" s="1" t="s">
        <v>513</v>
      </c>
      <c r="U5603" s="1">
        <v>1.00602248E8</v>
      </c>
      <c r="X5603" s="1" t="s">
        <v>254</v>
      </c>
      <c r="Y5603" s="1" t="s">
        <v>13638</v>
      </c>
      <c r="Z5603" s="1" t="s">
        <v>37</v>
      </c>
    </row>
    <row r="5604" hidden="1">
      <c r="A5604" s="1" t="s">
        <v>15502</v>
      </c>
      <c r="B5604" s="1" t="s">
        <v>2735</v>
      </c>
      <c r="C5604" s="1" t="s">
        <v>15503</v>
      </c>
      <c r="D5604" s="1" t="s">
        <v>78</v>
      </c>
      <c r="E5604" s="1" t="s">
        <v>28</v>
      </c>
      <c r="F5604" s="2">
        <v>17000.0</v>
      </c>
      <c r="G5604" s="1" t="s">
        <v>3595</v>
      </c>
      <c r="H5604" s="4">
        <f>IFERROR(__xludf.DUMMYFUNCTION("DATE(INDEX(SPLIT(G5604,""/""),,3),INDEX(SPLIT(G5604,""/""),,2),INDEX(SPLIT(G5604,""/""),,1))"),44460.0)</f>
        <v>44460</v>
      </c>
      <c r="I5604" s="1" t="s">
        <v>109</v>
      </c>
      <c r="J5604" s="4">
        <f>IFERROR(__xludf.DUMMYFUNCTION("DATE(INDEX(SPLIT(I5604,""/""),,3),INDEX(SPLIT(I5604,""/""),,2),INDEX(SPLIT(I5604,""/""),,1))"),44834.0)</f>
        <v>44834</v>
      </c>
      <c r="L5604" s="1">
        <v>0.0</v>
      </c>
      <c r="M5604" s="1" t="s">
        <v>11254</v>
      </c>
      <c r="N5604" s="1"/>
      <c r="O5604" s="1" t="s">
        <v>30</v>
      </c>
      <c r="P5604" s="1" t="s">
        <v>31</v>
      </c>
      <c r="Q5604" s="1" t="s">
        <v>228</v>
      </c>
      <c r="R5604" s="1" t="s">
        <v>228</v>
      </c>
      <c r="S5604" s="1" t="s">
        <v>229</v>
      </c>
      <c r="T5604" s="1" t="s">
        <v>513</v>
      </c>
      <c r="U5604" s="1">
        <v>1.00602248E8</v>
      </c>
      <c r="X5604" s="1" t="s">
        <v>490</v>
      </c>
      <c r="Y5604" s="1" t="s">
        <v>12637</v>
      </c>
      <c r="Z5604" s="1" t="s">
        <v>37</v>
      </c>
    </row>
    <row r="5605" hidden="1">
      <c r="A5605" s="1" t="s">
        <v>15504</v>
      </c>
      <c r="B5605" s="1" t="s">
        <v>15427</v>
      </c>
      <c r="C5605" s="1" t="s">
        <v>15505</v>
      </c>
      <c r="D5605" s="1" t="s">
        <v>122</v>
      </c>
      <c r="E5605" s="1" t="s">
        <v>28</v>
      </c>
      <c r="F5605" s="2">
        <v>17000.0</v>
      </c>
      <c r="G5605" s="1" t="s">
        <v>359</v>
      </c>
      <c r="H5605" s="4">
        <f>IFERROR(__xludf.DUMMYFUNCTION("DATE(INDEX(SPLIT(G5605,""/""),,3),INDEX(SPLIT(G5605,""/""),,2),INDEX(SPLIT(G5605,""/""),,1))"),44740.0)</f>
        <v>44740</v>
      </c>
      <c r="I5605" s="1" t="s">
        <v>130</v>
      </c>
      <c r="J5605" s="4">
        <f>IFERROR(__xludf.DUMMYFUNCTION("DATE(INDEX(SPLIT(I5605,""/""),,3),INDEX(SPLIT(I5605,""/""),,2),INDEX(SPLIT(I5605,""/""),,1))"),44804.0)</f>
        <v>44804</v>
      </c>
      <c r="L5605" s="1">
        <v>0.0</v>
      </c>
      <c r="M5605" s="1" t="s">
        <v>11254</v>
      </c>
      <c r="N5605" s="1"/>
      <c r="O5605" s="1" t="s">
        <v>30</v>
      </c>
      <c r="P5605" s="1" t="s">
        <v>31</v>
      </c>
      <c r="Q5605" s="1" t="s">
        <v>228</v>
      </c>
      <c r="R5605" s="1" t="s">
        <v>228</v>
      </c>
      <c r="S5605" s="1" t="s">
        <v>229</v>
      </c>
      <c r="T5605" s="1" t="s">
        <v>513</v>
      </c>
      <c r="U5605" s="1">
        <v>1.00602248E8</v>
      </c>
      <c r="X5605" s="1" t="s">
        <v>98</v>
      </c>
      <c r="Y5605" s="1" t="s">
        <v>13638</v>
      </c>
      <c r="Z5605" s="1" t="s">
        <v>37</v>
      </c>
    </row>
    <row r="5606" hidden="1">
      <c r="A5606" s="1" t="s">
        <v>15506</v>
      </c>
      <c r="B5606" s="1" t="s">
        <v>15507</v>
      </c>
      <c r="C5606" s="1" t="s">
        <v>15508</v>
      </c>
      <c r="D5606" s="1" t="s">
        <v>27</v>
      </c>
      <c r="E5606" s="1" t="s">
        <v>28</v>
      </c>
      <c r="F5606" s="2">
        <v>17000.0</v>
      </c>
      <c r="G5606" s="1" t="s">
        <v>248</v>
      </c>
      <c r="H5606" s="4">
        <f>IFERROR(__xludf.DUMMYFUNCTION("DATE(INDEX(SPLIT(G5606,""/""),,3),INDEX(SPLIT(G5606,""/""),,2),INDEX(SPLIT(G5606,""/""),,1))"),44483.0)</f>
        <v>44483</v>
      </c>
      <c r="I5606" s="1" t="s">
        <v>42</v>
      </c>
      <c r="J5606" s="4">
        <f>IFERROR(__xludf.DUMMYFUNCTION("DATE(INDEX(SPLIT(I5606,""/""),,3),INDEX(SPLIT(I5606,""/""),,2),INDEX(SPLIT(I5606,""/""),,1))"),44926.0)</f>
        <v>44926</v>
      </c>
      <c r="L5606" s="1">
        <v>0.0</v>
      </c>
      <c r="M5606" s="1" t="s">
        <v>11254</v>
      </c>
      <c r="N5606" s="1"/>
      <c r="O5606" s="1" t="s">
        <v>30</v>
      </c>
      <c r="P5606" s="1" t="s">
        <v>31</v>
      </c>
      <c r="Q5606" s="1" t="s">
        <v>228</v>
      </c>
      <c r="R5606" s="1" t="s">
        <v>228</v>
      </c>
      <c r="S5606" s="1" t="s">
        <v>229</v>
      </c>
      <c r="T5606" s="1" t="s">
        <v>513</v>
      </c>
      <c r="U5606" s="1">
        <v>1.00602248E8</v>
      </c>
      <c r="X5606" s="1" t="s">
        <v>81</v>
      </c>
      <c r="Y5606" s="1" t="s">
        <v>13638</v>
      </c>
      <c r="Z5606" s="1" t="s">
        <v>37</v>
      </c>
    </row>
    <row r="5607" hidden="1">
      <c r="A5607" s="1" t="s">
        <v>15509</v>
      </c>
      <c r="B5607" s="1" t="s">
        <v>15510</v>
      </c>
      <c r="C5607" s="1" t="s">
        <v>15511</v>
      </c>
      <c r="D5607" s="1" t="s">
        <v>78</v>
      </c>
      <c r="E5607" s="1" t="s">
        <v>28</v>
      </c>
      <c r="F5607" s="2">
        <v>17000.0</v>
      </c>
      <c r="G5607" s="4">
        <v>44174.0</v>
      </c>
      <c r="H5607" s="4">
        <f>IFERROR(__xludf.DUMMYFUNCTION("DATE(INDEX(SPLIT(G5607,""/""),,3),INDEX(SPLIT(G5607,""/""),,2),INDEX(SPLIT(G5607,""/""),,1))"),44086.0)</f>
        <v>44086</v>
      </c>
      <c r="I5607" s="1" t="s">
        <v>109</v>
      </c>
      <c r="J5607" s="4">
        <f>IFERROR(__xludf.DUMMYFUNCTION("DATE(INDEX(SPLIT(I5607,""/""),,3),INDEX(SPLIT(I5607,""/""),,2),INDEX(SPLIT(I5607,""/""),,1))"),44834.0)</f>
        <v>44834</v>
      </c>
      <c r="L5607" s="1">
        <v>0.0</v>
      </c>
      <c r="M5607" s="1" t="s">
        <v>11254</v>
      </c>
      <c r="N5607" s="1"/>
      <c r="O5607" s="1" t="s">
        <v>30</v>
      </c>
      <c r="P5607" s="1" t="s">
        <v>31</v>
      </c>
      <c r="Q5607" s="1" t="s">
        <v>228</v>
      </c>
      <c r="R5607" s="1" t="s">
        <v>228</v>
      </c>
      <c r="S5607" s="1" t="s">
        <v>229</v>
      </c>
      <c r="T5607" s="1" t="s">
        <v>513</v>
      </c>
      <c r="U5607" s="1">
        <v>1.00602248E8</v>
      </c>
      <c r="X5607" s="1" t="s">
        <v>74</v>
      </c>
      <c r="Y5607" s="1" t="s">
        <v>12637</v>
      </c>
      <c r="Z5607" s="1" t="s">
        <v>37</v>
      </c>
    </row>
    <row r="5608" hidden="1">
      <c r="A5608" s="1" t="s">
        <v>15512</v>
      </c>
      <c r="B5608" s="1" t="s">
        <v>15513</v>
      </c>
      <c r="C5608" s="1" t="s">
        <v>15514</v>
      </c>
      <c r="D5608" s="1" t="s">
        <v>78</v>
      </c>
      <c r="E5608" s="1" t="s">
        <v>28</v>
      </c>
      <c r="F5608" s="2">
        <v>17000.0</v>
      </c>
      <c r="G5608" s="4">
        <v>44355.0</v>
      </c>
      <c r="H5608" s="4">
        <f>IFERROR(__xludf.DUMMYFUNCTION("DATE(INDEX(SPLIT(G5608,""/""),,3),INDEX(SPLIT(G5608,""/""),,2),INDEX(SPLIT(G5608,""/""),,1))"),44414.0)</f>
        <v>44414</v>
      </c>
      <c r="I5608" s="1" t="s">
        <v>447</v>
      </c>
      <c r="J5608" s="4">
        <f>IFERROR(__xludf.DUMMYFUNCTION("DATE(INDEX(SPLIT(I5608,""/""),,3),INDEX(SPLIT(I5608,""/""),,2),INDEX(SPLIT(I5608,""/""),,1))"),44910.0)</f>
        <v>44910</v>
      </c>
      <c r="L5608" s="1">
        <v>0.0</v>
      </c>
      <c r="M5608" s="1" t="s">
        <v>11254</v>
      </c>
      <c r="N5608" s="1"/>
      <c r="O5608" s="1" t="s">
        <v>30</v>
      </c>
      <c r="P5608" s="1" t="s">
        <v>31</v>
      </c>
      <c r="Q5608" s="1" t="s">
        <v>228</v>
      </c>
      <c r="R5608" s="1" t="s">
        <v>228</v>
      </c>
      <c r="S5608" s="1" t="s">
        <v>229</v>
      </c>
      <c r="U5608" s="1">
        <v>1.00602248E8</v>
      </c>
      <c r="X5608" s="1" t="s">
        <v>117</v>
      </c>
      <c r="Y5608" s="1" t="s">
        <v>12637</v>
      </c>
      <c r="Z5608" s="1" t="s">
        <v>37</v>
      </c>
    </row>
    <row r="5609" hidden="1">
      <c r="A5609" s="1" t="s">
        <v>15515</v>
      </c>
      <c r="B5609" s="1" t="s">
        <v>15516</v>
      </c>
      <c r="C5609" s="1" t="s">
        <v>15517</v>
      </c>
      <c r="D5609" s="1" t="s">
        <v>78</v>
      </c>
      <c r="E5609" s="1" t="s">
        <v>28</v>
      </c>
      <c r="F5609" s="2">
        <v>17000.0</v>
      </c>
      <c r="G5609" s="4">
        <v>44481.0</v>
      </c>
      <c r="H5609" s="4">
        <f>IFERROR(__xludf.DUMMYFUNCTION("DATE(INDEX(SPLIT(G5609,""/""),,3),INDEX(SPLIT(G5609,""/""),,2),INDEX(SPLIT(G5609,""/""),,1))"),44540.0)</f>
        <v>44540</v>
      </c>
      <c r="I5609" s="1" t="s">
        <v>109</v>
      </c>
      <c r="J5609" s="4">
        <f>IFERROR(__xludf.DUMMYFUNCTION("DATE(INDEX(SPLIT(I5609,""/""),,3),INDEX(SPLIT(I5609,""/""),,2),INDEX(SPLIT(I5609,""/""),,1))"),44834.0)</f>
        <v>44834</v>
      </c>
      <c r="L5609" s="1">
        <v>0.0</v>
      </c>
      <c r="M5609" s="1" t="s">
        <v>11254</v>
      </c>
      <c r="N5609" s="1"/>
      <c r="O5609" s="1" t="s">
        <v>30</v>
      </c>
      <c r="P5609" s="1" t="s">
        <v>31</v>
      </c>
      <c r="Q5609" s="1" t="s">
        <v>228</v>
      </c>
      <c r="R5609" s="1" t="s">
        <v>228</v>
      </c>
      <c r="S5609" s="1" t="s">
        <v>229</v>
      </c>
      <c r="T5609" s="1" t="s">
        <v>513</v>
      </c>
      <c r="U5609" s="1">
        <v>1.00602248E8</v>
      </c>
      <c r="X5609" s="1" t="s">
        <v>74</v>
      </c>
      <c r="Y5609" s="1" t="s">
        <v>13638</v>
      </c>
      <c r="Z5609" s="1" t="s">
        <v>37</v>
      </c>
    </row>
    <row r="5610" hidden="1">
      <c r="A5610" s="1" t="s">
        <v>15518</v>
      </c>
      <c r="B5610" s="1" t="s">
        <v>15519</v>
      </c>
      <c r="C5610" s="1" t="s">
        <v>15520</v>
      </c>
      <c r="D5610" s="1" t="s">
        <v>27</v>
      </c>
      <c r="E5610" s="1" t="s">
        <v>28</v>
      </c>
      <c r="F5610" s="2">
        <v>17000.0</v>
      </c>
      <c r="G5610" s="4">
        <v>44481.0</v>
      </c>
      <c r="H5610" s="4">
        <f>IFERROR(__xludf.DUMMYFUNCTION("DATE(INDEX(SPLIT(G5610,""/""),,3),INDEX(SPLIT(G5610,""/""),,2),INDEX(SPLIT(G5610,""/""),,1))"),44540.0)</f>
        <v>44540</v>
      </c>
      <c r="I5610" s="1" t="s">
        <v>42</v>
      </c>
      <c r="J5610" s="4">
        <f>IFERROR(__xludf.DUMMYFUNCTION("DATE(INDEX(SPLIT(I5610,""/""),,3),INDEX(SPLIT(I5610,""/""),,2),INDEX(SPLIT(I5610,""/""),,1))"),44926.0)</f>
        <v>44926</v>
      </c>
      <c r="L5610" s="1">
        <v>0.0</v>
      </c>
      <c r="M5610" s="1" t="s">
        <v>11254</v>
      </c>
      <c r="N5610" s="1"/>
      <c r="O5610" s="1" t="s">
        <v>30</v>
      </c>
      <c r="P5610" s="1" t="s">
        <v>31</v>
      </c>
      <c r="Q5610" s="1" t="s">
        <v>228</v>
      </c>
      <c r="R5610" s="1" t="s">
        <v>228</v>
      </c>
      <c r="S5610" s="1" t="s">
        <v>229</v>
      </c>
      <c r="T5610" s="1" t="s">
        <v>513</v>
      </c>
      <c r="U5610" s="1">
        <v>1.00602248E8</v>
      </c>
      <c r="X5610" s="1" t="s">
        <v>125</v>
      </c>
      <c r="Y5610" s="1" t="s">
        <v>12640</v>
      </c>
      <c r="Z5610" s="1" t="s">
        <v>37</v>
      </c>
    </row>
    <row r="5611" hidden="1">
      <c r="A5611" s="1" t="s">
        <v>15521</v>
      </c>
      <c r="B5611" s="1" t="s">
        <v>15522</v>
      </c>
      <c r="C5611" s="1" t="s">
        <v>15523</v>
      </c>
      <c r="D5611" s="1" t="s">
        <v>27</v>
      </c>
      <c r="E5611" s="1" t="s">
        <v>28</v>
      </c>
      <c r="F5611" s="2">
        <v>17000.0</v>
      </c>
      <c r="G5611" s="4">
        <v>44481.0</v>
      </c>
      <c r="H5611" s="4">
        <f>IFERROR(__xludf.DUMMYFUNCTION("DATE(INDEX(SPLIT(G5611,""/""),,3),INDEX(SPLIT(G5611,""/""),,2),INDEX(SPLIT(G5611,""/""),,1))"),44540.0)</f>
        <v>44540</v>
      </c>
      <c r="I5611" s="1" t="s">
        <v>42</v>
      </c>
      <c r="J5611" s="4">
        <f>IFERROR(__xludf.DUMMYFUNCTION("DATE(INDEX(SPLIT(I5611,""/""),,3),INDEX(SPLIT(I5611,""/""),,2),INDEX(SPLIT(I5611,""/""),,1))"),44926.0)</f>
        <v>44926</v>
      </c>
      <c r="L5611" s="1">
        <v>0.0</v>
      </c>
      <c r="M5611" s="1" t="s">
        <v>11254</v>
      </c>
      <c r="N5611" s="1"/>
      <c r="O5611" s="1" t="s">
        <v>30</v>
      </c>
      <c r="P5611" s="1" t="s">
        <v>31</v>
      </c>
      <c r="Q5611" s="1" t="s">
        <v>228</v>
      </c>
      <c r="R5611" s="1" t="s">
        <v>228</v>
      </c>
      <c r="S5611" s="1" t="s">
        <v>229</v>
      </c>
      <c r="T5611" s="1" t="s">
        <v>513</v>
      </c>
      <c r="U5611" s="1">
        <v>1.00602248E8</v>
      </c>
      <c r="X5611" s="1" t="s">
        <v>468</v>
      </c>
      <c r="Y5611" s="1" t="s">
        <v>13638</v>
      </c>
      <c r="Z5611" s="1" t="s">
        <v>37</v>
      </c>
    </row>
    <row r="5612" hidden="1">
      <c r="A5612" s="1" t="s">
        <v>15524</v>
      </c>
      <c r="B5612" s="1" t="s">
        <v>15525</v>
      </c>
      <c r="C5612" s="1" t="s">
        <v>15526</v>
      </c>
      <c r="D5612" s="1" t="s">
        <v>78</v>
      </c>
      <c r="E5612" s="1" t="s">
        <v>28</v>
      </c>
      <c r="F5612" s="2">
        <v>17000.0</v>
      </c>
      <c r="G5612" s="1" t="s">
        <v>586</v>
      </c>
      <c r="H5612" s="4">
        <f>IFERROR(__xludf.DUMMYFUNCTION("DATE(INDEX(SPLIT(G5612,""/""),,3),INDEX(SPLIT(G5612,""/""),,2),INDEX(SPLIT(G5612,""/""),,1))"),44726.0)</f>
        <v>44726</v>
      </c>
      <c r="I5612" s="1" t="s">
        <v>42</v>
      </c>
      <c r="J5612" s="4">
        <f>IFERROR(__xludf.DUMMYFUNCTION("DATE(INDEX(SPLIT(I5612,""/""),,3),INDEX(SPLIT(I5612,""/""),,2),INDEX(SPLIT(I5612,""/""),,1))"),44926.0)</f>
        <v>44926</v>
      </c>
      <c r="L5612" s="1">
        <v>0.0</v>
      </c>
      <c r="M5612" s="1" t="s">
        <v>11254</v>
      </c>
      <c r="N5612" s="1"/>
      <c r="O5612" s="1" t="s">
        <v>30</v>
      </c>
      <c r="P5612" s="1" t="s">
        <v>31</v>
      </c>
      <c r="Q5612" s="1" t="s">
        <v>228</v>
      </c>
      <c r="R5612" s="1" t="s">
        <v>228</v>
      </c>
      <c r="S5612" s="1" t="s">
        <v>229</v>
      </c>
      <c r="T5612" s="1" t="s">
        <v>14924</v>
      </c>
      <c r="U5612" s="1">
        <v>1.00602248E8</v>
      </c>
      <c r="X5612" s="1" t="s">
        <v>63</v>
      </c>
      <c r="Y5612" s="1" t="s">
        <v>12640</v>
      </c>
      <c r="Z5612" s="1" t="s">
        <v>37</v>
      </c>
    </row>
    <row r="5613" hidden="1">
      <c r="A5613" s="1" t="s">
        <v>15527</v>
      </c>
      <c r="B5613" s="1" t="s">
        <v>15528</v>
      </c>
      <c r="C5613" s="1" t="s">
        <v>15529</v>
      </c>
      <c r="D5613" s="1" t="s">
        <v>78</v>
      </c>
      <c r="E5613" s="1" t="s">
        <v>28</v>
      </c>
      <c r="F5613" s="2">
        <v>17000.0</v>
      </c>
      <c r="G5613" s="1" t="s">
        <v>225</v>
      </c>
      <c r="H5613" s="4">
        <f>IFERROR(__xludf.DUMMYFUNCTION("DATE(INDEX(SPLIT(G5613,""/""),,3),INDEX(SPLIT(G5613,""/""),,2),INDEX(SPLIT(G5613,""/""),,1))"),44518.0)</f>
        <v>44518</v>
      </c>
      <c r="I5613" s="1" t="s">
        <v>42</v>
      </c>
      <c r="J5613" s="4">
        <f>IFERROR(__xludf.DUMMYFUNCTION("DATE(INDEX(SPLIT(I5613,""/""),,3),INDEX(SPLIT(I5613,""/""),,2),INDEX(SPLIT(I5613,""/""),,1))"),44926.0)</f>
        <v>44926</v>
      </c>
      <c r="L5613" s="1">
        <v>0.0</v>
      </c>
      <c r="M5613" s="1" t="s">
        <v>11254</v>
      </c>
      <c r="N5613" s="1"/>
      <c r="O5613" s="1" t="s">
        <v>30</v>
      </c>
      <c r="P5613" s="1" t="s">
        <v>31</v>
      </c>
      <c r="Q5613" s="1" t="s">
        <v>228</v>
      </c>
      <c r="R5613" s="1" t="s">
        <v>228</v>
      </c>
      <c r="S5613" s="1" t="s">
        <v>229</v>
      </c>
      <c r="T5613" s="1" t="s">
        <v>14924</v>
      </c>
      <c r="U5613" s="1">
        <v>1.00602248E8</v>
      </c>
      <c r="X5613" s="1" t="s">
        <v>63</v>
      </c>
      <c r="Y5613" s="1" t="s">
        <v>13638</v>
      </c>
      <c r="Z5613" s="1" t="s">
        <v>37</v>
      </c>
    </row>
    <row r="5614" hidden="1">
      <c r="A5614" s="1" t="s">
        <v>15530</v>
      </c>
      <c r="B5614" s="1" t="s">
        <v>11610</v>
      </c>
      <c r="C5614" s="1" t="s">
        <v>15531</v>
      </c>
      <c r="D5614" s="1" t="s">
        <v>27</v>
      </c>
      <c r="E5614" s="1" t="s">
        <v>28</v>
      </c>
      <c r="F5614" s="2">
        <v>17000.0</v>
      </c>
      <c r="G5614" s="4">
        <v>44599.0</v>
      </c>
      <c r="H5614" s="4">
        <f>IFERROR(__xludf.DUMMYFUNCTION("DATE(INDEX(SPLIT(G5614,""/""),,3),INDEX(SPLIT(G5614,""/""),,2),INDEX(SPLIT(G5614,""/""),,1))"),44744.0)</f>
        <v>44744</v>
      </c>
      <c r="I5614" s="1" t="s">
        <v>1097</v>
      </c>
      <c r="J5614" s="4">
        <f>IFERROR(__xludf.DUMMYFUNCTION("DATE(INDEX(SPLIT(I5614,""/""),,3),INDEX(SPLIT(I5614,""/""),,2),INDEX(SPLIT(I5614,""/""),,1))"),45107.0)</f>
        <v>45107</v>
      </c>
      <c r="L5614" s="1">
        <v>0.0</v>
      </c>
      <c r="M5614" s="1" t="s">
        <v>12039</v>
      </c>
      <c r="N5614" s="1"/>
      <c r="O5614" s="1" t="s">
        <v>30</v>
      </c>
      <c r="P5614" s="1" t="s">
        <v>31</v>
      </c>
      <c r="Q5614" s="1" t="s">
        <v>228</v>
      </c>
      <c r="R5614" s="1" t="s">
        <v>228</v>
      </c>
      <c r="S5614" s="1" t="s">
        <v>229</v>
      </c>
      <c r="T5614" s="1" t="s">
        <v>513</v>
      </c>
      <c r="U5614" s="1">
        <v>1.00612509E8</v>
      </c>
      <c r="X5614" s="1" t="s">
        <v>74</v>
      </c>
      <c r="Y5614" s="1" t="s">
        <v>12640</v>
      </c>
      <c r="Z5614" s="1" t="s">
        <v>37</v>
      </c>
    </row>
    <row r="5615" hidden="1">
      <c r="A5615" s="1" t="s">
        <v>15532</v>
      </c>
      <c r="B5615" s="1" t="s">
        <v>4884</v>
      </c>
      <c r="C5615" s="1" t="s">
        <v>15533</v>
      </c>
      <c r="D5615" s="1" t="s">
        <v>27</v>
      </c>
      <c r="E5615" s="1" t="s">
        <v>28</v>
      </c>
      <c r="F5615" s="2">
        <v>17000.0</v>
      </c>
      <c r="G5615" s="4">
        <v>44599.0</v>
      </c>
      <c r="H5615" s="4">
        <f>IFERROR(__xludf.DUMMYFUNCTION("DATE(INDEX(SPLIT(G5615,""/""),,3),INDEX(SPLIT(G5615,""/""),,2),INDEX(SPLIT(G5615,""/""),,1))"),44744.0)</f>
        <v>44744</v>
      </c>
      <c r="I5615" s="1" t="s">
        <v>203</v>
      </c>
      <c r="J5615" s="4">
        <f>IFERROR(__xludf.DUMMYFUNCTION("DATE(INDEX(SPLIT(I5615,""/""),,3),INDEX(SPLIT(I5615,""/""),,2),INDEX(SPLIT(I5615,""/""),,1))"),44925.0)</f>
        <v>44925</v>
      </c>
      <c r="L5615" s="1">
        <v>0.0</v>
      </c>
      <c r="M5615" s="1" t="s">
        <v>11254</v>
      </c>
      <c r="N5615" s="1"/>
      <c r="O5615" s="1" t="s">
        <v>30</v>
      </c>
      <c r="P5615" s="1" t="s">
        <v>31</v>
      </c>
      <c r="Q5615" s="1" t="s">
        <v>228</v>
      </c>
      <c r="R5615" s="1" t="s">
        <v>228</v>
      </c>
      <c r="S5615" s="1" t="s">
        <v>229</v>
      </c>
      <c r="T5615" s="1" t="s">
        <v>513</v>
      </c>
      <c r="U5615" s="1">
        <v>1.00602248E8</v>
      </c>
      <c r="X5615" s="1" t="s">
        <v>74</v>
      </c>
      <c r="Y5615" s="1" t="s">
        <v>14932</v>
      </c>
      <c r="Z5615" s="1" t="s">
        <v>37</v>
      </c>
    </row>
    <row r="5616" hidden="1">
      <c r="A5616" s="1" t="s">
        <v>15534</v>
      </c>
      <c r="B5616" s="1" t="s">
        <v>15535</v>
      </c>
      <c r="C5616" s="1" t="s">
        <v>15536</v>
      </c>
      <c r="D5616" s="1" t="s">
        <v>78</v>
      </c>
      <c r="E5616" s="1" t="s">
        <v>28</v>
      </c>
      <c r="F5616" s="2">
        <v>17000.0</v>
      </c>
      <c r="G5616" s="1" t="s">
        <v>2025</v>
      </c>
      <c r="H5616" s="4">
        <f>IFERROR(__xludf.DUMMYFUNCTION("DATE(INDEX(SPLIT(G5616,""/""),,3),INDEX(SPLIT(G5616,""/""),,2),INDEX(SPLIT(G5616,""/""),,1))"),44664.0)</f>
        <v>44664</v>
      </c>
      <c r="I5616" s="1" t="s">
        <v>203</v>
      </c>
      <c r="J5616" s="4">
        <f>IFERROR(__xludf.DUMMYFUNCTION("DATE(INDEX(SPLIT(I5616,""/""),,3),INDEX(SPLIT(I5616,""/""),,2),INDEX(SPLIT(I5616,""/""),,1))"),44925.0)</f>
        <v>44925</v>
      </c>
      <c r="L5616" s="1">
        <v>0.0</v>
      </c>
      <c r="M5616" s="1" t="s">
        <v>11254</v>
      </c>
      <c r="N5616" s="1"/>
      <c r="O5616" s="1" t="s">
        <v>30</v>
      </c>
      <c r="P5616" s="1" t="s">
        <v>31</v>
      </c>
      <c r="Q5616" s="1" t="s">
        <v>228</v>
      </c>
      <c r="R5616" s="1" t="s">
        <v>228</v>
      </c>
      <c r="S5616" s="1" t="s">
        <v>229</v>
      </c>
      <c r="T5616" s="1" t="s">
        <v>513</v>
      </c>
      <c r="U5616" s="1">
        <v>1.00602248E8</v>
      </c>
      <c r="X5616" s="1" t="s">
        <v>609</v>
      </c>
      <c r="Y5616" s="1" t="s">
        <v>12637</v>
      </c>
      <c r="Z5616" s="1" t="s">
        <v>37</v>
      </c>
    </row>
    <row r="5617" hidden="1">
      <c r="A5617" s="1" t="s">
        <v>15537</v>
      </c>
      <c r="B5617" s="1" t="s">
        <v>8654</v>
      </c>
      <c r="C5617" s="1" t="s">
        <v>15538</v>
      </c>
      <c r="D5617" s="1" t="s">
        <v>78</v>
      </c>
      <c r="E5617" s="1" t="s">
        <v>28</v>
      </c>
      <c r="F5617" s="2">
        <v>17000.0</v>
      </c>
      <c r="G5617" s="1" t="s">
        <v>1251</v>
      </c>
      <c r="H5617" s="4">
        <f>IFERROR(__xludf.DUMMYFUNCTION("DATE(INDEX(SPLIT(G5617,""/""),,3),INDEX(SPLIT(G5617,""/""),,2),INDEX(SPLIT(G5617,""/""),,1))"),44454.0)</f>
        <v>44454</v>
      </c>
      <c r="I5617" s="1" t="s">
        <v>109</v>
      </c>
      <c r="J5617" s="4">
        <f>IFERROR(__xludf.DUMMYFUNCTION("DATE(INDEX(SPLIT(I5617,""/""),,3),INDEX(SPLIT(I5617,""/""),,2),INDEX(SPLIT(I5617,""/""),,1))"),44834.0)</f>
        <v>44834</v>
      </c>
      <c r="L5617" s="1">
        <v>0.0</v>
      </c>
      <c r="M5617" s="1" t="s">
        <v>11254</v>
      </c>
      <c r="N5617" s="1"/>
      <c r="O5617" s="1" t="s">
        <v>30</v>
      </c>
      <c r="P5617" s="1" t="s">
        <v>31</v>
      </c>
      <c r="Q5617" s="1" t="s">
        <v>228</v>
      </c>
      <c r="R5617" s="1" t="s">
        <v>228</v>
      </c>
      <c r="S5617" s="1" t="s">
        <v>229</v>
      </c>
      <c r="T5617" s="1" t="s">
        <v>513</v>
      </c>
      <c r="U5617" s="1">
        <v>1.00602248E8</v>
      </c>
      <c r="X5617" s="1" t="s">
        <v>74</v>
      </c>
      <c r="Y5617" s="1" t="s">
        <v>12637</v>
      </c>
      <c r="Z5617" s="1" t="s">
        <v>37</v>
      </c>
    </row>
    <row r="5618" hidden="1">
      <c r="A5618" s="1" t="s">
        <v>15539</v>
      </c>
      <c r="B5618" s="1" t="s">
        <v>15540</v>
      </c>
      <c r="C5618" s="1" t="s">
        <v>15541</v>
      </c>
      <c r="D5618" s="1" t="s">
        <v>27</v>
      </c>
      <c r="E5618" s="1" t="s">
        <v>28</v>
      </c>
      <c r="F5618" s="2">
        <v>17000.0</v>
      </c>
      <c r="G5618" s="4">
        <v>44296.0</v>
      </c>
      <c r="H5618" s="4">
        <f>IFERROR(__xludf.DUMMYFUNCTION("DATE(INDEX(SPLIT(G5618,""/""),,3),INDEX(SPLIT(G5618,""/""),,2),INDEX(SPLIT(G5618,""/""),,1))"),44473.0)</f>
        <v>44473</v>
      </c>
      <c r="I5618" s="1" t="s">
        <v>42</v>
      </c>
      <c r="J5618" s="4">
        <f>IFERROR(__xludf.DUMMYFUNCTION("DATE(INDEX(SPLIT(I5618,""/""),,3),INDEX(SPLIT(I5618,""/""),,2),INDEX(SPLIT(I5618,""/""),,1))"),44926.0)</f>
        <v>44926</v>
      </c>
      <c r="L5618" s="1">
        <v>0.0</v>
      </c>
      <c r="M5618" s="1" t="s">
        <v>11254</v>
      </c>
      <c r="N5618" s="1"/>
      <c r="O5618" s="1" t="s">
        <v>30</v>
      </c>
      <c r="P5618" s="1" t="s">
        <v>31</v>
      </c>
      <c r="Q5618" s="1" t="s">
        <v>228</v>
      </c>
      <c r="R5618" s="1" t="s">
        <v>228</v>
      </c>
      <c r="S5618" s="1" t="s">
        <v>229</v>
      </c>
      <c r="T5618" s="1" t="s">
        <v>513</v>
      </c>
      <c r="U5618" s="1">
        <v>1.00602248E8</v>
      </c>
      <c r="X5618" s="1" t="s">
        <v>312</v>
      </c>
      <c r="Y5618" s="1" t="s">
        <v>13638</v>
      </c>
      <c r="Z5618" s="1" t="s">
        <v>37</v>
      </c>
    </row>
    <row r="5619" hidden="1">
      <c r="A5619" s="1" t="s">
        <v>15542</v>
      </c>
      <c r="B5619" s="1" t="s">
        <v>6959</v>
      </c>
      <c r="C5619" s="1" t="s">
        <v>15543</v>
      </c>
      <c r="D5619" s="1" t="s">
        <v>78</v>
      </c>
      <c r="E5619" s="1" t="s">
        <v>28</v>
      </c>
      <c r="F5619" s="2">
        <v>17000.0</v>
      </c>
      <c r="G5619" s="4">
        <v>44420.0</v>
      </c>
      <c r="H5619" s="4">
        <f>IFERROR(__xludf.DUMMYFUNCTION("DATE(INDEX(SPLIT(G5619,""/""),,3),INDEX(SPLIT(G5619,""/""),,2),INDEX(SPLIT(G5619,""/""),,1))"),44538.0)</f>
        <v>44538</v>
      </c>
      <c r="I5619" s="1" t="s">
        <v>109</v>
      </c>
      <c r="J5619" s="4">
        <f>IFERROR(__xludf.DUMMYFUNCTION("DATE(INDEX(SPLIT(I5619,""/""),,3),INDEX(SPLIT(I5619,""/""),,2),INDEX(SPLIT(I5619,""/""),,1))"),44834.0)</f>
        <v>44834</v>
      </c>
      <c r="L5619" s="1">
        <v>0.0</v>
      </c>
      <c r="M5619" s="1" t="s">
        <v>11254</v>
      </c>
      <c r="N5619" s="1"/>
      <c r="O5619" s="1" t="s">
        <v>30</v>
      </c>
      <c r="P5619" s="1" t="s">
        <v>31</v>
      </c>
      <c r="Q5619" s="1" t="s">
        <v>228</v>
      </c>
      <c r="R5619" s="1" t="s">
        <v>228</v>
      </c>
      <c r="S5619" s="1" t="s">
        <v>229</v>
      </c>
      <c r="T5619" s="1" t="s">
        <v>513</v>
      </c>
      <c r="U5619" s="1">
        <v>1.00602248E8</v>
      </c>
      <c r="X5619" s="1" t="s">
        <v>254</v>
      </c>
      <c r="Y5619" s="1" t="s">
        <v>13638</v>
      </c>
      <c r="Z5619" s="1" t="s">
        <v>37</v>
      </c>
    </row>
    <row r="5620" hidden="1">
      <c r="A5620" s="1" t="s">
        <v>15544</v>
      </c>
      <c r="B5620" s="1" t="s">
        <v>5325</v>
      </c>
      <c r="C5620" s="1" t="s">
        <v>15545</v>
      </c>
      <c r="D5620" s="1" t="s">
        <v>78</v>
      </c>
      <c r="E5620" s="1" t="s">
        <v>28</v>
      </c>
      <c r="F5620" s="2">
        <v>17000.0</v>
      </c>
      <c r="G5620" s="1" t="s">
        <v>4242</v>
      </c>
      <c r="H5620" s="4">
        <f>IFERROR(__xludf.DUMMYFUNCTION("DATE(INDEX(SPLIT(G5620,""/""),,3),INDEX(SPLIT(G5620,""/""),,2),INDEX(SPLIT(G5620,""/""),,1))"),44285.0)</f>
        <v>44285</v>
      </c>
      <c r="I5620" s="1" t="s">
        <v>203</v>
      </c>
      <c r="J5620" s="4">
        <f>IFERROR(__xludf.DUMMYFUNCTION("DATE(INDEX(SPLIT(I5620,""/""),,3),INDEX(SPLIT(I5620,""/""),,2),INDEX(SPLIT(I5620,""/""),,1))"),44925.0)</f>
        <v>44925</v>
      </c>
      <c r="L5620" s="1">
        <v>0.0</v>
      </c>
      <c r="M5620" s="1" t="s">
        <v>11254</v>
      </c>
      <c r="N5620" s="1"/>
      <c r="O5620" s="1" t="s">
        <v>30</v>
      </c>
      <c r="P5620" s="1" t="s">
        <v>31</v>
      </c>
      <c r="Q5620" s="1" t="s">
        <v>228</v>
      </c>
      <c r="R5620" s="1" t="s">
        <v>228</v>
      </c>
      <c r="S5620" s="1" t="s">
        <v>229</v>
      </c>
      <c r="U5620" s="1">
        <v>1.00602248E8</v>
      </c>
      <c r="X5620" s="1" t="s">
        <v>490</v>
      </c>
      <c r="Y5620" s="1" t="s">
        <v>12637</v>
      </c>
      <c r="Z5620" s="1" t="s">
        <v>37</v>
      </c>
    </row>
    <row r="5621" hidden="1">
      <c r="A5621" s="1" t="s">
        <v>15546</v>
      </c>
      <c r="B5621" s="1" t="s">
        <v>15547</v>
      </c>
      <c r="C5621" s="1" t="s">
        <v>15548</v>
      </c>
      <c r="D5621" s="1" t="s">
        <v>78</v>
      </c>
      <c r="E5621" s="1" t="s">
        <v>28</v>
      </c>
      <c r="F5621" s="2">
        <v>17000.0</v>
      </c>
      <c r="G5621" s="4">
        <v>44420.0</v>
      </c>
      <c r="H5621" s="4">
        <f>IFERROR(__xludf.DUMMYFUNCTION("DATE(INDEX(SPLIT(G5621,""/""),,3),INDEX(SPLIT(G5621,""/""),,2),INDEX(SPLIT(G5621,""/""),,1))"),44538.0)</f>
        <v>44538</v>
      </c>
      <c r="I5621" s="1" t="s">
        <v>42</v>
      </c>
      <c r="J5621" s="4">
        <f>IFERROR(__xludf.DUMMYFUNCTION("DATE(INDEX(SPLIT(I5621,""/""),,3),INDEX(SPLIT(I5621,""/""),,2),INDEX(SPLIT(I5621,""/""),,1))"),44926.0)</f>
        <v>44926</v>
      </c>
      <c r="L5621" s="1">
        <v>0.0</v>
      </c>
      <c r="M5621" s="1" t="s">
        <v>11254</v>
      </c>
      <c r="N5621" s="1"/>
      <c r="O5621" s="1" t="s">
        <v>30</v>
      </c>
      <c r="P5621" s="1" t="s">
        <v>31</v>
      </c>
      <c r="Q5621" s="1" t="s">
        <v>228</v>
      </c>
      <c r="R5621" s="1" t="s">
        <v>228</v>
      </c>
      <c r="S5621" s="1" t="s">
        <v>229</v>
      </c>
      <c r="T5621" s="1" t="s">
        <v>14924</v>
      </c>
      <c r="U5621" s="1">
        <v>1.00602248E8</v>
      </c>
      <c r="X5621" s="1" t="s">
        <v>88</v>
      </c>
      <c r="Y5621" s="1" t="s">
        <v>13638</v>
      </c>
      <c r="Z5621" s="1" t="s">
        <v>37</v>
      </c>
    </row>
    <row r="5622" hidden="1">
      <c r="A5622" s="1" t="s">
        <v>15549</v>
      </c>
      <c r="B5622" s="1" t="s">
        <v>15550</v>
      </c>
      <c r="C5622" s="1" t="s">
        <v>15551</v>
      </c>
      <c r="D5622" s="1" t="s">
        <v>27</v>
      </c>
      <c r="E5622" s="1" t="s">
        <v>28</v>
      </c>
      <c r="F5622" s="2">
        <v>17000.0</v>
      </c>
      <c r="G5622" s="1" t="s">
        <v>1598</v>
      </c>
      <c r="H5622" s="4">
        <f>IFERROR(__xludf.DUMMYFUNCTION("DATE(INDEX(SPLIT(G5622,""/""),,3),INDEX(SPLIT(G5622,""/""),,2),INDEX(SPLIT(G5622,""/""),,1))"),44461.0)</f>
        <v>44461</v>
      </c>
      <c r="I5622" s="1" t="s">
        <v>42</v>
      </c>
      <c r="J5622" s="4">
        <f>IFERROR(__xludf.DUMMYFUNCTION("DATE(INDEX(SPLIT(I5622,""/""),,3),INDEX(SPLIT(I5622,""/""),,2),INDEX(SPLIT(I5622,""/""),,1))"),44926.0)</f>
        <v>44926</v>
      </c>
      <c r="L5622" s="1">
        <v>0.0</v>
      </c>
      <c r="M5622" s="1" t="s">
        <v>11254</v>
      </c>
      <c r="N5622" s="1"/>
      <c r="O5622" s="1" t="s">
        <v>30</v>
      </c>
      <c r="P5622" s="1" t="s">
        <v>31</v>
      </c>
      <c r="Q5622" s="1" t="s">
        <v>228</v>
      </c>
      <c r="R5622" s="1" t="s">
        <v>228</v>
      </c>
      <c r="S5622" s="1" t="s">
        <v>229</v>
      </c>
      <c r="T5622" s="1" t="s">
        <v>513</v>
      </c>
      <c r="U5622" s="1">
        <v>1.00602248E8</v>
      </c>
      <c r="X5622" s="1" t="s">
        <v>63</v>
      </c>
      <c r="Y5622" s="1" t="s">
        <v>13638</v>
      </c>
      <c r="Z5622" s="1" t="s">
        <v>37</v>
      </c>
    </row>
    <row r="5623" hidden="1">
      <c r="A5623" s="1" t="s">
        <v>15552</v>
      </c>
      <c r="B5623" s="1" t="s">
        <v>15553</v>
      </c>
      <c r="C5623" s="1" t="s">
        <v>15554</v>
      </c>
      <c r="D5623" s="1" t="s">
        <v>27</v>
      </c>
      <c r="E5623" s="1" t="s">
        <v>28</v>
      </c>
      <c r="F5623" s="2">
        <v>17000.0</v>
      </c>
      <c r="G5623" s="1" t="s">
        <v>2963</v>
      </c>
      <c r="H5623" s="4">
        <f>IFERROR(__xludf.DUMMYFUNCTION("DATE(INDEX(SPLIT(G5623,""/""),,3),INDEX(SPLIT(G5623,""/""),,2),INDEX(SPLIT(G5623,""/""),,1))"),44524.0)</f>
        <v>44524</v>
      </c>
      <c r="I5623" s="1" t="s">
        <v>42</v>
      </c>
      <c r="J5623" s="4">
        <f>IFERROR(__xludf.DUMMYFUNCTION("DATE(INDEX(SPLIT(I5623,""/""),,3),INDEX(SPLIT(I5623,""/""),,2),INDEX(SPLIT(I5623,""/""),,1))"),44926.0)</f>
        <v>44926</v>
      </c>
      <c r="L5623" s="1">
        <v>0.0</v>
      </c>
      <c r="M5623" s="1" t="s">
        <v>11254</v>
      </c>
      <c r="N5623" s="1"/>
      <c r="O5623" s="1" t="s">
        <v>30</v>
      </c>
      <c r="P5623" s="1" t="s">
        <v>31</v>
      </c>
      <c r="Q5623" s="1" t="s">
        <v>228</v>
      </c>
      <c r="R5623" s="1" t="s">
        <v>228</v>
      </c>
      <c r="S5623" s="1" t="s">
        <v>229</v>
      </c>
      <c r="T5623" s="1" t="s">
        <v>15555</v>
      </c>
      <c r="U5623" s="1">
        <v>1.00602248E8</v>
      </c>
      <c r="X5623" s="1" t="s">
        <v>490</v>
      </c>
      <c r="Y5623" s="1" t="s">
        <v>13638</v>
      </c>
      <c r="Z5623" s="1" t="s">
        <v>37</v>
      </c>
    </row>
    <row r="5624" hidden="1">
      <c r="A5624" s="1" t="s">
        <v>15556</v>
      </c>
      <c r="B5624" s="1" t="s">
        <v>15557</v>
      </c>
      <c r="C5624" s="1" t="s">
        <v>15558</v>
      </c>
      <c r="D5624" s="1" t="s">
        <v>27</v>
      </c>
      <c r="E5624" s="1" t="s">
        <v>28</v>
      </c>
      <c r="F5624" s="2">
        <v>17000.0</v>
      </c>
      <c r="G5624" s="1" t="s">
        <v>1598</v>
      </c>
      <c r="H5624" s="4">
        <f>IFERROR(__xludf.DUMMYFUNCTION("DATE(INDEX(SPLIT(G5624,""/""),,3),INDEX(SPLIT(G5624,""/""),,2),INDEX(SPLIT(G5624,""/""),,1))"),44461.0)</f>
        <v>44461</v>
      </c>
      <c r="I5624" s="1" t="s">
        <v>42</v>
      </c>
      <c r="J5624" s="4">
        <f>IFERROR(__xludf.DUMMYFUNCTION("DATE(INDEX(SPLIT(I5624,""/""),,3),INDEX(SPLIT(I5624,""/""),,2),INDEX(SPLIT(I5624,""/""),,1))"),44926.0)</f>
        <v>44926</v>
      </c>
      <c r="L5624" s="1">
        <v>0.0</v>
      </c>
      <c r="M5624" s="1" t="s">
        <v>11254</v>
      </c>
      <c r="N5624" s="1"/>
      <c r="O5624" s="1" t="s">
        <v>30</v>
      </c>
      <c r="P5624" s="1" t="s">
        <v>31</v>
      </c>
      <c r="Q5624" s="1" t="s">
        <v>228</v>
      </c>
      <c r="R5624" s="1" t="s">
        <v>228</v>
      </c>
      <c r="S5624" s="1" t="s">
        <v>229</v>
      </c>
      <c r="T5624" s="1" t="s">
        <v>513</v>
      </c>
      <c r="U5624" s="1">
        <v>1.00602248E8</v>
      </c>
      <c r="X5624" s="1" t="s">
        <v>2028</v>
      </c>
      <c r="Y5624" s="1" t="s">
        <v>13638</v>
      </c>
      <c r="Z5624" s="1" t="s">
        <v>37</v>
      </c>
    </row>
    <row r="5625" hidden="1">
      <c r="A5625" s="1" t="s">
        <v>15559</v>
      </c>
      <c r="B5625" s="1" t="s">
        <v>1105</v>
      </c>
      <c r="C5625" s="1" t="s">
        <v>15560</v>
      </c>
      <c r="D5625" s="1" t="s">
        <v>27</v>
      </c>
      <c r="E5625" s="1" t="s">
        <v>28</v>
      </c>
      <c r="F5625" s="2">
        <v>17000.0</v>
      </c>
      <c r="G5625" s="1" t="s">
        <v>1012</v>
      </c>
      <c r="H5625" s="4">
        <f>IFERROR(__xludf.DUMMYFUNCTION("DATE(INDEX(SPLIT(G5625,""/""),,3),INDEX(SPLIT(G5625,""/""),,2),INDEX(SPLIT(G5625,""/""),,1))"),44496.0)</f>
        <v>44496</v>
      </c>
      <c r="I5625" s="1" t="s">
        <v>42</v>
      </c>
      <c r="J5625" s="4">
        <f>IFERROR(__xludf.DUMMYFUNCTION("DATE(INDEX(SPLIT(I5625,""/""),,3),INDEX(SPLIT(I5625,""/""),,2),INDEX(SPLIT(I5625,""/""),,1))"),44926.0)</f>
        <v>44926</v>
      </c>
      <c r="L5625" s="1">
        <v>0.0</v>
      </c>
      <c r="M5625" s="1" t="s">
        <v>11254</v>
      </c>
      <c r="N5625" s="1"/>
      <c r="O5625" s="1" t="s">
        <v>30</v>
      </c>
      <c r="P5625" s="1" t="s">
        <v>31</v>
      </c>
      <c r="Q5625" s="1" t="s">
        <v>228</v>
      </c>
      <c r="R5625" s="1" t="s">
        <v>228</v>
      </c>
      <c r="S5625" s="1" t="s">
        <v>229</v>
      </c>
      <c r="T5625" s="1" t="s">
        <v>513</v>
      </c>
      <c r="U5625" s="1">
        <v>1.00602248E8</v>
      </c>
      <c r="X5625" s="1" t="s">
        <v>63</v>
      </c>
      <c r="Y5625" s="1" t="s">
        <v>13638</v>
      </c>
      <c r="Z5625" s="1" t="s">
        <v>37</v>
      </c>
    </row>
    <row r="5626" hidden="1">
      <c r="A5626" s="1" t="s">
        <v>15561</v>
      </c>
      <c r="B5626" s="1" t="s">
        <v>540</v>
      </c>
      <c r="C5626" s="1" t="s">
        <v>15562</v>
      </c>
      <c r="D5626" s="1" t="s">
        <v>27</v>
      </c>
      <c r="E5626" s="1" t="s">
        <v>28</v>
      </c>
      <c r="F5626" s="2">
        <v>17000.0</v>
      </c>
      <c r="G5626" s="4">
        <v>44297.0</v>
      </c>
      <c r="H5626" s="4">
        <f>IFERROR(__xludf.DUMMYFUNCTION("DATE(INDEX(SPLIT(G5626,""/""),,3),INDEX(SPLIT(G5626,""/""),,2),INDEX(SPLIT(G5626,""/""),,1))"),44504.0)</f>
        <v>44504</v>
      </c>
      <c r="I5626" s="1" t="s">
        <v>42</v>
      </c>
      <c r="J5626" s="4">
        <f>IFERROR(__xludf.DUMMYFUNCTION("DATE(INDEX(SPLIT(I5626,""/""),,3),INDEX(SPLIT(I5626,""/""),,2),INDEX(SPLIT(I5626,""/""),,1))"),44926.0)</f>
        <v>44926</v>
      </c>
      <c r="L5626" s="1">
        <v>0.0</v>
      </c>
      <c r="M5626" s="1" t="s">
        <v>11254</v>
      </c>
      <c r="N5626" s="1"/>
      <c r="O5626" s="1" t="s">
        <v>30</v>
      </c>
      <c r="P5626" s="1" t="s">
        <v>31</v>
      </c>
      <c r="Q5626" s="1" t="s">
        <v>228</v>
      </c>
      <c r="R5626" s="1" t="s">
        <v>228</v>
      </c>
      <c r="S5626" s="1" t="s">
        <v>229</v>
      </c>
      <c r="T5626" s="1" t="s">
        <v>14924</v>
      </c>
      <c r="U5626" s="1">
        <v>1.00602248E8</v>
      </c>
      <c r="X5626" s="1" t="s">
        <v>74</v>
      </c>
      <c r="Y5626" s="1" t="s">
        <v>12640</v>
      </c>
      <c r="Z5626" s="1" t="s">
        <v>37</v>
      </c>
    </row>
    <row r="5627">
      <c r="A5627" s="1" t="s">
        <v>15563</v>
      </c>
      <c r="B5627" s="1" t="s">
        <v>5675</v>
      </c>
      <c r="C5627" s="1" t="s">
        <v>15564</v>
      </c>
      <c r="D5627" s="1" t="s">
        <v>68</v>
      </c>
      <c r="E5627" s="1" t="s">
        <v>28</v>
      </c>
      <c r="F5627" s="2">
        <v>17000.0</v>
      </c>
      <c r="G5627" s="1" t="s">
        <v>2300</v>
      </c>
      <c r="H5627" s="4">
        <f>IFERROR(__xludf.DUMMYFUNCTION("DATE(INDEX(SPLIT(G5627,""/""),,3),INDEX(SPLIT(G5627,""/""),,2),INDEX(SPLIT(G5627,""/""),,1))"),44712.0)</f>
        <v>44712</v>
      </c>
      <c r="I5627" s="1" t="s">
        <v>226</v>
      </c>
      <c r="J5627" s="4">
        <f>IFERROR(__xludf.DUMMYFUNCTION("DATE(INDEX(SPLIT(I5627,""/""),,3),INDEX(SPLIT(I5627,""/""),,2),INDEX(SPLIT(I5627,""/""),,1))"),44771.0)</f>
        <v>44771</v>
      </c>
      <c r="L5627" s="1">
        <v>0.0</v>
      </c>
      <c r="M5627" s="1" t="s">
        <v>11254</v>
      </c>
      <c r="N5627" s="1"/>
      <c r="O5627" s="1" t="s">
        <v>30</v>
      </c>
      <c r="P5627" s="1" t="s">
        <v>31</v>
      </c>
      <c r="Q5627" s="1" t="s">
        <v>228</v>
      </c>
      <c r="R5627" s="1" t="s">
        <v>228</v>
      </c>
      <c r="S5627" s="1" t="s">
        <v>229</v>
      </c>
      <c r="T5627" s="1" t="s">
        <v>513</v>
      </c>
      <c r="U5627" s="1">
        <v>1.00602248E8</v>
      </c>
      <c r="X5627" s="1" t="s">
        <v>305</v>
      </c>
      <c r="Y5627" s="1" t="s">
        <v>13638</v>
      </c>
      <c r="Z5627" s="1" t="s">
        <v>37</v>
      </c>
    </row>
    <row r="5628" hidden="1">
      <c r="A5628" s="1" t="s">
        <v>15565</v>
      </c>
      <c r="B5628" s="1" t="s">
        <v>15566</v>
      </c>
      <c r="C5628" s="1" t="s">
        <v>15567</v>
      </c>
      <c r="D5628" s="1" t="s">
        <v>27</v>
      </c>
      <c r="E5628" s="1" t="s">
        <v>28</v>
      </c>
      <c r="F5628" s="2">
        <v>17000.0</v>
      </c>
      <c r="G5628" s="4">
        <v>44297.0</v>
      </c>
      <c r="H5628" s="4">
        <f>IFERROR(__xludf.DUMMYFUNCTION("DATE(INDEX(SPLIT(G5628,""/""),,3),INDEX(SPLIT(G5628,""/""),,2),INDEX(SPLIT(G5628,""/""),,1))"),44504.0)</f>
        <v>44504</v>
      </c>
      <c r="I5628" s="1" t="s">
        <v>42</v>
      </c>
      <c r="J5628" s="4">
        <f>IFERROR(__xludf.DUMMYFUNCTION("DATE(INDEX(SPLIT(I5628,""/""),,3),INDEX(SPLIT(I5628,""/""),,2),INDEX(SPLIT(I5628,""/""),,1))"),44926.0)</f>
        <v>44926</v>
      </c>
      <c r="L5628" s="1">
        <v>0.0</v>
      </c>
      <c r="M5628" s="1" t="s">
        <v>11254</v>
      </c>
      <c r="N5628" s="1"/>
      <c r="O5628" s="1" t="s">
        <v>30</v>
      </c>
      <c r="P5628" s="1" t="s">
        <v>31</v>
      </c>
      <c r="Q5628" s="1" t="s">
        <v>228</v>
      </c>
      <c r="R5628" s="1" t="s">
        <v>228</v>
      </c>
      <c r="S5628" s="1" t="s">
        <v>229</v>
      </c>
      <c r="T5628" s="1" t="s">
        <v>14924</v>
      </c>
      <c r="U5628" s="1">
        <v>1.00602248E8</v>
      </c>
      <c r="X5628" s="1" t="s">
        <v>46</v>
      </c>
      <c r="Y5628" s="1" t="s">
        <v>13638</v>
      </c>
      <c r="Z5628" s="1" t="s">
        <v>37</v>
      </c>
    </row>
    <row r="5629" hidden="1">
      <c r="A5629" s="1" t="s">
        <v>15568</v>
      </c>
      <c r="B5629" s="1" t="s">
        <v>15569</v>
      </c>
      <c r="C5629" s="1" t="s">
        <v>15570</v>
      </c>
      <c r="D5629" s="1" t="s">
        <v>27</v>
      </c>
      <c r="E5629" s="1" t="s">
        <v>28</v>
      </c>
      <c r="F5629" s="2">
        <v>17000.0</v>
      </c>
      <c r="G5629" s="1" t="s">
        <v>3186</v>
      </c>
      <c r="H5629" s="4">
        <f>IFERROR(__xludf.DUMMYFUNCTION("DATE(INDEX(SPLIT(G5629,""/""),,3),INDEX(SPLIT(G5629,""/""),,2),INDEX(SPLIT(G5629,""/""),,1))"),44529.0)</f>
        <v>44529</v>
      </c>
      <c r="I5629" s="1" t="s">
        <v>42</v>
      </c>
      <c r="J5629" s="4">
        <f>IFERROR(__xludf.DUMMYFUNCTION("DATE(INDEX(SPLIT(I5629,""/""),,3),INDEX(SPLIT(I5629,""/""),,2),INDEX(SPLIT(I5629,""/""),,1))"),44926.0)</f>
        <v>44926</v>
      </c>
      <c r="L5629" s="1">
        <v>0.0</v>
      </c>
      <c r="M5629" s="1" t="s">
        <v>11254</v>
      </c>
      <c r="N5629" s="1"/>
      <c r="O5629" s="1" t="s">
        <v>30</v>
      </c>
      <c r="P5629" s="1" t="s">
        <v>31</v>
      </c>
      <c r="Q5629" s="1" t="s">
        <v>228</v>
      </c>
      <c r="R5629" s="1" t="s">
        <v>228</v>
      </c>
      <c r="S5629" s="1" t="s">
        <v>229</v>
      </c>
      <c r="T5629" s="1" t="s">
        <v>15571</v>
      </c>
      <c r="U5629" s="1">
        <v>1.00602248E8</v>
      </c>
      <c r="X5629" s="1" t="s">
        <v>98</v>
      </c>
      <c r="Y5629" s="1" t="s">
        <v>13638</v>
      </c>
      <c r="Z5629" s="1" t="s">
        <v>37</v>
      </c>
    </row>
    <row r="5630" hidden="1">
      <c r="A5630" s="1" t="s">
        <v>15572</v>
      </c>
      <c r="B5630" s="1" t="s">
        <v>427</v>
      </c>
      <c r="C5630" s="1" t="s">
        <v>15573</v>
      </c>
      <c r="D5630" s="1" t="s">
        <v>27</v>
      </c>
      <c r="E5630" s="1" t="s">
        <v>28</v>
      </c>
      <c r="F5630" s="2">
        <v>17000.0</v>
      </c>
      <c r="G5630" s="1" t="s">
        <v>3186</v>
      </c>
      <c r="H5630" s="4">
        <f>IFERROR(__xludf.DUMMYFUNCTION("DATE(INDEX(SPLIT(G5630,""/""),,3),INDEX(SPLIT(G5630,""/""),,2),INDEX(SPLIT(G5630,""/""),,1))"),44529.0)</f>
        <v>44529</v>
      </c>
      <c r="I5630" s="1" t="s">
        <v>447</v>
      </c>
      <c r="J5630" s="4">
        <f>IFERROR(__xludf.DUMMYFUNCTION("DATE(INDEX(SPLIT(I5630,""/""),,3),INDEX(SPLIT(I5630,""/""),,2),INDEX(SPLIT(I5630,""/""),,1))"),44910.0)</f>
        <v>44910</v>
      </c>
      <c r="L5630" s="1">
        <v>0.0</v>
      </c>
      <c r="M5630" s="1" t="s">
        <v>11254</v>
      </c>
      <c r="N5630" s="1"/>
      <c r="O5630" s="1" t="s">
        <v>30</v>
      </c>
      <c r="P5630" s="1" t="s">
        <v>31</v>
      </c>
      <c r="Q5630" s="1" t="s">
        <v>228</v>
      </c>
      <c r="R5630" s="1" t="s">
        <v>228</v>
      </c>
      <c r="S5630" s="1" t="s">
        <v>229</v>
      </c>
      <c r="T5630" s="1" t="s">
        <v>15571</v>
      </c>
      <c r="U5630" s="1">
        <v>1.00602248E8</v>
      </c>
      <c r="X5630" s="1" t="s">
        <v>125</v>
      </c>
      <c r="Y5630" s="1" t="s">
        <v>12637</v>
      </c>
      <c r="Z5630" s="1" t="s">
        <v>37</v>
      </c>
    </row>
    <row r="5631" hidden="1">
      <c r="A5631" s="1" t="s">
        <v>15574</v>
      </c>
      <c r="B5631" s="1" t="s">
        <v>15575</v>
      </c>
      <c r="C5631" s="1" t="s">
        <v>15576</v>
      </c>
      <c r="D5631" s="1" t="s">
        <v>78</v>
      </c>
      <c r="E5631" s="1" t="s">
        <v>28</v>
      </c>
      <c r="F5631" s="2">
        <v>17000.0</v>
      </c>
      <c r="G5631" s="1" t="s">
        <v>10795</v>
      </c>
      <c r="H5631" s="4">
        <f>IFERROR(__xludf.DUMMYFUNCTION("DATE(INDEX(SPLIT(G5631,""/""),,3),INDEX(SPLIT(G5631,""/""),,2),INDEX(SPLIT(G5631,""/""),,1))"),44089.0)</f>
        <v>44089</v>
      </c>
      <c r="I5631" s="1" t="s">
        <v>109</v>
      </c>
      <c r="J5631" s="4">
        <f>IFERROR(__xludf.DUMMYFUNCTION("DATE(INDEX(SPLIT(I5631,""/""),,3),INDEX(SPLIT(I5631,""/""),,2),INDEX(SPLIT(I5631,""/""),,1))"),44834.0)</f>
        <v>44834</v>
      </c>
      <c r="L5631" s="1">
        <v>0.0</v>
      </c>
      <c r="M5631" s="1" t="s">
        <v>11254</v>
      </c>
      <c r="N5631" s="1"/>
      <c r="O5631" s="1" t="s">
        <v>30</v>
      </c>
      <c r="P5631" s="1" t="s">
        <v>31</v>
      </c>
      <c r="Q5631" s="1" t="s">
        <v>228</v>
      </c>
      <c r="R5631" s="1" t="s">
        <v>228</v>
      </c>
      <c r="S5631" s="1" t="s">
        <v>229</v>
      </c>
      <c r="T5631" s="1" t="s">
        <v>513</v>
      </c>
      <c r="U5631" s="1">
        <v>1.00602248E8</v>
      </c>
      <c r="X5631" s="1" t="s">
        <v>2028</v>
      </c>
      <c r="Y5631" s="1" t="s">
        <v>13638</v>
      </c>
      <c r="Z5631" s="1" t="s">
        <v>37</v>
      </c>
    </row>
    <row r="5632">
      <c r="A5632" s="1" t="s">
        <v>15577</v>
      </c>
      <c r="B5632" s="1" t="s">
        <v>15578</v>
      </c>
      <c r="C5632" s="1" t="s">
        <v>15579</v>
      </c>
      <c r="D5632" s="1" t="s">
        <v>78</v>
      </c>
      <c r="E5632" s="1" t="s">
        <v>28</v>
      </c>
      <c r="F5632" s="2">
        <v>16000.0</v>
      </c>
      <c r="G5632" s="4">
        <v>44779.0</v>
      </c>
      <c r="H5632" s="4">
        <f>IFERROR(__xludf.DUMMYFUNCTION("DATE(INDEX(SPLIT(G5632,""/""),,3),INDEX(SPLIT(G5632,""/""),,2),INDEX(SPLIT(G5632,""/""),,1))"),44720.0)</f>
        <v>44720</v>
      </c>
      <c r="I5632" s="1" t="s">
        <v>108</v>
      </c>
      <c r="J5632" s="4">
        <f>IFERROR(__xludf.DUMMYFUNCTION("DATE(INDEX(SPLIT(I5632,""/""),,3),INDEX(SPLIT(I5632,""/""),,2),INDEX(SPLIT(I5632,""/""),,1))"),44725.0)</f>
        <v>44725</v>
      </c>
      <c r="L5632" s="1">
        <v>0.0</v>
      </c>
      <c r="M5632" s="1" t="s">
        <v>8755</v>
      </c>
      <c r="N5632" s="1"/>
      <c r="O5632" s="1" t="s">
        <v>30</v>
      </c>
      <c r="P5632" s="1" t="s">
        <v>31</v>
      </c>
      <c r="Q5632" s="1" t="s">
        <v>1320</v>
      </c>
      <c r="R5632" s="1" t="s">
        <v>1320</v>
      </c>
      <c r="S5632" s="1" t="s">
        <v>54</v>
      </c>
      <c r="U5632" s="1">
        <v>1.00591676E8</v>
      </c>
      <c r="X5632" s="1" t="s">
        <v>35</v>
      </c>
      <c r="Y5632" s="1" t="s">
        <v>15580</v>
      </c>
      <c r="Z5632" s="1" t="s">
        <v>37</v>
      </c>
    </row>
    <row r="5633">
      <c r="A5633" s="1" t="s">
        <v>15581</v>
      </c>
      <c r="B5633" s="1" t="s">
        <v>15582</v>
      </c>
      <c r="C5633" s="1" t="s">
        <v>15583</v>
      </c>
      <c r="D5633" s="1" t="s">
        <v>27</v>
      </c>
      <c r="E5633" s="1" t="s">
        <v>28</v>
      </c>
      <c r="F5633" s="2">
        <v>16000.0</v>
      </c>
      <c r="G5633" s="4">
        <v>44599.0</v>
      </c>
      <c r="H5633" s="4">
        <f>IFERROR(__xludf.DUMMYFUNCTION("DATE(INDEX(SPLIT(G5633,""/""),,3),INDEX(SPLIT(G5633,""/""),,2),INDEX(SPLIT(G5633,""/""),,1))"),44744.0)</f>
        <v>44744</v>
      </c>
      <c r="I5633" s="1" t="s">
        <v>414</v>
      </c>
      <c r="J5633" s="4">
        <f>IFERROR(__xludf.DUMMYFUNCTION("DATE(INDEX(SPLIT(I5633,""/""),,3),INDEX(SPLIT(I5633,""/""),,2),INDEX(SPLIT(I5633,""/""),,1))"),44772.0)</f>
        <v>44772</v>
      </c>
      <c r="L5633" s="1">
        <v>0.0</v>
      </c>
      <c r="M5633" s="1" t="s">
        <v>11254</v>
      </c>
      <c r="N5633" s="1"/>
      <c r="O5633" s="1" t="s">
        <v>30</v>
      </c>
      <c r="P5633" s="1" t="s">
        <v>31</v>
      </c>
      <c r="Q5633" s="1" t="s">
        <v>228</v>
      </c>
      <c r="R5633" s="1" t="s">
        <v>228</v>
      </c>
      <c r="S5633" s="1" t="s">
        <v>229</v>
      </c>
      <c r="T5633" s="1" t="s">
        <v>513</v>
      </c>
      <c r="U5633" s="1">
        <v>1.00602248E8</v>
      </c>
      <c r="X5633" s="1" t="s">
        <v>46</v>
      </c>
      <c r="Y5633" s="1" t="s">
        <v>14932</v>
      </c>
      <c r="Z5633" s="1" t="s">
        <v>37</v>
      </c>
    </row>
    <row r="5634">
      <c r="A5634" s="1" t="s">
        <v>15584</v>
      </c>
      <c r="B5634" s="1" t="s">
        <v>15585</v>
      </c>
      <c r="C5634" s="1" t="s">
        <v>15586</v>
      </c>
      <c r="D5634" s="1" t="s">
        <v>27</v>
      </c>
      <c r="E5634" s="1" t="s">
        <v>28</v>
      </c>
      <c r="F5634" s="2">
        <v>15000.0</v>
      </c>
      <c r="G5634" s="4">
        <v>44902.0</v>
      </c>
      <c r="H5634" s="4">
        <f>IFERROR(__xludf.DUMMYFUNCTION("DATE(INDEX(SPLIT(G5634,""/""),,3),INDEX(SPLIT(G5634,""/""),,2),INDEX(SPLIT(G5634,""/""),,1))"),44754.0)</f>
        <v>44754</v>
      </c>
      <c r="I5634" s="1" t="s">
        <v>935</v>
      </c>
      <c r="J5634" s="4">
        <f>IFERROR(__xludf.DUMMYFUNCTION("DATE(INDEX(SPLIT(I5634,""/""),,3),INDEX(SPLIT(I5634,""/""),,2),INDEX(SPLIT(I5634,""/""),,1))"),44764.0)</f>
        <v>44764</v>
      </c>
      <c r="L5634" s="1">
        <v>0.0</v>
      </c>
      <c r="M5634" s="1" t="s">
        <v>8859</v>
      </c>
      <c r="N5634" s="1"/>
      <c r="O5634" s="1" t="s">
        <v>30</v>
      </c>
      <c r="P5634" s="1" t="s">
        <v>31</v>
      </c>
      <c r="Q5634" s="1" t="s">
        <v>228</v>
      </c>
      <c r="R5634" s="1" t="s">
        <v>228</v>
      </c>
      <c r="S5634" s="1" t="s">
        <v>229</v>
      </c>
      <c r="T5634" s="1" t="s">
        <v>513</v>
      </c>
      <c r="U5634" s="1">
        <v>1.00604296E8</v>
      </c>
      <c r="X5634" s="1" t="s">
        <v>98</v>
      </c>
      <c r="Y5634" s="1" t="s">
        <v>14317</v>
      </c>
      <c r="Z5634" s="1" t="s">
        <v>37</v>
      </c>
    </row>
    <row r="5635" hidden="1">
      <c r="A5635" s="1" t="s">
        <v>15587</v>
      </c>
      <c r="B5635" s="1" t="s">
        <v>416</v>
      </c>
      <c r="C5635" s="1" t="s">
        <v>15588</v>
      </c>
      <c r="D5635" s="1" t="s">
        <v>78</v>
      </c>
      <c r="E5635" s="1" t="s">
        <v>28</v>
      </c>
      <c r="F5635" s="2">
        <v>15000.0</v>
      </c>
      <c r="G5635" s="1" t="s">
        <v>1244</v>
      </c>
      <c r="H5635" s="4">
        <f>IFERROR(__xludf.DUMMYFUNCTION("DATE(INDEX(SPLIT(G5635,""/""),,3),INDEX(SPLIT(G5635,""/""),,2),INDEX(SPLIT(G5635,""/""),,1))"),44742.0)</f>
        <v>44742</v>
      </c>
      <c r="I5635" s="1" t="s">
        <v>1678</v>
      </c>
      <c r="J5635" s="4">
        <f>IFERROR(__xludf.DUMMYFUNCTION("DATE(INDEX(SPLIT(I5635,""/""),,3),INDEX(SPLIT(I5635,""/""),,2),INDEX(SPLIT(I5635,""/""),,1))"),44819.0)</f>
        <v>44819</v>
      </c>
      <c r="L5635" s="1">
        <v>0.0</v>
      </c>
      <c r="M5635" s="1" t="s">
        <v>1088</v>
      </c>
      <c r="N5635" s="1"/>
      <c r="O5635" s="1" t="s">
        <v>30</v>
      </c>
      <c r="P5635" s="1" t="s">
        <v>31</v>
      </c>
      <c r="Q5635" s="1" t="s">
        <v>71</v>
      </c>
      <c r="R5635" s="1" t="s">
        <v>71</v>
      </c>
      <c r="S5635" s="1" t="s">
        <v>72</v>
      </c>
      <c r="T5635" s="1" t="s">
        <v>442</v>
      </c>
      <c r="U5635" s="1">
        <v>1.0090037E8</v>
      </c>
      <c r="X5635" s="1" t="s">
        <v>74</v>
      </c>
      <c r="Y5635" s="1" t="s">
        <v>3520</v>
      </c>
      <c r="Z5635" s="1" t="s">
        <v>37</v>
      </c>
    </row>
    <row r="5636" hidden="1">
      <c r="A5636" s="1" t="s">
        <v>15589</v>
      </c>
      <c r="B5636" s="1" t="s">
        <v>5260</v>
      </c>
      <c r="C5636" s="1" t="s">
        <v>15590</v>
      </c>
      <c r="D5636" s="1" t="s">
        <v>122</v>
      </c>
      <c r="E5636" s="1" t="s">
        <v>28</v>
      </c>
      <c r="F5636" s="2">
        <v>15000.0</v>
      </c>
      <c r="G5636" s="1" t="s">
        <v>935</v>
      </c>
      <c r="H5636" s="4">
        <f>IFERROR(__xludf.DUMMYFUNCTION("DATE(INDEX(SPLIT(G5636,""/""),,3),INDEX(SPLIT(G5636,""/""),,2),INDEX(SPLIT(G5636,""/""),,1))"),44764.0)</f>
        <v>44764</v>
      </c>
      <c r="I5636" s="1" t="s">
        <v>109</v>
      </c>
      <c r="J5636" s="4">
        <f>IFERROR(__xludf.DUMMYFUNCTION("DATE(INDEX(SPLIT(I5636,""/""),,3),INDEX(SPLIT(I5636,""/""),,2),INDEX(SPLIT(I5636,""/""),,1))"),44834.0)</f>
        <v>44834</v>
      </c>
      <c r="L5636" s="1">
        <v>0.0</v>
      </c>
      <c r="M5636" s="1" t="s">
        <v>2592</v>
      </c>
      <c r="N5636" s="1"/>
      <c r="O5636" s="1" t="s">
        <v>30</v>
      </c>
      <c r="P5636" s="1" t="s">
        <v>31</v>
      </c>
      <c r="Q5636" s="1" t="s">
        <v>71</v>
      </c>
      <c r="R5636" s="1" t="s">
        <v>71</v>
      </c>
      <c r="S5636" s="1" t="s">
        <v>72</v>
      </c>
      <c r="T5636" s="1" t="s">
        <v>136</v>
      </c>
      <c r="U5636" s="1">
        <v>1.00586452E8</v>
      </c>
      <c r="X5636" s="1" t="s">
        <v>74</v>
      </c>
      <c r="Y5636" s="1" t="s">
        <v>2593</v>
      </c>
      <c r="Z5636" s="1" t="s">
        <v>37</v>
      </c>
    </row>
    <row r="5637" hidden="1">
      <c r="A5637" s="1" t="s">
        <v>15591</v>
      </c>
      <c r="B5637" s="1" t="s">
        <v>5851</v>
      </c>
      <c r="C5637" s="1" t="s">
        <v>15592</v>
      </c>
      <c r="D5637" s="1" t="s">
        <v>78</v>
      </c>
      <c r="E5637" s="1" t="s">
        <v>28</v>
      </c>
      <c r="F5637" s="2">
        <v>15000.0</v>
      </c>
      <c r="G5637" s="1" t="s">
        <v>935</v>
      </c>
      <c r="H5637" s="4">
        <f>IFERROR(__xludf.DUMMYFUNCTION("DATE(INDEX(SPLIT(G5637,""/""),,3),INDEX(SPLIT(G5637,""/""),,2),INDEX(SPLIT(G5637,""/""),,1))"),44764.0)</f>
        <v>44764</v>
      </c>
      <c r="I5637" s="1" t="s">
        <v>535</v>
      </c>
      <c r="J5637" s="4">
        <f>IFERROR(__xludf.DUMMYFUNCTION("DATE(INDEX(SPLIT(I5637,""/""),,3),INDEX(SPLIT(I5637,""/""),,2),INDEX(SPLIT(I5637,""/""),,1))"),44957.0)</f>
        <v>44957</v>
      </c>
      <c r="L5637" s="1">
        <v>0.0</v>
      </c>
      <c r="M5637" s="1" t="s">
        <v>2592</v>
      </c>
      <c r="N5637" s="1"/>
      <c r="O5637" s="1" t="s">
        <v>30</v>
      </c>
      <c r="P5637" s="1" t="s">
        <v>31</v>
      </c>
      <c r="Q5637" s="1" t="s">
        <v>71</v>
      </c>
      <c r="R5637" s="1" t="s">
        <v>71</v>
      </c>
      <c r="S5637" s="1" t="s">
        <v>72</v>
      </c>
      <c r="T5637" s="1" t="s">
        <v>136</v>
      </c>
      <c r="U5637" s="1">
        <v>1.00586452E8</v>
      </c>
      <c r="X5637" s="1" t="s">
        <v>74</v>
      </c>
      <c r="Y5637" s="1" t="s">
        <v>2593</v>
      </c>
      <c r="Z5637" s="1" t="s">
        <v>37</v>
      </c>
    </row>
    <row r="5638" hidden="1">
      <c r="A5638" s="1" t="s">
        <v>15593</v>
      </c>
      <c r="B5638" s="1" t="s">
        <v>15594</v>
      </c>
      <c r="C5638" s="1" t="s">
        <v>15595</v>
      </c>
      <c r="D5638" s="1" t="s">
        <v>78</v>
      </c>
      <c r="E5638" s="1" t="s">
        <v>28</v>
      </c>
      <c r="F5638" s="2">
        <v>15000.0</v>
      </c>
      <c r="G5638" s="1" t="s">
        <v>935</v>
      </c>
      <c r="H5638" s="4">
        <f>IFERROR(__xludf.DUMMYFUNCTION("DATE(INDEX(SPLIT(G5638,""/""),,3),INDEX(SPLIT(G5638,""/""),,2),INDEX(SPLIT(G5638,""/""),,1))"),44764.0)</f>
        <v>44764</v>
      </c>
      <c r="I5638" s="1" t="s">
        <v>130</v>
      </c>
      <c r="J5638" s="4">
        <f>IFERROR(__xludf.DUMMYFUNCTION("DATE(INDEX(SPLIT(I5638,""/""),,3),INDEX(SPLIT(I5638,""/""),,2),INDEX(SPLIT(I5638,""/""),,1))"),44804.0)</f>
        <v>44804</v>
      </c>
      <c r="L5638" s="1">
        <v>0.0</v>
      </c>
      <c r="M5638" s="1" t="s">
        <v>11623</v>
      </c>
      <c r="N5638" s="1"/>
      <c r="O5638" s="1" t="s">
        <v>30</v>
      </c>
      <c r="P5638" s="1" t="s">
        <v>31</v>
      </c>
      <c r="Q5638" s="1" t="s">
        <v>228</v>
      </c>
      <c r="R5638" s="1" t="s">
        <v>228</v>
      </c>
      <c r="S5638" s="1" t="s">
        <v>229</v>
      </c>
      <c r="U5638" s="1">
        <v>1.01154609E8</v>
      </c>
      <c r="Y5638" s="1" t="s">
        <v>14131</v>
      </c>
      <c r="Z5638" s="1" t="s">
        <v>37</v>
      </c>
    </row>
    <row r="5639" hidden="1">
      <c r="A5639" s="1" t="s">
        <v>15596</v>
      </c>
      <c r="B5639" s="1" t="s">
        <v>15597</v>
      </c>
      <c r="C5639" s="1" t="s">
        <v>15598</v>
      </c>
      <c r="D5639" s="1" t="s">
        <v>27</v>
      </c>
      <c r="E5639" s="1" t="s">
        <v>28</v>
      </c>
      <c r="F5639" s="2">
        <v>14500.0</v>
      </c>
      <c r="G5639" s="1" t="s">
        <v>1218</v>
      </c>
      <c r="H5639" s="4">
        <f>IFERROR(__xludf.DUMMYFUNCTION("DATE(INDEX(SPLIT(G5639,""/""),,3),INDEX(SPLIT(G5639,""/""),,2),INDEX(SPLIT(G5639,""/""),,1))"),44427.0)</f>
        <v>44427</v>
      </c>
      <c r="I5639" s="1" t="s">
        <v>42</v>
      </c>
      <c r="J5639" s="4">
        <f>IFERROR(__xludf.DUMMYFUNCTION("DATE(INDEX(SPLIT(I5639,""/""),,3),INDEX(SPLIT(I5639,""/""),,2),INDEX(SPLIT(I5639,""/""),,1))"),44926.0)</f>
        <v>44926</v>
      </c>
      <c r="L5639" s="1">
        <v>0.0</v>
      </c>
      <c r="M5639" s="1" t="s">
        <v>11254</v>
      </c>
      <c r="N5639" s="1"/>
      <c r="O5639" s="1" t="s">
        <v>30</v>
      </c>
      <c r="P5639" s="1" t="s">
        <v>31</v>
      </c>
      <c r="Q5639" s="1" t="s">
        <v>228</v>
      </c>
      <c r="R5639" s="1" t="s">
        <v>228</v>
      </c>
      <c r="S5639" s="1" t="s">
        <v>229</v>
      </c>
      <c r="T5639" s="1" t="s">
        <v>513</v>
      </c>
      <c r="U5639" s="1">
        <v>1.00602248E8</v>
      </c>
      <c r="X5639" s="1" t="s">
        <v>81</v>
      </c>
      <c r="Y5639" s="1" t="s">
        <v>13638</v>
      </c>
      <c r="Z5639" s="1" t="s">
        <v>37</v>
      </c>
    </row>
    <row r="5640" hidden="1">
      <c r="A5640" s="1" t="s">
        <v>15599</v>
      </c>
      <c r="B5640" s="1" t="s">
        <v>15600</v>
      </c>
      <c r="C5640" s="1" t="s">
        <v>15601</v>
      </c>
      <c r="D5640" s="1" t="s">
        <v>27</v>
      </c>
      <c r="E5640" s="1" t="s">
        <v>28</v>
      </c>
      <c r="F5640" s="2">
        <v>14500.0</v>
      </c>
      <c r="G5640" s="1" t="s">
        <v>2768</v>
      </c>
      <c r="H5640" s="4">
        <f>IFERROR(__xludf.DUMMYFUNCTION("DATE(INDEX(SPLIT(G5640,""/""),,3),INDEX(SPLIT(G5640,""/""),,2),INDEX(SPLIT(G5640,""/""),,1))"),44369.0)</f>
        <v>44369</v>
      </c>
      <c r="I5640" s="1" t="s">
        <v>42</v>
      </c>
      <c r="J5640" s="4">
        <f>IFERROR(__xludf.DUMMYFUNCTION("DATE(INDEX(SPLIT(I5640,""/""),,3),INDEX(SPLIT(I5640,""/""),,2),INDEX(SPLIT(I5640,""/""),,1))"),44926.0)</f>
        <v>44926</v>
      </c>
      <c r="L5640" s="1">
        <v>0.0</v>
      </c>
      <c r="M5640" s="1" t="s">
        <v>11254</v>
      </c>
      <c r="N5640" s="1"/>
      <c r="O5640" s="1" t="s">
        <v>30</v>
      </c>
      <c r="P5640" s="1" t="s">
        <v>31</v>
      </c>
      <c r="Q5640" s="1" t="s">
        <v>228</v>
      </c>
      <c r="R5640" s="1" t="s">
        <v>228</v>
      </c>
      <c r="S5640" s="1" t="s">
        <v>229</v>
      </c>
      <c r="T5640" s="1" t="s">
        <v>513</v>
      </c>
      <c r="U5640" s="1">
        <v>1.00602248E8</v>
      </c>
      <c r="X5640" s="1" t="s">
        <v>490</v>
      </c>
      <c r="Y5640" s="1" t="s">
        <v>13638</v>
      </c>
      <c r="Z5640" s="1" t="s">
        <v>37</v>
      </c>
    </row>
    <row r="5641" hidden="1">
      <c r="A5641" s="1" t="s">
        <v>15602</v>
      </c>
      <c r="B5641" s="1" t="s">
        <v>6860</v>
      </c>
      <c r="C5641" s="1" t="s">
        <v>15603</v>
      </c>
      <c r="D5641" s="1" t="s">
        <v>78</v>
      </c>
      <c r="E5641" s="1" t="s">
        <v>28</v>
      </c>
      <c r="F5641" s="2">
        <v>14500.0</v>
      </c>
      <c r="G5641" s="1" t="s">
        <v>2768</v>
      </c>
      <c r="H5641" s="4">
        <f>IFERROR(__xludf.DUMMYFUNCTION("DATE(INDEX(SPLIT(G5641,""/""),,3),INDEX(SPLIT(G5641,""/""),,2),INDEX(SPLIT(G5641,""/""),,1))"),44369.0)</f>
        <v>44369</v>
      </c>
      <c r="I5641" s="1" t="s">
        <v>109</v>
      </c>
      <c r="J5641" s="4">
        <f>IFERROR(__xludf.DUMMYFUNCTION("DATE(INDEX(SPLIT(I5641,""/""),,3),INDEX(SPLIT(I5641,""/""),,2),INDEX(SPLIT(I5641,""/""),,1))"),44834.0)</f>
        <v>44834</v>
      </c>
      <c r="L5641" s="1">
        <v>0.0</v>
      </c>
      <c r="M5641" s="1" t="s">
        <v>11254</v>
      </c>
      <c r="N5641" s="1"/>
      <c r="O5641" s="1" t="s">
        <v>30</v>
      </c>
      <c r="P5641" s="1" t="s">
        <v>31</v>
      </c>
      <c r="Q5641" s="1" t="s">
        <v>228</v>
      </c>
      <c r="R5641" s="1" t="s">
        <v>228</v>
      </c>
      <c r="S5641" s="1" t="s">
        <v>229</v>
      </c>
      <c r="T5641" s="1" t="s">
        <v>513</v>
      </c>
      <c r="U5641" s="1">
        <v>1.00602248E8</v>
      </c>
      <c r="X5641" s="1" t="s">
        <v>490</v>
      </c>
      <c r="Y5641" s="1" t="s">
        <v>12637</v>
      </c>
      <c r="Z5641" s="1" t="s">
        <v>37</v>
      </c>
    </row>
    <row r="5642" hidden="1">
      <c r="A5642" s="1" t="s">
        <v>15604</v>
      </c>
      <c r="B5642" s="1" t="s">
        <v>10676</v>
      </c>
      <c r="C5642" s="1" t="s">
        <v>15605</v>
      </c>
      <c r="D5642" s="1" t="s">
        <v>27</v>
      </c>
      <c r="E5642" s="1" t="s">
        <v>28</v>
      </c>
      <c r="F5642" s="2">
        <v>14500.0</v>
      </c>
      <c r="G5642" s="1" t="s">
        <v>2768</v>
      </c>
      <c r="H5642" s="4">
        <f>IFERROR(__xludf.DUMMYFUNCTION("DATE(INDEX(SPLIT(G5642,""/""),,3),INDEX(SPLIT(G5642,""/""),,2),INDEX(SPLIT(G5642,""/""),,1))"),44369.0)</f>
        <v>44369</v>
      </c>
      <c r="I5642" s="1" t="s">
        <v>42</v>
      </c>
      <c r="J5642" s="4">
        <f>IFERROR(__xludf.DUMMYFUNCTION("DATE(INDEX(SPLIT(I5642,""/""),,3),INDEX(SPLIT(I5642,""/""),,2),INDEX(SPLIT(I5642,""/""),,1))"),44926.0)</f>
        <v>44926</v>
      </c>
      <c r="L5642" s="1">
        <v>0.0</v>
      </c>
      <c r="M5642" s="1" t="s">
        <v>11254</v>
      </c>
      <c r="N5642" s="1"/>
      <c r="O5642" s="1" t="s">
        <v>30</v>
      </c>
      <c r="P5642" s="1" t="s">
        <v>31</v>
      </c>
      <c r="Q5642" s="1" t="s">
        <v>228</v>
      </c>
      <c r="R5642" s="1" t="s">
        <v>228</v>
      </c>
      <c r="S5642" s="1" t="s">
        <v>229</v>
      </c>
      <c r="T5642" s="1" t="s">
        <v>513</v>
      </c>
      <c r="U5642" s="1">
        <v>1.00602248E8</v>
      </c>
      <c r="X5642" s="1" t="s">
        <v>490</v>
      </c>
      <c r="Y5642" s="1" t="s">
        <v>12640</v>
      </c>
      <c r="Z5642" s="1" t="s">
        <v>37</v>
      </c>
    </row>
    <row r="5643" hidden="1">
      <c r="A5643" s="1" t="s">
        <v>15606</v>
      </c>
      <c r="B5643" s="1" t="s">
        <v>15607</v>
      </c>
      <c r="C5643" s="1" t="s">
        <v>15608</v>
      </c>
      <c r="D5643" s="1" t="s">
        <v>78</v>
      </c>
      <c r="E5643" s="1" t="s">
        <v>28</v>
      </c>
      <c r="F5643" s="2">
        <v>14500.0</v>
      </c>
      <c r="G5643" s="4">
        <v>44656.0</v>
      </c>
      <c r="H5643" s="4">
        <f>IFERROR(__xludf.DUMMYFUNCTION("DATE(INDEX(SPLIT(G5643,""/""),,3),INDEX(SPLIT(G5643,""/""),,2),INDEX(SPLIT(G5643,""/""),,1))"),44685.0)</f>
        <v>44685</v>
      </c>
      <c r="I5643" s="1" t="s">
        <v>42</v>
      </c>
      <c r="J5643" s="4">
        <f>IFERROR(__xludf.DUMMYFUNCTION("DATE(INDEX(SPLIT(I5643,""/""),,3),INDEX(SPLIT(I5643,""/""),,2),INDEX(SPLIT(I5643,""/""),,1))"),44926.0)</f>
        <v>44926</v>
      </c>
      <c r="L5643" s="1">
        <v>0.0</v>
      </c>
      <c r="M5643" s="1" t="s">
        <v>11254</v>
      </c>
      <c r="N5643" s="1"/>
      <c r="O5643" s="1" t="s">
        <v>30</v>
      </c>
      <c r="P5643" s="1" t="s">
        <v>31</v>
      </c>
      <c r="Q5643" s="1" t="s">
        <v>228</v>
      </c>
      <c r="R5643" s="1" t="s">
        <v>228</v>
      </c>
      <c r="S5643" s="1" t="s">
        <v>229</v>
      </c>
      <c r="T5643" s="1" t="s">
        <v>513</v>
      </c>
      <c r="U5643" s="1">
        <v>1.00602248E8</v>
      </c>
      <c r="X5643" s="1" t="s">
        <v>375</v>
      </c>
      <c r="Y5643" s="1" t="s">
        <v>14932</v>
      </c>
      <c r="Z5643" s="1" t="s">
        <v>37</v>
      </c>
    </row>
    <row r="5644" hidden="1">
      <c r="A5644" s="1" t="s">
        <v>15609</v>
      </c>
      <c r="B5644" s="1" t="s">
        <v>484</v>
      </c>
      <c r="C5644" s="1" t="s">
        <v>15610</v>
      </c>
      <c r="D5644" s="1" t="s">
        <v>27</v>
      </c>
      <c r="E5644" s="1" t="s">
        <v>28</v>
      </c>
      <c r="F5644" s="2">
        <v>14500.0</v>
      </c>
      <c r="G5644" s="1" t="s">
        <v>2768</v>
      </c>
      <c r="H5644" s="4">
        <f>IFERROR(__xludf.DUMMYFUNCTION("DATE(INDEX(SPLIT(G5644,""/""),,3),INDEX(SPLIT(G5644,""/""),,2),INDEX(SPLIT(G5644,""/""),,1))"),44369.0)</f>
        <v>44369</v>
      </c>
      <c r="I5644" s="1" t="s">
        <v>42</v>
      </c>
      <c r="J5644" s="4">
        <f>IFERROR(__xludf.DUMMYFUNCTION("DATE(INDEX(SPLIT(I5644,""/""),,3),INDEX(SPLIT(I5644,""/""),,2),INDEX(SPLIT(I5644,""/""),,1))"),44926.0)</f>
        <v>44926</v>
      </c>
      <c r="L5644" s="1">
        <v>0.0</v>
      </c>
      <c r="M5644" s="1" t="s">
        <v>11254</v>
      </c>
      <c r="N5644" s="1"/>
      <c r="O5644" s="1" t="s">
        <v>30</v>
      </c>
      <c r="P5644" s="1" t="s">
        <v>31</v>
      </c>
      <c r="Q5644" s="1" t="s">
        <v>228</v>
      </c>
      <c r="R5644" s="1" t="s">
        <v>228</v>
      </c>
      <c r="S5644" s="1" t="s">
        <v>229</v>
      </c>
      <c r="U5644" s="1">
        <v>1.00602248E8</v>
      </c>
      <c r="X5644" s="1" t="s">
        <v>490</v>
      </c>
      <c r="Y5644" s="1" t="s">
        <v>13638</v>
      </c>
      <c r="Z5644" s="1" t="s">
        <v>37</v>
      </c>
    </row>
    <row r="5645" hidden="1">
      <c r="A5645" s="1" t="s">
        <v>15611</v>
      </c>
      <c r="B5645" s="1" t="s">
        <v>15612</v>
      </c>
      <c r="C5645" s="1" t="s">
        <v>15613</v>
      </c>
      <c r="D5645" s="1" t="s">
        <v>27</v>
      </c>
      <c r="E5645" s="1" t="s">
        <v>28</v>
      </c>
      <c r="F5645" s="2">
        <v>14500.0</v>
      </c>
      <c r="G5645" s="1" t="s">
        <v>1357</v>
      </c>
      <c r="H5645" s="4">
        <f>IFERROR(__xludf.DUMMYFUNCTION("DATE(INDEX(SPLIT(G5645,""/""),,3),INDEX(SPLIT(G5645,""/""),,2),INDEX(SPLIT(G5645,""/""),,1))"),44398.0)</f>
        <v>44398</v>
      </c>
      <c r="I5645" s="1" t="s">
        <v>42</v>
      </c>
      <c r="J5645" s="4">
        <f>IFERROR(__xludf.DUMMYFUNCTION("DATE(INDEX(SPLIT(I5645,""/""),,3),INDEX(SPLIT(I5645,""/""),,2),INDEX(SPLIT(I5645,""/""),,1))"),44926.0)</f>
        <v>44926</v>
      </c>
      <c r="L5645" s="1">
        <v>0.0</v>
      </c>
      <c r="M5645" s="1" t="s">
        <v>11254</v>
      </c>
      <c r="N5645" s="1"/>
      <c r="O5645" s="1" t="s">
        <v>30</v>
      </c>
      <c r="P5645" s="1" t="s">
        <v>31</v>
      </c>
      <c r="Q5645" s="1" t="s">
        <v>228</v>
      </c>
      <c r="R5645" s="1" t="s">
        <v>228</v>
      </c>
      <c r="S5645" s="1" t="s">
        <v>229</v>
      </c>
      <c r="U5645" s="1">
        <v>1.00602248E8</v>
      </c>
      <c r="X5645" s="1" t="s">
        <v>289</v>
      </c>
      <c r="Y5645" s="1" t="s">
        <v>13638</v>
      </c>
      <c r="Z5645" s="1" t="s">
        <v>37</v>
      </c>
    </row>
    <row r="5646" hidden="1">
      <c r="A5646" s="1" t="s">
        <v>15614</v>
      </c>
      <c r="B5646" s="1" t="s">
        <v>15069</v>
      </c>
      <c r="C5646" s="1" t="s">
        <v>15615</v>
      </c>
      <c r="D5646" s="1" t="s">
        <v>78</v>
      </c>
      <c r="E5646" s="1" t="s">
        <v>28</v>
      </c>
      <c r="F5646" s="2">
        <v>14500.0</v>
      </c>
      <c r="G5646" s="1" t="s">
        <v>1212</v>
      </c>
      <c r="H5646" s="4">
        <f>IFERROR(__xludf.DUMMYFUNCTION("DATE(INDEX(SPLIT(G5646,""/""),,3),INDEX(SPLIT(G5646,""/""),,2),INDEX(SPLIT(G5646,""/""),,1))"),44391.0)</f>
        <v>44391</v>
      </c>
      <c r="I5646" s="1" t="s">
        <v>447</v>
      </c>
      <c r="J5646" s="4">
        <f>IFERROR(__xludf.DUMMYFUNCTION("DATE(INDEX(SPLIT(I5646,""/""),,3),INDEX(SPLIT(I5646,""/""),,2),INDEX(SPLIT(I5646,""/""),,1))"),44910.0)</f>
        <v>44910</v>
      </c>
      <c r="L5646" s="1">
        <v>0.0</v>
      </c>
      <c r="M5646" s="1" t="s">
        <v>11254</v>
      </c>
      <c r="N5646" s="1"/>
      <c r="O5646" s="1" t="s">
        <v>30</v>
      </c>
      <c r="P5646" s="1" t="s">
        <v>31</v>
      </c>
      <c r="Q5646" s="1" t="s">
        <v>228</v>
      </c>
      <c r="R5646" s="1" t="s">
        <v>228</v>
      </c>
      <c r="S5646" s="1" t="s">
        <v>229</v>
      </c>
      <c r="U5646" s="1">
        <v>1.00602248E8</v>
      </c>
      <c r="X5646" s="1" t="s">
        <v>2028</v>
      </c>
      <c r="Y5646" s="1" t="s">
        <v>12637</v>
      </c>
      <c r="Z5646" s="1" t="s">
        <v>37</v>
      </c>
    </row>
    <row r="5647" hidden="1">
      <c r="A5647" s="1" t="s">
        <v>15616</v>
      </c>
      <c r="B5647" s="1" t="s">
        <v>15617</v>
      </c>
      <c r="C5647" s="1" t="s">
        <v>15618</v>
      </c>
      <c r="D5647" s="1" t="s">
        <v>27</v>
      </c>
      <c r="E5647" s="1" t="s">
        <v>28</v>
      </c>
      <c r="F5647" s="2">
        <v>14500.0</v>
      </c>
      <c r="G5647" s="1" t="s">
        <v>1044</v>
      </c>
      <c r="H5647" s="4">
        <f>IFERROR(__xludf.DUMMYFUNCTION("DATE(INDEX(SPLIT(G5647,""/""),,3),INDEX(SPLIT(G5647,""/""),,2),INDEX(SPLIT(G5647,""/""),,1))"),44588.0)</f>
        <v>44588</v>
      </c>
      <c r="I5647" s="1" t="s">
        <v>109</v>
      </c>
      <c r="J5647" s="4">
        <f>IFERROR(__xludf.DUMMYFUNCTION("DATE(INDEX(SPLIT(I5647,""/""),,3),INDEX(SPLIT(I5647,""/""),,2),INDEX(SPLIT(I5647,""/""),,1))"),44834.0)</f>
        <v>44834</v>
      </c>
      <c r="L5647" s="1">
        <v>0.0</v>
      </c>
      <c r="M5647" s="1" t="s">
        <v>11254</v>
      </c>
      <c r="N5647" s="1"/>
      <c r="O5647" s="1" t="s">
        <v>30</v>
      </c>
      <c r="P5647" s="1" t="s">
        <v>31</v>
      </c>
      <c r="Q5647" s="1" t="s">
        <v>228</v>
      </c>
      <c r="R5647" s="1" t="s">
        <v>228</v>
      </c>
      <c r="S5647" s="1" t="s">
        <v>229</v>
      </c>
      <c r="T5647" s="1" t="s">
        <v>513</v>
      </c>
      <c r="U5647" s="1">
        <v>1.00602248E8</v>
      </c>
      <c r="X5647" s="1" t="s">
        <v>88</v>
      </c>
      <c r="Y5647" s="1" t="s">
        <v>14932</v>
      </c>
      <c r="Z5647" s="1" t="s">
        <v>37</v>
      </c>
    </row>
    <row r="5648" hidden="1">
      <c r="A5648" s="1" t="s">
        <v>15619</v>
      </c>
      <c r="B5648" s="1" t="s">
        <v>8390</v>
      </c>
      <c r="C5648" s="1" t="s">
        <v>15620</v>
      </c>
      <c r="D5648" s="1" t="s">
        <v>27</v>
      </c>
      <c r="E5648" s="1" t="s">
        <v>28</v>
      </c>
      <c r="F5648" s="2">
        <v>14500.0</v>
      </c>
      <c r="G5648" s="1" t="s">
        <v>4402</v>
      </c>
      <c r="H5648" s="4">
        <f>IFERROR(__xludf.DUMMYFUNCTION("DATE(INDEX(SPLIT(G5648,""/""),,3),INDEX(SPLIT(G5648,""/""),,2),INDEX(SPLIT(G5648,""/""),,1))"),44390.0)</f>
        <v>44390</v>
      </c>
      <c r="I5648" s="1" t="s">
        <v>42</v>
      </c>
      <c r="J5648" s="4">
        <f>IFERROR(__xludf.DUMMYFUNCTION("DATE(INDEX(SPLIT(I5648,""/""),,3),INDEX(SPLIT(I5648,""/""),,2),INDEX(SPLIT(I5648,""/""),,1))"),44926.0)</f>
        <v>44926</v>
      </c>
      <c r="L5648" s="1">
        <v>0.0</v>
      </c>
      <c r="M5648" s="1" t="s">
        <v>11254</v>
      </c>
      <c r="N5648" s="1"/>
      <c r="O5648" s="1" t="s">
        <v>30</v>
      </c>
      <c r="P5648" s="1" t="s">
        <v>31</v>
      </c>
      <c r="Q5648" s="1" t="s">
        <v>228</v>
      </c>
      <c r="R5648" s="1" t="s">
        <v>228</v>
      </c>
      <c r="S5648" s="1" t="s">
        <v>229</v>
      </c>
      <c r="T5648" s="1" t="s">
        <v>513</v>
      </c>
      <c r="U5648" s="1">
        <v>1.00602248E8</v>
      </c>
      <c r="X5648" s="1" t="s">
        <v>239</v>
      </c>
      <c r="Y5648" s="1" t="s">
        <v>13638</v>
      </c>
      <c r="Z5648" s="1" t="s">
        <v>37</v>
      </c>
    </row>
    <row r="5649" hidden="1">
      <c r="A5649" s="1" t="s">
        <v>15621</v>
      </c>
      <c r="B5649" s="1" t="s">
        <v>15622</v>
      </c>
      <c r="C5649" s="1" t="s">
        <v>15623</v>
      </c>
      <c r="D5649" s="1" t="s">
        <v>27</v>
      </c>
      <c r="E5649" s="1" t="s">
        <v>28</v>
      </c>
      <c r="F5649" s="2">
        <v>14500.0</v>
      </c>
      <c r="G5649" s="4">
        <v>44567.0</v>
      </c>
      <c r="H5649" s="4">
        <f>IFERROR(__xludf.DUMMYFUNCTION("DATE(INDEX(SPLIT(G5649,""/""),,3),INDEX(SPLIT(G5649,""/""),,2),INDEX(SPLIT(G5649,""/""),,1))"),44713.0)</f>
        <v>44713</v>
      </c>
      <c r="I5649" s="1" t="s">
        <v>42</v>
      </c>
      <c r="J5649" s="4">
        <f>IFERROR(__xludf.DUMMYFUNCTION("DATE(INDEX(SPLIT(I5649,""/""),,3),INDEX(SPLIT(I5649,""/""),,2),INDEX(SPLIT(I5649,""/""),,1))"),44926.0)</f>
        <v>44926</v>
      </c>
      <c r="L5649" s="1">
        <v>0.0</v>
      </c>
      <c r="M5649" s="1" t="s">
        <v>11254</v>
      </c>
      <c r="N5649" s="1"/>
      <c r="O5649" s="1" t="s">
        <v>30</v>
      </c>
      <c r="P5649" s="1" t="s">
        <v>31</v>
      </c>
      <c r="Q5649" s="1" t="s">
        <v>228</v>
      </c>
      <c r="R5649" s="1" t="s">
        <v>228</v>
      </c>
      <c r="S5649" s="1" t="s">
        <v>229</v>
      </c>
      <c r="T5649" s="1" t="s">
        <v>513</v>
      </c>
      <c r="U5649" s="1">
        <v>1.00602248E8</v>
      </c>
      <c r="X5649" s="1" t="s">
        <v>63</v>
      </c>
      <c r="Y5649" s="1" t="s">
        <v>12640</v>
      </c>
      <c r="Z5649" s="1" t="s">
        <v>37</v>
      </c>
    </row>
    <row r="5650" hidden="1">
      <c r="A5650" s="1" t="s">
        <v>15624</v>
      </c>
      <c r="B5650" s="1" t="s">
        <v>6990</v>
      </c>
      <c r="C5650" s="1" t="s">
        <v>15625</v>
      </c>
      <c r="D5650" s="1" t="s">
        <v>27</v>
      </c>
      <c r="E5650" s="1" t="s">
        <v>28</v>
      </c>
      <c r="F5650" s="2">
        <v>14500.0</v>
      </c>
      <c r="G5650" s="1" t="s">
        <v>3083</v>
      </c>
      <c r="H5650" s="4">
        <f>IFERROR(__xludf.DUMMYFUNCTION("DATE(INDEX(SPLIT(G5650,""/""),,3),INDEX(SPLIT(G5650,""/""),,2),INDEX(SPLIT(G5650,""/""),,1))"),44225.0)</f>
        <v>44225</v>
      </c>
      <c r="I5650" s="1" t="s">
        <v>42</v>
      </c>
      <c r="J5650" s="4">
        <f>IFERROR(__xludf.DUMMYFUNCTION("DATE(INDEX(SPLIT(I5650,""/""),,3),INDEX(SPLIT(I5650,""/""),,2),INDEX(SPLIT(I5650,""/""),,1))"),44926.0)</f>
        <v>44926</v>
      </c>
      <c r="L5650" s="1">
        <v>0.0</v>
      </c>
      <c r="M5650" s="1" t="s">
        <v>11254</v>
      </c>
      <c r="N5650" s="1"/>
      <c r="O5650" s="1" t="s">
        <v>30</v>
      </c>
      <c r="P5650" s="1" t="s">
        <v>31</v>
      </c>
      <c r="Q5650" s="1" t="s">
        <v>228</v>
      </c>
      <c r="R5650" s="1" t="s">
        <v>228</v>
      </c>
      <c r="S5650" s="1" t="s">
        <v>229</v>
      </c>
      <c r="T5650" s="1" t="s">
        <v>513</v>
      </c>
      <c r="U5650" s="1">
        <v>1.00602248E8</v>
      </c>
      <c r="X5650" s="1" t="s">
        <v>63</v>
      </c>
      <c r="Y5650" s="1" t="s">
        <v>13638</v>
      </c>
      <c r="Z5650" s="1" t="s">
        <v>37</v>
      </c>
    </row>
    <row r="5651" hidden="1">
      <c r="A5651" s="1" t="s">
        <v>15626</v>
      </c>
      <c r="B5651" s="1" t="s">
        <v>15627</v>
      </c>
      <c r="C5651" s="1" t="s">
        <v>15628</v>
      </c>
      <c r="D5651" s="1" t="s">
        <v>27</v>
      </c>
      <c r="E5651" s="1" t="s">
        <v>28</v>
      </c>
      <c r="F5651" s="2">
        <v>14500.0</v>
      </c>
      <c r="G5651" s="1" t="s">
        <v>6039</v>
      </c>
      <c r="H5651" s="4">
        <f>IFERROR(__xludf.DUMMYFUNCTION("DATE(INDEX(SPLIT(G5651,""/""),,3),INDEX(SPLIT(G5651,""/""),,2),INDEX(SPLIT(G5651,""/""),,1))"),44316.0)</f>
        <v>44316</v>
      </c>
      <c r="I5651" s="1" t="s">
        <v>109</v>
      </c>
      <c r="J5651" s="4">
        <f>IFERROR(__xludf.DUMMYFUNCTION("DATE(INDEX(SPLIT(I5651,""/""),,3),INDEX(SPLIT(I5651,""/""),,2),INDEX(SPLIT(I5651,""/""),,1))"),44834.0)</f>
        <v>44834</v>
      </c>
      <c r="L5651" s="1">
        <v>0.0</v>
      </c>
      <c r="M5651" s="1" t="s">
        <v>11254</v>
      </c>
      <c r="N5651" s="1"/>
      <c r="O5651" s="1" t="s">
        <v>30</v>
      </c>
      <c r="P5651" s="1" t="s">
        <v>31</v>
      </c>
      <c r="Q5651" s="1" t="s">
        <v>228</v>
      </c>
      <c r="R5651" s="1" t="s">
        <v>228</v>
      </c>
      <c r="S5651" s="1" t="s">
        <v>229</v>
      </c>
      <c r="T5651" s="1" t="s">
        <v>513</v>
      </c>
      <c r="U5651" s="1">
        <v>1.00602248E8</v>
      </c>
      <c r="X5651" s="1" t="s">
        <v>117</v>
      </c>
      <c r="Y5651" s="1" t="s">
        <v>12637</v>
      </c>
      <c r="Z5651" s="1" t="s">
        <v>37</v>
      </c>
    </row>
    <row r="5652" hidden="1">
      <c r="A5652" s="1" t="s">
        <v>15629</v>
      </c>
      <c r="B5652" s="1" t="s">
        <v>1198</v>
      </c>
      <c r="C5652" s="1" t="s">
        <v>15630</v>
      </c>
      <c r="D5652" s="1" t="s">
        <v>27</v>
      </c>
      <c r="E5652" s="1" t="s">
        <v>28</v>
      </c>
      <c r="F5652" s="2">
        <v>14500.0</v>
      </c>
      <c r="G5652" s="4">
        <v>44686.0</v>
      </c>
      <c r="H5652" s="4">
        <f>IFERROR(__xludf.DUMMYFUNCTION("DATE(INDEX(SPLIT(G5652,""/""),,3),INDEX(SPLIT(G5652,""/""),,2),INDEX(SPLIT(G5652,""/""),,1))"),44686.0)</f>
        <v>44686</v>
      </c>
      <c r="I5652" s="1" t="s">
        <v>42</v>
      </c>
      <c r="J5652" s="4">
        <f>IFERROR(__xludf.DUMMYFUNCTION("DATE(INDEX(SPLIT(I5652,""/""),,3),INDEX(SPLIT(I5652,""/""),,2),INDEX(SPLIT(I5652,""/""),,1))"),44926.0)</f>
        <v>44926</v>
      </c>
      <c r="L5652" s="1">
        <v>0.0</v>
      </c>
      <c r="M5652" s="1" t="s">
        <v>11254</v>
      </c>
      <c r="N5652" s="1"/>
      <c r="O5652" s="1" t="s">
        <v>30</v>
      </c>
      <c r="P5652" s="1" t="s">
        <v>31</v>
      </c>
      <c r="Q5652" s="1" t="s">
        <v>228</v>
      </c>
      <c r="R5652" s="1" t="s">
        <v>228</v>
      </c>
      <c r="S5652" s="1" t="s">
        <v>229</v>
      </c>
      <c r="T5652" s="1" t="s">
        <v>513</v>
      </c>
      <c r="U5652" s="1">
        <v>1.00602248E8</v>
      </c>
      <c r="X5652" s="1" t="s">
        <v>88</v>
      </c>
      <c r="Y5652" s="1" t="s">
        <v>14932</v>
      </c>
      <c r="Z5652" s="1" t="s">
        <v>37</v>
      </c>
    </row>
    <row r="5653" hidden="1">
      <c r="A5653" s="1" t="s">
        <v>15631</v>
      </c>
      <c r="B5653" s="1" t="s">
        <v>15632</v>
      </c>
      <c r="C5653" s="1" t="s">
        <v>15633</v>
      </c>
      <c r="D5653" s="1" t="s">
        <v>27</v>
      </c>
      <c r="E5653" s="1" t="s">
        <v>28</v>
      </c>
      <c r="F5653" s="2">
        <v>14500.0</v>
      </c>
      <c r="G5653" s="1" t="s">
        <v>2110</v>
      </c>
      <c r="H5653" s="4">
        <f>IFERROR(__xludf.DUMMYFUNCTION("DATE(INDEX(SPLIT(G5653,""/""),,3),INDEX(SPLIT(G5653,""/""),,2),INDEX(SPLIT(G5653,""/""),,1))"),44650.0)</f>
        <v>44650</v>
      </c>
      <c r="I5653" s="1" t="s">
        <v>42</v>
      </c>
      <c r="J5653" s="4">
        <f>IFERROR(__xludf.DUMMYFUNCTION("DATE(INDEX(SPLIT(I5653,""/""),,3),INDEX(SPLIT(I5653,""/""),,2),INDEX(SPLIT(I5653,""/""),,1))"),44926.0)</f>
        <v>44926</v>
      </c>
      <c r="L5653" s="1">
        <v>0.0</v>
      </c>
      <c r="M5653" s="1" t="s">
        <v>11254</v>
      </c>
      <c r="N5653" s="1"/>
      <c r="O5653" s="1" t="s">
        <v>30</v>
      </c>
      <c r="P5653" s="1" t="s">
        <v>31</v>
      </c>
      <c r="Q5653" s="1" t="s">
        <v>228</v>
      </c>
      <c r="R5653" s="1" t="s">
        <v>228</v>
      </c>
      <c r="S5653" s="1" t="s">
        <v>229</v>
      </c>
      <c r="T5653" s="1" t="s">
        <v>513</v>
      </c>
      <c r="U5653" s="1">
        <v>1.00602248E8</v>
      </c>
      <c r="X5653" s="1" t="s">
        <v>490</v>
      </c>
      <c r="Y5653" s="1" t="s">
        <v>12640</v>
      </c>
      <c r="Z5653" s="1" t="s">
        <v>37</v>
      </c>
    </row>
    <row r="5654" hidden="1">
      <c r="A5654" s="1" t="s">
        <v>15634</v>
      </c>
      <c r="B5654" s="1" t="s">
        <v>15635</v>
      </c>
      <c r="C5654" s="1" t="s">
        <v>15636</v>
      </c>
      <c r="D5654" s="1" t="s">
        <v>78</v>
      </c>
      <c r="E5654" s="1" t="s">
        <v>28</v>
      </c>
      <c r="F5654" s="2">
        <v>14500.0</v>
      </c>
      <c r="G5654" s="1" t="s">
        <v>4036</v>
      </c>
      <c r="H5654" s="4">
        <f>IFERROR(__xludf.DUMMYFUNCTION("DATE(INDEX(SPLIT(G5654,""/""),,3),INDEX(SPLIT(G5654,""/""),,2),INDEX(SPLIT(G5654,""/""),,1))"),44592.0)</f>
        <v>44592</v>
      </c>
      <c r="I5654" s="1" t="s">
        <v>109</v>
      </c>
      <c r="J5654" s="4">
        <f>IFERROR(__xludf.DUMMYFUNCTION("DATE(INDEX(SPLIT(I5654,""/""),,3),INDEX(SPLIT(I5654,""/""),,2),INDEX(SPLIT(I5654,""/""),,1))"),44834.0)</f>
        <v>44834</v>
      </c>
      <c r="L5654" s="1">
        <v>0.0</v>
      </c>
      <c r="M5654" s="1" t="s">
        <v>11254</v>
      </c>
      <c r="N5654" s="1"/>
      <c r="O5654" s="1" t="s">
        <v>30</v>
      </c>
      <c r="P5654" s="1" t="s">
        <v>31</v>
      </c>
      <c r="Q5654" s="1" t="s">
        <v>228</v>
      </c>
      <c r="R5654" s="1" t="s">
        <v>228</v>
      </c>
      <c r="S5654" s="1" t="s">
        <v>229</v>
      </c>
      <c r="T5654" s="1" t="s">
        <v>14924</v>
      </c>
      <c r="U5654" s="1">
        <v>1.00602248E8</v>
      </c>
      <c r="X5654" s="1" t="s">
        <v>190</v>
      </c>
      <c r="Y5654" s="1" t="s">
        <v>13638</v>
      </c>
      <c r="Z5654" s="1" t="s">
        <v>37</v>
      </c>
    </row>
    <row r="5655" hidden="1">
      <c r="A5655" s="1" t="s">
        <v>15637</v>
      </c>
      <c r="B5655" s="1" t="s">
        <v>9720</v>
      </c>
      <c r="C5655" s="1" t="s">
        <v>15638</v>
      </c>
      <c r="D5655" s="1" t="s">
        <v>78</v>
      </c>
      <c r="E5655" s="1" t="s">
        <v>28</v>
      </c>
      <c r="F5655" s="2">
        <v>14500.0</v>
      </c>
      <c r="G5655" s="4">
        <v>44870.0</v>
      </c>
      <c r="H5655" s="4">
        <f>IFERROR(__xludf.DUMMYFUNCTION("DATE(INDEX(SPLIT(G5655,""/""),,3),INDEX(SPLIT(G5655,""/""),,2),INDEX(SPLIT(G5655,""/""),,1))"),44692.0)</f>
        <v>44692</v>
      </c>
      <c r="I5655" s="1" t="s">
        <v>42</v>
      </c>
      <c r="J5655" s="4">
        <f>IFERROR(__xludf.DUMMYFUNCTION("DATE(INDEX(SPLIT(I5655,""/""),,3),INDEX(SPLIT(I5655,""/""),,2),INDEX(SPLIT(I5655,""/""),,1))"),44926.0)</f>
        <v>44926</v>
      </c>
      <c r="L5655" s="1">
        <v>0.0</v>
      </c>
      <c r="M5655" s="1" t="s">
        <v>11254</v>
      </c>
      <c r="N5655" s="1"/>
      <c r="O5655" s="1" t="s">
        <v>30</v>
      </c>
      <c r="P5655" s="1" t="s">
        <v>31</v>
      </c>
      <c r="Q5655" s="1" t="s">
        <v>228</v>
      </c>
      <c r="R5655" s="1" t="s">
        <v>228</v>
      </c>
      <c r="S5655" s="1" t="s">
        <v>229</v>
      </c>
      <c r="T5655" s="1" t="s">
        <v>513</v>
      </c>
      <c r="U5655" s="1">
        <v>1.00602248E8</v>
      </c>
      <c r="X5655" s="1" t="s">
        <v>88</v>
      </c>
      <c r="Y5655" s="1" t="s">
        <v>13638</v>
      </c>
      <c r="Z5655" s="1" t="s">
        <v>37</v>
      </c>
    </row>
    <row r="5656" hidden="1">
      <c r="A5656" s="1" t="s">
        <v>15639</v>
      </c>
      <c r="B5656" s="1" t="s">
        <v>9871</v>
      </c>
      <c r="C5656" s="1" t="s">
        <v>15640</v>
      </c>
      <c r="D5656" s="1" t="s">
        <v>78</v>
      </c>
      <c r="E5656" s="1" t="s">
        <v>28</v>
      </c>
      <c r="F5656" s="2">
        <v>14500.0</v>
      </c>
      <c r="G5656" s="4">
        <v>44807.0</v>
      </c>
      <c r="H5656" s="4">
        <f>IFERROR(__xludf.DUMMYFUNCTION("DATE(INDEX(SPLIT(G5656,""/""),,3),INDEX(SPLIT(G5656,""/""),,2),INDEX(SPLIT(G5656,""/""),,1))"),44629.0)</f>
        <v>44629</v>
      </c>
      <c r="I5656" s="1" t="s">
        <v>109</v>
      </c>
      <c r="J5656" s="4">
        <f>IFERROR(__xludf.DUMMYFUNCTION("DATE(INDEX(SPLIT(I5656,""/""),,3),INDEX(SPLIT(I5656,""/""),,2),INDEX(SPLIT(I5656,""/""),,1))"),44834.0)</f>
        <v>44834</v>
      </c>
      <c r="L5656" s="1">
        <v>0.0</v>
      </c>
      <c r="M5656" s="1" t="s">
        <v>11254</v>
      </c>
      <c r="N5656" s="1"/>
      <c r="O5656" s="1" t="s">
        <v>30</v>
      </c>
      <c r="P5656" s="1" t="s">
        <v>31</v>
      </c>
      <c r="Q5656" s="1" t="s">
        <v>228</v>
      </c>
      <c r="R5656" s="1" t="s">
        <v>228</v>
      </c>
      <c r="S5656" s="1" t="s">
        <v>229</v>
      </c>
      <c r="T5656" s="1" t="s">
        <v>513</v>
      </c>
      <c r="U5656" s="1">
        <v>1.00602248E8</v>
      </c>
      <c r="X5656" s="1" t="s">
        <v>63</v>
      </c>
      <c r="Y5656" s="1" t="s">
        <v>13638</v>
      </c>
      <c r="Z5656" s="1" t="s">
        <v>37</v>
      </c>
    </row>
    <row r="5657" hidden="1">
      <c r="A5657" s="1" t="s">
        <v>15641</v>
      </c>
      <c r="B5657" s="1" t="s">
        <v>15642</v>
      </c>
      <c r="C5657" s="1" t="s">
        <v>15643</v>
      </c>
      <c r="D5657" s="1" t="s">
        <v>78</v>
      </c>
      <c r="E5657" s="1" t="s">
        <v>28</v>
      </c>
      <c r="F5657" s="2">
        <v>14500.0</v>
      </c>
      <c r="G5657" s="4">
        <v>44807.0</v>
      </c>
      <c r="H5657" s="4">
        <f>IFERROR(__xludf.DUMMYFUNCTION("DATE(INDEX(SPLIT(G5657,""/""),,3),INDEX(SPLIT(G5657,""/""),,2),INDEX(SPLIT(G5657,""/""),,1))"),44629.0)</f>
        <v>44629</v>
      </c>
      <c r="I5657" s="1" t="s">
        <v>109</v>
      </c>
      <c r="J5657" s="4">
        <f>IFERROR(__xludf.DUMMYFUNCTION("DATE(INDEX(SPLIT(I5657,""/""),,3),INDEX(SPLIT(I5657,""/""),,2),INDEX(SPLIT(I5657,""/""),,1))"),44834.0)</f>
        <v>44834</v>
      </c>
      <c r="L5657" s="1">
        <v>0.0</v>
      </c>
      <c r="M5657" s="1" t="s">
        <v>11254</v>
      </c>
      <c r="N5657" s="1"/>
      <c r="O5657" s="1" t="s">
        <v>30</v>
      </c>
      <c r="P5657" s="1" t="s">
        <v>31</v>
      </c>
      <c r="Q5657" s="1" t="s">
        <v>228</v>
      </c>
      <c r="R5657" s="1" t="s">
        <v>228</v>
      </c>
      <c r="S5657" s="1" t="s">
        <v>229</v>
      </c>
      <c r="T5657" s="1" t="s">
        <v>513</v>
      </c>
      <c r="U5657" s="1">
        <v>1.00602248E8</v>
      </c>
      <c r="X5657" s="1" t="s">
        <v>74</v>
      </c>
      <c r="Y5657" s="1" t="s">
        <v>13638</v>
      </c>
      <c r="Z5657" s="1" t="s">
        <v>37</v>
      </c>
    </row>
    <row r="5658" hidden="1">
      <c r="A5658" s="1" t="s">
        <v>15644</v>
      </c>
      <c r="B5658" s="1" t="s">
        <v>15645</v>
      </c>
      <c r="C5658" s="1" t="s">
        <v>15646</v>
      </c>
      <c r="D5658" s="1" t="s">
        <v>78</v>
      </c>
      <c r="E5658" s="1" t="s">
        <v>28</v>
      </c>
      <c r="F5658" s="2">
        <v>14500.0</v>
      </c>
      <c r="G5658" s="1" t="s">
        <v>3083</v>
      </c>
      <c r="H5658" s="4">
        <f>IFERROR(__xludf.DUMMYFUNCTION("DATE(INDEX(SPLIT(G5658,""/""),,3),INDEX(SPLIT(G5658,""/""),,2),INDEX(SPLIT(G5658,""/""),,1))"),44225.0)</f>
        <v>44225</v>
      </c>
      <c r="I5658" s="1" t="s">
        <v>109</v>
      </c>
      <c r="J5658" s="4">
        <f>IFERROR(__xludf.DUMMYFUNCTION("DATE(INDEX(SPLIT(I5658,""/""),,3),INDEX(SPLIT(I5658,""/""),,2),INDEX(SPLIT(I5658,""/""),,1))"),44834.0)</f>
        <v>44834</v>
      </c>
      <c r="L5658" s="1">
        <v>0.0</v>
      </c>
      <c r="M5658" s="1" t="s">
        <v>11254</v>
      </c>
      <c r="N5658" s="1"/>
      <c r="O5658" s="1" t="s">
        <v>30</v>
      </c>
      <c r="P5658" s="1" t="s">
        <v>31</v>
      </c>
      <c r="Q5658" s="1" t="s">
        <v>228</v>
      </c>
      <c r="R5658" s="1" t="s">
        <v>228</v>
      </c>
      <c r="S5658" s="1" t="s">
        <v>229</v>
      </c>
      <c r="T5658" s="1" t="s">
        <v>513</v>
      </c>
      <c r="U5658" s="1">
        <v>1.00602248E8</v>
      </c>
      <c r="X5658" s="1" t="s">
        <v>63</v>
      </c>
      <c r="Y5658" s="1" t="s">
        <v>12637</v>
      </c>
      <c r="Z5658" s="1" t="s">
        <v>37</v>
      </c>
    </row>
    <row r="5659" hidden="1">
      <c r="A5659" s="1" t="s">
        <v>15647</v>
      </c>
      <c r="B5659" s="1" t="s">
        <v>15648</v>
      </c>
      <c r="C5659" s="1" t="s">
        <v>15649</v>
      </c>
      <c r="D5659" s="1" t="s">
        <v>78</v>
      </c>
      <c r="E5659" s="1" t="s">
        <v>28</v>
      </c>
      <c r="F5659" s="2">
        <v>14500.0</v>
      </c>
      <c r="G5659" s="1" t="s">
        <v>4036</v>
      </c>
      <c r="H5659" s="4">
        <f>IFERROR(__xludf.DUMMYFUNCTION("DATE(INDEX(SPLIT(G5659,""/""),,3),INDEX(SPLIT(G5659,""/""),,2),INDEX(SPLIT(G5659,""/""),,1))"),44592.0)</f>
        <v>44592</v>
      </c>
      <c r="I5659" s="1" t="s">
        <v>42</v>
      </c>
      <c r="J5659" s="4">
        <f>IFERROR(__xludf.DUMMYFUNCTION("DATE(INDEX(SPLIT(I5659,""/""),,3),INDEX(SPLIT(I5659,""/""),,2),INDEX(SPLIT(I5659,""/""),,1))"),44926.0)</f>
        <v>44926</v>
      </c>
      <c r="L5659" s="1">
        <v>0.0</v>
      </c>
      <c r="M5659" s="1" t="s">
        <v>11254</v>
      </c>
      <c r="N5659" s="1"/>
      <c r="O5659" s="1" t="s">
        <v>30</v>
      </c>
      <c r="P5659" s="1" t="s">
        <v>31</v>
      </c>
      <c r="Q5659" s="1" t="s">
        <v>228</v>
      </c>
      <c r="R5659" s="1" t="s">
        <v>228</v>
      </c>
      <c r="S5659" s="1" t="s">
        <v>229</v>
      </c>
      <c r="T5659" s="1" t="s">
        <v>513</v>
      </c>
      <c r="U5659" s="1">
        <v>1.00602248E8</v>
      </c>
      <c r="X5659" s="1" t="s">
        <v>490</v>
      </c>
      <c r="Y5659" s="1" t="s">
        <v>12640</v>
      </c>
      <c r="Z5659" s="1" t="s">
        <v>37</v>
      </c>
    </row>
    <row r="5660" hidden="1">
      <c r="A5660" s="1" t="s">
        <v>15650</v>
      </c>
      <c r="B5660" s="1" t="s">
        <v>15651</v>
      </c>
      <c r="C5660" s="1" t="s">
        <v>15652</v>
      </c>
      <c r="D5660" s="1" t="s">
        <v>27</v>
      </c>
      <c r="E5660" s="1" t="s">
        <v>28</v>
      </c>
      <c r="F5660" s="2">
        <v>14500.0</v>
      </c>
      <c r="G5660" s="1" t="s">
        <v>1044</v>
      </c>
      <c r="H5660" s="4">
        <f>IFERROR(__xludf.DUMMYFUNCTION("DATE(INDEX(SPLIT(G5660,""/""),,3),INDEX(SPLIT(G5660,""/""),,2),INDEX(SPLIT(G5660,""/""),,1))"),44588.0)</f>
        <v>44588</v>
      </c>
      <c r="I5660" s="1" t="s">
        <v>109</v>
      </c>
      <c r="J5660" s="4">
        <f>IFERROR(__xludf.DUMMYFUNCTION("DATE(INDEX(SPLIT(I5660,""/""),,3),INDEX(SPLIT(I5660,""/""),,2),INDEX(SPLIT(I5660,""/""),,1))"),44834.0)</f>
        <v>44834</v>
      </c>
      <c r="L5660" s="1">
        <v>0.0</v>
      </c>
      <c r="M5660" s="1" t="s">
        <v>11254</v>
      </c>
      <c r="N5660" s="1"/>
      <c r="O5660" s="1" t="s">
        <v>30</v>
      </c>
      <c r="P5660" s="1" t="s">
        <v>31</v>
      </c>
      <c r="Q5660" s="1" t="s">
        <v>228</v>
      </c>
      <c r="R5660" s="1" t="s">
        <v>228</v>
      </c>
      <c r="S5660" s="1" t="s">
        <v>229</v>
      </c>
      <c r="T5660" s="1" t="s">
        <v>513</v>
      </c>
      <c r="U5660" s="1">
        <v>1.00602248E8</v>
      </c>
      <c r="X5660" s="1" t="s">
        <v>239</v>
      </c>
      <c r="Y5660" s="1" t="s">
        <v>14932</v>
      </c>
      <c r="Z5660" s="1" t="s">
        <v>37</v>
      </c>
    </row>
    <row r="5661" hidden="1">
      <c r="A5661" s="1" t="s">
        <v>15653</v>
      </c>
      <c r="B5661" s="1" t="s">
        <v>15654</v>
      </c>
      <c r="C5661" s="1" t="s">
        <v>15655</v>
      </c>
      <c r="D5661" s="1" t="s">
        <v>78</v>
      </c>
      <c r="E5661" s="1" t="s">
        <v>28</v>
      </c>
      <c r="F5661" s="2">
        <v>14500.0</v>
      </c>
      <c r="G5661" s="1" t="s">
        <v>4036</v>
      </c>
      <c r="H5661" s="4">
        <f>IFERROR(__xludf.DUMMYFUNCTION("DATE(INDEX(SPLIT(G5661,""/""),,3),INDEX(SPLIT(G5661,""/""),,2),INDEX(SPLIT(G5661,""/""),,1))"),44592.0)</f>
        <v>44592</v>
      </c>
      <c r="I5661" s="1" t="s">
        <v>109</v>
      </c>
      <c r="J5661" s="4">
        <f>IFERROR(__xludf.DUMMYFUNCTION("DATE(INDEX(SPLIT(I5661,""/""),,3),INDEX(SPLIT(I5661,""/""),,2),INDEX(SPLIT(I5661,""/""),,1))"),44834.0)</f>
        <v>44834</v>
      </c>
      <c r="L5661" s="1">
        <v>0.0</v>
      </c>
      <c r="M5661" s="1" t="s">
        <v>11254</v>
      </c>
      <c r="N5661" s="1"/>
      <c r="O5661" s="1" t="s">
        <v>30</v>
      </c>
      <c r="P5661" s="1" t="s">
        <v>31</v>
      </c>
      <c r="Q5661" s="1" t="s">
        <v>228</v>
      </c>
      <c r="R5661" s="1" t="s">
        <v>228</v>
      </c>
      <c r="S5661" s="1" t="s">
        <v>229</v>
      </c>
      <c r="T5661" s="1" t="s">
        <v>513</v>
      </c>
      <c r="U5661" s="1">
        <v>1.00602248E8</v>
      </c>
      <c r="X5661" s="1" t="s">
        <v>490</v>
      </c>
      <c r="Y5661" s="1" t="s">
        <v>13638</v>
      </c>
      <c r="Z5661" s="1" t="s">
        <v>37</v>
      </c>
    </row>
    <row r="5662" hidden="1">
      <c r="A5662" s="1" t="s">
        <v>15656</v>
      </c>
      <c r="B5662" s="1" t="s">
        <v>2986</v>
      </c>
      <c r="C5662" s="1" t="s">
        <v>15657</v>
      </c>
      <c r="D5662" s="1" t="s">
        <v>27</v>
      </c>
      <c r="E5662" s="1" t="s">
        <v>28</v>
      </c>
      <c r="F5662" s="2">
        <v>14500.0</v>
      </c>
      <c r="G5662" s="4">
        <v>44656.0</v>
      </c>
      <c r="H5662" s="4">
        <f>IFERROR(__xludf.DUMMYFUNCTION("DATE(INDEX(SPLIT(G5662,""/""),,3),INDEX(SPLIT(G5662,""/""),,2),INDEX(SPLIT(G5662,""/""),,1))"),44685.0)</f>
        <v>44685</v>
      </c>
      <c r="I5662" s="1" t="s">
        <v>42</v>
      </c>
      <c r="J5662" s="4">
        <f>IFERROR(__xludf.DUMMYFUNCTION("DATE(INDEX(SPLIT(I5662,""/""),,3),INDEX(SPLIT(I5662,""/""),,2),INDEX(SPLIT(I5662,""/""),,1))"),44926.0)</f>
        <v>44926</v>
      </c>
      <c r="L5662" s="1">
        <v>0.0</v>
      </c>
      <c r="M5662" s="1" t="s">
        <v>11254</v>
      </c>
      <c r="N5662" s="1"/>
      <c r="O5662" s="1" t="s">
        <v>30</v>
      </c>
      <c r="P5662" s="1" t="s">
        <v>31</v>
      </c>
      <c r="Q5662" s="1" t="s">
        <v>228</v>
      </c>
      <c r="R5662" s="1" t="s">
        <v>228</v>
      </c>
      <c r="S5662" s="1" t="s">
        <v>229</v>
      </c>
      <c r="T5662" s="1" t="s">
        <v>513</v>
      </c>
      <c r="U5662" s="1">
        <v>1.00602248E8</v>
      </c>
      <c r="X5662" s="1" t="s">
        <v>88</v>
      </c>
      <c r="Y5662" s="1" t="s">
        <v>14932</v>
      </c>
      <c r="Z5662" s="1" t="s">
        <v>37</v>
      </c>
    </row>
    <row r="5663" hidden="1">
      <c r="A5663" s="1" t="s">
        <v>15658</v>
      </c>
      <c r="B5663" s="1" t="s">
        <v>15659</v>
      </c>
      <c r="C5663" s="1" t="s">
        <v>15660</v>
      </c>
      <c r="D5663" s="1" t="s">
        <v>27</v>
      </c>
      <c r="E5663" s="1" t="s">
        <v>28</v>
      </c>
      <c r="F5663" s="2">
        <v>14500.0</v>
      </c>
      <c r="G5663" s="1" t="s">
        <v>2629</v>
      </c>
      <c r="H5663" s="4">
        <f>IFERROR(__xludf.DUMMYFUNCTION("DATE(INDEX(SPLIT(G5663,""/""),,3),INDEX(SPLIT(G5663,""/""),,2),INDEX(SPLIT(G5663,""/""),,1))"),44651.0)</f>
        <v>44651</v>
      </c>
      <c r="I5663" s="1" t="s">
        <v>42</v>
      </c>
      <c r="J5663" s="4">
        <f>IFERROR(__xludf.DUMMYFUNCTION("DATE(INDEX(SPLIT(I5663,""/""),,3),INDEX(SPLIT(I5663,""/""),,2),INDEX(SPLIT(I5663,""/""),,1))"),44926.0)</f>
        <v>44926</v>
      </c>
      <c r="L5663" s="1">
        <v>0.0</v>
      </c>
      <c r="M5663" s="1" t="s">
        <v>11254</v>
      </c>
      <c r="N5663" s="1"/>
      <c r="O5663" s="1" t="s">
        <v>30</v>
      </c>
      <c r="P5663" s="1" t="s">
        <v>31</v>
      </c>
      <c r="Q5663" s="1" t="s">
        <v>228</v>
      </c>
      <c r="R5663" s="1" t="s">
        <v>228</v>
      </c>
      <c r="S5663" s="1" t="s">
        <v>229</v>
      </c>
      <c r="T5663" s="1" t="s">
        <v>513</v>
      </c>
      <c r="U5663" s="1">
        <v>1.00602248E8</v>
      </c>
      <c r="X5663" s="1" t="s">
        <v>117</v>
      </c>
      <c r="Y5663" s="1" t="s">
        <v>12640</v>
      </c>
      <c r="Z5663" s="1" t="s">
        <v>37</v>
      </c>
    </row>
    <row r="5664" hidden="1">
      <c r="A5664" s="1" t="s">
        <v>15661</v>
      </c>
      <c r="B5664" s="1" t="s">
        <v>15662</v>
      </c>
      <c r="C5664" s="1" t="s">
        <v>15663</v>
      </c>
      <c r="D5664" s="1" t="s">
        <v>78</v>
      </c>
      <c r="E5664" s="1" t="s">
        <v>28</v>
      </c>
      <c r="F5664" s="2">
        <v>14500.0</v>
      </c>
      <c r="G5664" s="4">
        <v>44743.0</v>
      </c>
      <c r="H5664" s="4">
        <f>IFERROR(__xludf.DUMMYFUNCTION("DATE(INDEX(SPLIT(G5664,""/""),,3),INDEX(SPLIT(G5664,""/""),,2),INDEX(SPLIT(G5664,""/""),,1))"),44568.0)</f>
        <v>44568</v>
      </c>
      <c r="I5664" s="1" t="s">
        <v>109</v>
      </c>
      <c r="J5664" s="4">
        <f>IFERROR(__xludf.DUMMYFUNCTION("DATE(INDEX(SPLIT(I5664,""/""),,3),INDEX(SPLIT(I5664,""/""),,2),INDEX(SPLIT(I5664,""/""),,1))"),44834.0)</f>
        <v>44834</v>
      </c>
      <c r="L5664" s="1">
        <v>0.0</v>
      </c>
      <c r="M5664" s="1" t="s">
        <v>11254</v>
      </c>
      <c r="N5664" s="1"/>
      <c r="O5664" s="1" t="s">
        <v>30</v>
      </c>
      <c r="P5664" s="1" t="s">
        <v>31</v>
      </c>
      <c r="Q5664" s="1" t="s">
        <v>228</v>
      </c>
      <c r="R5664" s="1" t="s">
        <v>228</v>
      </c>
      <c r="S5664" s="1" t="s">
        <v>229</v>
      </c>
      <c r="T5664" s="1" t="s">
        <v>513</v>
      </c>
      <c r="U5664" s="1">
        <v>1.00602248E8</v>
      </c>
      <c r="X5664" s="1" t="s">
        <v>74</v>
      </c>
      <c r="Y5664" s="1" t="s">
        <v>13638</v>
      </c>
      <c r="Z5664" s="1" t="s">
        <v>37</v>
      </c>
    </row>
    <row r="5665" hidden="1">
      <c r="A5665" s="1" t="s">
        <v>15664</v>
      </c>
      <c r="B5665" s="1" t="s">
        <v>15665</v>
      </c>
      <c r="C5665" s="1" t="s">
        <v>15666</v>
      </c>
      <c r="D5665" s="1" t="s">
        <v>27</v>
      </c>
      <c r="E5665" s="1" t="s">
        <v>28</v>
      </c>
      <c r="F5665" s="2">
        <v>14500.0</v>
      </c>
      <c r="G5665" s="1" t="s">
        <v>14886</v>
      </c>
      <c r="H5665" s="4">
        <f>IFERROR(__xludf.DUMMYFUNCTION("DATE(INDEX(SPLIT(G5665,""/""),,3),INDEX(SPLIT(G5665,""/""),,2),INDEX(SPLIT(G5665,""/""),,1))"),44058.0)</f>
        <v>44058</v>
      </c>
      <c r="I5665" s="1" t="s">
        <v>42</v>
      </c>
      <c r="J5665" s="4">
        <f>IFERROR(__xludf.DUMMYFUNCTION("DATE(INDEX(SPLIT(I5665,""/""),,3),INDEX(SPLIT(I5665,""/""),,2),INDEX(SPLIT(I5665,""/""),,1))"),44926.0)</f>
        <v>44926</v>
      </c>
      <c r="L5665" s="1">
        <v>0.0</v>
      </c>
      <c r="M5665" s="1" t="s">
        <v>11254</v>
      </c>
      <c r="N5665" s="1"/>
      <c r="O5665" s="1" t="s">
        <v>30</v>
      </c>
      <c r="P5665" s="1" t="s">
        <v>31</v>
      </c>
      <c r="Q5665" s="1" t="s">
        <v>228</v>
      </c>
      <c r="R5665" s="1" t="s">
        <v>228</v>
      </c>
      <c r="S5665" s="1" t="s">
        <v>229</v>
      </c>
      <c r="T5665" s="1" t="s">
        <v>513</v>
      </c>
      <c r="U5665" s="1">
        <v>1.00602248E8</v>
      </c>
      <c r="X5665" s="1" t="s">
        <v>74</v>
      </c>
      <c r="Y5665" s="1" t="s">
        <v>13638</v>
      </c>
      <c r="Z5665" s="1" t="s">
        <v>37</v>
      </c>
    </row>
    <row r="5666">
      <c r="A5666" s="1" t="s">
        <v>15667</v>
      </c>
      <c r="B5666" s="1" t="s">
        <v>15668</v>
      </c>
      <c r="C5666" s="1" t="s">
        <v>15669</v>
      </c>
      <c r="D5666" s="1" t="s">
        <v>78</v>
      </c>
      <c r="E5666" s="1" t="s">
        <v>28</v>
      </c>
      <c r="F5666" s="2">
        <v>14500.0</v>
      </c>
      <c r="G5666" s="1" t="s">
        <v>3178</v>
      </c>
      <c r="H5666" s="4">
        <f>IFERROR(__xludf.DUMMYFUNCTION("DATE(INDEX(SPLIT(G5666,""/""),,3),INDEX(SPLIT(G5666,""/""),,2),INDEX(SPLIT(G5666,""/""),,1))"),44644.0)</f>
        <v>44644</v>
      </c>
      <c r="I5666" s="1" t="s">
        <v>1244</v>
      </c>
      <c r="J5666" s="4">
        <f>IFERROR(__xludf.DUMMYFUNCTION("DATE(INDEX(SPLIT(I5666,""/""),,3),INDEX(SPLIT(I5666,""/""),,2),INDEX(SPLIT(I5666,""/""),,1))"),44742.0)</f>
        <v>44742</v>
      </c>
      <c r="L5666" s="1">
        <v>0.0</v>
      </c>
      <c r="M5666" s="1" t="s">
        <v>1685</v>
      </c>
      <c r="N5666" s="1"/>
      <c r="O5666" s="1" t="s">
        <v>30</v>
      </c>
      <c r="P5666" s="1" t="s">
        <v>31</v>
      </c>
      <c r="Q5666" s="1" t="s">
        <v>228</v>
      </c>
      <c r="R5666" s="1" t="s">
        <v>228</v>
      </c>
      <c r="S5666" s="1" t="s">
        <v>229</v>
      </c>
      <c r="T5666" s="1" t="s">
        <v>513</v>
      </c>
      <c r="U5666" s="1">
        <v>1.00612055E8</v>
      </c>
      <c r="X5666" s="1" t="s">
        <v>312</v>
      </c>
      <c r="Y5666" s="1" t="s">
        <v>12637</v>
      </c>
      <c r="Z5666" s="1" t="s">
        <v>37</v>
      </c>
    </row>
    <row r="5667" hidden="1">
      <c r="A5667" s="1" t="s">
        <v>15670</v>
      </c>
      <c r="B5667" s="1" t="s">
        <v>15671</v>
      </c>
      <c r="C5667" s="1" t="s">
        <v>15672</v>
      </c>
      <c r="D5667" s="1" t="s">
        <v>27</v>
      </c>
      <c r="E5667" s="1" t="s">
        <v>28</v>
      </c>
      <c r="F5667" s="2">
        <v>14500.0</v>
      </c>
      <c r="G5667" s="1" t="s">
        <v>4402</v>
      </c>
      <c r="H5667" s="4">
        <f>IFERROR(__xludf.DUMMYFUNCTION("DATE(INDEX(SPLIT(G5667,""/""),,3),INDEX(SPLIT(G5667,""/""),,2),INDEX(SPLIT(G5667,""/""),,1))"),44390.0)</f>
        <v>44390</v>
      </c>
      <c r="I5667" s="1" t="s">
        <v>42</v>
      </c>
      <c r="J5667" s="4">
        <f>IFERROR(__xludf.DUMMYFUNCTION("DATE(INDEX(SPLIT(I5667,""/""),,3),INDEX(SPLIT(I5667,""/""),,2),INDEX(SPLIT(I5667,""/""),,1))"),44926.0)</f>
        <v>44926</v>
      </c>
      <c r="L5667" s="1">
        <v>0.0</v>
      </c>
      <c r="M5667" s="1" t="s">
        <v>11254</v>
      </c>
      <c r="N5667" s="1"/>
      <c r="O5667" s="1" t="s">
        <v>30</v>
      </c>
      <c r="P5667" s="1" t="s">
        <v>31</v>
      </c>
      <c r="Q5667" s="1" t="s">
        <v>228</v>
      </c>
      <c r="R5667" s="1" t="s">
        <v>228</v>
      </c>
      <c r="S5667" s="1" t="s">
        <v>229</v>
      </c>
      <c r="T5667" s="1" t="s">
        <v>513</v>
      </c>
      <c r="U5667" s="1">
        <v>1.00602248E8</v>
      </c>
      <c r="X5667" s="1" t="s">
        <v>46</v>
      </c>
      <c r="Y5667" s="1" t="s">
        <v>13638</v>
      </c>
      <c r="Z5667" s="1" t="s">
        <v>37</v>
      </c>
    </row>
    <row r="5668" hidden="1">
      <c r="A5668" s="1" t="s">
        <v>15673</v>
      </c>
      <c r="B5668" s="1" t="s">
        <v>15674</v>
      </c>
      <c r="C5668" s="1" t="s">
        <v>15675</v>
      </c>
      <c r="D5668" s="1" t="s">
        <v>27</v>
      </c>
      <c r="E5668" s="1" t="s">
        <v>28</v>
      </c>
      <c r="F5668" s="2">
        <v>14500.0</v>
      </c>
      <c r="G5668" s="1" t="s">
        <v>586</v>
      </c>
      <c r="H5668" s="4">
        <f>IFERROR(__xludf.DUMMYFUNCTION("DATE(INDEX(SPLIT(G5668,""/""),,3),INDEX(SPLIT(G5668,""/""),,2),INDEX(SPLIT(G5668,""/""),,1))"),44726.0)</f>
        <v>44726</v>
      </c>
      <c r="I5668" s="1" t="s">
        <v>203</v>
      </c>
      <c r="J5668" s="4">
        <f>IFERROR(__xludf.DUMMYFUNCTION("DATE(INDEX(SPLIT(I5668,""/""),,3),INDEX(SPLIT(I5668,""/""),,2),INDEX(SPLIT(I5668,""/""),,1))"),44925.0)</f>
        <v>44925</v>
      </c>
      <c r="L5668" s="1">
        <v>0.0</v>
      </c>
      <c r="M5668" s="1" t="s">
        <v>11254</v>
      </c>
      <c r="N5668" s="1"/>
      <c r="O5668" s="1" t="s">
        <v>30</v>
      </c>
      <c r="P5668" s="1" t="s">
        <v>31</v>
      </c>
      <c r="Q5668" s="1" t="s">
        <v>228</v>
      </c>
      <c r="R5668" s="1" t="s">
        <v>228</v>
      </c>
      <c r="S5668" s="1" t="s">
        <v>229</v>
      </c>
      <c r="T5668" s="1" t="s">
        <v>513</v>
      </c>
      <c r="U5668" s="1">
        <v>1.00602248E8</v>
      </c>
      <c r="X5668" s="1" t="s">
        <v>88</v>
      </c>
      <c r="Y5668" s="1" t="s">
        <v>14932</v>
      </c>
      <c r="Z5668" s="1" t="s">
        <v>37</v>
      </c>
    </row>
    <row r="5669" hidden="1">
      <c r="A5669" s="1" t="s">
        <v>15676</v>
      </c>
      <c r="B5669" s="1" t="s">
        <v>15677</v>
      </c>
      <c r="C5669" s="1" t="s">
        <v>15678</v>
      </c>
      <c r="D5669" s="1" t="s">
        <v>78</v>
      </c>
      <c r="E5669" s="1" t="s">
        <v>28</v>
      </c>
      <c r="F5669" s="2">
        <v>14500.0</v>
      </c>
      <c r="G5669" s="1" t="s">
        <v>93</v>
      </c>
      <c r="H5669" s="4">
        <f>IFERROR(__xludf.DUMMYFUNCTION("DATE(INDEX(SPLIT(G5669,""/""),,3),INDEX(SPLIT(G5669,""/""),,2),INDEX(SPLIT(G5669,""/""),,1))"),44671.0)</f>
        <v>44671</v>
      </c>
      <c r="I5669" s="1" t="s">
        <v>42</v>
      </c>
      <c r="J5669" s="4">
        <f>IFERROR(__xludf.DUMMYFUNCTION("DATE(INDEX(SPLIT(I5669,""/""),,3),INDEX(SPLIT(I5669,""/""),,2),INDEX(SPLIT(I5669,""/""),,1))"),44926.0)</f>
        <v>44926</v>
      </c>
      <c r="L5669" s="1">
        <v>0.0</v>
      </c>
      <c r="M5669" s="1" t="s">
        <v>11254</v>
      </c>
      <c r="N5669" s="1"/>
      <c r="O5669" s="1" t="s">
        <v>30</v>
      </c>
      <c r="P5669" s="1" t="s">
        <v>31</v>
      </c>
      <c r="Q5669" s="1" t="s">
        <v>228</v>
      </c>
      <c r="R5669" s="1" t="s">
        <v>228</v>
      </c>
      <c r="S5669" s="1" t="s">
        <v>229</v>
      </c>
      <c r="T5669" s="1" t="s">
        <v>14924</v>
      </c>
      <c r="U5669" s="1">
        <v>1.00602248E8</v>
      </c>
      <c r="X5669" s="1" t="s">
        <v>254</v>
      </c>
      <c r="Y5669" s="1" t="s">
        <v>12640</v>
      </c>
      <c r="Z5669" s="1" t="s">
        <v>37</v>
      </c>
    </row>
    <row r="5670" hidden="1">
      <c r="A5670" s="1" t="s">
        <v>15679</v>
      </c>
      <c r="B5670" s="1" t="s">
        <v>1144</v>
      </c>
      <c r="C5670" s="1" t="s">
        <v>15680</v>
      </c>
      <c r="D5670" s="1" t="s">
        <v>78</v>
      </c>
      <c r="E5670" s="1" t="s">
        <v>28</v>
      </c>
      <c r="F5670" s="2">
        <v>14500.0</v>
      </c>
      <c r="G5670" s="1" t="s">
        <v>93</v>
      </c>
      <c r="H5670" s="4">
        <f>IFERROR(__xludf.DUMMYFUNCTION("DATE(INDEX(SPLIT(G5670,""/""),,3),INDEX(SPLIT(G5670,""/""),,2),INDEX(SPLIT(G5670,""/""),,1))"),44671.0)</f>
        <v>44671</v>
      </c>
      <c r="I5670" s="1" t="s">
        <v>42</v>
      </c>
      <c r="J5670" s="4">
        <f>IFERROR(__xludf.DUMMYFUNCTION("DATE(INDEX(SPLIT(I5670,""/""),,3),INDEX(SPLIT(I5670,""/""),,2),INDEX(SPLIT(I5670,""/""),,1))"),44926.0)</f>
        <v>44926</v>
      </c>
      <c r="L5670" s="1">
        <v>0.0</v>
      </c>
      <c r="M5670" s="1" t="s">
        <v>11254</v>
      </c>
      <c r="N5670" s="1"/>
      <c r="O5670" s="1" t="s">
        <v>30</v>
      </c>
      <c r="P5670" s="1" t="s">
        <v>31</v>
      </c>
      <c r="Q5670" s="1" t="s">
        <v>228</v>
      </c>
      <c r="R5670" s="1" t="s">
        <v>228</v>
      </c>
      <c r="S5670" s="1" t="s">
        <v>229</v>
      </c>
      <c r="T5670" s="1" t="s">
        <v>15681</v>
      </c>
      <c r="U5670" s="1">
        <v>1.00602248E8</v>
      </c>
      <c r="X5670" s="1" t="s">
        <v>63</v>
      </c>
      <c r="Y5670" s="1" t="s">
        <v>12640</v>
      </c>
      <c r="Z5670" s="1" t="s">
        <v>37</v>
      </c>
    </row>
    <row r="5671" hidden="1">
      <c r="A5671" s="1" t="s">
        <v>15682</v>
      </c>
      <c r="B5671" s="1" t="s">
        <v>1393</v>
      </c>
      <c r="C5671" s="1" t="s">
        <v>15683</v>
      </c>
      <c r="D5671" s="1" t="s">
        <v>27</v>
      </c>
      <c r="E5671" s="1" t="s">
        <v>28</v>
      </c>
      <c r="F5671" s="2">
        <v>14500.0</v>
      </c>
      <c r="G5671" s="4">
        <v>44656.0</v>
      </c>
      <c r="H5671" s="4">
        <f>IFERROR(__xludf.DUMMYFUNCTION("DATE(INDEX(SPLIT(G5671,""/""),,3),INDEX(SPLIT(G5671,""/""),,2),INDEX(SPLIT(G5671,""/""),,1))"),44685.0)</f>
        <v>44685</v>
      </c>
      <c r="I5671" s="1" t="s">
        <v>42</v>
      </c>
      <c r="J5671" s="4">
        <f>IFERROR(__xludf.DUMMYFUNCTION("DATE(INDEX(SPLIT(I5671,""/""),,3),INDEX(SPLIT(I5671,""/""),,2),INDEX(SPLIT(I5671,""/""),,1))"),44926.0)</f>
        <v>44926</v>
      </c>
      <c r="L5671" s="1">
        <v>0.0</v>
      </c>
      <c r="M5671" s="1" t="s">
        <v>11254</v>
      </c>
      <c r="N5671" s="1"/>
      <c r="O5671" s="1" t="s">
        <v>30</v>
      </c>
      <c r="P5671" s="1" t="s">
        <v>31</v>
      </c>
      <c r="Q5671" s="1" t="s">
        <v>228</v>
      </c>
      <c r="R5671" s="1" t="s">
        <v>228</v>
      </c>
      <c r="S5671" s="1" t="s">
        <v>229</v>
      </c>
      <c r="T5671" s="1" t="s">
        <v>513</v>
      </c>
      <c r="U5671" s="1">
        <v>1.00602248E8</v>
      </c>
      <c r="X5671" s="1" t="s">
        <v>88</v>
      </c>
      <c r="Y5671" s="1" t="s">
        <v>14932</v>
      </c>
      <c r="Z5671" s="1" t="s">
        <v>37</v>
      </c>
    </row>
    <row r="5672" hidden="1">
      <c r="A5672" s="1" t="s">
        <v>15684</v>
      </c>
      <c r="B5672" s="1" t="s">
        <v>15685</v>
      </c>
      <c r="C5672" s="1" t="s">
        <v>15686</v>
      </c>
      <c r="D5672" s="1" t="s">
        <v>27</v>
      </c>
      <c r="E5672" s="1" t="s">
        <v>28</v>
      </c>
      <c r="F5672" s="2">
        <v>14500.0</v>
      </c>
      <c r="G5672" s="4">
        <v>44839.0</v>
      </c>
      <c r="H5672" s="4">
        <f>IFERROR(__xludf.DUMMYFUNCTION("DATE(INDEX(SPLIT(G5672,""/""),,3),INDEX(SPLIT(G5672,""/""),,2),INDEX(SPLIT(G5672,""/""),,1))"),44691.0)</f>
        <v>44691</v>
      </c>
      <c r="I5672" s="1" t="s">
        <v>203</v>
      </c>
      <c r="J5672" s="4">
        <f>IFERROR(__xludf.DUMMYFUNCTION("DATE(INDEX(SPLIT(I5672,""/""),,3),INDEX(SPLIT(I5672,""/""),,2),INDEX(SPLIT(I5672,""/""),,1))"),44925.0)</f>
        <v>44925</v>
      </c>
      <c r="L5672" s="1">
        <v>0.0</v>
      </c>
      <c r="M5672" s="1" t="s">
        <v>1685</v>
      </c>
      <c r="N5672" s="1"/>
      <c r="O5672" s="1" t="s">
        <v>30</v>
      </c>
      <c r="P5672" s="1" t="s">
        <v>31</v>
      </c>
      <c r="Q5672" s="1" t="s">
        <v>228</v>
      </c>
      <c r="R5672" s="1" t="s">
        <v>228</v>
      </c>
      <c r="S5672" s="1" t="s">
        <v>229</v>
      </c>
      <c r="T5672" s="1" t="s">
        <v>513</v>
      </c>
      <c r="U5672" s="1">
        <v>1.00612055E8</v>
      </c>
      <c r="X5672" s="1" t="s">
        <v>190</v>
      </c>
      <c r="Y5672" s="1" t="s">
        <v>12637</v>
      </c>
      <c r="Z5672" s="1" t="s">
        <v>37</v>
      </c>
    </row>
    <row r="5673" hidden="1">
      <c r="A5673" s="1" t="s">
        <v>15687</v>
      </c>
      <c r="B5673" s="1" t="s">
        <v>15688</v>
      </c>
      <c r="C5673" s="1" t="s">
        <v>15689</v>
      </c>
      <c r="D5673" s="1" t="s">
        <v>78</v>
      </c>
      <c r="E5673" s="1" t="s">
        <v>28</v>
      </c>
      <c r="F5673" s="2">
        <v>14500.0</v>
      </c>
      <c r="G5673" s="1" t="s">
        <v>93</v>
      </c>
      <c r="H5673" s="4">
        <f>IFERROR(__xludf.DUMMYFUNCTION("DATE(INDEX(SPLIT(G5673,""/""),,3),INDEX(SPLIT(G5673,""/""),,2),INDEX(SPLIT(G5673,""/""),,1))"),44671.0)</f>
        <v>44671</v>
      </c>
      <c r="I5673" s="1" t="s">
        <v>109</v>
      </c>
      <c r="J5673" s="4">
        <f>IFERROR(__xludf.DUMMYFUNCTION("DATE(INDEX(SPLIT(I5673,""/""),,3),INDEX(SPLIT(I5673,""/""),,2),INDEX(SPLIT(I5673,""/""),,1))"),44834.0)</f>
        <v>44834</v>
      </c>
      <c r="L5673" s="1">
        <v>0.0</v>
      </c>
      <c r="M5673" s="1" t="s">
        <v>11254</v>
      </c>
      <c r="N5673" s="1"/>
      <c r="O5673" s="1" t="s">
        <v>30</v>
      </c>
      <c r="P5673" s="1" t="s">
        <v>31</v>
      </c>
      <c r="Q5673" s="1" t="s">
        <v>228</v>
      </c>
      <c r="R5673" s="1" t="s">
        <v>228</v>
      </c>
      <c r="S5673" s="1" t="s">
        <v>229</v>
      </c>
      <c r="T5673" s="1" t="s">
        <v>15681</v>
      </c>
      <c r="U5673" s="1">
        <v>1.00602248E8</v>
      </c>
      <c r="X5673" s="1" t="s">
        <v>490</v>
      </c>
      <c r="Y5673" s="1" t="s">
        <v>13638</v>
      </c>
      <c r="Z5673" s="1" t="s">
        <v>37</v>
      </c>
    </row>
    <row r="5674" hidden="1">
      <c r="A5674" s="1" t="s">
        <v>15690</v>
      </c>
      <c r="B5674" s="1" t="s">
        <v>456</v>
      </c>
      <c r="C5674" s="1" t="s">
        <v>15691</v>
      </c>
      <c r="D5674" s="1" t="s">
        <v>78</v>
      </c>
      <c r="E5674" s="1" t="s">
        <v>28</v>
      </c>
      <c r="F5674" s="2">
        <v>14500.0</v>
      </c>
      <c r="G5674" s="4">
        <v>44625.0</v>
      </c>
      <c r="H5674" s="4">
        <f>IFERROR(__xludf.DUMMYFUNCTION("DATE(INDEX(SPLIT(G5674,""/""),,3),INDEX(SPLIT(G5674,""/""),,2),INDEX(SPLIT(G5674,""/""),,1))"),44684.0)</f>
        <v>44684</v>
      </c>
      <c r="I5674" s="1" t="s">
        <v>42</v>
      </c>
      <c r="J5674" s="4">
        <f>IFERROR(__xludf.DUMMYFUNCTION("DATE(INDEX(SPLIT(I5674,""/""),,3),INDEX(SPLIT(I5674,""/""),,2),INDEX(SPLIT(I5674,""/""),,1))"),44926.0)</f>
        <v>44926</v>
      </c>
      <c r="L5674" s="1">
        <v>0.0</v>
      </c>
      <c r="M5674" s="1" t="s">
        <v>11254</v>
      </c>
      <c r="N5674" s="1"/>
      <c r="O5674" s="1" t="s">
        <v>30</v>
      </c>
      <c r="P5674" s="1" t="s">
        <v>31</v>
      </c>
      <c r="Q5674" s="1" t="s">
        <v>228</v>
      </c>
      <c r="R5674" s="1" t="s">
        <v>228</v>
      </c>
      <c r="S5674" s="1" t="s">
        <v>229</v>
      </c>
      <c r="T5674" s="1" t="s">
        <v>513</v>
      </c>
      <c r="U5674" s="1">
        <v>1.00602248E8</v>
      </c>
      <c r="X5674" s="1" t="s">
        <v>375</v>
      </c>
      <c r="Y5674" s="1" t="s">
        <v>14932</v>
      </c>
      <c r="Z5674" s="1" t="s">
        <v>37</v>
      </c>
    </row>
    <row r="5675" hidden="1">
      <c r="A5675" s="1" t="s">
        <v>15692</v>
      </c>
      <c r="B5675" s="1" t="s">
        <v>658</v>
      </c>
      <c r="C5675" s="1" t="s">
        <v>15693</v>
      </c>
      <c r="D5675" s="1" t="s">
        <v>78</v>
      </c>
      <c r="E5675" s="1" t="s">
        <v>28</v>
      </c>
      <c r="F5675" s="2">
        <v>14500.0</v>
      </c>
      <c r="G5675" s="1" t="s">
        <v>93</v>
      </c>
      <c r="H5675" s="4">
        <f>IFERROR(__xludf.DUMMYFUNCTION("DATE(INDEX(SPLIT(G5675,""/""),,3),INDEX(SPLIT(G5675,""/""),,2),INDEX(SPLIT(G5675,""/""),,1))"),44671.0)</f>
        <v>44671</v>
      </c>
      <c r="I5675" s="1" t="s">
        <v>42</v>
      </c>
      <c r="J5675" s="4">
        <f>IFERROR(__xludf.DUMMYFUNCTION("DATE(INDEX(SPLIT(I5675,""/""),,3),INDEX(SPLIT(I5675,""/""),,2),INDEX(SPLIT(I5675,""/""),,1))"),44926.0)</f>
        <v>44926</v>
      </c>
      <c r="L5675" s="1">
        <v>0.0</v>
      </c>
      <c r="M5675" s="1" t="s">
        <v>11254</v>
      </c>
      <c r="N5675" s="1"/>
      <c r="O5675" s="1" t="s">
        <v>30</v>
      </c>
      <c r="P5675" s="1" t="s">
        <v>31</v>
      </c>
      <c r="Q5675" s="1" t="s">
        <v>228</v>
      </c>
      <c r="R5675" s="1" t="s">
        <v>228</v>
      </c>
      <c r="S5675" s="1" t="s">
        <v>229</v>
      </c>
      <c r="T5675" s="1" t="s">
        <v>15694</v>
      </c>
      <c r="U5675" s="1">
        <v>1.00602248E8</v>
      </c>
      <c r="X5675" s="1" t="s">
        <v>98</v>
      </c>
      <c r="Y5675" s="1" t="s">
        <v>12640</v>
      </c>
      <c r="Z5675" s="1" t="s">
        <v>37</v>
      </c>
    </row>
    <row r="5676" hidden="1">
      <c r="A5676" s="1" t="s">
        <v>15695</v>
      </c>
      <c r="B5676" s="1" t="s">
        <v>15696</v>
      </c>
      <c r="C5676" s="1" t="s">
        <v>15697</v>
      </c>
      <c r="D5676" s="1" t="s">
        <v>78</v>
      </c>
      <c r="E5676" s="1" t="s">
        <v>28</v>
      </c>
      <c r="F5676" s="2">
        <v>14500.0</v>
      </c>
      <c r="G5676" s="1" t="s">
        <v>6091</v>
      </c>
      <c r="H5676" s="4">
        <f>IFERROR(__xludf.DUMMYFUNCTION("DATE(INDEX(SPLIT(G5676,""/""),,3),INDEX(SPLIT(G5676,""/""),,2),INDEX(SPLIT(G5676,""/""),,1))"),44278.0)</f>
        <v>44278</v>
      </c>
      <c r="I5676" s="1" t="s">
        <v>447</v>
      </c>
      <c r="J5676" s="4">
        <f>IFERROR(__xludf.DUMMYFUNCTION("DATE(INDEX(SPLIT(I5676,""/""),,3),INDEX(SPLIT(I5676,""/""),,2),INDEX(SPLIT(I5676,""/""),,1))"),44910.0)</f>
        <v>44910</v>
      </c>
      <c r="L5676" s="1">
        <v>0.0</v>
      </c>
      <c r="M5676" s="1" t="s">
        <v>11254</v>
      </c>
      <c r="N5676" s="1"/>
      <c r="O5676" s="1" t="s">
        <v>30</v>
      </c>
      <c r="P5676" s="1" t="s">
        <v>31</v>
      </c>
      <c r="Q5676" s="1" t="s">
        <v>228</v>
      </c>
      <c r="R5676" s="1" t="s">
        <v>228</v>
      </c>
      <c r="S5676" s="1" t="s">
        <v>229</v>
      </c>
      <c r="U5676" s="1">
        <v>1.00602248E8</v>
      </c>
      <c r="X5676" s="1" t="s">
        <v>125</v>
      </c>
      <c r="Y5676" s="1" t="s">
        <v>12637</v>
      </c>
      <c r="Z5676" s="1" t="s">
        <v>37</v>
      </c>
    </row>
    <row r="5677" hidden="1">
      <c r="A5677" s="1" t="s">
        <v>15698</v>
      </c>
      <c r="B5677" s="1" t="s">
        <v>15699</v>
      </c>
      <c r="C5677" s="1" t="s">
        <v>15700</v>
      </c>
      <c r="D5677" s="1" t="s">
        <v>78</v>
      </c>
      <c r="E5677" s="1" t="s">
        <v>28</v>
      </c>
      <c r="F5677" s="2">
        <v>14500.0</v>
      </c>
      <c r="G5677" s="1" t="s">
        <v>2300</v>
      </c>
      <c r="H5677" s="4">
        <f>IFERROR(__xludf.DUMMYFUNCTION("DATE(INDEX(SPLIT(G5677,""/""),,3),INDEX(SPLIT(G5677,""/""),,2),INDEX(SPLIT(G5677,""/""),,1))"),44712.0)</f>
        <v>44712</v>
      </c>
      <c r="I5677" s="1" t="s">
        <v>42</v>
      </c>
      <c r="J5677" s="4">
        <f>IFERROR(__xludf.DUMMYFUNCTION("DATE(INDEX(SPLIT(I5677,""/""),,3),INDEX(SPLIT(I5677,""/""),,2),INDEX(SPLIT(I5677,""/""),,1))"),44926.0)</f>
        <v>44926</v>
      </c>
      <c r="L5677" s="1">
        <v>0.0</v>
      </c>
      <c r="M5677" s="1" t="s">
        <v>11254</v>
      </c>
      <c r="N5677" s="1"/>
      <c r="O5677" s="1" t="s">
        <v>30</v>
      </c>
      <c r="P5677" s="1" t="s">
        <v>31</v>
      </c>
      <c r="Q5677" s="1" t="s">
        <v>228</v>
      </c>
      <c r="R5677" s="1" t="s">
        <v>228</v>
      </c>
      <c r="S5677" s="1" t="s">
        <v>229</v>
      </c>
      <c r="T5677" s="1" t="s">
        <v>513</v>
      </c>
      <c r="U5677" s="1">
        <v>1.00602248E8</v>
      </c>
      <c r="X5677" s="1" t="s">
        <v>81</v>
      </c>
      <c r="Y5677" s="1" t="s">
        <v>12640</v>
      </c>
      <c r="Z5677" s="1" t="s">
        <v>37</v>
      </c>
    </row>
    <row r="5678" hidden="1">
      <c r="A5678" s="1" t="s">
        <v>15701</v>
      </c>
      <c r="B5678" s="1" t="s">
        <v>15702</v>
      </c>
      <c r="C5678" s="1" t="s">
        <v>15703</v>
      </c>
      <c r="D5678" s="1" t="s">
        <v>27</v>
      </c>
      <c r="E5678" s="1" t="s">
        <v>28</v>
      </c>
      <c r="F5678" s="2">
        <v>14500.0</v>
      </c>
      <c r="G5678" s="1" t="s">
        <v>2300</v>
      </c>
      <c r="H5678" s="4">
        <f>IFERROR(__xludf.DUMMYFUNCTION("DATE(INDEX(SPLIT(G5678,""/""),,3),INDEX(SPLIT(G5678,""/""),,2),INDEX(SPLIT(G5678,""/""),,1))"),44712.0)</f>
        <v>44712</v>
      </c>
      <c r="I5678" s="1" t="s">
        <v>42</v>
      </c>
      <c r="J5678" s="4">
        <f>IFERROR(__xludf.DUMMYFUNCTION("DATE(INDEX(SPLIT(I5678,""/""),,3),INDEX(SPLIT(I5678,""/""),,2),INDEX(SPLIT(I5678,""/""),,1))"),44926.0)</f>
        <v>44926</v>
      </c>
      <c r="L5678" s="1">
        <v>0.0</v>
      </c>
      <c r="M5678" s="1" t="s">
        <v>11254</v>
      </c>
      <c r="N5678" s="1"/>
      <c r="O5678" s="1" t="s">
        <v>30</v>
      </c>
      <c r="P5678" s="1" t="s">
        <v>31</v>
      </c>
      <c r="Q5678" s="1" t="s">
        <v>228</v>
      </c>
      <c r="R5678" s="1" t="s">
        <v>228</v>
      </c>
      <c r="S5678" s="1" t="s">
        <v>229</v>
      </c>
      <c r="T5678" s="1" t="s">
        <v>513</v>
      </c>
      <c r="U5678" s="1">
        <v>1.00602248E8</v>
      </c>
      <c r="X5678" s="1" t="s">
        <v>35</v>
      </c>
      <c r="Y5678" s="1" t="s">
        <v>12640</v>
      </c>
      <c r="Z5678" s="1" t="s">
        <v>37</v>
      </c>
    </row>
    <row r="5679" hidden="1">
      <c r="A5679" s="1" t="s">
        <v>15704</v>
      </c>
      <c r="B5679" s="1" t="s">
        <v>923</v>
      </c>
      <c r="C5679" s="1" t="s">
        <v>15705</v>
      </c>
      <c r="D5679" s="1" t="s">
        <v>27</v>
      </c>
      <c r="E5679" s="1" t="s">
        <v>28</v>
      </c>
      <c r="F5679" s="2">
        <v>14500.0</v>
      </c>
      <c r="G5679" s="1" t="s">
        <v>15159</v>
      </c>
      <c r="H5679" s="4">
        <f>IFERROR(__xludf.DUMMYFUNCTION("DATE(INDEX(SPLIT(G5679,""/""),,3),INDEX(SPLIT(G5679,""/""),,2),INDEX(SPLIT(G5679,""/""),,1))"),44059.0)</f>
        <v>44059</v>
      </c>
      <c r="I5679" s="1" t="s">
        <v>42</v>
      </c>
      <c r="J5679" s="4">
        <f>IFERROR(__xludf.DUMMYFUNCTION("DATE(INDEX(SPLIT(I5679,""/""),,3),INDEX(SPLIT(I5679,""/""),,2),INDEX(SPLIT(I5679,""/""),,1))"),44926.0)</f>
        <v>44926</v>
      </c>
      <c r="L5679" s="1">
        <v>0.0</v>
      </c>
      <c r="M5679" s="1" t="s">
        <v>11254</v>
      </c>
      <c r="N5679" s="1"/>
      <c r="O5679" s="1" t="s">
        <v>30</v>
      </c>
      <c r="P5679" s="1" t="s">
        <v>31</v>
      </c>
      <c r="Q5679" s="1" t="s">
        <v>228</v>
      </c>
      <c r="R5679" s="1" t="s">
        <v>228</v>
      </c>
      <c r="S5679" s="1" t="s">
        <v>229</v>
      </c>
      <c r="T5679" s="1" t="s">
        <v>513</v>
      </c>
      <c r="U5679" s="1">
        <v>1.00602248E8</v>
      </c>
      <c r="X5679" s="1" t="s">
        <v>74</v>
      </c>
      <c r="Y5679" s="1" t="s">
        <v>13638</v>
      </c>
      <c r="Z5679" s="1" t="s">
        <v>37</v>
      </c>
    </row>
    <row r="5680" hidden="1">
      <c r="A5680" s="1" t="s">
        <v>15706</v>
      </c>
      <c r="B5680" s="1" t="s">
        <v>15707</v>
      </c>
      <c r="C5680" s="1" t="s">
        <v>15708</v>
      </c>
      <c r="D5680" s="1" t="s">
        <v>78</v>
      </c>
      <c r="E5680" s="1" t="s">
        <v>28</v>
      </c>
      <c r="F5680" s="2">
        <v>14500.0</v>
      </c>
      <c r="G5680" s="1" t="s">
        <v>3178</v>
      </c>
      <c r="H5680" s="4">
        <f>IFERROR(__xludf.DUMMYFUNCTION("DATE(INDEX(SPLIT(G5680,""/""),,3),INDEX(SPLIT(G5680,""/""),,2),INDEX(SPLIT(G5680,""/""),,1))"),44644.0)</f>
        <v>44644</v>
      </c>
      <c r="I5680" s="1" t="s">
        <v>109</v>
      </c>
      <c r="J5680" s="4">
        <f>IFERROR(__xludf.DUMMYFUNCTION("DATE(INDEX(SPLIT(I5680,""/""),,3),INDEX(SPLIT(I5680,""/""),,2),INDEX(SPLIT(I5680,""/""),,1))"),44834.0)</f>
        <v>44834</v>
      </c>
      <c r="L5680" s="1">
        <v>0.0</v>
      </c>
      <c r="M5680" s="1" t="s">
        <v>11254</v>
      </c>
      <c r="N5680" s="1"/>
      <c r="O5680" s="1" t="s">
        <v>30</v>
      </c>
      <c r="P5680" s="1" t="s">
        <v>31</v>
      </c>
      <c r="Q5680" s="1" t="s">
        <v>228</v>
      </c>
      <c r="R5680" s="1" t="s">
        <v>228</v>
      </c>
      <c r="S5680" s="1" t="s">
        <v>229</v>
      </c>
      <c r="T5680" s="1" t="s">
        <v>513</v>
      </c>
      <c r="U5680" s="1">
        <v>1.00602248E8</v>
      </c>
      <c r="X5680" s="1" t="s">
        <v>74</v>
      </c>
      <c r="Y5680" s="1" t="s">
        <v>14932</v>
      </c>
      <c r="Z5680" s="1" t="s">
        <v>37</v>
      </c>
    </row>
    <row r="5681" hidden="1">
      <c r="A5681" s="1" t="s">
        <v>15709</v>
      </c>
      <c r="B5681" s="1" t="s">
        <v>3359</v>
      </c>
      <c r="C5681" s="1" t="s">
        <v>15710</v>
      </c>
      <c r="D5681" s="1" t="s">
        <v>27</v>
      </c>
      <c r="E5681" s="1" t="s">
        <v>28</v>
      </c>
      <c r="F5681" s="2">
        <v>14500.0</v>
      </c>
      <c r="G5681" s="1" t="s">
        <v>568</v>
      </c>
      <c r="H5681" s="4">
        <f>IFERROR(__xludf.DUMMYFUNCTION("DATE(INDEX(SPLIT(G5681,""/""),,3),INDEX(SPLIT(G5681,""/""),,2),INDEX(SPLIT(G5681,""/""),,1))"),44587.0)</f>
        <v>44587</v>
      </c>
      <c r="I5681" s="1" t="s">
        <v>109</v>
      </c>
      <c r="J5681" s="4">
        <f>IFERROR(__xludf.DUMMYFUNCTION("DATE(INDEX(SPLIT(I5681,""/""),,3),INDEX(SPLIT(I5681,""/""),,2),INDEX(SPLIT(I5681,""/""),,1))"),44834.0)</f>
        <v>44834</v>
      </c>
      <c r="L5681" s="1">
        <v>0.0</v>
      </c>
      <c r="M5681" s="1" t="s">
        <v>11254</v>
      </c>
      <c r="N5681" s="1"/>
      <c r="O5681" s="1" t="s">
        <v>30</v>
      </c>
      <c r="P5681" s="1" t="s">
        <v>31</v>
      </c>
      <c r="Q5681" s="1" t="s">
        <v>228</v>
      </c>
      <c r="R5681" s="1" t="s">
        <v>228</v>
      </c>
      <c r="S5681" s="1" t="s">
        <v>229</v>
      </c>
      <c r="T5681" s="1" t="s">
        <v>513</v>
      </c>
      <c r="U5681" s="1">
        <v>1.00602248E8</v>
      </c>
      <c r="X5681" s="1" t="s">
        <v>88</v>
      </c>
      <c r="Y5681" s="1" t="s">
        <v>14932</v>
      </c>
      <c r="Z5681" s="1" t="s">
        <v>37</v>
      </c>
    </row>
    <row r="5682" hidden="1">
      <c r="A5682" s="1" t="s">
        <v>15711</v>
      </c>
      <c r="B5682" s="1" t="s">
        <v>1081</v>
      </c>
      <c r="C5682" s="1" t="s">
        <v>15712</v>
      </c>
      <c r="D5682" s="1" t="s">
        <v>27</v>
      </c>
      <c r="E5682" s="1" t="s">
        <v>28</v>
      </c>
      <c r="F5682" s="2">
        <v>14500.0</v>
      </c>
      <c r="G5682" s="1" t="s">
        <v>424</v>
      </c>
      <c r="H5682" s="4">
        <f>IFERROR(__xludf.DUMMYFUNCTION("DATE(INDEX(SPLIT(G5682,""/""),,3),INDEX(SPLIT(G5682,""/""),,2),INDEX(SPLIT(G5682,""/""),,1))"),44405.0)</f>
        <v>44405</v>
      </c>
      <c r="I5682" s="1" t="s">
        <v>42</v>
      </c>
      <c r="J5682" s="4">
        <f>IFERROR(__xludf.DUMMYFUNCTION("DATE(INDEX(SPLIT(I5682,""/""),,3),INDEX(SPLIT(I5682,""/""),,2),INDEX(SPLIT(I5682,""/""),,1))"),44926.0)</f>
        <v>44926</v>
      </c>
      <c r="L5682" s="1">
        <v>0.0</v>
      </c>
      <c r="M5682" s="1" t="s">
        <v>11254</v>
      </c>
      <c r="N5682" s="1"/>
      <c r="O5682" s="1" t="s">
        <v>30</v>
      </c>
      <c r="P5682" s="1" t="s">
        <v>31</v>
      </c>
      <c r="Q5682" s="1" t="s">
        <v>228</v>
      </c>
      <c r="R5682" s="1" t="s">
        <v>228</v>
      </c>
      <c r="S5682" s="1" t="s">
        <v>229</v>
      </c>
      <c r="U5682" s="1">
        <v>1.00602248E8</v>
      </c>
      <c r="X5682" s="1" t="s">
        <v>81</v>
      </c>
      <c r="Y5682" s="1" t="s">
        <v>13638</v>
      </c>
      <c r="Z5682" s="1" t="s">
        <v>37</v>
      </c>
    </row>
    <row r="5683" hidden="1">
      <c r="A5683" s="1" t="s">
        <v>15713</v>
      </c>
      <c r="B5683" s="1" t="s">
        <v>15714</v>
      </c>
      <c r="C5683" s="1" t="s">
        <v>15715</v>
      </c>
      <c r="D5683" s="1" t="s">
        <v>78</v>
      </c>
      <c r="E5683" s="1" t="s">
        <v>28</v>
      </c>
      <c r="F5683" s="2">
        <v>14500.0</v>
      </c>
      <c r="G5683" s="4">
        <v>44595.0</v>
      </c>
      <c r="H5683" s="4">
        <f>IFERROR(__xludf.DUMMYFUNCTION("DATE(INDEX(SPLIT(G5683,""/""),,3),INDEX(SPLIT(G5683,""/""),,2),INDEX(SPLIT(G5683,""/""),,1))"),44622.0)</f>
        <v>44622</v>
      </c>
      <c r="I5683" s="1" t="s">
        <v>42</v>
      </c>
      <c r="J5683" s="4">
        <f>IFERROR(__xludf.DUMMYFUNCTION("DATE(INDEX(SPLIT(I5683,""/""),,3),INDEX(SPLIT(I5683,""/""),,2),INDEX(SPLIT(I5683,""/""),,1))"),44926.0)</f>
        <v>44926</v>
      </c>
      <c r="L5683" s="1">
        <v>0.0</v>
      </c>
      <c r="M5683" s="1" t="s">
        <v>11254</v>
      </c>
      <c r="N5683" s="1"/>
      <c r="O5683" s="1" t="s">
        <v>30</v>
      </c>
      <c r="P5683" s="1" t="s">
        <v>31</v>
      </c>
      <c r="Q5683" s="1" t="s">
        <v>228</v>
      </c>
      <c r="R5683" s="1" t="s">
        <v>228</v>
      </c>
      <c r="S5683" s="1" t="s">
        <v>229</v>
      </c>
      <c r="T5683" s="1" t="s">
        <v>513</v>
      </c>
      <c r="U5683" s="1">
        <v>1.00602248E8</v>
      </c>
      <c r="X5683" s="1" t="s">
        <v>63</v>
      </c>
      <c r="Y5683" s="1" t="s">
        <v>12640</v>
      </c>
      <c r="Z5683" s="1" t="s">
        <v>37</v>
      </c>
    </row>
    <row r="5684" hidden="1">
      <c r="A5684" s="1" t="s">
        <v>15716</v>
      </c>
      <c r="B5684" s="1" t="s">
        <v>15717</v>
      </c>
      <c r="C5684" s="1" t="s">
        <v>15718</v>
      </c>
      <c r="D5684" s="1" t="s">
        <v>27</v>
      </c>
      <c r="E5684" s="1" t="s">
        <v>28</v>
      </c>
      <c r="F5684" s="2">
        <v>14500.0</v>
      </c>
      <c r="G5684" s="1" t="s">
        <v>1395</v>
      </c>
      <c r="H5684" s="4">
        <f>IFERROR(__xludf.DUMMYFUNCTION("DATE(INDEX(SPLIT(G5684,""/""),,3),INDEX(SPLIT(G5684,""/""),,2),INDEX(SPLIT(G5684,""/""),,1))"),44404.0)</f>
        <v>44404</v>
      </c>
      <c r="I5684" s="1" t="s">
        <v>42</v>
      </c>
      <c r="J5684" s="4">
        <f>IFERROR(__xludf.DUMMYFUNCTION("DATE(INDEX(SPLIT(I5684,""/""),,3),INDEX(SPLIT(I5684,""/""),,2),INDEX(SPLIT(I5684,""/""),,1))"),44926.0)</f>
        <v>44926</v>
      </c>
      <c r="L5684" s="1">
        <v>0.0</v>
      </c>
      <c r="M5684" s="1" t="s">
        <v>11254</v>
      </c>
      <c r="N5684" s="1"/>
      <c r="O5684" s="1" t="s">
        <v>30</v>
      </c>
      <c r="P5684" s="1" t="s">
        <v>31</v>
      </c>
      <c r="Q5684" s="1" t="s">
        <v>228</v>
      </c>
      <c r="R5684" s="1" t="s">
        <v>228</v>
      </c>
      <c r="S5684" s="1" t="s">
        <v>229</v>
      </c>
      <c r="U5684" s="1">
        <v>1.00602248E8</v>
      </c>
      <c r="X5684" s="1" t="s">
        <v>63</v>
      </c>
      <c r="Y5684" s="1" t="s">
        <v>13638</v>
      </c>
      <c r="Z5684" s="1" t="s">
        <v>37</v>
      </c>
    </row>
    <row r="5685" hidden="1">
      <c r="A5685" s="1" t="s">
        <v>15719</v>
      </c>
      <c r="B5685" s="1" t="s">
        <v>7571</v>
      </c>
      <c r="C5685" s="1" t="s">
        <v>15720</v>
      </c>
      <c r="D5685" s="1" t="s">
        <v>78</v>
      </c>
      <c r="E5685" s="1" t="s">
        <v>28</v>
      </c>
      <c r="F5685" s="2">
        <v>14500.0</v>
      </c>
      <c r="G5685" s="4">
        <v>44597.0</v>
      </c>
      <c r="H5685" s="4">
        <f>IFERROR(__xludf.DUMMYFUNCTION("DATE(INDEX(SPLIT(G5685,""/""),,3),INDEX(SPLIT(G5685,""/""),,2),INDEX(SPLIT(G5685,""/""),,1))"),44683.0)</f>
        <v>44683</v>
      </c>
      <c r="I5685" s="1" t="s">
        <v>109</v>
      </c>
      <c r="J5685" s="4">
        <f>IFERROR(__xludf.DUMMYFUNCTION("DATE(INDEX(SPLIT(I5685,""/""),,3),INDEX(SPLIT(I5685,""/""),,2),INDEX(SPLIT(I5685,""/""),,1))"),44834.0)</f>
        <v>44834</v>
      </c>
      <c r="L5685" s="1">
        <v>0.0</v>
      </c>
      <c r="M5685" s="1" t="s">
        <v>11254</v>
      </c>
      <c r="N5685" s="1"/>
      <c r="O5685" s="1" t="s">
        <v>30</v>
      </c>
      <c r="P5685" s="1" t="s">
        <v>31</v>
      </c>
      <c r="Q5685" s="1" t="s">
        <v>228</v>
      </c>
      <c r="R5685" s="1" t="s">
        <v>228</v>
      </c>
      <c r="S5685" s="1" t="s">
        <v>229</v>
      </c>
      <c r="T5685" s="1" t="s">
        <v>15694</v>
      </c>
      <c r="U5685" s="1">
        <v>1.00602248E8</v>
      </c>
      <c r="X5685" s="1" t="s">
        <v>74</v>
      </c>
      <c r="Y5685" s="1" t="s">
        <v>13638</v>
      </c>
      <c r="Z5685" s="1" t="s">
        <v>37</v>
      </c>
    </row>
    <row r="5686" hidden="1">
      <c r="A5686" s="1" t="s">
        <v>15721</v>
      </c>
      <c r="B5686" s="1" t="s">
        <v>15722</v>
      </c>
      <c r="C5686" s="1" t="s">
        <v>15723</v>
      </c>
      <c r="D5686" s="1" t="s">
        <v>27</v>
      </c>
      <c r="E5686" s="1" t="s">
        <v>28</v>
      </c>
      <c r="F5686" s="2">
        <v>14500.0</v>
      </c>
      <c r="G5686" s="4">
        <v>44597.0</v>
      </c>
      <c r="H5686" s="4">
        <f>IFERROR(__xludf.DUMMYFUNCTION("DATE(INDEX(SPLIT(G5686,""/""),,3),INDEX(SPLIT(G5686,""/""),,2),INDEX(SPLIT(G5686,""/""),,1))"),44683.0)</f>
        <v>44683</v>
      </c>
      <c r="I5686" s="1" t="s">
        <v>42</v>
      </c>
      <c r="J5686" s="4">
        <f>IFERROR(__xludf.DUMMYFUNCTION("DATE(INDEX(SPLIT(I5686,""/""),,3),INDEX(SPLIT(I5686,""/""),,2),INDEX(SPLIT(I5686,""/""),,1))"),44926.0)</f>
        <v>44926</v>
      </c>
      <c r="L5686" s="1">
        <v>0.0</v>
      </c>
      <c r="M5686" s="1" t="s">
        <v>11254</v>
      </c>
      <c r="N5686" s="1"/>
      <c r="O5686" s="1" t="s">
        <v>30</v>
      </c>
      <c r="P5686" s="1" t="s">
        <v>31</v>
      </c>
      <c r="Q5686" s="1" t="s">
        <v>228</v>
      </c>
      <c r="R5686" s="1" t="s">
        <v>228</v>
      </c>
      <c r="S5686" s="1" t="s">
        <v>229</v>
      </c>
      <c r="T5686" s="1" t="s">
        <v>513</v>
      </c>
      <c r="U5686" s="1">
        <v>1.00602248E8</v>
      </c>
      <c r="X5686" s="1" t="s">
        <v>98</v>
      </c>
      <c r="Y5686" s="1" t="s">
        <v>12640</v>
      </c>
      <c r="Z5686" s="1" t="s">
        <v>37</v>
      </c>
    </row>
    <row r="5687" hidden="1">
      <c r="A5687" s="1" t="s">
        <v>15724</v>
      </c>
      <c r="B5687" s="1" t="s">
        <v>15725</v>
      </c>
      <c r="C5687" s="1" t="s">
        <v>15726</v>
      </c>
      <c r="D5687" s="1" t="s">
        <v>78</v>
      </c>
      <c r="E5687" s="1" t="s">
        <v>28</v>
      </c>
      <c r="F5687" s="2">
        <v>14500.0</v>
      </c>
      <c r="G5687" s="4">
        <v>44597.0</v>
      </c>
      <c r="H5687" s="4">
        <f>IFERROR(__xludf.DUMMYFUNCTION("DATE(INDEX(SPLIT(G5687,""/""),,3),INDEX(SPLIT(G5687,""/""),,2),INDEX(SPLIT(G5687,""/""),,1))"),44683.0)</f>
        <v>44683</v>
      </c>
      <c r="I5687" s="1" t="s">
        <v>109</v>
      </c>
      <c r="J5687" s="4">
        <f>IFERROR(__xludf.DUMMYFUNCTION("DATE(INDEX(SPLIT(I5687,""/""),,3),INDEX(SPLIT(I5687,""/""),,2),INDEX(SPLIT(I5687,""/""),,1))"),44834.0)</f>
        <v>44834</v>
      </c>
      <c r="L5687" s="1">
        <v>0.0</v>
      </c>
      <c r="M5687" s="1" t="s">
        <v>11254</v>
      </c>
      <c r="N5687" s="1"/>
      <c r="O5687" s="1" t="s">
        <v>30</v>
      </c>
      <c r="P5687" s="1" t="s">
        <v>31</v>
      </c>
      <c r="Q5687" s="1" t="s">
        <v>228</v>
      </c>
      <c r="R5687" s="1" t="s">
        <v>228</v>
      </c>
      <c r="S5687" s="1" t="s">
        <v>229</v>
      </c>
      <c r="T5687" s="1" t="s">
        <v>15694</v>
      </c>
      <c r="U5687" s="1">
        <v>1.00602248E8</v>
      </c>
      <c r="X5687" s="1" t="s">
        <v>74</v>
      </c>
      <c r="Y5687" s="1" t="s">
        <v>13638</v>
      </c>
      <c r="Z5687" s="1" t="s">
        <v>37</v>
      </c>
    </row>
    <row r="5688" hidden="1">
      <c r="A5688" s="1" t="s">
        <v>15727</v>
      </c>
      <c r="B5688" s="1" t="s">
        <v>15728</v>
      </c>
      <c r="C5688" s="1" t="s">
        <v>15729</v>
      </c>
      <c r="D5688" s="1" t="s">
        <v>78</v>
      </c>
      <c r="E5688" s="1" t="s">
        <v>28</v>
      </c>
      <c r="F5688" s="2">
        <v>14500.0</v>
      </c>
      <c r="G5688" s="4">
        <v>43871.0</v>
      </c>
      <c r="H5688" s="4">
        <f>IFERROR(__xludf.DUMMYFUNCTION("DATE(INDEX(SPLIT(G5688,""/""),,3),INDEX(SPLIT(G5688,""/""),,2),INDEX(SPLIT(G5688,""/""),,1))"),44106.0)</f>
        <v>44106</v>
      </c>
      <c r="I5688" s="1" t="s">
        <v>42</v>
      </c>
      <c r="J5688" s="4">
        <f>IFERROR(__xludf.DUMMYFUNCTION("DATE(INDEX(SPLIT(I5688,""/""),,3),INDEX(SPLIT(I5688,""/""),,2),INDEX(SPLIT(I5688,""/""),,1))"),44926.0)</f>
        <v>44926</v>
      </c>
      <c r="L5688" s="1">
        <v>0.0</v>
      </c>
      <c r="M5688" s="1" t="s">
        <v>11254</v>
      </c>
      <c r="N5688" s="1"/>
      <c r="O5688" s="1" t="s">
        <v>30</v>
      </c>
      <c r="P5688" s="1" t="s">
        <v>31</v>
      </c>
      <c r="Q5688" s="1" t="s">
        <v>228</v>
      </c>
      <c r="R5688" s="1" t="s">
        <v>228</v>
      </c>
      <c r="S5688" s="1" t="s">
        <v>229</v>
      </c>
      <c r="T5688" s="1" t="s">
        <v>513</v>
      </c>
      <c r="U5688" s="1">
        <v>1.00602248E8</v>
      </c>
      <c r="X5688" s="1" t="s">
        <v>190</v>
      </c>
      <c r="Y5688" s="1" t="s">
        <v>12640</v>
      </c>
      <c r="Z5688" s="1" t="s">
        <v>37</v>
      </c>
    </row>
    <row r="5689" hidden="1">
      <c r="A5689" s="1" t="s">
        <v>15730</v>
      </c>
      <c r="B5689" s="1" t="s">
        <v>658</v>
      </c>
      <c r="C5689" s="1" t="s">
        <v>15731</v>
      </c>
      <c r="D5689" s="1" t="s">
        <v>27</v>
      </c>
      <c r="E5689" s="1" t="s">
        <v>28</v>
      </c>
      <c r="F5689" s="2">
        <v>14500.0</v>
      </c>
      <c r="G5689" s="1" t="s">
        <v>185</v>
      </c>
      <c r="H5689" s="4">
        <f>IFERROR(__xludf.DUMMYFUNCTION("DATE(INDEX(SPLIT(G5689,""/""),,3),INDEX(SPLIT(G5689,""/""),,2),INDEX(SPLIT(G5689,""/""),,1))"),44741.0)</f>
        <v>44741</v>
      </c>
      <c r="I5689" s="1" t="s">
        <v>1097</v>
      </c>
      <c r="J5689" s="4">
        <f>IFERROR(__xludf.DUMMYFUNCTION("DATE(INDEX(SPLIT(I5689,""/""),,3),INDEX(SPLIT(I5689,""/""),,2),INDEX(SPLIT(I5689,""/""),,1))"),45107.0)</f>
        <v>45107</v>
      </c>
      <c r="L5689" s="1">
        <v>0.0</v>
      </c>
      <c r="M5689" s="1" t="s">
        <v>11254</v>
      </c>
      <c r="N5689" s="1"/>
      <c r="O5689" s="1" t="s">
        <v>30</v>
      </c>
      <c r="P5689" s="1" t="s">
        <v>31</v>
      </c>
      <c r="Q5689" s="1" t="s">
        <v>228</v>
      </c>
      <c r="R5689" s="1" t="s">
        <v>228</v>
      </c>
      <c r="S5689" s="1" t="s">
        <v>229</v>
      </c>
      <c r="T5689" s="1" t="s">
        <v>513</v>
      </c>
      <c r="U5689" s="1">
        <v>1.00602248E8</v>
      </c>
      <c r="X5689" s="1" t="s">
        <v>74</v>
      </c>
      <c r="Y5689" s="1" t="s">
        <v>13944</v>
      </c>
      <c r="Z5689" s="1" t="s">
        <v>37</v>
      </c>
    </row>
    <row r="5690" hidden="1">
      <c r="A5690" s="1" t="s">
        <v>15732</v>
      </c>
      <c r="B5690" s="1" t="s">
        <v>66</v>
      </c>
      <c r="C5690" s="1" t="s">
        <v>15733</v>
      </c>
      <c r="D5690" s="1" t="s">
        <v>27</v>
      </c>
      <c r="E5690" s="1" t="s">
        <v>28</v>
      </c>
      <c r="F5690" s="2">
        <v>14500.0</v>
      </c>
      <c r="G5690" s="1" t="s">
        <v>185</v>
      </c>
      <c r="H5690" s="4">
        <f>IFERROR(__xludf.DUMMYFUNCTION("DATE(INDEX(SPLIT(G5690,""/""),,3),INDEX(SPLIT(G5690,""/""),,2),INDEX(SPLIT(G5690,""/""),,1))"),44741.0)</f>
        <v>44741</v>
      </c>
      <c r="I5690" s="1" t="s">
        <v>1097</v>
      </c>
      <c r="J5690" s="4">
        <f>IFERROR(__xludf.DUMMYFUNCTION("DATE(INDEX(SPLIT(I5690,""/""),,3),INDEX(SPLIT(I5690,""/""),,2),INDEX(SPLIT(I5690,""/""),,1))"),45107.0)</f>
        <v>45107</v>
      </c>
      <c r="L5690" s="1">
        <v>0.0</v>
      </c>
      <c r="M5690" s="1" t="s">
        <v>11254</v>
      </c>
      <c r="N5690" s="1"/>
      <c r="O5690" s="1" t="s">
        <v>30</v>
      </c>
      <c r="P5690" s="1" t="s">
        <v>31</v>
      </c>
      <c r="Q5690" s="1" t="s">
        <v>228</v>
      </c>
      <c r="R5690" s="1" t="s">
        <v>228</v>
      </c>
      <c r="S5690" s="1" t="s">
        <v>229</v>
      </c>
      <c r="T5690" s="1" t="s">
        <v>513</v>
      </c>
      <c r="U5690" s="1">
        <v>1.00602248E8</v>
      </c>
      <c r="X5690" s="1" t="s">
        <v>74</v>
      </c>
      <c r="Y5690" s="1" t="s">
        <v>13944</v>
      </c>
      <c r="Z5690" s="1" t="s">
        <v>37</v>
      </c>
    </row>
    <row r="5691" hidden="1">
      <c r="A5691" s="1" t="s">
        <v>15734</v>
      </c>
      <c r="B5691" s="1" t="s">
        <v>15735</v>
      </c>
      <c r="C5691" s="1" t="s">
        <v>15736</v>
      </c>
      <c r="D5691" s="1" t="s">
        <v>27</v>
      </c>
      <c r="E5691" s="1" t="s">
        <v>28</v>
      </c>
      <c r="F5691" s="2">
        <v>14500.0</v>
      </c>
      <c r="G5691" s="4">
        <v>44478.0</v>
      </c>
      <c r="H5691" s="4">
        <f>IFERROR(__xludf.DUMMYFUNCTION("DATE(INDEX(SPLIT(G5691,""/""),,3),INDEX(SPLIT(G5691,""/""),,2),INDEX(SPLIT(G5691,""/""),,1))"),44449.0)</f>
        <v>44449</v>
      </c>
      <c r="I5691" s="1" t="s">
        <v>42</v>
      </c>
      <c r="J5691" s="4">
        <f>IFERROR(__xludf.DUMMYFUNCTION("DATE(INDEX(SPLIT(I5691,""/""),,3),INDEX(SPLIT(I5691,""/""),,2),INDEX(SPLIT(I5691,""/""),,1))"),44926.0)</f>
        <v>44926</v>
      </c>
      <c r="L5691" s="1">
        <v>0.0</v>
      </c>
      <c r="M5691" s="1" t="s">
        <v>11254</v>
      </c>
      <c r="N5691" s="1"/>
      <c r="O5691" s="1" t="s">
        <v>30</v>
      </c>
      <c r="P5691" s="1" t="s">
        <v>31</v>
      </c>
      <c r="Q5691" s="1" t="s">
        <v>228</v>
      </c>
      <c r="R5691" s="1" t="s">
        <v>228</v>
      </c>
      <c r="S5691" s="1" t="s">
        <v>229</v>
      </c>
      <c r="T5691" s="1" t="s">
        <v>513</v>
      </c>
      <c r="U5691" s="1">
        <v>1.00602248E8</v>
      </c>
      <c r="X5691" s="1" t="s">
        <v>88</v>
      </c>
      <c r="Y5691" s="1" t="s">
        <v>13638</v>
      </c>
      <c r="Z5691" s="1" t="s">
        <v>37</v>
      </c>
    </row>
    <row r="5692" hidden="1">
      <c r="A5692" s="1" t="s">
        <v>15737</v>
      </c>
      <c r="B5692" s="1" t="s">
        <v>15738</v>
      </c>
      <c r="C5692" s="1" t="s">
        <v>15739</v>
      </c>
      <c r="D5692" s="1" t="s">
        <v>27</v>
      </c>
      <c r="E5692" s="1" t="s">
        <v>28</v>
      </c>
      <c r="F5692" s="2">
        <v>14500.0</v>
      </c>
      <c r="G5692" s="1" t="s">
        <v>359</v>
      </c>
      <c r="H5692" s="4">
        <f>IFERROR(__xludf.DUMMYFUNCTION("DATE(INDEX(SPLIT(G5692,""/""),,3),INDEX(SPLIT(G5692,""/""),,2),INDEX(SPLIT(G5692,""/""),,1))"),44740.0)</f>
        <v>44740</v>
      </c>
      <c r="I5692" s="1" t="s">
        <v>1097</v>
      </c>
      <c r="J5692" s="4">
        <f>IFERROR(__xludf.DUMMYFUNCTION("DATE(INDEX(SPLIT(I5692,""/""),,3),INDEX(SPLIT(I5692,""/""),,2),INDEX(SPLIT(I5692,""/""),,1))"),45107.0)</f>
        <v>45107</v>
      </c>
      <c r="L5692" s="1">
        <v>0.0</v>
      </c>
      <c r="M5692" s="1" t="s">
        <v>11254</v>
      </c>
      <c r="N5692" s="1"/>
      <c r="O5692" s="1" t="s">
        <v>30</v>
      </c>
      <c r="P5692" s="1" t="s">
        <v>31</v>
      </c>
      <c r="Q5692" s="1" t="s">
        <v>228</v>
      </c>
      <c r="R5692" s="1" t="s">
        <v>228</v>
      </c>
      <c r="S5692" s="1" t="s">
        <v>229</v>
      </c>
      <c r="T5692" s="1" t="s">
        <v>513</v>
      </c>
      <c r="U5692" s="1">
        <v>1.00602248E8</v>
      </c>
      <c r="X5692" s="1" t="s">
        <v>2028</v>
      </c>
      <c r="Y5692" s="1" t="s">
        <v>13944</v>
      </c>
      <c r="Z5692" s="1" t="s">
        <v>37</v>
      </c>
    </row>
    <row r="5693" hidden="1">
      <c r="A5693" s="1" t="s">
        <v>15740</v>
      </c>
      <c r="B5693" s="1" t="s">
        <v>9026</v>
      </c>
      <c r="C5693" s="1" t="s">
        <v>15741</v>
      </c>
      <c r="D5693" s="1" t="s">
        <v>27</v>
      </c>
      <c r="E5693" s="1" t="s">
        <v>28</v>
      </c>
      <c r="F5693" s="2">
        <v>14500.0</v>
      </c>
      <c r="G5693" s="1" t="s">
        <v>359</v>
      </c>
      <c r="H5693" s="4">
        <f>IFERROR(__xludf.DUMMYFUNCTION("DATE(INDEX(SPLIT(G5693,""/""),,3),INDEX(SPLIT(G5693,""/""),,2),INDEX(SPLIT(G5693,""/""),,1))"),44740.0)</f>
        <v>44740</v>
      </c>
      <c r="I5693" s="1" t="s">
        <v>1097</v>
      </c>
      <c r="J5693" s="4">
        <f>IFERROR(__xludf.DUMMYFUNCTION("DATE(INDEX(SPLIT(I5693,""/""),,3),INDEX(SPLIT(I5693,""/""),,2),INDEX(SPLIT(I5693,""/""),,1))"),45107.0)</f>
        <v>45107</v>
      </c>
      <c r="L5693" s="1">
        <v>0.0</v>
      </c>
      <c r="M5693" s="1" t="s">
        <v>12039</v>
      </c>
      <c r="N5693" s="1"/>
      <c r="O5693" s="1" t="s">
        <v>30</v>
      </c>
      <c r="P5693" s="1" t="s">
        <v>31</v>
      </c>
      <c r="Q5693" s="1" t="s">
        <v>228</v>
      </c>
      <c r="R5693" s="1" t="s">
        <v>228</v>
      </c>
      <c r="S5693" s="1" t="s">
        <v>229</v>
      </c>
      <c r="T5693" s="1" t="s">
        <v>513</v>
      </c>
      <c r="U5693" s="1">
        <v>1.00612509E8</v>
      </c>
      <c r="X5693" s="1" t="s">
        <v>74</v>
      </c>
      <c r="Y5693" s="1" t="s">
        <v>13944</v>
      </c>
      <c r="Z5693" s="1" t="s">
        <v>37</v>
      </c>
    </row>
    <row r="5694" hidden="1">
      <c r="A5694" s="1" t="s">
        <v>15742</v>
      </c>
      <c r="B5694" s="1" t="s">
        <v>15743</v>
      </c>
      <c r="C5694" s="1" t="s">
        <v>15744</v>
      </c>
      <c r="D5694" s="1" t="s">
        <v>27</v>
      </c>
      <c r="E5694" s="1" t="s">
        <v>28</v>
      </c>
      <c r="F5694" s="2">
        <v>14500.0</v>
      </c>
      <c r="G5694" s="1" t="s">
        <v>359</v>
      </c>
      <c r="H5694" s="4">
        <f>IFERROR(__xludf.DUMMYFUNCTION("DATE(INDEX(SPLIT(G5694,""/""),,3),INDEX(SPLIT(G5694,""/""),,2),INDEX(SPLIT(G5694,""/""),,1))"),44740.0)</f>
        <v>44740</v>
      </c>
      <c r="I5694" s="1" t="s">
        <v>1097</v>
      </c>
      <c r="J5694" s="4">
        <f>IFERROR(__xludf.DUMMYFUNCTION("DATE(INDEX(SPLIT(I5694,""/""),,3),INDEX(SPLIT(I5694,""/""),,2),INDEX(SPLIT(I5694,""/""),,1))"),45107.0)</f>
        <v>45107</v>
      </c>
      <c r="L5694" s="1">
        <v>0.0</v>
      </c>
      <c r="M5694" s="1" t="s">
        <v>11254</v>
      </c>
      <c r="N5694" s="1"/>
      <c r="O5694" s="1" t="s">
        <v>30</v>
      </c>
      <c r="P5694" s="1" t="s">
        <v>31</v>
      </c>
      <c r="Q5694" s="1" t="s">
        <v>228</v>
      </c>
      <c r="R5694" s="1" t="s">
        <v>228</v>
      </c>
      <c r="S5694" s="1" t="s">
        <v>229</v>
      </c>
      <c r="T5694" s="1" t="s">
        <v>513</v>
      </c>
      <c r="U5694" s="1">
        <v>1.00602248E8</v>
      </c>
      <c r="X5694" s="1" t="s">
        <v>74</v>
      </c>
      <c r="Y5694" s="1" t="s">
        <v>13944</v>
      </c>
      <c r="Z5694" s="1" t="s">
        <v>37</v>
      </c>
    </row>
    <row r="5695" hidden="1">
      <c r="A5695" s="1" t="s">
        <v>15745</v>
      </c>
      <c r="B5695" s="1" t="s">
        <v>4426</v>
      </c>
      <c r="C5695" s="1" t="s">
        <v>15746</v>
      </c>
      <c r="D5695" s="1" t="s">
        <v>27</v>
      </c>
      <c r="E5695" s="1" t="s">
        <v>28</v>
      </c>
      <c r="F5695" s="2">
        <v>14500.0</v>
      </c>
      <c r="G5695" s="1" t="s">
        <v>185</v>
      </c>
      <c r="H5695" s="4">
        <f>IFERROR(__xludf.DUMMYFUNCTION("DATE(INDEX(SPLIT(G5695,""/""),,3),INDEX(SPLIT(G5695,""/""),,2),INDEX(SPLIT(G5695,""/""),,1))"),44741.0)</f>
        <v>44741</v>
      </c>
      <c r="I5695" s="1" t="s">
        <v>1097</v>
      </c>
      <c r="J5695" s="4">
        <f>IFERROR(__xludf.DUMMYFUNCTION("DATE(INDEX(SPLIT(I5695,""/""),,3),INDEX(SPLIT(I5695,""/""),,2),INDEX(SPLIT(I5695,""/""),,1))"),45107.0)</f>
        <v>45107</v>
      </c>
      <c r="L5695" s="1">
        <v>0.0</v>
      </c>
      <c r="M5695" s="1" t="s">
        <v>11254</v>
      </c>
      <c r="N5695" s="1"/>
      <c r="O5695" s="1" t="s">
        <v>30</v>
      </c>
      <c r="P5695" s="1" t="s">
        <v>31</v>
      </c>
      <c r="Q5695" s="1" t="s">
        <v>228</v>
      </c>
      <c r="R5695" s="1" t="s">
        <v>228</v>
      </c>
      <c r="S5695" s="1" t="s">
        <v>229</v>
      </c>
      <c r="T5695" s="1" t="s">
        <v>513</v>
      </c>
      <c r="U5695" s="1">
        <v>1.00602248E8</v>
      </c>
      <c r="X5695" s="1" t="s">
        <v>490</v>
      </c>
      <c r="Y5695" s="1" t="s">
        <v>13944</v>
      </c>
      <c r="Z5695" s="1" t="s">
        <v>37</v>
      </c>
    </row>
    <row r="5696" hidden="1">
      <c r="A5696" s="1" t="s">
        <v>15747</v>
      </c>
      <c r="B5696" s="1" t="s">
        <v>15748</v>
      </c>
      <c r="C5696" s="1" t="s">
        <v>15749</v>
      </c>
      <c r="D5696" s="1" t="s">
        <v>27</v>
      </c>
      <c r="E5696" s="1" t="s">
        <v>28</v>
      </c>
      <c r="F5696" s="2">
        <v>14500.0</v>
      </c>
      <c r="G5696" s="1" t="s">
        <v>185</v>
      </c>
      <c r="H5696" s="4">
        <f>IFERROR(__xludf.DUMMYFUNCTION("DATE(INDEX(SPLIT(G5696,""/""),,3),INDEX(SPLIT(G5696,""/""),,2),INDEX(SPLIT(G5696,""/""),,1))"),44741.0)</f>
        <v>44741</v>
      </c>
      <c r="I5696" s="1" t="s">
        <v>1097</v>
      </c>
      <c r="J5696" s="4">
        <f>IFERROR(__xludf.DUMMYFUNCTION("DATE(INDEX(SPLIT(I5696,""/""),,3),INDEX(SPLIT(I5696,""/""),,2),INDEX(SPLIT(I5696,""/""),,1))"),45107.0)</f>
        <v>45107</v>
      </c>
      <c r="L5696" s="1">
        <v>0.0</v>
      </c>
      <c r="M5696" s="1" t="s">
        <v>11254</v>
      </c>
      <c r="N5696" s="1"/>
      <c r="O5696" s="1" t="s">
        <v>30</v>
      </c>
      <c r="P5696" s="1" t="s">
        <v>31</v>
      </c>
      <c r="Q5696" s="1" t="s">
        <v>228</v>
      </c>
      <c r="R5696" s="1" t="s">
        <v>228</v>
      </c>
      <c r="S5696" s="1" t="s">
        <v>229</v>
      </c>
      <c r="T5696" s="1" t="s">
        <v>513</v>
      </c>
      <c r="U5696" s="1">
        <v>1.00602248E8</v>
      </c>
      <c r="X5696" s="1" t="s">
        <v>35</v>
      </c>
      <c r="Y5696" s="1" t="s">
        <v>13944</v>
      </c>
      <c r="Z5696" s="1" t="s">
        <v>37</v>
      </c>
    </row>
    <row r="5697" hidden="1">
      <c r="A5697" s="1" t="s">
        <v>15750</v>
      </c>
      <c r="B5697" s="1" t="s">
        <v>15751</v>
      </c>
      <c r="C5697" s="1" t="s">
        <v>15752</v>
      </c>
      <c r="D5697" s="1" t="s">
        <v>27</v>
      </c>
      <c r="E5697" s="1" t="s">
        <v>28</v>
      </c>
      <c r="F5697" s="2">
        <v>14500.0</v>
      </c>
      <c r="G5697" s="1" t="s">
        <v>185</v>
      </c>
      <c r="H5697" s="4">
        <f>IFERROR(__xludf.DUMMYFUNCTION("DATE(INDEX(SPLIT(G5697,""/""),,3),INDEX(SPLIT(G5697,""/""),,2),INDEX(SPLIT(G5697,""/""),,1))"),44741.0)</f>
        <v>44741</v>
      </c>
      <c r="I5697" s="1" t="s">
        <v>1097</v>
      </c>
      <c r="J5697" s="4">
        <f>IFERROR(__xludf.DUMMYFUNCTION("DATE(INDEX(SPLIT(I5697,""/""),,3),INDEX(SPLIT(I5697,""/""),,2),INDEX(SPLIT(I5697,""/""),,1))"),45107.0)</f>
        <v>45107</v>
      </c>
      <c r="L5697" s="1">
        <v>0.0</v>
      </c>
      <c r="M5697" s="1" t="s">
        <v>11254</v>
      </c>
      <c r="N5697" s="1"/>
      <c r="O5697" s="1" t="s">
        <v>30</v>
      </c>
      <c r="P5697" s="1" t="s">
        <v>31</v>
      </c>
      <c r="Q5697" s="1" t="s">
        <v>228</v>
      </c>
      <c r="R5697" s="1" t="s">
        <v>228</v>
      </c>
      <c r="S5697" s="1" t="s">
        <v>229</v>
      </c>
      <c r="T5697" s="1" t="s">
        <v>513</v>
      </c>
      <c r="U5697" s="1">
        <v>1.00602248E8</v>
      </c>
      <c r="X5697" s="1" t="s">
        <v>2769</v>
      </c>
      <c r="Y5697" s="1" t="s">
        <v>13944</v>
      </c>
      <c r="Z5697" s="1" t="s">
        <v>37</v>
      </c>
    </row>
    <row r="5698" hidden="1">
      <c r="A5698" s="1" t="s">
        <v>15753</v>
      </c>
      <c r="B5698" s="1" t="s">
        <v>15754</v>
      </c>
      <c r="C5698" s="1" t="s">
        <v>15755</v>
      </c>
      <c r="D5698" s="1" t="s">
        <v>78</v>
      </c>
      <c r="E5698" s="1" t="s">
        <v>28</v>
      </c>
      <c r="F5698" s="2">
        <v>14500.0</v>
      </c>
      <c r="G5698" s="4">
        <v>44597.0</v>
      </c>
      <c r="H5698" s="4">
        <f>IFERROR(__xludf.DUMMYFUNCTION("DATE(INDEX(SPLIT(G5698,""/""),,3),INDEX(SPLIT(G5698,""/""),,2),INDEX(SPLIT(G5698,""/""),,1))"),44683.0)</f>
        <v>44683</v>
      </c>
      <c r="I5698" s="1" t="s">
        <v>109</v>
      </c>
      <c r="J5698" s="4">
        <f>IFERROR(__xludf.DUMMYFUNCTION("DATE(INDEX(SPLIT(I5698,""/""),,3),INDEX(SPLIT(I5698,""/""),,2),INDEX(SPLIT(I5698,""/""),,1))"),44834.0)</f>
        <v>44834</v>
      </c>
      <c r="L5698" s="1">
        <v>0.0</v>
      </c>
      <c r="M5698" s="1" t="s">
        <v>11254</v>
      </c>
      <c r="N5698" s="1"/>
      <c r="O5698" s="1" t="s">
        <v>30</v>
      </c>
      <c r="P5698" s="1" t="s">
        <v>31</v>
      </c>
      <c r="Q5698" s="1" t="s">
        <v>228</v>
      </c>
      <c r="R5698" s="1" t="s">
        <v>228</v>
      </c>
      <c r="S5698" s="1" t="s">
        <v>229</v>
      </c>
      <c r="T5698" s="1" t="s">
        <v>15694</v>
      </c>
      <c r="U5698" s="1">
        <v>1.00602248E8</v>
      </c>
      <c r="X5698" s="1" t="s">
        <v>74</v>
      </c>
      <c r="Y5698" s="1" t="s">
        <v>13638</v>
      </c>
      <c r="Z5698" s="1" t="s">
        <v>37</v>
      </c>
    </row>
    <row r="5699" hidden="1">
      <c r="A5699" s="1" t="s">
        <v>15756</v>
      </c>
      <c r="B5699" s="1" t="s">
        <v>11716</v>
      </c>
      <c r="C5699" s="1" t="s">
        <v>15757</v>
      </c>
      <c r="D5699" s="1" t="s">
        <v>27</v>
      </c>
      <c r="E5699" s="1" t="s">
        <v>28</v>
      </c>
      <c r="F5699" s="2">
        <v>14500.0</v>
      </c>
      <c r="G5699" s="1" t="s">
        <v>359</v>
      </c>
      <c r="H5699" s="4">
        <f>IFERROR(__xludf.DUMMYFUNCTION("DATE(INDEX(SPLIT(G5699,""/""),,3),INDEX(SPLIT(G5699,""/""),,2),INDEX(SPLIT(G5699,""/""),,1))"),44740.0)</f>
        <v>44740</v>
      </c>
      <c r="I5699" s="1" t="s">
        <v>1097</v>
      </c>
      <c r="J5699" s="4">
        <f>IFERROR(__xludf.DUMMYFUNCTION("DATE(INDEX(SPLIT(I5699,""/""),,3),INDEX(SPLIT(I5699,""/""),,2),INDEX(SPLIT(I5699,""/""),,1))"),45107.0)</f>
        <v>45107</v>
      </c>
      <c r="L5699" s="1">
        <v>0.0</v>
      </c>
      <c r="M5699" s="1" t="s">
        <v>11254</v>
      </c>
      <c r="N5699" s="1"/>
      <c r="O5699" s="1" t="s">
        <v>30</v>
      </c>
      <c r="P5699" s="1" t="s">
        <v>31</v>
      </c>
      <c r="Q5699" s="1" t="s">
        <v>228</v>
      </c>
      <c r="R5699" s="1" t="s">
        <v>228</v>
      </c>
      <c r="S5699" s="1" t="s">
        <v>229</v>
      </c>
      <c r="T5699" s="1" t="s">
        <v>513</v>
      </c>
      <c r="U5699" s="1">
        <v>1.00602248E8</v>
      </c>
      <c r="X5699" s="1" t="s">
        <v>74</v>
      </c>
      <c r="Y5699" s="1" t="s">
        <v>13944</v>
      </c>
      <c r="Z5699" s="1" t="s">
        <v>37</v>
      </c>
    </row>
    <row r="5700" hidden="1">
      <c r="A5700" s="1" t="s">
        <v>15758</v>
      </c>
      <c r="B5700" s="1" t="s">
        <v>15759</v>
      </c>
      <c r="C5700" s="1" t="s">
        <v>15760</v>
      </c>
      <c r="D5700" s="1" t="s">
        <v>27</v>
      </c>
      <c r="E5700" s="1" t="s">
        <v>28</v>
      </c>
      <c r="F5700" s="2">
        <v>14500.0</v>
      </c>
      <c r="G5700" s="1" t="s">
        <v>185</v>
      </c>
      <c r="H5700" s="4">
        <f>IFERROR(__xludf.DUMMYFUNCTION("DATE(INDEX(SPLIT(G5700,""/""),,3),INDEX(SPLIT(G5700,""/""),,2),INDEX(SPLIT(G5700,""/""),,1))"),44741.0)</f>
        <v>44741</v>
      </c>
      <c r="I5700" s="1" t="s">
        <v>1097</v>
      </c>
      <c r="J5700" s="4">
        <f>IFERROR(__xludf.DUMMYFUNCTION("DATE(INDEX(SPLIT(I5700,""/""),,3),INDEX(SPLIT(I5700,""/""),,2),INDEX(SPLIT(I5700,""/""),,1))"),45107.0)</f>
        <v>45107</v>
      </c>
      <c r="L5700" s="1">
        <v>0.0</v>
      </c>
      <c r="M5700" s="1" t="s">
        <v>12039</v>
      </c>
      <c r="N5700" s="1"/>
      <c r="O5700" s="1" t="s">
        <v>30</v>
      </c>
      <c r="P5700" s="1" t="s">
        <v>31</v>
      </c>
      <c r="Q5700" s="1" t="s">
        <v>228</v>
      </c>
      <c r="R5700" s="1" t="s">
        <v>228</v>
      </c>
      <c r="S5700" s="1" t="s">
        <v>229</v>
      </c>
      <c r="T5700" s="1" t="s">
        <v>513</v>
      </c>
      <c r="U5700" s="1">
        <v>1.00612509E8</v>
      </c>
      <c r="X5700" s="1" t="s">
        <v>74</v>
      </c>
      <c r="Y5700" s="1" t="s">
        <v>13944</v>
      </c>
      <c r="Z5700" s="1" t="s">
        <v>37</v>
      </c>
    </row>
    <row r="5701" hidden="1">
      <c r="A5701" s="1" t="s">
        <v>15761</v>
      </c>
      <c r="B5701" s="1" t="s">
        <v>10081</v>
      </c>
      <c r="C5701" s="1" t="s">
        <v>15762</v>
      </c>
      <c r="D5701" s="1" t="s">
        <v>78</v>
      </c>
      <c r="E5701" s="1" t="s">
        <v>28</v>
      </c>
      <c r="F5701" s="2">
        <v>14500.0</v>
      </c>
      <c r="G5701" s="1" t="s">
        <v>359</v>
      </c>
      <c r="H5701" s="4">
        <f>IFERROR(__xludf.DUMMYFUNCTION("DATE(INDEX(SPLIT(G5701,""/""),,3),INDEX(SPLIT(G5701,""/""),,2),INDEX(SPLIT(G5701,""/""),,1))"),44740.0)</f>
        <v>44740</v>
      </c>
      <c r="I5701" s="1" t="s">
        <v>109</v>
      </c>
      <c r="J5701" s="4">
        <f>IFERROR(__xludf.DUMMYFUNCTION("DATE(INDEX(SPLIT(I5701,""/""),,3),INDEX(SPLIT(I5701,""/""),,2),INDEX(SPLIT(I5701,""/""),,1))"),44834.0)</f>
        <v>44834</v>
      </c>
      <c r="L5701" s="1">
        <v>0.0</v>
      </c>
      <c r="M5701" s="1" t="s">
        <v>11254</v>
      </c>
      <c r="N5701" s="1"/>
      <c r="O5701" s="1" t="s">
        <v>30</v>
      </c>
      <c r="P5701" s="1" t="s">
        <v>31</v>
      </c>
      <c r="Q5701" s="1" t="s">
        <v>228</v>
      </c>
      <c r="R5701" s="1" t="s">
        <v>228</v>
      </c>
      <c r="S5701" s="1" t="s">
        <v>229</v>
      </c>
      <c r="T5701" s="1" t="s">
        <v>15763</v>
      </c>
      <c r="U5701" s="1">
        <v>1.00602248E8</v>
      </c>
      <c r="X5701" s="1" t="s">
        <v>781</v>
      </c>
      <c r="Y5701" s="1" t="s">
        <v>13638</v>
      </c>
      <c r="Z5701" s="1" t="s">
        <v>37</v>
      </c>
    </row>
    <row r="5702" hidden="1">
      <c r="A5702" s="1" t="s">
        <v>15764</v>
      </c>
      <c r="B5702" s="1" t="s">
        <v>15765</v>
      </c>
      <c r="C5702" s="1" t="s">
        <v>15766</v>
      </c>
      <c r="D5702" s="1" t="s">
        <v>78</v>
      </c>
      <c r="E5702" s="1" t="s">
        <v>28</v>
      </c>
      <c r="F5702" s="2">
        <v>14500.0</v>
      </c>
      <c r="G5702" s="1" t="s">
        <v>359</v>
      </c>
      <c r="H5702" s="4">
        <f>IFERROR(__xludf.DUMMYFUNCTION("DATE(INDEX(SPLIT(G5702,""/""),,3),INDEX(SPLIT(G5702,""/""),,2),INDEX(SPLIT(G5702,""/""),,1))"),44740.0)</f>
        <v>44740</v>
      </c>
      <c r="I5702" s="1" t="s">
        <v>109</v>
      </c>
      <c r="J5702" s="4">
        <f>IFERROR(__xludf.DUMMYFUNCTION("DATE(INDEX(SPLIT(I5702,""/""),,3),INDEX(SPLIT(I5702,""/""),,2),INDEX(SPLIT(I5702,""/""),,1))"),44834.0)</f>
        <v>44834</v>
      </c>
      <c r="L5702" s="1">
        <v>0.0</v>
      </c>
      <c r="M5702" s="1" t="s">
        <v>11254</v>
      </c>
      <c r="N5702" s="1"/>
      <c r="O5702" s="1" t="s">
        <v>30</v>
      </c>
      <c r="P5702" s="1" t="s">
        <v>31</v>
      </c>
      <c r="Q5702" s="1" t="s">
        <v>228</v>
      </c>
      <c r="R5702" s="1" t="s">
        <v>228</v>
      </c>
      <c r="S5702" s="1" t="s">
        <v>229</v>
      </c>
      <c r="T5702" s="1" t="s">
        <v>513</v>
      </c>
      <c r="U5702" s="1">
        <v>1.00602248E8</v>
      </c>
      <c r="X5702" s="1" t="s">
        <v>490</v>
      </c>
      <c r="Y5702" s="1" t="s">
        <v>13638</v>
      </c>
      <c r="Z5702" s="1" t="s">
        <v>37</v>
      </c>
    </row>
    <row r="5703" hidden="1">
      <c r="A5703" s="1" t="s">
        <v>15767</v>
      </c>
      <c r="B5703" s="1" t="s">
        <v>4922</v>
      </c>
      <c r="C5703" s="1" t="s">
        <v>15768</v>
      </c>
      <c r="D5703" s="1" t="s">
        <v>27</v>
      </c>
      <c r="E5703" s="1" t="s">
        <v>28</v>
      </c>
      <c r="F5703" s="2">
        <v>14500.0</v>
      </c>
      <c r="G5703" s="1" t="s">
        <v>185</v>
      </c>
      <c r="H5703" s="4">
        <f>IFERROR(__xludf.DUMMYFUNCTION("DATE(INDEX(SPLIT(G5703,""/""),,3),INDEX(SPLIT(G5703,""/""),,2),INDEX(SPLIT(G5703,""/""),,1))"),44741.0)</f>
        <v>44741</v>
      </c>
      <c r="I5703" s="1" t="s">
        <v>1097</v>
      </c>
      <c r="J5703" s="4">
        <f>IFERROR(__xludf.DUMMYFUNCTION("DATE(INDEX(SPLIT(I5703,""/""),,3),INDEX(SPLIT(I5703,""/""),,2),INDEX(SPLIT(I5703,""/""),,1))"),45107.0)</f>
        <v>45107</v>
      </c>
      <c r="L5703" s="1">
        <v>0.0</v>
      </c>
      <c r="M5703" s="1" t="s">
        <v>11254</v>
      </c>
      <c r="N5703" s="1"/>
      <c r="O5703" s="1" t="s">
        <v>30</v>
      </c>
      <c r="P5703" s="1" t="s">
        <v>31</v>
      </c>
      <c r="Q5703" s="1" t="s">
        <v>228</v>
      </c>
      <c r="R5703" s="1" t="s">
        <v>228</v>
      </c>
      <c r="S5703" s="1" t="s">
        <v>229</v>
      </c>
      <c r="T5703" s="1" t="s">
        <v>513</v>
      </c>
      <c r="U5703" s="1">
        <v>1.00602248E8</v>
      </c>
      <c r="X5703" s="1" t="s">
        <v>74</v>
      </c>
      <c r="Y5703" s="1" t="s">
        <v>13944</v>
      </c>
      <c r="Z5703" s="1" t="s">
        <v>37</v>
      </c>
    </row>
    <row r="5704" hidden="1">
      <c r="A5704" s="1" t="s">
        <v>15769</v>
      </c>
      <c r="B5704" s="1" t="s">
        <v>1835</v>
      </c>
      <c r="C5704" s="1" t="s">
        <v>15770</v>
      </c>
      <c r="D5704" s="1" t="s">
        <v>27</v>
      </c>
      <c r="E5704" s="1" t="s">
        <v>28</v>
      </c>
      <c r="F5704" s="2">
        <v>14500.0</v>
      </c>
      <c r="G5704" s="1" t="s">
        <v>359</v>
      </c>
      <c r="H5704" s="4">
        <f>IFERROR(__xludf.DUMMYFUNCTION("DATE(INDEX(SPLIT(G5704,""/""),,3),INDEX(SPLIT(G5704,""/""),,2),INDEX(SPLIT(G5704,""/""),,1))"),44740.0)</f>
        <v>44740</v>
      </c>
      <c r="I5704" s="1" t="s">
        <v>1097</v>
      </c>
      <c r="J5704" s="4">
        <f>IFERROR(__xludf.DUMMYFUNCTION("DATE(INDEX(SPLIT(I5704,""/""),,3),INDEX(SPLIT(I5704,""/""),,2),INDEX(SPLIT(I5704,""/""),,1))"),45107.0)</f>
        <v>45107</v>
      </c>
      <c r="L5704" s="1">
        <v>0.0</v>
      </c>
      <c r="M5704" s="1" t="s">
        <v>11254</v>
      </c>
      <c r="N5704" s="1"/>
      <c r="O5704" s="1" t="s">
        <v>30</v>
      </c>
      <c r="P5704" s="1" t="s">
        <v>31</v>
      </c>
      <c r="Q5704" s="1" t="s">
        <v>228</v>
      </c>
      <c r="R5704" s="1" t="s">
        <v>228</v>
      </c>
      <c r="S5704" s="1" t="s">
        <v>229</v>
      </c>
      <c r="T5704" s="1" t="s">
        <v>513</v>
      </c>
      <c r="U5704" s="1">
        <v>1.00602248E8</v>
      </c>
      <c r="X5704" s="1" t="s">
        <v>490</v>
      </c>
      <c r="Y5704" s="1" t="s">
        <v>13944</v>
      </c>
      <c r="Z5704" s="1" t="s">
        <v>37</v>
      </c>
    </row>
    <row r="5705" hidden="1">
      <c r="A5705" s="1" t="s">
        <v>15771</v>
      </c>
      <c r="B5705" s="1" t="s">
        <v>2650</v>
      </c>
      <c r="C5705" s="1" t="s">
        <v>15772</v>
      </c>
      <c r="D5705" s="1" t="s">
        <v>27</v>
      </c>
      <c r="E5705" s="1" t="s">
        <v>28</v>
      </c>
      <c r="F5705" s="2">
        <v>14500.0</v>
      </c>
      <c r="G5705" s="1" t="s">
        <v>185</v>
      </c>
      <c r="H5705" s="4">
        <f>IFERROR(__xludf.DUMMYFUNCTION("DATE(INDEX(SPLIT(G5705,""/""),,3),INDEX(SPLIT(G5705,""/""),,2),INDEX(SPLIT(G5705,""/""),,1))"),44741.0)</f>
        <v>44741</v>
      </c>
      <c r="I5705" s="1" t="s">
        <v>1097</v>
      </c>
      <c r="J5705" s="4">
        <f>IFERROR(__xludf.DUMMYFUNCTION("DATE(INDEX(SPLIT(I5705,""/""),,3),INDEX(SPLIT(I5705,""/""),,2),INDEX(SPLIT(I5705,""/""),,1))"),45107.0)</f>
        <v>45107</v>
      </c>
      <c r="L5705" s="1">
        <v>0.0</v>
      </c>
      <c r="M5705" s="1" t="s">
        <v>11254</v>
      </c>
      <c r="N5705" s="1"/>
      <c r="O5705" s="1" t="s">
        <v>30</v>
      </c>
      <c r="P5705" s="1" t="s">
        <v>31</v>
      </c>
      <c r="Q5705" s="1" t="s">
        <v>228</v>
      </c>
      <c r="R5705" s="1" t="s">
        <v>228</v>
      </c>
      <c r="S5705" s="1" t="s">
        <v>229</v>
      </c>
      <c r="T5705" s="1" t="s">
        <v>513</v>
      </c>
      <c r="U5705" s="1">
        <v>1.00602248E8</v>
      </c>
      <c r="X5705" s="1" t="s">
        <v>490</v>
      </c>
      <c r="Y5705" s="1" t="s">
        <v>13944</v>
      </c>
      <c r="Z5705" s="1" t="s">
        <v>37</v>
      </c>
    </row>
    <row r="5706" hidden="1">
      <c r="A5706" s="1" t="s">
        <v>15773</v>
      </c>
      <c r="B5706" s="1" t="s">
        <v>15774</v>
      </c>
      <c r="C5706" s="1" t="s">
        <v>15775</v>
      </c>
      <c r="D5706" s="1" t="s">
        <v>27</v>
      </c>
      <c r="E5706" s="1" t="s">
        <v>28</v>
      </c>
      <c r="F5706" s="2">
        <v>14500.0</v>
      </c>
      <c r="G5706" s="1" t="s">
        <v>185</v>
      </c>
      <c r="H5706" s="4">
        <f>IFERROR(__xludf.DUMMYFUNCTION("DATE(INDEX(SPLIT(G5706,""/""),,3),INDEX(SPLIT(G5706,""/""),,2),INDEX(SPLIT(G5706,""/""),,1))"),44741.0)</f>
        <v>44741</v>
      </c>
      <c r="I5706" s="1" t="s">
        <v>1097</v>
      </c>
      <c r="J5706" s="4">
        <f>IFERROR(__xludf.DUMMYFUNCTION("DATE(INDEX(SPLIT(I5706,""/""),,3),INDEX(SPLIT(I5706,""/""),,2),INDEX(SPLIT(I5706,""/""),,1))"),45107.0)</f>
        <v>45107</v>
      </c>
      <c r="L5706" s="1">
        <v>0.0</v>
      </c>
      <c r="M5706" s="1" t="s">
        <v>11254</v>
      </c>
      <c r="N5706" s="1"/>
      <c r="O5706" s="1" t="s">
        <v>30</v>
      </c>
      <c r="P5706" s="1" t="s">
        <v>31</v>
      </c>
      <c r="Q5706" s="1" t="s">
        <v>228</v>
      </c>
      <c r="R5706" s="1" t="s">
        <v>228</v>
      </c>
      <c r="S5706" s="1" t="s">
        <v>229</v>
      </c>
      <c r="T5706" s="1" t="s">
        <v>513</v>
      </c>
      <c r="U5706" s="1">
        <v>1.00602248E8</v>
      </c>
      <c r="X5706" s="1" t="s">
        <v>239</v>
      </c>
      <c r="Y5706" s="1" t="s">
        <v>13944</v>
      </c>
      <c r="Z5706" s="1" t="s">
        <v>37</v>
      </c>
    </row>
    <row r="5707" hidden="1">
      <c r="A5707" s="1" t="s">
        <v>15776</v>
      </c>
      <c r="B5707" s="1" t="s">
        <v>6615</v>
      </c>
      <c r="C5707" s="1" t="s">
        <v>15777</v>
      </c>
      <c r="D5707" s="1" t="s">
        <v>78</v>
      </c>
      <c r="E5707" s="1" t="s">
        <v>28</v>
      </c>
      <c r="F5707" s="2">
        <v>14500.0</v>
      </c>
      <c r="G5707" s="1" t="s">
        <v>359</v>
      </c>
      <c r="H5707" s="4">
        <f>IFERROR(__xludf.DUMMYFUNCTION("DATE(INDEX(SPLIT(G5707,""/""),,3),INDEX(SPLIT(G5707,""/""),,2),INDEX(SPLIT(G5707,""/""),,1))"),44740.0)</f>
        <v>44740</v>
      </c>
      <c r="I5707" s="1" t="s">
        <v>42</v>
      </c>
      <c r="J5707" s="4">
        <f>IFERROR(__xludf.DUMMYFUNCTION("DATE(INDEX(SPLIT(I5707,""/""),,3),INDEX(SPLIT(I5707,""/""),,2),INDEX(SPLIT(I5707,""/""),,1))"),44926.0)</f>
        <v>44926</v>
      </c>
      <c r="L5707" s="1">
        <v>0.0</v>
      </c>
      <c r="M5707" s="1" t="s">
        <v>11254</v>
      </c>
      <c r="N5707" s="1"/>
      <c r="O5707" s="1" t="s">
        <v>30</v>
      </c>
      <c r="P5707" s="1" t="s">
        <v>31</v>
      </c>
      <c r="Q5707" s="1" t="s">
        <v>228</v>
      </c>
      <c r="R5707" s="1" t="s">
        <v>228</v>
      </c>
      <c r="S5707" s="1" t="s">
        <v>229</v>
      </c>
      <c r="T5707" s="1" t="s">
        <v>513</v>
      </c>
      <c r="U5707" s="1">
        <v>1.00602248E8</v>
      </c>
      <c r="X5707" s="1" t="s">
        <v>63</v>
      </c>
      <c r="Y5707" s="1" t="s">
        <v>12640</v>
      </c>
      <c r="Z5707" s="1" t="s">
        <v>37</v>
      </c>
    </row>
    <row r="5708" hidden="1">
      <c r="A5708" s="1" t="s">
        <v>15778</v>
      </c>
      <c r="B5708" s="1" t="s">
        <v>15779</v>
      </c>
      <c r="C5708" s="1" t="s">
        <v>15780</v>
      </c>
      <c r="D5708" s="1" t="s">
        <v>78</v>
      </c>
      <c r="E5708" s="1" t="s">
        <v>28</v>
      </c>
      <c r="F5708" s="2">
        <v>14500.0</v>
      </c>
      <c r="G5708" s="4">
        <v>43932.0</v>
      </c>
      <c r="H5708" s="4">
        <f>IFERROR(__xludf.DUMMYFUNCTION("DATE(INDEX(SPLIT(G5708,""/""),,3),INDEX(SPLIT(G5708,""/""),,2),INDEX(SPLIT(G5708,""/""),,1))"),44139.0)</f>
        <v>44139</v>
      </c>
      <c r="I5708" s="1" t="s">
        <v>109</v>
      </c>
      <c r="J5708" s="4">
        <f>IFERROR(__xludf.DUMMYFUNCTION("DATE(INDEX(SPLIT(I5708,""/""),,3),INDEX(SPLIT(I5708,""/""),,2),INDEX(SPLIT(I5708,""/""),,1))"),44834.0)</f>
        <v>44834</v>
      </c>
      <c r="L5708" s="1">
        <v>0.0</v>
      </c>
      <c r="M5708" s="1" t="s">
        <v>11254</v>
      </c>
      <c r="N5708" s="1"/>
      <c r="O5708" s="1" t="s">
        <v>30</v>
      </c>
      <c r="P5708" s="1" t="s">
        <v>31</v>
      </c>
      <c r="Q5708" s="1" t="s">
        <v>228</v>
      </c>
      <c r="R5708" s="1" t="s">
        <v>228</v>
      </c>
      <c r="S5708" s="1" t="s">
        <v>229</v>
      </c>
      <c r="T5708" s="1" t="s">
        <v>513</v>
      </c>
      <c r="U5708" s="1">
        <v>1.00602248E8</v>
      </c>
      <c r="X5708" s="1" t="s">
        <v>375</v>
      </c>
      <c r="Y5708" s="1" t="s">
        <v>12637</v>
      </c>
      <c r="Z5708" s="1" t="s">
        <v>37</v>
      </c>
    </row>
    <row r="5709" hidden="1">
      <c r="A5709" s="1" t="s">
        <v>15781</v>
      </c>
      <c r="B5709" s="1" t="s">
        <v>1845</v>
      </c>
      <c r="C5709" s="1" t="s">
        <v>15782</v>
      </c>
      <c r="D5709" s="1" t="s">
        <v>27</v>
      </c>
      <c r="E5709" s="1" t="s">
        <v>28</v>
      </c>
      <c r="F5709" s="2">
        <v>14500.0</v>
      </c>
      <c r="G5709" s="1" t="s">
        <v>185</v>
      </c>
      <c r="H5709" s="4">
        <f>IFERROR(__xludf.DUMMYFUNCTION("DATE(INDEX(SPLIT(G5709,""/""),,3),INDEX(SPLIT(G5709,""/""),,2),INDEX(SPLIT(G5709,""/""),,1))"),44741.0)</f>
        <v>44741</v>
      </c>
      <c r="I5709" s="1" t="s">
        <v>1097</v>
      </c>
      <c r="J5709" s="4">
        <f>IFERROR(__xludf.DUMMYFUNCTION("DATE(INDEX(SPLIT(I5709,""/""),,3),INDEX(SPLIT(I5709,""/""),,2),INDEX(SPLIT(I5709,""/""),,1))"),45107.0)</f>
        <v>45107</v>
      </c>
      <c r="L5709" s="1">
        <v>0.0</v>
      </c>
      <c r="M5709" s="1" t="s">
        <v>11254</v>
      </c>
      <c r="N5709" s="1"/>
      <c r="O5709" s="1" t="s">
        <v>30</v>
      </c>
      <c r="P5709" s="1" t="s">
        <v>31</v>
      </c>
      <c r="Q5709" s="1" t="s">
        <v>228</v>
      </c>
      <c r="R5709" s="1" t="s">
        <v>228</v>
      </c>
      <c r="S5709" s="1" t="s">
        <v>229</v>
      </c>
      <c r="T5709" s="1" t="s">
        <v>513</v>
      </c>
      <c r="U5709" s="1">
        <v>1.00602248E8</v>
      </c>
      <c r="X5709" s="1" t="s">
        <v>490</v>
      </c>
      <c r="Y5709" s="1" t="s">
        <v>13944</v>
      </c>
      <c r="Z5709" s="1" t="s">
        <v>37</v>
      </c>
    </row>
    <row r="5710" hidden="1">
      <c r="A5710" s="1" t="s">
        <v>15783</v>
      </c>
      <c r="B5710" s="1" t="s">
        <v>15784</v>
      </c>
      <c r="C5710" s="1" t="s">
        <v>15785</v>
      </c>
      <c r="D5710" s="1" t="s">
        <v>27</v>
      </c>
      <c r="E5710" s="1" t="s">
        <v>28</v>
      </c>
      <c r="F5710" s="2">
        <v>14500.0</v>
      </c>
      <c r="G5710" s="1" t="s">
        <v>185</v>
      </c>
      <c r="H5710" s="4">
        <f>IFERROR(__xludf.DUMMYFUNCTION("DATE(INDEX(SPLIT(G5710,""/""),,3),INDEX(SPLIT(G5710,""/""),,2),INDEX(SPLIT(G5710,""/""),,1))"),44741.0)</f>
        <v>44741</v>
      </c>
      <c r="I5710" s="1" t="s">
        <v>1097</v>
      </c>
      <c r="J5710" s="4">
        <f>IFERROR(__xludf.DUMMYFUNCTION("DATE(INDEX(SPLIT(I5710,""/""),,3),INDEX(SPLIT(I5710,""/""),,2),INDEX(SPLIT(I5710,""/""),,1))"),45107.0)</f>
        <v>45107</v>
      </c>
      <c r="L5710" s="1">
        <v>0.0</v>
      </c>
      <c r="M5710" s="1" t="s">
        <v>11254</v>
      </c>
      <c r="N5710" s="1"/>
      <c r="O5710" s="1" t="s">
        <v>30</v>
      </c>
      <c r="P5710" s="1" t="s">
        <v>31</v>
      </c>
      <c r="Q5710" s="1" t="s">
        <v>228</v>
      </c>
      <c r="R5710" s="1" t="s">
        <v>228</v>
      </c>
      <c r="S5710" s="1" t="s">
        <v>229</v>
      </c>
      <c r="T5710" s="1" t="s">
        <v>513</v>
      </c>
      <c r="U5710" s="1">
        <v>1.00602248E8</v>
      </c>
      <c r="X5710" s="1" t="s">
        <v>125</v>
      </c>
      <c r="Y5710" s="1" t="s">
        <v>13944</v>
      </c>
      <c r="Z5710" s="1" t="s">
        <v>37</v>
      </c>
    </row>
    <row r="5711" hidden="1">
      <c r="A5711" s="1" t="s">
        <v>15786</v>
      </c>
      <c r="B5711" s="1" t="s">
        <v>15787</v>
      </c>
      <c r="C5711" s="1" t="s">
        <v>15788</v>
      </c>
      <c r="D5711" s="1" t="s">
        <v>78</v>
      </c>
      <c r="E5711" s="1" t="s">
        <v>28</v>
      </c>
      <c r="F5711" s="2">
        <v>14500.0</v>
      </c>
      <c r="G5711" s="4">
        <v>44478.0</v>
      </c>
      <c r="H5711" s="4">
        <f>IFERROR(__xludf.DUMMYFUNCTION("DATE(INDEX(SPLIT(G5711,""/""),,3),INDEX(SPLIT(G5711,""/""),,2),INDEX(SPLIT(G5711,""/""),,1))"),44449.0)</f>
        <v>44449</v>
      </c>
      <c r="I5711" s="1" t="s">
        <v>109</v>
      </c>
      <c r="J5711" s="4">
        <f>IFERROR(__xludf.DUMMYFUNCTION("DATE(INDEX(SPLIT(I5711,""/""),,3),INDEX(SPLIT(I5711,""/""),,2),INDEX(SPLIT(I5711,""/""),,1))"),44834.0)</f>
        <v>44834</v>
      </c>
      <c r="L5711" s="1">
        <v>0.0</v>
      </c>
      <c r="M5711" s="1" t="s">
        <v>11254</v>
      </c>
      <c r="N5711" s="1"/>
      <c r="O5711" s="1" t="s">
        <v>30</v>
      </c>
      <c r="P5711" s="1" t="s">
        <v>31</v>
      </c>
      <c r="Q5711" s="1" t="s">
        <v>228</v>
      </c>
      <c r="R5711" s="1" t="s">
        <v>228</v>
      </c>
      <c r="S5711" s="1" t="s">
        <v>229</v>
      </c>
      <c r="T5711" s="1" t="s">
        <v>513</v>
      </c>
      <c r="U5711" s="1">
        <v>1.00602248E8</v>
      </c>
      <c r="X5711" s="1" t="s">
        <v>490</v>
      </c>
      <c r="Y5711" s="1" t="s">
        <v>12637</v>
      </c>
      <c r="Z5711" s="1" t="s">
        <v>37</v>
      </c>
    </row>
    <row r="5712" hidden="1">
      <c r="A5712" s="1" t="s">
        <v>15789</v>
      </c>
      <c r="B5712" s="1" t="s">
        <v>911</v>
      </c>
      <c r="C5712" s="1" t="s">
        <v>15790</v>
      </c>
      <c r="D5712" s="1" t="s">
        <v>27</v>
      </c>
      <c r="E5712" s="1" t="s">
        <v>28</v>
      </c>
      <c r="F5712" s="2">
        <v>14500.0</v>
      </c>
      <c r="G5712" s="1" t="s">
        <v>185</v>
      </c>
      <c r="H5712" s="4">
        <f>IFERROR(__xludf.DUMMYFUNCTION("DATE(INDEX(SPLIT(G5712,""/""),,3),INDEX(SPLIT(G5712,""/""),,2),INDEX(SPLIT(G5712,""/""),,1))"),44741.0)</f>
        <v>44741</v>
      </c>
      <c r="I5712" s="1" t="s">
        <v>1097</v>
      </c>
      <c r="J5712" s="4">
        <f>IFERROR(__xludf.DUMMYFUNCTION("DATE(INDEX(SPLIT(I5712,""/""),,3),INDEX(SPLIT(I5712,""/""),,2),INDEX(SPLIT(I5712,""/""),,1))"),45107.0)</f>
        <v>45107</v>
      </c>
      <c r="L5712" s="1">
        <v>0.0</v>
      </c>
      <c r="M5712" s="1" t="s">
        <v>11254</v>
      </c>
      <c r="N5712" s="1"/>
      <c r="O5712" s="1" t="s">
        <v>30</v>
      </c>
      <c r="P5712" s="1" t="s">
        <v>31</v>
      </c>
      <c r="Q5712" s="1" t="s">
        <v>228</v>
      </c>
      <c r="R5712" s="1" t="s">
        <v>228</v>
      </c>
      <c r="S5712" s="1" t="s">
        <v>229</v>
      </c>
      <c r="T5712" s="1" t="s">
        <v>513</v>
      </c>
      <c r="U5712" s="1">
        <v>1.00602248E8</v>
      </c>
      <c r="X5712" s="1" t="s">
        <v>74</v>
      </c>
      <c r="Y5712" s="1" t="s">
        <v>13944</v>
      </c>
      <c r="Z5712" s="1" t="s">
        <v>37</v>
      </c>
    </row>
    <row r="5713" hidden="1">
      <c r="A5713" s="1" t="s">
        <v>15791</v>
      </c>
      <c r="B5713" s="1" t="s">
        <v>15792</v>
      </c>
      <c r="C5713" s="1" t="s">
        <v>15793</v>
      </c>
      <c r="D5713" s="1" t="s">
        <v>27</v>
      </c>
      <c r="E5713" s="1" t="s">
        <v>28</v>
      </c>
      <c r="F5713" s="2">
        <v>14500.0</v>
      </c>
      <c r="G5713" s="1" t="s">
        <v>359</v>
      </c>
      <c r="H5713" s="4">
        <f>IFERROR(__xludf.DUMMYFUNCTION("DATE(INDEX(SPLIT(G5713,""/""),,3),INDEX(SPLIT(G5713,""/""),,2),INDEX(SPLIT(G5713,""/""),,1))"),44740.0)</f>
        <v>44740</v>
      </c>
      <c r="I5713" s="1" t="s">
        <v>1097</v>
      </c>
      <c r="J5713" s="4">
        <f>IFERROR(__xludf.DUMMYFUNCTION("DATE(INDEX(SPLIT(I5713,""/""),,3),INDEX(SPLIT(I5713,""/""),,2),INDEX(SPLIT(I5713,""/""),,1))"),45107.0)</f>
        <v>45107</v>
      </c>
      <c r="L5713" s="1">
        <v>0.0</v>
      </c>
      <c r="M5713" s="1" t="s">
        <v>12039</v>
      </c>
      <c r="N5713" s="1"/>
      <c r="O5713" s="1" t="s">
        <v>30</v>
      </c>
      <c r="P5713" s="1" t="s">
        <v>31</v>
      </c>
      <c r="Q5713" s="1" t="s">
        <v>228</v>
      </c>
      <c r="R5713" s="1" t="s">
        <v>228</v>
      </c>
      <c r="S5713" s="1" t="s">
        <v>229</v>
      </c>
      <c r="T5713" s="1" t="s">
        <v>513</v>
      </c>
      <c r="U5713" s="1">
        <v>1.00612509E8</v>
      </c>
      <c r="X5713" s="1" t="s">
        <v>74</v>
      </c>
      <c r="Y5713" s="1" t="s">
        <v>13944</v>
      </c>
      <c r="Z5713" s="1" t="s">
        <v>37</v>
      </c>
    </row>
    <row r="5714" hidden="1">
      <c r="A5714" s="1" t="s">
        <v>15794</v>
      </c>
      <c r="B5714" s="1" t="s">
        <v>15795</v>
      </c>
      <c r="C5714" s="1" t="s">
        <v>15796</v>
      </c>
      <c r="D5714" s="1" t="s">
        <v>78</v>
      </c>
      <c r="E5714" s="1" t="s">
        <v>28</v>
      </c>
      <c r="F5714" s="2">
        <v>14500.0</v>
      </c>
      <c r="G5714" s="4">
        <v>44900.0</v>
      </c>
      <c r="H5714" s="4">
        <f>IFERROR(__xludf.DUMMYFUNCTION("DATE(INDEX(SPLIT(G5714,""/""),,3),INDEX(SPLIT(G5714,""/""),,2),INDEX(SPLIT(G5714,""/""),,1))"),44693.0)</f>
        <v>44693</v>
      </c>
      <c r="I5714" s="1" t="s">
        <v>42</v>
      </c>
      <c r="J5714" s="4">
        <f>IFERROR(__xludf.DUMMYFUNCTION("DATE(INDEX(SPLIT(I5714,""/""),,3),INDEX(SPLIT(I5714,""/""),,2),INDEX(SPLIT(I5714,""/""),,1))"),44926.0)</f>
        <v>44926</v>
      </c>
      <c r="L5714" s="1">
        <v>0.0</v>
      </c>
      <c r="M5714" s="1" t="s">
        <v>11254</v>
      </c>
      <c r="N5714" s="1"/>
      <c r="O5714" s="1" t="s">
        <v>30</v>
      </c>
      <c r="P5714" s="1" t="s">
        <v>31</v>
      </c>
      <c r="Q5714" s="1" t="s">
        <v>228</v>
      </c>
      <c r="R5714" s="1" t="s">
        <v>228</v>
      </c>
      <c r="S5714" s="1" t="s">
        <v>229</v>
      </c>
      <c r="T5714" s="1" t="s">
        <v>15797</v>
      </c>
      <c r="U5714" s="1">
        <v>1.00602248E8</v>
      </c>
      <c r="X5714" s="1" t="s">
        <v>254</v>
      </c>
      <c r="Y5714" s="1" t="s">
        <v>12640</v>
      </c>
      <c r="Z5714" s="1" t="s">
        <v>37</v>
      </c>
    </row>
    <row r="5715" hidden="1">
      <c r="A5715" s="1" t="s">
        <v>15798</v>
      </c>
      <c r="B5715" s="1" t="s">
        <v>15510</v>
      </c>
      <c r="C5715" s="1" t="s">
        <v>15799</v>
      </c>
      <c r="D5715" s="1" t="s">
        <v>78</v>
      </c>
      <c r="E5715" s="1" t="s">
        <v>28</v>
      </c>
      <c r="F5715" s="2">
        <v>14500.0</v>
      </c>
      <c r="G5715" s="4">
        <v>44319.0</v>
      </c>
      <c r="H5715" s="4">
        <f>IFERROR(__xludf.DUMMYFUNCTION("DATE(INDEX(SPLIT(G5715,""/""),,3),INDEX(SPLIT(G5715,""/""),,2),INDEX(SPLIT(G5715,""/""),,1))"),44260.0)</f>
        <v>44260</v>
      </c>
      <c r="I5715" s="1" t="s">
        <v>447</v>
      </c>
      <c r="J5715" s="4">
        <f>IFERROR(__xludf.DUMMYFUNCTION("DATE(INDEX(SPLIT(I5715,""/""),,3),INDEX(SPLIT(I5715,""/""),,2),INDEX(SPLIT(I5715,""/""),,1))"),44910.0)</f>
        <v>44910</v>
      </c>
      <c r="L5715" s="1">
        <v>0.0</v>
      </c>
      <c r="M5715" s="1" t="s">
        <v>11254</v>
      </c>
      <c r="N5715" s="1"/>
      <c r="O5715" s="1" t="s">
        <v>30</v>
      </c>
      <c r="P5715" s="1" t="s">
        <v>31</v>
      </c>
      <c r="Q5715" s="1" t="s">
        <v>228</v>
      </c>
      <c r="R5715" s="1" t="s">
        <v>228</v>
      </c>
      <c r="S5715" s="1" t="s">
        <v>229</v>
      </c>
      <c r="U5715" s="1">
        <v>1.00602248E8</v>
      </c>
      <c r="X5715" s="1" t="s">
        <v>239</v>
      </c>
      <c r="Y5715" s="1" t="s">
        <v>12637</v>
      </c>
      <c r="Z5715" s="1" t="s">
        <v>37</v>
      </c>
    </row>
    <row r="5716" hidden="1">
      <c r="A5716" s="1" t="s">
        <v>15800</v>
      </c>
      <c r="B5716" s="1" t="s">
        <v>5378</v>
      </c>
      <c r="C5716" s="1" t="s">
        <v>15801</v>
      </c>
      <c r="D5716" s="1" t="s">
        <v>78</v>
      </c>
      <c r="E5716" s="1" t="s">
        <v>28</v>
      </c>
      <c r="F5716" s="2">
        <v>14500.0</v>
      </c>
      <c r="G5716" s="4">
        <v>44478.0</v>
      </c>
      <c r="H5716" s="4">
        <f>IFERROR(__xludf.DUMMYFUNCTION("DATE(INDEX(SPLIT(G5716,""/""),,3),INDEX(SPLIT(G5716,""/""),,2),INDEX(SPLIT(G5716,""/""),,1))"),44449.0)</f>
        <v>44449</v>
      </c>
      <c r="I5716" s="1" t="s">
        <v>109</v>
      </c>
      <c r="J5716" s="4">
        <f>IFERROR(__xludf.DUMMYFUNCTION("DATE(INDEX(SPLIT(I5716,""/""),,3),INDEX(SPLIT(I5716,""/""),,2),INDEX(SPLIT(I5716,""/""),,1))"),44834.0)</f>
        <v>44834</v>
      </c>
      <c r="L5716" s="1">
        <v>0.0</v>
      </c>
      <c r="M5716" s="1" t="s">
        <v>11254</v>
      </c>
      <c r="N5716" s="1"/>
      <c r="O5716" s="1" t="s">
        <v>30</v>
      </c>
      <c r="P5716" s="1" t="s">
        <v>31</v>
      </c>
      <c r="Q5716" s="1" t="s">
        <v>228</v>
      </c>
      <c r="R5716" s="1" t="s">
        <v>228</v>
      </c>
      <c r="S5716" s="1" t="s">
        <v>229</v>
      </c>
      <c r="T5716" s="1" t="s">
        <v>513</v>
      </c>
      <c r="U5716" s="1">
        <v>1.00602248E8</v>
      </c>
      <c r="X5716" s="1" t="s">
        <v>239</v>
      </c>
      <c r="Y5716" s="1" t="s">
        <v>12637</v>
      </c>
      <c r="Z5716" s="1" t="s">
        <v>37</v>
      </c>
    </row>
    <row r="5717" hidden="1">
      <c r="A5717" s="1" t="s">
        <v>15802</v>
      </c>
      <c r="B5717" s="1" t="s">
        <v>5652</v>
      </c>
      <c r="C5717" s="1" t="s">
        <v>15803</v>
      </c>
      <c r="D5717" s="1" t="s">
        <v>78</v>
      </c>
      <c r="E5717" s="1" t="s">
        <v>28</v>
      </c>
      <c r="F5717" s="2">
        <v>14500.0</v>
      </c>
      <c r="G5717" s="4">
        <v>44532.0</v>
      </c>
      <c r="H5717" s="4">
        <f>IFERROR(__xludf.DUMMYFUNCTION("DATE(INDEX(SPLIT(G5717,""/""),,3),INDEX(SPLIT(G5717,""/""),,2),INDEX(SPLIT(G5717,""/""),,1))"),44239.0)</f>
        <v>44239</v>
      </c>
      <c r="I5717" s="1" t="s">
        <v>447</v>
      </c>
      <c r="J5717" s="4">
        <f>IFERROR(__xludf.DUMMYFUNCTION("DATE(INDEX(SPLIT(I5717,""/""),,3),INDEX(SPLIT(I5717,""/""),,2),INDEX(SPLIT(I5717,""/""),,1))"),44910.0)</f>
        <v>44910</v>
      </c>
      <c r="L5717" s="1">
        <v>0.0</v>
      </c>
      <c r="M5717" s="1" t="s">
        <v>11254</v>
      </c>
      <c r="N5717" s="1"/>
      <c r="O5717" s="1" t="s">
        <v>30</v>
      </c>
      <c r="P5717" s="1" t="s">
        <v>31</v>
      </c>
      <c r="Q5717" s="1" t="s">
        <v>228</v>
      </c>
      <c r="R5717" s="1" t="s">
        <v>228</v>
      </c>
      <c r="S5717" s="1" t="s">
        <v>229</v>
      </c>
      <c r="U5717" s="1">
        <v>1.00602248E8</v>
      </c>
      <c r="X5717" s="1" t="s">
        <v>361</v>
      </c>
      <c r="Y5717" s="1" t="s">
        <v>12637</v>
      </c>
      <c r="Z5717" s="1" t="s">
        <v>37</v>
      </c>
    </row>
    <row r="5718" hidden="1">
      <c r="A5718" s="1" t="s">
        <v>15804</v>
      </c>
      <c r="B5718" s="1" t="s">
        <v>3288</v>
      </c>
      <c r="C5718" s="1" t="s">
        <v>15805</v>
      </c>
      <c r="D5718" s="1" t="s">
        <v>78</v>
      </c>
      <c r="E5718" s="1" t="s">
        <v>28</v>
      </c>
      <c r="F5718" s="2">
        <v>14500.0</v>
      </c>
      <c r="G5718" s="1" t="s">
        <v>321</v>
      </c>
      <c r="H5718" s="4">
        <f>IFERROR(__xludf.DUMMYFUNCTION("DATE(INDEX(SPLIT(G5718,""/""),,3),INDEX(SPLIT(G5718,""/""),,2),INDEX(SPLIT(G5718,""/""),,1))"),44586.0)</f>
        <v>44586</v>
      </c>
      <c r="I5718" s="1" t="s">
        <v>42</v>
      </c>
      <c r="J5718" s="4">
        <f>IFERROR(__xludf.DUMMYFUNCTION("DATE(INDEX(SPLIT(I5718,""/""),,3),INDEX(SPLIT(I5718,""/""),,2),INDEX(SPLIT(I5718,""/""),,1))"),44926.0)</f>
        <v>44926</v>
      </c>
      <c r="L5718" s="1">
        <v>0.0</v>
      </c>
      <c r="M5718" s="1" t="s">
        <v>11254</v>
      </c>
      <c r="N5718" s="1"/>
      <c r="O5718" s="1" t="s">
        <v>30</v>
      </c>
      <c r="P5718" s="1" t="s">
        <v>31</v>
      </c>
      <c r="Q5718" s="1" t="s">
        <v>228</v>
      </c>
      <c r="R5718" s="1" t="s">
        <v>228</v>
      </c>
      <c r="S5718" s="1" t="s">
        <v>229</v>
      </c>
      <c r="T5718" s="1" t="s">
        <v>14924</v>
      </c>
      <c r="U5718" s="1">
        <v>1.00602248E8</v>
      </c>
      <c r="X5718" s="1" t="s">
        <v>98</v>
      </c>
      <c r="Y5718" s="1" t="s">
        <v>12640</v>
      </c>
      <c r="Z5718" s="1" t="s">
        <v>37</v>
      </c>
    </row>
    <row r="5719" hidden="1">
      <c r="A5719" s="1" t="s">
        <v>15806</v>
      </c>
      <c r="B5719" s="1" t="s">
        <v>15807</v>
      </c>
      <c r="C5719" s="1" t="s">
        <v>15808</v>
      </c>
      <c r="D5719" s="1" t="s">
        <v>27</v>
      </c>
      <c r="E5719" s="1" t="s">
        <v>28</v>
      </c>
      <c r="F5719" s="2">
        <v>14500.0</v>
      </c>
      <c r="G5719" s="1" t="s">
        <v>2077</v>
      </c>
      <c r="H5719" s="4">
        <f>IFERROR(__xludf.DUMMYFUNCTION("DATE(INDEX(SPLIT(G5719,""/""),,3),INDEX(SPLIT(G5719,""/""),,2),INDEX(SPLIT(G5719,""/""),,1))"),44700.0)</f>
        <v>44700</v>
      </c>
      <c r="I5719" s="1" t="s">
        <v>42</v>
      </c>
      <c r="J5719" s="4">
        <f>IFERROR(__xludf.DUMMYFUNCTION("DATE(INDEX(SPLIT(I5719,""/""),,3),INDEX(SPLIT(I5719,""/""),,2),INDEX(SPLIT(I5719,""/""),,1))"),44926.0)</f>
        <v>44926</v>
      </c>
      <c r="L5719" s="1">
        <v>0.0</v>
      </c>
      <c r="M5719" s="1" t="s">
        <v>11254</v>
      </c>
      <c r="N5719" s="1"/>
      <c r="O5719" s="1" t="s">
        <v>30</v>
      </c>
      <c r="P5719" s="1" t="s">
        <v>31</v>
      </c>
      <c r="Q5719" s="1" t="s">
        <v>228</v>
      </c>
      <c r="R5719" s="1" t="s">
        <v>228</v>
      </c>
      <c r="S5719" s="1" t="s">
        <v>229</v>
      </c>
      <c r="T5719" s="1" t="s">
        <v>513</v>
      </c>
      <c r="U5719" s="1">
        <v>1.00602248E8</v>
      </c>
      <c r="X5719" s="1" t="s">
        <v>63</v>
      </c>
      <c r="Y5719" s="1" t="s">
        <v>12640</v>
      </c>
      <c r="Z5719" s="1" t="s">
        <v>37</v>
      </c>
    </row>
    <row r="5720" hidden="1">
      <c r="A5720" s="1" t="s">
        <v>15809</v>
      </c>
      <c r="B5720" s="1" t="s">
        <v>15810</v>
      </c>
      <c r="C5720" s="1" t="s">
        <v>15811</v>
      </c>
      <c r="D5720" s="1" t="s">
        <v>27</v>
      </c>
      <c r="E5720" s="1" t="s">
        <v>28</v>
      </c>
      <c r="F5720" s="2">
        <v>14500.0</v>
      </c>
      <c r="G5720" s="1" t="s">
        <v>1118</v>
      </c>
      <c r="H5720" s="4">
        <f>IFERROR(__xludf.DUMMYFUNCTION("DATE(INDEX(SPLIT(G5720,""/""),,3),INDEX(SPLIT(G5720,""/""),,2),INDEX(SPLIT(G5720,""/""),,1))"),44334.0)</f>
        <v>44334</v>
      </c>
      <c r="I5720" s="1" t="s">
        <v>42</v>
      </c>
      <c r="J5720" s="4">
        <f>IFERROR(__xludf.DUMMYFUNCTION("DATE(INDEX(SPLIT(I5720,""/""),,3),INDEX(SPLIT(I5720,""/""),,2),INDEX(SPLIT(I5720,""/""),,1))"),44926.0)</f>
        <v>44926</v>
      </c>
      <c r="L5720" s="1">
        <v>0.0</v>
      </c>
      <c r="M5720" s="1" t="s">
        <v>12039</v>
      </c>
      <c r="N5720" s="1"/>
      <c r="O5720" s="1" t="s">
        <v>30</v>
      </c>
      <c r="P5720" s="1" t="s">
        <v>31</v>
      </c>
      <c r="Q5720" s="1" t="s">
        <v>228</v>
      </c>
      <c r="R5720" s="1" t="s">
        <v>228</v>
      </c>
      <c r="S5720" s="1" t="s">
        <v>229</v>
      </c>
      <c r="T5720" s="1" t="s">
        <v>513</v>
      </c>
      <c r="U5720" s="1">
        <v>1.00612509E8</v>
      </c>
      <c r="X5720" s="1" t="s">
        <v>239</v>
      </c>
      <c r="Y5720" s="1" t="s">
        <v>13638</v>
      </c>
      <c r="Z5720" s="1" t="s">
        <v>37</v>
      </c>
    </row>
    <row r="5721" hidden="1">
      <c r="A5721" s="1" t="s">
        <v>15812</v>
      </c>
      <c r="B5721" s="1" t="s">
        <v>450</v>
      </c>
      <c r="C5721" s="1" t="s">
        <v>15813</v>
      </c>
      <c r="D5721" s="1" t="s">
        <v>122</v>
      </c>
      <c r="E5721" s="1" t="s">
        <v>28</v>
      </c>
      <c r="F5721" s="2">
        <v>14500.0</v>
      </c>
      <c r="G5721" s="4">
        <v>44564.0</v>
      </c>
      <c r="H5721" s="4">
        <f>IFERROR(__xludf.DUMMYFUNCTION("DATE(INDEX(SPLIT(G5721,""/""),,3),INDEX(SPLIT(G5721,""/""),,2),INDEX(SPLIT(G5721,""/""),,1))"),44621.0)</f>
        <v>44621</v>
      </c>
      <c r="I5721" s="1" t="s">
        <v>109</v>
      </c>
      <c r="J5721" s="4">
        <f>IFERROR(__xludf.DUMMYFUNCTION("DATE(INDEX(SPLIT(I5721,""/""),,3),INDEX(SPLIT(I5721,""/""),,2),INDEX(SPLIT(I5721,""/""),,1))"),44834.0)</f>
        <v>44834</v>
      </c>
      <c r="L5721" s="1">
        <v>0.0</v>
      </c>
      <c r="M5721" s="1" t="s">
        <v>11254</v>
      </c>
      <c r="N5721" s="1"/>
      <c r="O5721" s="1" t="s">
        <v>30</v>
      </c>
      <c r="P5721" s="1" t="s">
        <v>31</v>
      </c>
      <c r="Q5721" s="1" t="s">
        <v>228</v>
      </c>
      <c r="R5721" s="1" t="s">
        <v>228</v>
      </c>
      <c r="S5721" s="1" t="s">
        <v>229</v>
      </c>
      <c r="T5721" s="1" t="s">
        <v>513</v>
      </c>
      <c r="U5721" s="1">
        <v>1.00602248E8</v>
      </c>
      <c r="X5721" s="1" t="s">
        <v>74</v>
      </c>
      <c r="Y5721" s="1" t="s">
        <v>12637</v>
      </c>
      <c r="Z5721" s="1" t="s">
        <v>37</v>
      </c>
    </row>
    <row r="5722" hidden="1">
      <c r="A5722" s="1" t="s">
        <v>15814</v>
      </c>
      <c r="B5722" s="1" t="s">
        <v>15815</v>
      </c>
      <c r="C5722" s="1" t="s">
        <v>15816</v>
      </c>
      <c r="D5722" s="1" t="s">
        <v>27</v>
      </c>
      <c r="E5722" s="1" t="s">
        <v>28</v>
      </c>
      <c r="F5722" s="2">
        <v>14500.0</v>
      </c>
      <c r="G5722" s="1" t="s">
        <v>1190</v>
      </c>
      <c r="H5722" s="4">
        <f>IFERROR(__xludf.DUMMYFUNCTION("DATE(INDEX(SPLIT(G5722,""/""),,3),INDEX(SPLIT(G5722,""/""),,2),INDEX(SPLIT(G5722,""/""),,1))"),44397.0)</f>
        <v>44397</v>
      </c>
      <c r="I5722" s="1" t="s">
        <v>42</v>
      </c>
      <c r="J5722" s="4">
        <f>IFERROR(__xludf.DUMMYFUNCTION("DATE(INDEX(SPLIT(I5722,""/""),,3),INDEX(SPLIT(I5722,""/""),,2),INDEX(SPLIT(I5722,""/""),,1))"),44926.0)</f>
        <v>44926</v>
      </c>
      <c r="L5722" s="1">
        <v>0.0</v>
      </c>
      <c r="M5722" s="1" t="s">
        <v>11254</v>
      </c>
      <c r="N5722" s="1"/>
      <c r="O5722" s="1" t="s">
        <v>30</v>
      </c>
      <c r="P5722" s="1" t="s">
        <v>31</v>
      </c>
      <c r="Q5722" s="1" t="s">
        <v>228</v>
      </c>
      <c r="R5722" s="1" t="s">
        <v>228</v>
      </c>
      <c r="S5722" s="1" t="s">
        <v>229</v>
      </c>
      <c r="U5722" s="1">
        <v>1.00602248E8</v>
      </c>
      <c r="X5722" s="1" t="s">
        <v>63</v>
      </c>
      <c r="Y5722" s="1" t="s">
        <v>13638</v>
      </c>
      <c r="Z5722" s="1" t="s">
        <v>37</v>
      </c>
    </row>
    <row r="5723" hidden="1">
      <c r="A5723" s="1" t="s">
        <v>15817</v>
      </c>
      <c r="B5723" s="1" t="s">
        <v>14188</v>
      </c>
      <c r="C5723" s="1" t="s">
        <v>15818</v>
      </c>
      <c r="D5723" s="1" t="s">
        <v>27</v>
      </c>
      <c r="E5723" s="1" t="s">
        <v>28</v>
      </c>
      <c r="F5723" s="2">
        <v>14500.0</v>
      </c>
      <c r="G5723" s="1" t="s">
        <v>1190</v>
      </c>
      <c r="H5723" s="4">
        <f>IFERROR(__xludf.DUMMYFUNCTION("DATE(INDEX(SPLIT(G5723,""/""),,3),INDEX(SPLIT(G5723,""/""),,2),INDEX(SPLIT(G5723,""/""),,1))"),44397.0)</f>
        <v>44397</v>
      </c>
      <c r="I5723" s="1" t="s">
        <v>42</v>
      </c>
      <c r="J5723" s="4">
        <f>IFERROR(__xludf.DUMMYFUNCTION("DATE(INDEX(SPLIT(I5723,""/""),,3),INDEX(SPLIT(I5723,""/""),,2),INDEX(SPLIT(I5723,""/""),,1))"),44926.0)</f>
        <v>44926</v>
      </c>
      <c r="L5723" s="1">
        <v>0.0</v>
      </c>
      <c r="M5723" s="1" t="s">
        <v>11254</v>
      </c>
      <c r="N5723" s="1"/>
      <c r="O5723" s="1" t="s">
        <v>30</v>
      </c>
      <c r="P5723" s="1" t="s">
        <v>31</v>
      </c>
      <c r="Q5723" s="1" t="s">
        <v>228</v>
      </c>
      <c r="R5723" s="1" t="s">
        <v>228</v>
      </c>
      <c r="S5723" s="1" t="s">
        <v>229</v>
      </c>
      <c r="U5723" s="1">
        <v>1.00602248E8</v>
      </c>
      <c r="X5723" s="1" t="s">
        <v>63</v>
      </c>
      <c r="Y5723" s="1" t="s">
        <v>13638</v>
      </c>
      <c r="Z5723" s="1" t="s">
        <v>37</v>
      </c>
    </row>
    <row r="5724" hidden="1">
      <c r="A5724" s="1" t="s">
        <v>15819</v>
      </c>
      <c r="B5724" s="1" t="s">
        <v>2159</v>
      </c>
      <c r="C5724" s="1" t="s">
        <v>15820</v>
      </c>
      <c r="D5724" s="1" t="s">
        <v>78</v>
      </c>
      <c r="E5724" s="1" t="s">
        <v>28</v>
      </c>
      <c r="F5724" s="2">
        <v>14500.0</v>
      </c>
      <c r="G5724" s="1" t="s">
        <v>5872</v>
      </c>
      <c r="H5724" s="4">
        <f>IFERROR(__xludf.DUMMYFUNCTION("DATE(INDEX(SPLIT(G5724,""/""),,3),INDEX(SPLIT(G5724,""/""),,2),INDEX(SPLIT(G5724,""/""),,1))"),44057.0)</f>
        <v>44057</v>
      </c>
      <c r="I5724" s="1" t="s">
        <v>1097</v>
      </c>
      <c r="J5724" s="4">
        <f>IFERROR(__xludf.DUMMYFUNCTION("DATE(INDEX(SPLIT(I5724,""/""),,3),INDEX(SPLIT(I5724,""/""),,2),INDEX(SPLIT(I5724,""/""),,1))"),45107.0)</f>
        <v>45107</v>
      </c>
      <c r="L5724" s="1">
        <v>0.0</v>
      </c>
      <c r="M5724" s="1" t="s">
        <v>11254</v>
      </c>
      <c r="N5724" s="1"/>
      <c r="O5724" s="1" t="s">
        <v>30</v>
      </c>
      <c r="P5724" s="1" t="s">
        <v>31</v>
      </c>
      <c r="Q5724" s="1" t="s">
        <v>228</v>
      </c>
      <c r="R5724" s="1" t="s">
        <v>228</v>
      </c>
      <c r="S5724" s="1" t="s">
        <v>229</v>
      </c>
      <c r="T5724" s="1" t="s">
        <v>513</v>
      </c>
      <c r="U5724" s="1">
        <v>1.00602248E8</v>
      </c>
      <c r="X5724" s="1" t="s">
        <v>74</v>
      </c>
      <c r="Y5724" s="1" t="s">
        <v>12637</v>
      </c>
      <c r="Z5724" s="1" t="s">
        <v>37</v>
      </c>
    </row>
    <row r="5725" hidden="1">
      <c r="A5725" s="1" t="s">
        <v>15821</v>
      </c>
      <c r="B5725" s="1" t="s">
        <v>3802</v>
      </c>
      <c r="C5725" s="1" t="s">
        <v>15822</v>
      </c>
      <c r="D5725" s="1" t="s">
        <v>27</v>
      </c>
      <c r="E5725" s="1" t="s">
        <v>28</v>
      </c>
      <c r="F5725" s="2">
        <v>14500.0</v>
      </c>
      <c r="G5725" s="1" t="s">
        <v>1136</v>
      </c>
      <c r="H5725" s="4">
        <f>IFERROR(__xludf.DUMMYFUNCTION("DATE(INDEX(SPLIT(G5725,""/""),,3),INDEX(SPLIT(G5725,""/""),,2),INDEX(SPLIT(G5725,""/""),,1))"),44608.0)</f>
        <v>44608</v>
      </c>
      <c r="I5725" s="1" t="s">
        <v>42</v>
      </c>
      <c r="J5725" s="4">
        <f>IFERROR(__xludf.DUMMYFUNCTION("DATE(INDEX(SPLIT(I5725,""/""),,3),INDEX(SPLIT(I5725,""/""),,2),INDEX(SPLIT(I5725,""/""),,1))"),44926.0)</f>
        <v>44926</v>
      </c>
      <c r="L5725" s="1">
        <v>0.0</v>
      </c>
      <c r="M5725" s="1" t="s">
        <v>11254</v>
      </c>
      <c r="N5725" s="1"/>
      <c r="O5725" s="1" t="s">
        <v>30</v>
      </c>
      <c r="P5725" s="1" t="s">
        <v>31</v>
      </c>
      <c r="Q5725" s="1" t="s">
        <v>228</v>
      </c>
      <c r="R5725" s="1" t="s">
        <v>228</v>
      </c>
      <c r="S5725" s="1" t="s">
        <v>229</v>
      </c>
      <c r="T5725" s="1" t="s">
        <v>513</v>
      </c>
      <c r="U5725" s="1">
        <v>1.00602248E8</v>
      </c>
      <c r="X5725" s="1" t="s">
        <v>239</v>
      </c>
      <c r="Y5725" s="1" t="s">
        <v>14932</v>
      </c>
      <c r="Z5725" s="1" t="s">
        <v>37</v>
      </c>
    </row>
    <row r="5726" hidden="1">
      <c r="A5726" s="1" t="s">
        <v>15823</v>
      </c>
      <c r="B5726" s="1" t="s">
        <v>15824</v>
      </c>
      <c r="C5726" s="1" t="s">
        <v>15825</v>
      </c>
      <c r="D5726" s="1" t="s">
        <v>78</v>
      </c>
      <c r="E5726" s="1" t="s">
        <v>28</v>
      </c>
      <c r="F5726" s="2">
        <v>14500.0</v>
      </c>
      <c r="G5726" s="4">
        <v>44746.0</v>
      </c>
      <c r="H5726" s="4">
        <f>IFERROR(__xludf.DUMMYFUNCTION("DATE(INDEX(SPLIT(G5726,""/""),,3),INDEX(SPLIT(G5726,""/""),,2),INDEX(SPLIT(G5726,""/""),,1))"),44658.0)</f>
        <v>44658</v>
      </c>
      <c r="I5726" s="1" t="s">
        <v>109</v>
      </c>
      <c r="J5726" s="4">
        <f>IFERROR(__xludf.DUMMYFUNCTION("DATE(INDEX(SPLIT(I5726,""/""),,3),INDEX(SPLIT(I5726,""/""),,2),INDEX(SPLIT(I5726,""/""),,1))"),44834.0)</f>
        <v>44834</v>
      </c>
      <c r="L5726" s="1">
        <v>0.0</v>
      </c>
      <c r="M5726" s="1" t="s">
        <v>11254</v>
      </c>
      <c r="N5726" s="1"/>
      <c r="O5726" s="1" t="s">
        <v>30</v>
      </c>
      <c r="P5726" s="1" t="s">
        <v>31</v>
      </c>
      <c r="Q5726" s="1" t="s">
        <v>228</v>
      </c>
      <c r="R5726" s="1" t="s">
        <v>228</v>
      </c>
      <c r="S5726" s="1" t="s">
        <v>229</v>
      </c>
      <c r="T5726" s="1" t="s">
        <v>14924</v>
      </c>
      <c r="U5726" s="1">
        <v>1.00602248E8</v>
      </c>
      <c r="X5726" s="1" t="s">
        <v>1182</v>
      </c>
      <c r="Y5726" s="1" t="s">
        <v>13638</v>
      </c>
      <c r="Z5726" s="1" t="s">
        <v>37</v>
      </c>
    </row>
    <row r="5727" hidden="1">
      <c r="A5727" s="1" t="s">
        <v>15826</v>
      </c>
      <c r="B5727" s="1" t="s">
        <v>15827</v>
      </c>
      <c r="C5727" s="1" t="s">
        <v>15828</v>
      </c>
      <c r="D5727" s="1" t="s">
        <v>27</v>
      </c>
      <c r="E5727" s="1" t="s">
        <v>28</v>
      </c>
      <c r="F5727" s="2">
        <v>14500.0</v>
      </c>
      <c r="G5727" s="4">
        <v>44746.0</v>
      </c>
      <c r="H5727" s="4">
        <f>IFERROR(__xludf.DUMMYFUNCTION("DATE(INDEX(SPLIT(G5727,""/""),,3),INDEX(SPLIT(G5727,""/""),,2),INDEX(SPLIT(G5727,""/""),,1))"),44658.0)</f>
        <v>44658</v>
      </c>
      <c r="I5727" s="1" t="s">
        <v>203</v>
      </c>
      <c r="J5727" s="4">
        <f>IFERROR(__xludf.DUMMYFUNCTION("DATE(INDEX(SPLIT(I5727,""/""),,3),INDEX(SPLIT(I5727,""/""),,2),INDEX(SPLIT(I5727,""/""),,1))"),44925.0)</f>
        <v>44925</v>
      </c>
      <c r="L5727" s="1">
        <v>0.0</v>
      </c>
      <c r="M5727" s="1" t="s">
        <v>11254</v>
      </c>
      <c r="N5727" s="1"/>
      <c r="O5727" s="1" t="s">
        <v>30</v>
      </c>
      <c r="P5727" s="1" t="s">
        <v>31</v>
      </c>
      <c r="Q5727" s="1" t="s">
        <v>228</v>
      </c>
      <c r="R5727" s="1" t="s">
        <v>228</v>
      </c>
      <c r="S5727" s="1" t="s">
        <v>229</v>
      </c>
      <c r="T5727" s="1" t="s">
        <v>15681</v>
      </c>
      <c r="U5727" s="1">
        <v>1.00602248E8</v>
      </c>
      <c r="X5727" s="1" t="s">
        <v>117</v>
      </c>
      <c r="Y5727" s="1" t="s">
        <v>12640</v>
      </c>
      <c r="Z5727" s="1" t="s">
        <v>37</v>
      </c>
    </row>
    <row r="5728" hidden="1">
      <c r="A5728" s="1" t="s">
        <v>15829</v>
      </c>
      <c r="B5728" s="1" t="s">
        <v>9847</v>
      </c>
      <c r="C5728" s="1" t="s">
        <v>15830</v>
      </c>
      <c r="D5728" s="1" t="s">
        <v>78</v>
      </c>
      <c r="E5728" s="1" t="s">
        <v>28</v>
      </c>
      <c r="F5728" s="2">
        <v>14500.0</v>
      </c>
      <c r="G5728" s="4">
        <v>44597.0</v>
      </c>
      <c r="H5728" s="4">
        <f>IFERROR(__xludf.DUMMYFUNCTION("DATE(INDEX(SPLIT(G5728,""/""),,3),INDEX(SPLIT(G5728,""/""),,2),INDEX(SPLIT(G5728,""/""),,1))"),44683.0)</f>
        <v>44683</v>
      </c>
      <c r="I5728" s="1" t="s">
        <v>109</v>
      </c>
      <c r="J5728" s="4">
        <f>IFERROR(__xludf.DUMMYFUNCTION("DATE(INDEX(SPLIT(I5728,""/""),,3),INDEX(SPLIT(I5728,""/""),,2),INDEX(SPLIT(I5728,""/""),,1))"),44834.0)</f>
        <v>44834</v>
      </c>
      <c r="L5728" s="1">
        <v>0.0</v>
      </c>
      <c r="M5728" s="1" t="s">
        <v>11254</v>
      </c>
      <c r="N5728" s="1"/>
      <c r="O5728" s="1" t="s">
        <v>30</v>
      </c>
      <c r="P5728" s="1" t="s">
        <v>31</v>
      </c>
      <c r="Q5728" s="1" t="s">
        <v>228</v>
      </c>
      <c r="R5728" s="1" t="s">
        <v>228</v>
      </c>
      <c r="S5728" s="1" t="s">
        <v>229</v>
      </c>
      <c r="T5728" s="1" t="s">
        <v>15681</v>
      </c>
      <c r="U5728" s="1">
        <v>1.00602248E8</v>
      </c>
      <c r="X5728" s="1" t="s">
        <v>63</v>
      </c>
      <c r="Y5728" s="1" t="s">
        <v>13638</v>
      </c>
      <c r="Z5728" s="1" t="s">
        <v>37</v>
      </c>
    </row>
    <row r="5729" hidden="1">
      <c r="A5729" s="1" t="s">
        <v>15831</v>
      </c>
      <c r="B5729" s="1" t="s">
        <v>15832</v>
      </c>
      <c r="C5729" s="1" t="s">
        <v>15833</v>
      </c>
      <c r="D5729" s="1" t="s">
        <v>78</v>
      </c>
      <c r="E5729" s="1" t="s">
        <v>28</v>
      </c>
      <c r="F5729" s="2">
        <v>14500.0</v>
      </c>
      <c r="G5729" s="4">
        <v>44597.0</v>
      </c>
      <c r="H5729" s="4">
        <f>IFERROR(__xludf.DUMMYFUNCTION("DATE(INDEX(SPLIT(G5729,""/""),,3),INDEX(SPLIT(G5729,""/""),,2),INDEX(SPLIT(G5729,""/""),,1))"),44683.0)</f>
        <v>44683</v>
      </c>
      <c r="I5729" s="1" t="s">
        <v>109</v>
      </c>
      <c r="J5729" s="4">
        <f>IFERROR(__xludf.DUMMYFUNCTION("DATE(INDEX(SPLIT(I5729,""/""),,3),INDEX(SPLIT(I5729,""/""),,2),INDEX(SPLIT(I5729,""/""),,1))"),44834.0)</f>
        <v>44834</v>
      </c>
      <c r="L5729" s="1">
        <v>0.0</v>
      </c>
      <c r="M5729" s="1" t="s">
        <v>11254</v>
      </c>
      <c r="N5729" s="1"/>
      <c r="O5729" s="1" t="s">
        <v>30</v>
      </c>
      <c r="P5729" s="1" t="s">
        <v>31</v>
      </c>
      <c r="Q5729" s="1" t="s">
        <v>228</v>
      </c>
      <c r="R5729" s="1" t="s">
        <v>228</v>
      </c>
      <c r="S5729" s="1" t="s">
        <v>229</v>
      </c>
      <c r="T5729" s="1" t="s">
        <v>15797</v>
      </c>
      <c r="U5729" s="1">
        <v>1.00602248E8</v>
      </c>
      <c r="X5729" s="1" t="s">
        <v>63</v>
      </c>
      <c r="Y5729" s="1" t="s">
        <v>13638</v>
      </c>
      <c r="Z5729" s="1" t="s">
        <v>37</v>
      </c>
    </row>
    <row r="5730" hidden="1">
      <c r="A5730" s="1" t="s">
        <v>15834</v>
      </c>
      <c r="B5730" s="1" t="s">
        <v>5011</v>
      </c>
      <c r="C5730" s="1" t="s">
        <v>15835</v>
      </c>
      <c r="D5730" s="1" t="s">
        <v>27</v>
      </c>
      <c r="E5730" s="1" t="s">
        <v>28</v>
      </c>
      <c r="F5730" s="2">
        <v>14500.0</v>
      </c>
      <c r="G5730" s="4">
        <v>44625.0</v>
      </c>
      <c r="H5730" s="4">
        <f>IFERROR(__xludf.DUMMYFUNCTION("DATE(INDEX(SPLIT(G5730,""/""),,3),INDEX(SPLIT(G5730,""/""),,2),INDEX(SPLIT(G5730,""/""),,1))"),44684.0)</f>
        <v>44684</v>
      </c>
      <c r="I5730" s="1" t="s">
        <v>42</v>
      </c>
      <c r="J5730" s="4">
        <f>IFERROR(__xludf.DUMMYFUNCTION("DATE(INDEX(SPLIT(I5730,""/""),,3),INDEX(SPLIT(I5730,""/""),,2),INDEX(SPLIT(I5730,""/""),,1))"),44926.0)</f>
        <v>44926</v>
      </c>
      <c r="L5730" s="1">
        <v>0.0</v>
      </c>
      <c r="M5730" s="1" t="s">
        <v>11254</v>
      </c>
      <c r="N5730" s="1"/>
      <c r="O5730" s="1" t="s">
        <v>30</v>
      </c>
      <c r="P5730" s="1" t="s">
        <v>31</v>
      </c>
      <c r="Q5730" s="1" t="s">
        <v>228</v>
      </c>
      <c r="R5730" s="1" t="s">
        <v>228</v>
      </c>
      <c r="S5730" s="1" t="s">
        <v>229</v>
      </c>
      <c r="T5730" s="1" t="s">
        <v>15797</v>
      </c>
      <c r="U5730" s="1">
        <v>1.00602248E8</v>
      </c>
      <c r="X5730" s="1" t="s">
        <v>63</v>
      </c>
      <c r="Y5730" s="1" t="s">
        <v>12640</v>
      </c>
      <c r="Z5730" s="1" t="s">
        <v>37</v>
      </c>
    </row>
    <row r="5731" hidden="1">
      <c r="A5731" s="1" t="s">
        <v>15836</v>
      </c>
      <c r="B5731" s="1" t="s">
        <v>5235</v>
      </c>
      <c r="C5731" s="1" t="s">
        <v>15837</v>
      </c>
      <c r="D5731" s="1" t="s">
        <v>78</v>
      </c>
      <c r="E5731" s="1" t="s">
        <v>28</v>
      </c>
      <c r="F5731" s="2">
        <v>14500.0</v>
      </c>
      <c r="G5731" s="4">
        <v>44597.0</v>
      </c>
      <c r="H5731" s="4">
        <f>IFERROR(__xludf.DUMMYFUNCTION("DATE(INDEX(SPLIT(G5731,""/""),,3),INDEX(SPLIT(G5731,""/""),,2),INDEX(SPLIT(G5731,""/""),,1))"),44683.0)</f>
        <v>44683</v>
      </c>
      <c r="I5731" s="1" t="s">
        <v>109</v>
      </c>
      <c r="J5731" s="4">
        <f>IFERROR(__xludf.DUMMYFUNCTION("DATE(INDEX(SPLIT(I5731,""/""),,3),INDEX(SPLIT(I5731,""/""),,2),INDEX(SPLIT(I5731,""/""),,1))"),44834.0)</f>
        <v>44834</v>
      </c>
      <c r="L5731" s="1">
        <v>0.0</v>
      </c>
      <c r="M5731" s="1" t="s">
        <v>11254</v>
      </c>
      <c r="N5731" s="1"/>
      <c r="O5731" s="1" t="s">
        <v>30</v>
      </c>
      <c r="P5731" s="1" t="s">
        <v>31</v>
      </c>
      <c r="Q5731" s="1" t="s">
        <v>228</v>
      </c>
      <c r="R5731" s="1" t="s">
        <v>228</v>
      </c>
      <c r="S5731" s="1" t="s">
        <v>229</v>
      </c>
      <c r="T5731" s="1" t="s">
        <v>15797</v>
      </c>
      <c r="U5731" s="1">
        <v>1.00602248E8</v>
      </c>
      <c r="X5731" s="1" t="s">
        <v>88</v>
      </c>
      <c r="Y5731" s="1" t="s">
        <v>13638</v>
      </c>
      <c r="Z5731" s="1" t="s">
        <v>37</v>
      </c>
    </row>
    <row r="5732" hidden="1">
      <c r="A5732" s="1" t="s">
        <v>15838</v>
      </c>
      <c r="B5732" s="1" t="s">
        <v>10349</v>
      </c>
      <c r="C5732" s="1" t="s">
        <v>15839</v>
      </c>
      <c r="D5732" s="1" t="s">
        <v>27</v>
      </c>
      <c r="E5732" s="1" t="s">
        <v>28</v>
      </c>
      <c r="F5732" s="2">
        <v>14500.0</v>
      </c>
      <c r="G5732" s="4">
        <v>44448.0</v>
      </c>
      <c r="H5732" s="4">
        <f>IFERROR(__xludf.DUMMYFUNCTION("DATE(INDEX(SPLIT(G5732,""/""),,3),INDEX(SPLIT(G5732,""/""),,2),INDEX(SPLIT(G5732,""/""),,1))"),44448.0)</f>
        <v>44448</v>
      </c>
      <c r="I5732" s="1" t="s">
        <v>42</v>
      </c>
      <c r="J5732" s="4">
        <f>IFERROR(__xludf.DUMMYFUNCTION("DATE(INDEX(SPLIT(I5732,""/""),,3),INDEX(SPLIT(I5732,""/""),,2),INDEX(SPLIT(I5732,""/""),,1))"),44926.0)</f>
        <v>44926</v>
      </c>
      <c r="L5732" s="1">
        <v>0.0</v>
      </c>
      <c r="M5732" s="1" t="s">
        <v>11254</v>
      </c>
      <c r="N5732" s="1"/>
      <c r="O5732" s="1" t="s">
        <v>30</v>
      </c>
      <c r="P5732" s="1" t="s">
        <v>31</v>
      </c>
      <c r="Q5732" s="1" t="s">
        <v>228</v>
      </c>
      <c r="R5732" s="1" t="s">
        <v>228</v>
      </c>
      <c r="S5732" s="1" t="s">
        <v>229</v>
      </c>
      <c r="T5732" s="1" t="s">
        <v>513</v>
      </c>
      <c r="U5732" s="1">
        <v>1.00602248E8</v>
      </c>
      <c r="X5732" s="1" t="s">
        <v>74</v>
      </c>
      <c r="Y5732" s="1" t="s">
        <v>13638</v>
      </c>
      <c r="Z5732" s="1" t="s">
        <v>37</v>
      </c>
    </row>
    <row r="5733" hidden="1">
      <c r="A5733" s="1" t="s">
        <v>15840</v>
      </c>
      <c r="B5733" s="1" t="s">
        <v>15841</v>
      </c>
      <c r="C5733" s="1" t="s">
        <v>15842</v>
      </c>
      <c r="D5733" s="1" t="s">
        <v>27</v>
      </c>
      <c r="E5733" s="1" t="s">
        <v>28</v>
      </c>
      <c r="F5733" s="2">
        <v>14500.0</v>
      </c>
      <c r="G5733" s="1" t="s">
        <v>729</v>
      </c>
      <c r="H5733" s="4">
        <f>IFERROR(__xludf.DUMMYFUNCTION("DATE(INDEX(SPLIT(G5733,""/""),,3),INDEX(SPLIT(G5733,""/""),,2),INDEX(SPLIT(G5733,""/""),,1))"),44098.0)</f>
        <v>44098</v>
      </c>
      <c r="I5733" s="1" t="s">
        <v>42</v>
      </c>
      <c r="J5733" s="4">
        <f>IFERROR(__xludf.DUMMYFUNCTION("DATE(INDEX(SPLIT(I5733,""/""),,3),INDEX(SPLIT(I5733,""/""),,2),INDEX(SPLIT(I5733,""/""),,1))"),44926.0)</f>
        <v>44926</v>
      </c>
      <c r="L5733" s="1">
        <v>0.0</v>
      </c>
      <c r="M5733" s="1" t="s">
        <v>11254</v>
      </c>
      <c r="N5733" s="1"/>
      <c r="O5733" s="1" t="s">
        <v>30</v>
      </c>
      <c r="P5733" s="1" t="s">
        <v>31</v>
      </c>
      <c r="Q5733" s="1" t="s">
        <v>228</v>
      </c>
      <c r="R5733" s="1" t="s">
        <v>228</v>
      </c>
      <c r="S5733" s="1" t="s">
        <v>229</v>
      </c>
      <c r="T5733" s="1" t="s">
        <v>513</v>
      </c>
      <c r="U5733" s="1">
        <v>1.00602248E8</v>
      </c>
      <c r="X5733" s="1" t="s">
        <v>63</v>
      </c>
      <c r="Y5733" s="1" t="s">
        <v>13638</v>
      </c>
      <c r="Z5733" s="1" t="s">
        <v>37</v>
      </c>
    </row>
    <row r="5734" hidden="1">
      <c r="A5734" s="1" t="s">
        <v>15843</v>
      </c>
      <c r="B5734" s="1" t="s">
        <v>5781</v>
      </c>
      <c r="C5734" s="1" t="s">
        <v>15844</v>
      </c>
      <c r="D5734" s="1" t="s">
        <v>27</v>
      </c>
      <c r="E5734" s="1" t="s">
        <v>28</v>
      </c>
      <c r="F5734" s="2">
        <v>14500.0</v>
      </c>
      <c r="G5734" s="1" t="s">
        <v>359</v>
      </c>
      <c r="H5734" s="4">
        <f>IFERROR(__xludf.DUMMYFUNCTION("DATE(INDEX(SPLIT(G5734,""/""),,3),INDEX(SPLIT(G5734,""/""),,2),INDEX(SPLIT(G5734,""/""),,1))"),44740.0)</f>
        <v>44740</v>
      </c>
      <c r="I5734" s="1" t="s">
        <v>1097</v>
      </c>
      <c r="J5734" s="4">
        <f>IFERROR(__xludf.DUMMYFUNCTION("DATE(INDEX(SPLIT(I5734,""/""),,3),INDEX(SPLIT(I5734,""/""),,2),INDEX(SPLIT(I5734,""/""),,1))"),45107.0)</f>
        <v>45107</v>
      </c>
      <c r="L5734" s="1">
        <v>0.0</v>
      </c>
      <c r="M5734" s="1" t="s">
        <v>12039</v>
      </c>
      <c r="N5734" s="1"/>
      <c r="O5734" s="1" t="s">
        <v>30</v>
      </c>
      <c r="P5734" s="1" t="s">
        <v>31</v>
      </c>
      <c r="Q5734" s="1" t="s">
        <v>228</v>
      </c>
      <c r="R5734" s="1" t="s">
        <v>228</v>
      </c>
      <c r="S5734" s="1" t="s">
        <v>229</v>
      </c>
      <c r="T5734" s="1" t="s">
        <v>513</v>
      </c>
      <c r="U5734" s="1">
        <v>1.00612509E8</v>
      </c>
      <c r="X5734" s="1" t="s">
        <v>74</v>
      </c>
      <c r="Y5734" s="1" t="s">
        <v>13944</v>
      </c>
      <c r="Z5734" s="1" t="s">
        <v>37</v>
      </c>
    </row>
    <row r="5735" hidden="1">
      <c r="A5735" s="1" t="s">
        <v>15845</v>
      </c>
      <c r="B5735" s="1" t="s">
        <v>10996</v>
      </c>
      <c r="C5735" s="1" t="s">
        <v>15846</v>
      </c>
      <c r="D5735" s="1" t="s">
        <v>78</v>
      </c>
      <c r="E5735" s="1" t="s">
        <v>28</v>
      </c>
      <c r="F5735" s="2">
        <v>14500.0</v>
      </c>
      <c r="G5735" s="1" t="s">
        <v>15847</v>
      </c>
      <c r="H5735" s="4">
        <f>IFERROR(__xludf.DUMMYFUNCTION("DATE(INDEX(SPLIT(G5735,""/""),,3),INDEX(SPLIT(G5735,""/""),,2),INDEX(SPLIT(G5735,""/""),,1))"),43879.0)</f>
        <v>43879</v>
      </c>
      <c r="I5735" s="1" t="s">
        <v>109</v>
      </c>
      <c r="J5735" s="4">
        <f>IFERROR(__xludf.DUMMYFUNCTION("DATE(INDEX(SPLIT(I5735,""/""),,3),INDEX(SPLIT(I5735,""/""),,2),INDEX(SPLIT(I5735,""/""),,1))"),44834.0)</f>
        <v>44834</v>
      </c>
      <c r="L5735" s="1">
        <v>0.0</v>
      </c>
      <c r="M5735" s="1" t="s">
        <v>11254</v>
      </c>
      <c r="N5735" s="1"/>
      <c r="O5735" s="1" t="s">
        <v>30</v>
      </c>
      <c r="P5735" s="1" t="s">
        <v>31</v>
      </c>
      <c r="Q5735" s="1" t="s">
        <v>228</v>
      </c>
      <c r="R5735" s="1" t="s">
        <v>228</v>
      </c>
      <c r="S5735" s="1" t="s">
        <v>229</v>
      </c>
      <c r="T5735" s="1" t="s">
        <v>513</v>
      </c>
      <c r="U5735" s="1">
        <v>1.00602248E8</v>
      </c>
      <c r="X5735" s="1" t="s">
        <v>312</v>
      </c>
      <c r="Y5735" s="1" t="s">
        <v>12637</v>
      </c>
      <c r="Z5735" s="1" t="s">
        <v>37</v>
      </c>
    </row>
    <row r="5736" hidden="1">
      <c r="A5736" s="1" t="s">
        <v>15848</v>
      </c>
      <c r="B5736" s="1" t="s">
        <v>14418</v>
      </c>
      <c r="C5736" s="1" t="s">
        <v>15849</v>
      </c>
      <c r="D5736" s="1" t="s">
        <v>78</v>
      </c>
      <c r="E5736" s="1" t="s">
        <v>28</v>
      </c>
      <c r="F5736" s="2">
        <v>14500.0</v>
      </c>
      <c r="G5736" s="4">
        <v>44597.0</v>
      </c>
      <c r="H5736" s="4">
        <f>IFERROR(__xludf.DUMMYFUNCTION("DATE(INDEX(SPLIT(G5736,""/""),,3),INDEX(SPLIT(G5736,""/""),,2),INDEX(SPLIT(G5736,""/""),,1))"),44683.0)</f>
        <v>44683</v>
      </c>
      <c r="I5736" s="1" t="s">
        <v>42</v>
      </c>
      <c r="J5736" s="4">
        <f>IFERROR(__xludf.DUMMYFUNCTION("DATE(INDEX(SPLIT(I5736,""/""),,3),INDEX(SPLIT(I5736,""/""),,2),INDEX(SPLIT(I5736,""/""),,1))"),44926.0)</f>
        <v>44926</v>
      </c>
      <c r="L5736" s="1">
        <v>0.0</v>
      </c>
      <c r="M5736" s="1" t="s">
        <v>11254</v>
      </c>
      <c r="N5736" s="1"/>
      <c r="O5736" s="1" t="s">
        <v>30</v>
      </c>
      <c r="P5736" s="1" t="s">
        <v>31</v>
      </c>
      <c r="Q5736" s="1" t="s">
        <v>228</v>
      </c>
      <c r="R5736" s="1" t="s">
        <v>228</v>
      </c>
      <c r="S5736" s="1" t="s">
        <v>229</v>
      </c>
      <c r="T5736" s="1" t="s">
        <v>15694</v>
      </c>
      <c r="U5736" s="1">
        <v>1.00602248E8</v>
      </c>
      <c r="X5736" s="1" t="s">
        <v>74</v>
      </c>
      <c r="Y5736" s="1" t="s">
        <v>12640</v>
      </c>
      <c r="Z5736" s="1" t="s">
        <v>37</v>
      </c>
    </row>
    <row r="5737" hidden="1">
      <c r="A5737" s="1" t="s">
        <v>15850</v>
      </c>
      <c r="B5737" s="1" t="s">
        <v>1535</v>
      </c>
      <c r="C5737" s="1" t="s">
        <v>15851</v>
      </c>
      <c r="D5737" s="1" t="s">
        <v>27</v>
      </c>
      <c r="E5737" s="1" t="s">
        <v>28</v>
      </c>
      <c r="F5737" s="2">
        <v>14500.0</v>
      </c>
      <c r="G5737" s="1" t="s">
        <v>41</v>
      </c>
      <c r="H5737" s="4">
        <f>IFERROR(__xludf.DUMMYFUNCTION("DATE(INDEX(SPLIT(G5737,""/""),,3),INDEX(SPLIT(G5737,""/""),,2),INDEX(SPLIT(G5737,""/""),,1))"),44607.0)</f>
        <v>44607</v>
      </c>
      <c r="I5737" s="1" t="s">
        <v>203</v>
      </c>
      <c r="J5737" s="4">
        <f>IFERROR(__xludf.DUMMYFUNCTION("DATE(INDEX(SPLIT(I5737,""/""),,3),INDEX(SPLIT(I5737,""/""),,2),INDEX(SPLIT(I5737,""/""),,1))"),44925.0)</f>
        <v>44925</v>
      </c>
      <c r="L5737" s="1">
        <v>0.0</v>
      </c>
      <c r="M5737" s="1" t="s">
        <v>11254</v>
      </c>
      <c r="N5737" s="1"/>
      <c r="O5737" s="1" t="s">
        <v>30</v>
      </c>
      <c r="P5737" s="1" t="s">
        <v>31</v>
      </c>
      <c r="Q5737" s="1" t="s">
        <v>228</v>
      </c>
      <c r="R5737" s="1" t="s">
        <v>228</v>
      </c>
      <c r="S5737" s="1" t="s">
        <v>229</v>
      </c>
      <c r="T5737" s="1" t="s">
        <v>513</v>
      </c>
      <c r="U5737" s="1">
        <v>1.00602248E8</v>
      </c>
      <c r="X5737" s="1" t="s">
        <v>490</v>
      </c>
      <c r="Y5737" s="1" t="s">
        <v>13638</v>
      </c>
      <c r="Z5737" s="1" t="s">
        <v>37</v>
      </c>
    </row>
    <row r="5738" hidden="1">
      <c r="A5738" s="1" t="s">
        <v>15852</v>
      </c>
      <c r="B5738" s="1" t="s">
        <v>15853</v>
      </c>
      <c r="C5738" s="1" t="s">
        <v>15854</v>
      </c>
      <c r="D5738" s="1" t="s">
        <v>78</v>
      </c>
      <c r="E5738" s="1" t="s">
        <v>28</v>
      </c>
      <c r="F5738" s="2">
        <v>14500.0</v>
      </c>
      <c r="G5738" s="4">
        <v>44564.0</v>
      </c>
      <c r="H5738" s="4">
        <f>IFERROR(__xludf.DUMMYFUNCTION("DATE(INDEX(SPLIT(G5738,""/""),,3),INDEX(SPLIT(G5738,""/""),,2),INDEX(SPLIT(G5738,""/""),,1))"),44621.0)</f>
        <v>44621</v>
      </c>
      <c r="I5738" s="1" t="s">
        <v>109</v>
      </c>
      <c r="J5738" s="4">
        <f>IFERROR(__xludf.DUMMYFUNCTION("DATE(INDEX(SPLIT(I5738,""/""),,3),INDEX(SPLIT(I5738,""/""),,2),INDEX(SPLIT(I5738,""/""),,1))"),44834.0)</f>
        <v>44834</v>
      </c>
      <c r="L5738" s="1">
        <v>0.0</v>
      </c>
      <c r="M5738" s="1" t="s">
        <v>11254</v>
      </c>
      <c r="N5738" s="1"/>
      <c r="O5738" s="1" t="s">
        <v>30</v>
      </c>
      <c r="P5738" s="1" t="s">
        <v>31</v>
      </c>
      <c r="Q5738" s="1" t="s">
        <v>228</v>
      </c>
      <c r="R5738" s="1" t="s">
        <v>228</v>
      </c>
      <c r="S5738" s="1" t="s">
        <v>229</v>
      </c>
      <c r="T5738" s="1" t="s">
        <v>513</v>
      </c>
      <c r="U5738" s="1">
        <v>1.00602248E8</v>
      </c>
      <c r="X5738" s="1" t="s">
        <v>63</v>
      </c>
      <c r="Y5738" s="1" t="s">
        <v>13638</v>
      </c>
      <c r="Z5738" s="1" t="s">
        <v>37</v>
      </c>
    </row>
    <row r="5739" hidden="1">
      <c r="A5739" s="1" t="s">
        <v>15855</v>
      </c>
      <c r="B5739" s="1" t="s">
        <v>15856</v>
      </c>
      <c r="C5739" s="1" t="s">
        <v>15857</v>
      </c>
      <c r="D5739" s="1" t="s">
        <v>78</v>
      </c>
      <c r="E5739" s="1" t="s">
        <v>28</v>
      </c>
      <c r="F5739" s="2">
        <v>14500.0</v>
      </c>
      <c r="G5739" s="1" t="s">
        <v>2110</v>
      </c>
      <c r="H5739" s="4">
        <f>IFERROR(__xludf.DUMMYFUNCTION("DATE(INDEX(SPLIT(G5739,""/""),,3),INDEX(SPLIT(G5739,""/""),,2),INDEX(SPLIT(G5739,""/""),,1))"),44650.0)</f>
        <v>44650</v>
      </c>
      <c r="I5739" s="1" t="s">
        <v>109</v>
      </c>
      <c r="J5739" s="4">
        <f>IFERROR(__xludf.DUMMYFUNCTION("DATE(INDEX(SPLIT(I5739,""/""),,3),INDEX(SPLIT(I5739,""/""),,2),INDEX(SPLIT(I5739,""/""),,1))"),44834.0)</f>
        <v>44834</v>
      </c>
      <c r="L5739" s="1">
        <v>0.0</v>
      </c>
      <c r="M5739" s="1" t="s">
        <v>11254</v>
      </c>
      <c r="N5739" s="1"/>
      <c r="O5739" s="1" t="s">
        <v>30</v>
      </c>
      <c r="P5739" s="1" t="s">
        <v>31</v>
      </c>
      <c r="Q5739" s="1" t="s">
        <v>228</v>
      </c>
      <c r="R5739" s="1" t="s">
        <v>228</v>
      </c>
      <c r="S5739" s="1" t="s">
        <v>229</v>
      </c>
      <c r="T5739" s="1" t="s">
        <v>513</v>
      </c>
      <c r="U5739" s="1">
        <v>1.00602248E8</v>
      </c>
      <c r="X5739" s="1" t="s">
        <v>98</v>
      </c>
      <c r="Y5739" s="1" t="s">
        <v>13638</v>
      </c>
      <c r="Z5739" s="1" t="s">
        <v>37</v>
      </c>
    </row>
    <row r="5740" hidden="1">
      <c r="A5740" s="1" t="s">
        <v>15858</v>
      </c>
      <c r="B5740" s="1" t="s">
        <v>15859</v>
      </c>
      <c r="C5740" s="1" t="s">
        <v>15860</v>
      </c>
      <c r="D5740" s="1" t="s">
        <v>78</v>
      </c>
      <c r="E5740" s="1" t="s">
        <v>28</v>
      </c>
      <c r="F5740" s="2">
        <v>14500.0</v>
      </c>
      <c r="G5740" s="1" t="s">
        <v>2309</v>
      </c>
      <c r="H5740" s="4">
        <f>IFERROR(__xludf.DUMMYFUNCTION("DATE(INDEX(SPLIT(G5740,""/""),,3),INDEX(SPLIT(G5740,""/""),,2),INDEX(SPLIT(G5740,""/""),,1))"),44672.0)</f>
        <v>44672</v>
      </c>
      <c r="I5740" s="1" t="s">
        <v>42</v>
      </c>
      <c r="J5740" s="4">
        <f>IFERROR(__xludf.DUMMYFUNCTION("DATE(INDEX(SPLIT(I5740,""/""),,3),INDEX(SPLIT(I5740,""/""),,2),INDEX(SPLIT(I5740,""/""),,1))"),44926.0)</f>
        <v>44926</v>
      </c>
      <c r="L5740" s="1">
        <v>0.0</v>
      </c>
      <c r="M5740" s="1" t="s">
        <v>11254</v>
      </c>
      <c r="N5740" s="1"/>
      <c r="O5740" s="1" t="s">
        <v>30</v>
      </c>
      <c r="P5740" s="1" t="s">
        <v>31</v>
      </c>
      <c r="Q5740" s="1" t="s">
        <v>228</v>
      </c>
      <c r="R5740" s="1" t="s">
        <v>228</v>
      </c>
      <c r="S5740" s="1" t="s">
        <v>229</v>
      </c>
      <c r="T5740" s="1" t="s">
        <v>513</v>
      </c>
      <c r="U5740" s="1">
        <v>1.00602248E8</v>
      </c>
      <c r="X5740" s="1" t="s">
        <v>63</v>
      </c>
      <c r="Y5740" s="1" t="s">
        <v>13638</v>
      </c>
      <c r="Z5740" s="1" t="s">
        <v>37</v>
      </c>
    </row>
    <row r="5741" hidden="1">
      <c r="A5741" s="1" t="s">
        <v>15861</v>
      </c>
      <c r="B5741" s="1" t="s">
        <v>2131</v>
      </c>
      <c r="C5741" s="1" t="s">
        <v>15862</v>
      </c>
      <c r="D5741" s="1" t="s">
        <v>78</v>
      </c>
      <c r="E5741" s="1" t="s">
        <v>28</v>
      </c>
      <c r="F5741" s="2">
        <v>14500.0</v>
      </c>
      <c r="G5741" s="4">
        <v>44899.0</v>
      </c>
      <c r="H5741" s="4">
        <f>IFERROR(__xludf.DUMMYFUNCTION("DATE(INDEX(SPLIT(G5741,""/""),,3),INDEX(SPLIT(G5741,""/""),,2),INDEX(SPLIT(G5741,""/""),,1))"),44663.0)</f>
        <v>44663</v>
      </c>
      <c r="I5741" s="1" t="s">
        <v>109</v>
      </c>
      <c r="J5741" s="4">
        <f>IFERROR(__xludf.DUMMYFUNCTION("DATE(INDEX(SPLIT(I5741,""/""),,3),INDEX(SPLIT(I5741,""/""),,2),INDEX(SPLIT(I5741,""/""),,1))"),44834.0)</f>
        <v>44834</v>
      </c>
      <c r="L5741" s="1">
        <v>0.0</v>
      </c>
      <c r="M5741" s="1" t="s">
        <v>11254</v>
      </c>
      <c r="N5741" s="1"/>
      <c r="O5741" s="1" t="s">
        <v>30</v>
      </c>
      <c r="P5741" s="1" t="s">
        <v>31</v>
      </c>
      <c r="Q5741" s="1" t="s">
        <v>228</v>
      </c>
      <c r="R5741" s="1" t="s">
        <v>228</v>
      </c>
      <c r="S5741" s="1" t="s">
        <v>229</v>
      </c>
      <c r="T5741" s="1" t="s">
        <v>513</v>
      </c>
      <c r="U5741" s="1">
        <v>1.00602248E8</v>
      </c>
      <c r="X5741" s="1" t="s">
        <v>239</v>
      </c>
      <c r="Y5741" s="1" t="s">
        <v>3994</v>
      </c>
      <c r="Z5741" s="1" t="s">
        <v>37</v>
      </c>
    </row>
    <row r="5742" hidden="1">
      <c r="A5742" s="1" t="s">
        <v>15863</v>
      </c>
      <c r="B5742" s="1" t="s">
        <v>15864</v>
      </c>
      <c r="C5742" s="1" t="s">
        <v>15865</v>
      </c>
      <c r="D5742" s="1" t="s">
        <v>27</v>
      </c>
      <c r="E5742" s="1" t="s">
        <v>28</v>
      </c>
      <c r="F5742" s="2">
        <v>14500.0</v>
      </c>
      <c r="G5742" s="1" t="s">
        <v>1447</v>
      </c>
      <c r="H5742" s="4">
        <f>IFERROR(__xludf.DUMMYFUNCTION("DATE(INDEX(SPLIT(G5742,""/""),,3),INDEX(SPLIT(G5742,""/""),,2),INDEX(SPLIT(G5742,""/""),,1))"),44424.0)</f>
        <v>44424</v>
      </c>
      <c r="I5742" s="1" t="s">
        <v>109</v>
      </c>
      <c r="J5742" s="4">
        <f>IFERROR(__xludf.DUMMYFUNCTION("DATE(INDEX(SPLIT(I5742,""/""),,3),INDEX(SPLIT(I5742,""/""),,2),INDEX(SPLIT(I5742,""/""),,1))"),44834.0)</f>
        <v>44834</v>
      </c>
      <c r="L5742" s="1">
        <v>0.0</v>
      </c>
      <c r="M5742" s="1" t="s">
        <v>11254</v>
      </c>
      <c r="N5742" s="1"/>
      <c r="O5742" s="1" t="s">
        <v>30</v>
      </c>
      <c r="P5742" s="1" t="s">
        <v>31</v>
      </c>
      <c r="Q5742" s="1" t="s">
        <v>228</v>
      </c>
      <c r="R5742" s="1" t="s">
        <v>228</v>
      </c>
      <c r="S5742" s="1" t="s">
        <v>229</v>
      </c>
      <c r="T5742" s="1" t="s">
        <v>513</v>
      </c>
      <c r="U5742" s="1">
        <v>1.00602248E8</v>
      </c>
      <c r="Y5742" s="1" t="s">
        <v>12637</v>
      </c>
      <c r="Z5742" s="1" t="s">
        <v>37</v>
      </c>
    </row>
    <row r="5743" hidden="1">
      <c r="A5743" s="1" t="s">
        <v>15866</v>
      </c>
      <c r="B5743" s="1" t="s">
        <v>15867</v>
      </c>
      <c r="C5743" s="1" t="s">
        <v>15868</v>
      </c>
      <c r="D5743" s="1" t="s">
        <v>27</v>
      </c>
      <c r="E5743" s="1" t="s">
        <v>28</v>
      </c>
      <c r="F5743" s="2">
        <v>14500.0</v>
      </c>
      <c r="G5743" s="4">
        <v>44598.0</v>
      </c>
      <c r="H5743" s="4">
        <f>IFERROR(__xludf.DUMMYFUNCTION("DATE(INDEX(SPLIT(G5743,""/""),,3),INDEX(SPLIT(G5743,""/""),,2),INDEX(SPLIT(G5743,""/""),,1))"),44714.0)</f>
        <v>44714</v>
      </c>
      <c r="I5743" s="1" t="s">
        <v>203</v>
      </c>
      <c r="J5743" s="4">
        <f>IFERROR(__xludf.DUMMYFUNCTION("DATE(INDEX(SPLIT(I5743,""/""),,3),INDEX(SPLIT(I5743,""/""),,2),INDEX(SPLIT(I5743,""/""),,1))"),44925.0)</f>
        <v>44925</v>
      </c>
      <c r="L5743" s="1">
        <v>0.0</v>
      </c>
      <c r="M5743" s="1" t="s">
        <v>11254</v>
      </c>
      <c r="N5743" s="1"/>
      <c r="O5743" s="1" t="s">
        <v>30</v>
      </c>
      <c r="P5743" s="1" t="s">
        <v>31</v>
      </c>
      <c r="Q5743" s="1" t="s">
        <v>228</v>
      </c>
      <c r="R5743" s="1" t="s">
        <v>228</v>
      </c>
      <c r="S5743" s="1" t="s">
        <v>229</v>
      </c>
      <c r="T5743" s="1" t="s">
        <v>513</v>
      </c>
      <c r="U5743" s="1">
        <v>1.00602248E8</v>
      </c>
      <c r="X5743" s="1" t="s">
        <v>490</v>
      </c>
      <c r="Y5743" s="1" t="s">
        <v>12637</v>
      </c>
      <c r="Z5743" s="1" t="s">
        <v>37</v>
      </c>
    </row>
    <row r="5744" hidden="1">
      <c r="A5744" s="1" t="s">
        <v>15869</v>
      </c>
      <c r="B5744" s="1" t="s">
        <v>14796</v>
      </c>
      <c r="C5744" s="1" t="s">
        <v>15870</v>
      </c>
      <c r="D5744" s="1" t="s">
        <v>78</v>
      </c>
      <c r="E5744" s="1" t="s">
        <v>28</v>
      </c>
      <c r="F5744" s="2">
        <v>14500.0</v>
      </c>
      <c r="G5744" s="1" t="s">
        <v>5172</v>
      </c>
      <c r="H5744" s="4">
        <f>IFERROR(__xludf.DUMMYFUNCTION("DATE(INDEX(SPLIT(G5744,""/""),,3),INDEX(SPLIT(G5744,""/""),,2),INDEX(SPLIT(G5744,""/""),,1))"),44268.0)</f>
        <v>44268</v>
      </c>
      <c r="I5744" s="1" t="s">
        <v>109</v>
      </c>
      <c r="J5744" s="4">
        <f>IFERROR(__xludf.DUMMYFUNCTION("DATE(INDEX(SPLIT(I5744,""/""),,3),INDEX(SPLIT(I5744,""/""),,2),INDEX(SPLIT(I5744,""/""),,1))"),44834.0)</f>
        <v>44834</v>
      </c>
      <c r="L5744" s="1">
        <v>0.0</v>
      </c>
      <c r="M5744" s="1" t="s">
        <v>11254</v>
      </c>
      <c r="N5744" s="1"/>
      <c r="O5744" s="1" t="s">
        <v>30</v>
      </c>
      <c r="P5744" s="1" t="s">
        <v>31</v>
      </c>
      <c r="Q5744" s="1" t="s">
        <v>228</v>
      </c>
      <c r="R5744" s="1" t="s">
        <v>228</v>
      </c>
      <c r="S5744" s="1" t="s">
        <v>229</v>
      </c>
      <c r="T5744" s="1" t="s">
        <v>513</v>
      </c>
      <c r="U5744" s="1">
        <v>1.00602248E8</v>
      </c>
      <c r="X5744" s="1" t="s">
        <v>375</v>
      </c>
      <c r="Y5744" s="1" t="s">
        <v>12637</v>
      </c>
      <c r="Z5744" s="1" t="s">
        <v>37</v>
      </c>
    </row>
    <row r="5745" hidden="1">
      <c r="A5745" s="1" t="s">
        <v>15871</v>
      </c>
      <c r="B5745" s="1" t="s">
        <v>15872</v>
      </c>
      <c r="C5745" s="1" t="s">
        <v>15873</v>
      </c>
      <c r="D5745" s="1" t="s">
        <v>27</v>
      </c>
      <c r="E5745" s="1" t="s">
        <v>28</v>
      </c>
      <c r="F5745" s="2">
        <v>14500.0</v>
      </c>
      <c r="G5745" s="1" t="s">
        <v>2994</v>
      </c>
      <c r="H5745" s="4">
        <f>IFERROR(__xludf.DUMMYFUNCTION("DATE(INDEX(SPLIT(G5745,""/""),,3),INDEX(SPLIT(G5745,""/""),,2),INDEX(SPLIT(G5745,""/""),,1))"),44310.0)</f>
        <v>44310</v>
      </c>
      <c r="I5745" s="1" t="s">
        <v>42</v>
      </c>
      <c r="J5745" s="4">
        <f>IFERROR(__xludf.DUMMYFUNCTION("DATE(INDEX(SPLIT(I5745,""/""),,3),INDEX(SPLIT(I5745,""/""),,2),INDEX(SPLIT(I5745,""/""),,1))"),44926.0)</f>
        <v>44926</v>
      </c>
      <c r="L5745" s="1">
        <v>0.0</v>
      </c>
      <c r="M5745" s="1" t="s">
        <v>11254</v>
      </c>
      <c r="N5745" s="1"/>
      <c r="O5745" s="1" t="s">
        <v>30</v>
      </c>
      <c r="P5745" s="1" t="s">
        <v>31</v>
      </c>
      <c r="Q5745" s="1" t="s">
        <v>228</v>
      </c>
      <c r="R5745" s="1" t="s">
        <v>228</v>
      </c>
      <c r="S5745" s="1" t="s">
        <v>229</v>
      </c>
      <c r="U5745" s="1">
        <v>1.00602248E8</v>
      </c>
      <c r="X5745" s="1" t="s">
        <v>35</v>
      </c>
      <c r="Y5745" s="1" t="s">
        <v>13638</v>
      </c>
      <c r="Z5745" s="1" t="s">
        <v>37</v>
      </c>
    </row>
    <row r="5746" hidden="1">
      <c r="A5746" s="1" t="s">
        <v>15874</v>
      </c>
      <c r="B5746" s="1" t="s">
        <v>15875</v>
      </c>
      <c r="C5746" s="1" t="s">
        <v>15876</v>
      </c>
      <c r="D5746" s="1" t="s">
        <v>27</v>
      </c>
      <c r="E5746" s="1" t="s">
        <v>28</v>
      </c>
      <c r="F5746" s="2">
        <v>14500.0</v>
      </c>
      <c r="G5746" s="4">
        <v>44508.0</v>
      </c>
      <c r="H5746" s="4">
        <f>IFERROR(__xludf.DUMMYFUNCTION("DATE(INDEX(SPLIT(G5746,""/""),,3),INDEX(SPLIT(G5746,""/""),,2),INDEX(SPLIT(G5746,""/""),,1))"),44419.0)</f>
        <v>44419</v>
      </c>
      <c r="I5746" s="1" t="s">
        <v>42</v>
      </c>
      <c r="J5746" s="4">
        <f>IFERROR(__xludf.DUMMYFUNCTION("DATE(INDEX(SPLIT(I5746,""/""),,3),INDEX(SPLIT(I5746,""/""),,2),INDEX(SPLIT(I5746,""/""),,1))"),44926.0)</f>
        <v>44926</v>
      </c>
      <c r="L5746" s="1">
        <v>0.0</v>
      </c>
      <c r="M5746" s="1" t="s">
        <v>11254</v>
      </c>
      <c r="N5746" s="1"/>
      <c r="O5746" s="1" t="s">
        <v>30</v>
      </c>
      <c r="P5746" s="1" t="s">
        <v>31</v>
      </c>
      <c r="Q5746" s="1" t="s">
        <v>228</v>
      </c>
      <c r="R5746" s="1" t="s">
        <v>228</v>
      </c>
      <c r="S5746" s="1" t="s">
        <v>229</v>
      </c>
      <c r="T5746" s="1" t="s">
        <v>513</v>
      </c>
      <c r="U5746" s="1">
        <v>1.00602248E8</v>
      </c>
      <c r="X5746" s="1" t="s">
        <v>74</v>
      </c>
      <c r="Y5746" s="1" t="s">
        <v>13638</v>
      </c>
      <c r="Z5746" s="1" t="s">
        <v>37</v>
      </c>
    </row>
    <row r="5747" hidden="1">
      <c r="A5747" s="1" t="s">
        <v>15877</v>
      </c>
      <c r="B5747" s="1" t="s">
        <v>3820</v>
      </c>
      <c r="C5747" s="1" t="s">
        <v>15878</v>
      </c>
      <c r="D5747" s="1" t="s">
        <v>78</v>
      </c>
      <c r="E5747" s="1" t="s">
        <v>28</v>
      </c>
      <c r="F5747" s="2">
        <v>14500.0</v>
      </c>
      <c r="G5747" s="4">
        <v>44202.0</v>
      </c>
      <c r="H5747" s="4">
        <f>IFERROR(__xludf.DUMMYFUNCTION("DATE(INDEX(SPLIT(G5747,""/""),,3),INDEX(SPLIT(G5747,""/""),,2),INDEX(SPLIT(G5747,""/""),,1))"),44348.0)</f>
        <v>44348</v>
      </c>
      <c r="I5747" s="1" t="s">
        <v>42</v>
      </c>
      <c r="J5747" s="4">
        <f>IFERROR(__xludf.DUMMYFUNCTION("DATE(INDEX(SPLIT(I5747,""/""),,3),INDEX(SPLIT(I5747,""/""),,2),INDEX(SPLIT(I5747,""/""),,1))"),44926.0)</f>
        <v>44926</v>
      </c>
      <c r="L5747" s="1">
        <v>0.0</v>
      </c>
      <c r="M5747" s="1" t="s">
        <v>11254</v>
      </c>
      <c r="N5747" s="1"/>
      <c r="O5747" s="1" t="s">
        <v>30</v>
      </c>
      <c r="P5747" s="1" t="s">
        <v>31</v>
      </c>
      <c r="Q5747" s="1" t="s">
        <v>228</v>
      </c>
      <c r="R5747" s="1" t="s">
        <v>228</v>
      </c>
      <c r="S5747" s="1" t="s">
        <v>229</v>
      </c>
      <c r="T5747" s="1" t="s">
        <v>513</v>
      </c>
      <c r="U5747" s="1">
        <v>1.00602248E8</v>
      </c>
      <c r="X5747" s="1" t="s">
        <v>88</v>
      </c>
      <c r="Y5747" s="1" t="s">
        <v>12640</v>
      </c>
      <c r="Z5747" s="1" t="s">
        <v>37</v>
      </c>
    </row>
    <row r="5748" hidden="1">
      <c r="A5748" s="1" t="s">
        <v>15879</v>
      </c>
      <c r="B5748" s="1" t="s">
        <v>7608</v>
      </c>
      <c r="C5748" s="1" t="s">
        <v>15880</v>
      </c>
      <c r="D5748" s="1" t="s">
        <v>78</v>
      </c>
      <c r="E5748" s="1" t="s">
        <v>28</v>
      </c>
      <c r="F5748" s="2">
        <v>14500.0</v>
      </c>
      <c r="G5748" s="1" t="s">
        <v>3391</v>
      </c>
      <c r="H5748" s="4">
        <f>IFERROR(__xludf.DUMMYFUNCTION("DATE(INDEX(SPLIT(G5748,""/""),,3),INDEX(SPLIT(G5748,""/""),,2),INDEX(SPLIT(G5748,""/""),,1))"),44272.0)</f>
        <v>44272</v>
      </c>
      <c r="I5748" s="1" t="s">
        <v>447</v>
      </c>
      <c r="J5748" s="4">
        <f>IFERROR(__xludf.DUMMYFUNCTION("DATE(INDEX(SPLIT(I5748,""/""),,3),INDEX(SPLIT(I5748,""/""),,2),INDEX(SPLIT(I5748,""/""),,1))"),44910.0)</f>
        <v>44910</v>
      </c>
      <c r="L5748" s="1">
        <v>0.0</v>
      </c>
      <c r="M5748" s="1" t="s">
        <v>11254</v>
      </c>
      <c r="N5748" s="1"/>
      <c r="O5748" s="1" t="s">
        <v>30</v>
      </c>
      <c r="P5748" s="1" t="s">
        <v>31</v>
      </c>
      <c r="Q5748" s="1" t="s">
        <v>228</v>
      </c>
      <c r="R5748" s="1" t="s">
        <v>228</v>
      </c>
      <c r="S5748" s="1" t="s">
        <v>229</v>
      </c>
      <c r="U5748" s="1">
        <v>1.00602248E8</v>
      </c>
      <c r="X5748" s="1" t="s">
        <v>117</v>
      </c>
      <c r="Y5748" s="1" t="s">
        <v>12637</v>
      </c>
      <c r="Z5748" s="1" t="s">
        <v>37</v>
      </c>
    </row>
    <row r="5749" hidden="1">
      <c r="A5749" s="1" t="s">
        <v>15881</v>
      </c>
      <c r="B5749" s="1" t="s">
        <v>15882</v>
      </c>
      <c r="C5749" s="1" t="s">
        <v>15883</v>
      </c>
      <c r="D5749" s="1" t="s">
        <v>27</v>
      </c>
      <c r="E5749" s="1" t="s">
        <v>28</v>
      </c>
      <c r="F5749" s="2">
        <v>14500.0</v>
      </c>
      <c r="G5749" s="4">
        <v>44686.0</v>
      </c>
      <c r="H5749" s="4">
        <f>IFERROR(__xludf.DUMMYFUNCTION("DATE(INDEX(SPLIT(G5749,""/""),,3),INDEX(SPLIT(G5749,""/""),,2),INDEX(SPLIT(G5749,""/""),,1))"),44686.0)</f>
        <v>44686</v>
      </c>
      <c r="I5749" s="1" t="s">
        <v>42</v>
      </c>
      <c r="J5749" s="4">
        <f>IFERROR(__xludf.DUMMYFUNCTION("DATE(INDEX(SPLIT(I5749,""/""),,3),INDEX(SPLIT(I5749,""/""),,2),INDEX(SPLIT(I5749,""/""),,1))"),44926.0)</f>
        <v>44926</v>
      </c>
      <c r="L5749" s="1">
        <v>0.0</v>
      </c>
      <c r="M5749" s="1" t="s">
        <v>11254</v>
      </c>
      <c r="N5749" s="1"/>
      <c r="O5749" s="1" t="s">
        <v>30</v>
      </c>
      <c r="P5749" s="1" t="s">
        <v>31</v>
      </c>
      <c r="Q5749" s="1" t="s">
        <v>228</v>
      </c>
      <c r="R5749" s="1" t="s">
        <v>228</v>
      </c>
      <c r="S5749" s="1" t="s">
        <v>229</v>
      </c>
      <c r="T5749" s="1" t="s">
        <v>15797</v>
      </c>
      <c r="U5749" s="1">
        <v>1.00602248E8</v>
      </c>
      <c r="X5749" s="1" t="s">
        <v>63</v>
      </c>
      <c r="Y5749" s="1" t="s">
        <v>12640</v>
      </c>
      <c r="Z5749" s="1" t="s">
        <v>37</v>
      </c>
    </row>
    <row r="5750" hidden="1">
      <c r="A5750" s="1" t="s">
        <v>15884</v>
      </c>
      <c r="B5750" s="1" t="s">
        <v>15885</v>
      </c>
      <c r="C5750" s="1" t="s">
        <v>15886</v>
      </c>
      <c r="D5750" s="1" t="s">
        <v>27</v>
      </c>
      <c r="E5750" s="1" t="s">
        <v>28</v>
      </c>
      <c r="F5750" s="2">
        <v>14500.0</v>
      </c>
      <c r="G5750" s="4">
        <v>44415.0</v>
      </c>
      <c r="H5750" s="4">
        <f>IFERROR(__xludf.DUMMYFUNCTION("DATE(INDEX(SPLIT(G5750,""/""),,3),INDEX(SPLIT(G5750,""/""),,2),INDEX(SPLIT(G5750,""/""),,1))"),44385.0)</f>
        <v>44385</v>
      </c>
      <c r="I5750" s="1" t="s">
        <v>42</v>
      </c>
      <c r="J5750" s="4">
        <f>IFERROR(__xludf.DUMMYFUNCTION("DATE(INDEX(SPLIT(I5750,""/""),,3),INDEX(SPLIT(I5750,""/""),,2),INDEX(SPLIT(I5750,""/""),,1))"),44926.0)</f>
        <v>44926</v>
      </c>
      <c r="L5750" s="1">
        <v>0.0</v>
      </c>
      <c r="M5750" s="1" t="s">
        <v>11254</v>
      </c>
      <c r="N5750" s="1"/>
      <c r="O5750" s="1" t="s">
        <v>30</v>
      </c>
      <c r="P5750" s="1" t="s">
        <v>31</v>
      </c>
      <c r="Q5750" s="1" t="s">
        <v>228</v>
      </c>
      <c r="R5750" s="1" t="s">
        <v>228</v>
      </c>
      <c r="S5750" s="1" t="s">
        <v>229</v>
      </c>
      <c r="U5750" s="1">
        <v>1.00602248E8</v>
      </c>
      <c r="X5750" s="1" t="s">
        <v>375</v>
      </c>
      <c r="Y5750" s="1" t="s">
        <v>13638</v>
      </c>
      <c r="Z5750" s="1" t="s">
        <v>37</v>
      </c>
    </row>
    <row r="5751" hidden="1">
      <c r="A5751" s="1" t="s">
        <v>15887</v>
      </c>
      <c r="B5751" s="1" t="s">
        <v>15888</v>
      </c>
      <c r="C5751" s="1" t="s">
        <v>15889</v>
      </c>
      <c r="D5751" s="1" t="s">
        <v>78</v>
      </c>
      <c r="E5751" s="1" t="s">
        <v>28</v>
      </c>
      <c r="F5751" s="2">
        <v>14500.0</v>
      </c>
      <c r="G5751" s="4">
        <v>44686.0</v>
      </c>
      <c r="H5751" s="4">
        <f>IFERROR(__xludf.DUMMYFUNCTION("DATE(INDEX(SPLIT(G5751,""/""),,3),INDEX(SPLIT(G5751,""/""),,2),INDEX(SPLIT(G5751,""/""),,1))"),44686.0)</f>
        <v>44686</v>
      </c>
      <c r="I5751" s="1" t="s">
        <v>109</v>
      </c>
      <c r="J5751" s="4">
        <f>IFERROR(__xludf.DUMMYFUNCTION("DATE(INDEX(SPLIT(I5751,""/""),,3),INDEX(SPLIT(I5751,""/""),,2),INDEX(SPLIT(I5751,""/""),,1))"),44834.0)</f>
        <v>44834</v>
      </c>
      <c r="L5751" s="1">
        <v>0.0</v>
      </c>
      <c r="M5751" s="1" t="s">
        <v>11254</v>
      </c>
      <c r="N5751" s="1"/>
      <c r="O5751" s="1" t="s">
        <v>30</v>
      </c>
      <c r="P5751" s="1" t="s">
        <v>31</v>
      </c>
      <c r="Q5751" s="1" t="s">
        <v>228</v>
      </c>
      <c r="R5751" s="1" t="s">
        <v>228</v>
      </c>
      <c r="S5751" s="1" t="s">
        <v>229</v>
      </c>
      <c r="T5751" s="1" t="s">
        <v>513</v>
      </c>
      <c r="U5751" s="1">
        <v>1.00602248E8</v>
      </c>
      <c r="X5751" s="1" t="s">
        <v>98</v>
      </c>
      <c r="Y5751" s="1" t="s">
        <v>13638</v>
      </c>
      <c r="Z5751" s="1" t="s">
        <v>37</v>
      </c>
    </row>
    <row r="5752" hidden="1">
      <c r="A5752" s="1" t="s">
        <v>15890</v>
      </c>
      <c r="B5752" s="1" t="s">
        <v>14319</v>
      </c>
      <c r="C5752" s="1" t="s">
        <v>15891</v>
      </c>
      <c r="D5752" s="1" t="s">
        <v>27</v>
      </c>
      <c r="E5752" s="1" t="s">
        <v>28</v>
      </c>
      <c r="F5752" s="2">
        <v>14500.0</v>
      </c>
      <c r="G5752" s="4">
        <v>44622.0</v>
      </c>
      <c r="H5752" s="4">
        <f>IFERROR(__xludf.DUMMYFUNCTION("DATE(INDEX(SPLIT(G5752,""/""),,3),INDEX(SPLIT(G5752,""/""),,2),INDEX(SPLIT(G5752,""/""),,1))"),44595.0)</f>
        <v>44595</v>
      </c>
      <c r="I5752" s="1" t="s">
        <v>42</v>
      </c>
      <c r="J5752" s="4">
        <f>IFERROR(__xludf.DUMMYFUNCTION("DATE(INDEX(SPLIT(I5752,""/""),,3),INDEX(SPLIT(I5752,""/""),,2),INDEX(SPLIT(I5752,""/""),,1))"),44926.0)</f>
        <v>44926</v>
      </c>
      <c r="L5752" s="1">
        <v>0.0</v>
      </c>
      <c r="M5752" s="1" t="s">
        <v>11254</v>
      </c>
      <c r="N5752" s="1"/>
      <c r="O5752" s="1" t="s">
        <v>30</v>
      </c>
      <c r="P5752" s="1" t="s">
        <v>31</v>
      </c>
      <c r="Q5752" s="1" t="s">
        <v>228</v>
      </c>
      <c r="R5752" s="1" t="s">
        <v>228</v>
      </c>
      <c r="S5752" s="1" t="s">
        <v>229</v>
      </c>
      <c r="T5752" s="1" t="s">
        <v>513</v>
      </c>
      <c r="U5752" s="1">
        <v>1.00602248E8</v>
      </c>
      <c r="X5752" s="1" t="s">
        <v>88</v>
      </c>
      <c r="Y5752" s="1" t="s">
        <v>14932</v>
      </c>
      <c r="Z5752" s="1" t="s">
        <v>37</v>
      </c>
    </row>
    <row r="5753" hidden="1">
      <c r="A5753" s="1" t="s">
        <v>15892</v>
      </c>
      <c r="B5753" s="1" t="s">
        <v>15893</v>
      </c>
      <c r="C5753" s="1" t="s">
        <v>15894</v>
      </c>
      <c r="D5753" s="1" t="s">
        <v>78</v>
      </c>
      <c r="E5753" s="1" t="s">
        <v>28</v>
      </c>
      <c r="F5753" s="2">
        <v>14500.0</v>
      </c>
      <c r="G5753" s="1" t="s">
        <v>436</v>
      </c>
      <c r="H5753" s="4">
        <f>IFERROR(__xludf.DUMMYFUNCTION("DATE(INDEX(SPLIT(G5753,""/""),,3),INDEX(SPLIT(G5753,""/""),,2),INDEX(SPLIT(G5753,""/""),,1))"),44434.0)</f>
        <v>44434</v>
      </c>
      <c r="I5753" s="1" t="s">
        <v>109</v>
      </c>
      <c r="J5753" s="4">
        <f>IFERROR(__xludf.DUMMYFUNCTION("DATE(INDEX(SPLIT(I5753,""/""),,3),INDEX(SPLIT(I5753,""/""),,2),INDEX(SPLIT(I5753,""/""),,1))"),44834.0)</f>
        <v>44834</v>
      </c>
      <c r="L5753" s="1">
        <v>0.0</v>
      </c>
      <c r="M5753" s="1" t="s">
        <v>11254</v>
      </c>
      <c r="N5753" s="1"/>
      <c r="O5753" s="1" t="s">
        <v>30</v>
      </c>
      <c r="P5753" s="1" t="s">
        <v>31</v>
      </c>
      <c r="Q5753" s="1" t="s">
        <v>228</v>
      </c>
      <c r="R5753" s="1" t="s">
        <v>228</v>
      </c>
      <c r="S5753" s="1" t="s">
        <v>229</v>
      </c>
      <c r="T5753" s="1" t="s">
        <v>513</v>
      </c>
      <c r="U5753" s="1">
        <v>1.00602248E8</v>
      </c>
      <c r="X5753" s="1" t="s">
        <v>46</v>
      </c>
      <c r="Y5753" s="1" t="s">
        <v>12637</v>
      </c>
      <c r="Z5753" s="1" t="s">
        <v>37</v>
      </c>
    </row>
    <row r="5754" hidden="1">
      <c r="A5754" s="1" t="s">
        <v>15895</v>
      </c>
      <c r="B5754" s="1" t="s">
        <v>14123</v>
      </c>
      <c r="C5754" s="1" t="s">
        <v>15896</v>
      </c>
      <c r="D5754" s="1" t="s">
        <v>27</v>
      </c>
      <c r="E5754" s="1" t="s">
        <v>28</v>
      </c>
      <c r="F5754" s="2">
        <v>14500.0</v>
      </c>
      <c r="G5754" s="1" t="s">
        <v>436</v>
      </c>
      <c r="H5754" s="4">
        <f>IFERROR(__xludf.DUMMYFUNCTION("DATE(INDEX(SPLIT(G5754,""/""),,3),INDEX(SPLIT(G5754,""/""),,2),INDEX(SPLIT(G5754,""/""),,1))"),44434.0)</f>
        <v>44434</v>
      </c>
      <c r="I5754" s="1" t="s">
        <v>42</v>
      </c>
      <c r="J5754" s="4">
        <f>IFERROR(__xludf.DUMMYFUNCTION("DATE(INDEX(SPLIT(I5754,""/""),,3),INDEX(SPLIT(I5754,""/""),,2),INDEX(SPLIT(I5754,""/""),,1))"),44926.0)</f>
        <v>44926</v>
      </c>
      <c r="L5754" s="1">
        <v>0.0</v>
      </c>
      <c r="M5754" s="1" t="s">
        <v>11254</v>
      </c>
      <c r="N5754" s="1"/>
      <c r="O5754" s="1" t="s">
        <v>30</v>
      </c>
      <c r="P5754" s="1" t="s">
        <v>31</v>
      </c>
      <c r="Q5754" s="1" t="s">
        <v>228</v>
      </c>
      <c r="R5754" s="1" t="s">
        <v>228</v>
      </c>
      <c r="S5754" s="1" t="s">
        <v>229</v>
      </c>
      <c r="T5754" s="1" t="s">
        <v>513</v>
      </c>
      <c r="U5754" s="1">
        <v>1.00602248E8</v>
      </c>
      <c r="X5754" s="1" t="s">
        <v>63</v>
      </c>
      <c r="Y5754" s="1" t="s">
        <v>13638</v>
      </c>
      <c r="Z5754" s="1" t="s">
        <v>37</v>
      </c>
    </row>
    <row r="5755" hidden="1">
      <c r="A5755" s="1" t="s">
        <v>15897</v>
      </c>
      <c r="B5755" s="1" t="s">
        <v>15898</v>
      </c>
      <c r="C5755" s="1" t="s">
        <v>15899</v>
      </c>
      <c r="D5755" s="1" t="s">
        <v>78</v>
      </c>
      <c r="E5755" s="1" t="s">
        <v>28</v>
      </c>
      <c r="F5755" s="2">
        <v>14500.0</v>
      </c>
      <c r="G5755" s="1" t="s">
        <v>343</v>
      </c>
      <c r="H5755" s="4">
        <f>IFERROR(__xludf.DUMMYFUNCTION("DATE(INDEX(SPLIT(G5755,""/""),,3),INDEX(SPLIT(G5755,""/""),,2),INDEX(SPLIT(G5755,""/""),,1))"),44761.0)</f>
        <v>44761</v>
      </c>
      <c r="I5755" s="1" t="s">
        <v>203</v>
      </c>
      <c r="J5755" s="4">
        <f>IFERROR(__xludf.DUMMYFUNCTION("DATE(INDEX(SPLIT(I5755,""/""),,3),INDEX(SPLIT(I5755,""/""),,2),INDEX(SPLIT(I5755,""/""),,1))"),44925.0)</f>
        <v>44925</v>
      </c>
      <c r="L5755" s="1">
        <v>0.0</v>
      </c>
      <c r="M5755" s="1" t="s">
        <v>11254</v>
      </c>
      <c r="N5755" s="1"/>
      <c r="O5755" s="1" t="s">
        <v>30</v>
      </c>
      <c r="P5755" s="1" t="s">
        <v>31</v>
      </c>
      <c r="Q5755" s="1" t="s">
        <v>228</v>
      </c>
      <c r="R5755" s="1" t="s">
        <v>228</v>
      </c>
      <c r="S5755" s="1" t="s">
        <v>229</v>
      </c>
      <c r="T5755" s="1" t="s">
        <v>15900</v>
      </c>
      <c r="U5755" s="1">
        <v>1.00602248E8</v>
      </c>
      <c r="X5755" s="1" t="s">
        <v>63</v>
      </c>
      <c r="Y5755" s="1" t="s">
        <v>13638</v>
      </c>
      <c r="Z5755" s="1" t="s">
        <v>37</v>
      </c>
    </row>
    <row r="5756" hidden="1">
      <c r="A5756" s="1" t="s">
        <v>15901</v>
      </c>
      <c r="B5756" s="1" t="s">
        <v>15902</v>
      </c>
      <c r="C5756" s="1" t="s">
        <v>15903</v>
      </c>
      <c r="D5756" s="1" t="s">
        <v>27</v>
      </c>
      <c r="E5756" s="1" t="s">
        <v>28</v>
      </c>
      <c r="F5756" s="2">
        <v>14500.0</v>
      </c>
      <c r="G5756" s="1" t="s">
        <v>3595</v>
      </c>
      <c r="H5756" s="4">
        <f>IFERROR(__xludf.DUMMYFUNCTION("DATE(INDEX(SPLIT(G5756,""/""),,3),INDEX(SPLIT(G5756,""/""),,2),INDEX(SPLIT(G5756,""/""),,1))"),44460.0)</f>
        <v>44460</v>
      </c>
      <c r="I5756" s="1" t="s">
        <v>42</v>
      </c>
      <c r="J5756" s="4">
        <f>IFERROR(__xludf.DUMMYFUNCTION("DATE(INDEX(SPLIT(I5756,""/""),,3),INDEX(SPLIT(I5756,""/""),,2),INDEX(SPLIT(I5756,""/""),,1))"),44926.0)</f>
        <v>44926</v>
      </c>
      <c r="L5756" s="1">
        <v>0.0</v>
      </c>
      <c r="M5756" s="1" t="s">
        <v>11254</v>
      </c>
      <c r="N5756" s="1"/>
      <c r="O5756" s="1" t="s">
        <v>30</v>
      </c>
      <c r="P5756" s="1" t="s">
        <v>31</v>
      </c>
      <c r="Q5756" s="1" t="s">
        <v>228</v>
      </c>
      <c r="R5756" s="1" t="s">
        <v>228</v>
      </c>
      <c r="S5756" s="1" t="s">
        <v>229</v>
      </c>
      <c r="T5756" s="1" t="s">
        <v>513</v>
      </c>
      <c r="U5756" s="1">
        <v>1.00602248E8</v>
      </c>
      <c r="X5756" s="1" t="s">
        <v>2028</v>
      </c>
      <c r="Y5756" s="1" t="s">
        <v>13638</v>
      </c>
      <c r="Z5756" s="1" t="s">
        <v>37</v>
      </c>
    </row>
    <row r="5757" hidden="1">
      <c r="A5757" s="1" t="s">
        <v>15904</v>
      </c>
      <c r="B5757" s="1" t="s">
        <v>672</v>
      </c>
      <c r="C5757" s="1" t="s">
        <v>15905</v>
      </c>
      <c r="D5757" s="1" t="s">
        <v>27</v>
      </c>
      <c r="E5757" s="1" t="s">
        <v>28</v>
      </c>
      <c r="F5757" s="2">
        <v>14500.0</v>
      </c>
      <c r="G5757" s="4">
        <v>44870.0</v>
      </c>
      <c r="H5757" s="4">
        <f>IFERROR(__xludf.DUMMYFUNCTION("DATE(INDEX(SPLIT(G5757,""/""),,3),INDEX(SPLIT(G5757,""/""),,2),INDEX(SPLIT(G5757,""/""),,1))"),44692.0)</f>
        <v>44692</v>
      </c>
      <c r="I5757" s="1" t="s">
        <v>42</v>
      </c>
      <c r="J5757" s="4">
        <f>IFERROR(__xludf.DUMMYFUNCTION("DATE(INDEX(SPLIT(I5757,""/""),,3),INDEX(SPLIT(I5757,""/""),,2),INDEX(SPLIT(I5757,""/""),,1))"),44926.0)</f>
        <v>44926</v>
      </c>
      <c r="L5757" s="1">
        <v>0.0</v>
      </c>
      <c r="M5757" s="1" t="s">
        <v>11254</v>
      </c>
      <c r="N5757" s="1"/>
      <c r="O5757" s="1" t="s">
        <v>30</v>
      </c>
      <c r="P5757" s="1" t="s">
        <v>31</v>
      </c>
      <c r="Q5757" s="1" t="s">
        <v>228</v>
      </c>
      <c r="R5757" s="1" t="s">
        <v>228</v>
      </c>
      <c r="S5757" s="1" t="s">
        <v>229</v>
      </c>
      <c r="T5757" s="1" t="s">
        <v>15906</v>
      </c>
      <c r="U5757" s="1">
        <v>1.00602248E8</v>
      </c>
      <c r="X5757" s="1" t="s">
        <v>88</v>
      </c>
      <c r="Y5757" s="1" t="s">
        <v>12640</v>
      </c>
      <c r="Z5757" s="1" t="s">
        <v>37</v>
      </c>
    </row>
    <row r="5758" hidden="1">
      <c r="A5758" s="1" t="s">
        <v>15907</v>
      </c>
      <c r="B5758" s="1" t="s">
        <v>15908</v>
      </c>
      <c r="C5758" s="1" t="s">
        <v>15909</v>
      </c>
      <c r="D5758" s="1" t="s">
        <v>78</v>
      </c>
      <c r="E5758" s="1" t="s">
        <v>28</v>
      </c>
      <c r="F5758" s="2">
        <v>14500.0</v>
      </c>
      <c r="G5758" s="1" t="s">
        <v>576</v>
      </c>
      <c r="H5758" s="4">
        <f>IFERROR(__xludf.DUMMYFUNCTION("DATE(INDEX(SPLIT(G5758,""/""),,3),INDEX(SPLIT(G5758,""/""),,2),INDEX(SPLIT(G5758,""/""),,1))"),44614.0)</f>
        <v>44614</v>
      </c>
      <c r="I5758" s="1" t="s">
        <v>130</v>
      </c>
      <c r="J5758" s="4">
        <f>IFERROR(__xludf.DUMMYFUNCTION("DATE(INDEX(SPLIT(I5758,""/""),,3),INDEX(SPLIT(I5758,""/""),,2),INDEX(SPLIT(I5758,""/""),,1))"),44804.0)</f>
        <v>44804</v>
      </c>
      <c r="L5758" s="1">
        <v>0.0</v>
      </c>
      <c r="M5758" s="1" t="s">
        <v>11254</v>
      </c>
      <c r="N5758" s="1"/>
      <c r="O5758" s="1" t="s">
        <v>30</v>
      </c>
      <c r="P5758" s="1" t="s">
        <v>31</v>
      </c>
      <c r="Q5758" s="1" t="s">
        <v>228</v>
      </c>
      <c r="R5758" s="1" t="s">
        <v>228</v>
      </c>
      <c r="S5758" s="1" t="s">
        <v>229</v>
      </c>
      <c r="T5758" s="1" t="s">
        <v>14924</v>
      </c>
      <c r="U5758" s="1">
        <v>1.00602248E8</v>
      </c>
      <c r="X5758" s="1" t="s">
        <v>63</v>
      </c>
      <c r="Y5758" s="1" t="s">
        <v>13638</v>
      </c>
      <c r="Z5758" s="1" t="s">
        <v>37</v>
      </c>
    </row>
    <row r="5759" hidden="1">
      <c r="A5759" s="1" t="s">
        <v>15910</v>
      </c>
      <c r="B5759" s="1" t="s">
        <v>8776</v>
      </c>
      <c r="C5759" s="1" t="s">
        <v>15911</v>
      </c>
      <c r="D5759" s="1" t="s">
        <v>78</v>
      </c>
      <c r="E5759" s="1" t="s">
        <v>28</v>
      </c>
      <c r="F5759" s="2">
        <v>14500.0</v>
      </c>
      <c r="G5759" s="1" t="s">
        <v>7274</v>
      </c>
      <c r="H5759" s="4">
        <f>IFERROR(__xludf.DUMMYFUNCTION("DATE(INDEX(SPLIT(G5759,""/""),,3),INDEX(SPLIT(G5759,""/""),,2),INDEX(SPLIT(G5759,""/""),,1))"),44403.0)</f>
        <v>44403</v>
      </c>
      <c r="I5759" s="1" t="s">
        <v>109</v>
      </c>
      <c r="J5759" s="4">
        <f>IFERROR(__xludf.DUMMYFUNCTION("DATE(INDEX(SPLIT(I5759,""/""),,3),INDEX(SPLIT(I5759,""/""),,2),INDEX(SPLIT(I5759,""/""),,1))"),44834.0)</f>
        <v>44834</v>
      </c>
      <c r="L5759" s="1">
        <v>0.0</v>
      </c>
      <c r="M5759" s="1" t="s">
        <v>11254</v>
      </c>
      <c r="N5759" s="1"/>
      <c r="O5759" s="1" t="s">
        <v>30</v>
      </c>
      <c r="P5759" s="1" t="s">
        <v>31</v>
      </c>
      <c r="Q5759" s="1" t="s">
        <v>228</v>
      </c>
      <c r="R5759" s="1" t="s">
        <v>228</v>
      </c>
      <c r="S5759" s="1" t="s">
        <v>229</v>
      </c>
      <c r="T5759" s="1" t="s">
        <v>14924</v>
      </c>
      <c r="U5759" s="1">
        <v>1.00602248E8</v>
      </c>
      <c r="X5759" s="1" t="s">
        <v>117</v>
      </c>
      <c r="Y5759" s="1" t="s">
        <v>13638</v>
      </c>
      <c r="Z5759" s="1" t="s">
        <v>37</v>
      </c>
    </row>
    <row r="5760" hidden="1">
      <c r="A5760" s="1" t="s">
        <v>15912</v>
      </c>
      <c r="B5760" s="1" t="s">
        <v>6007</v>
      </c>
      <c r="C5760" s="1" t="s">
        <v>15913</v>
      </c>
      <c r="D5760" s="1" t="s">
        <v>27</v>
      </c>
      <c r="E5760" s="1" t="s">
        <v>28</v>
      </c>
      <c r="F5760" s="2">
        <v>14500.0</v>
      </c>
      <c r="G5760" s="1" t="s">
        <v>7274</v>
      </c>
      <c r="H5760" s="4">
        <f>IFERROR(__xludf.DUMMYFUNCTION("DATE(INDEX(SPLIT(G5760,""/""),,3),INDEX(SPLIT(G5760,""/""),,2),INDEX(SPLIT(G5760,""/""),,1))"),44403.0)</f>
        <v>44403</v>
      </c>
      <c r="I5760" s="1" t="s">
        <v>203</v>
      </c>
      <c r="J5760" s="4">
        <f>IFERROR(__xludf.DUMMYFUNCTION("DATE(INDEX(SPLIT(I5760,""/""),,3),INDEX(SPLIT(I5760,""/""),,2),INDEX(SPLIT(I5760,""/""),,1))"),44925.0)</f>
        <v>44925</v>
      </c>
      <c r="L5760" s="1">
        <v>0.0</v>
      </c>
      <c r="M5760" s="1" t="s">
        <v>11254</v>
      </c>
      <c r="N5760" s="1"/>
      <c r="O5760" s="1" t="s">
        <v>30</v>
      </c>
      <c r="P5760" s="1" t="s">
        <v>31</v>
      </c>
      <c r="Q5760" s="1" t="s">
        <v>228</v>
      </c>
      <c r="R5760" s="1" t="s">
        <v>228</v>
      </c>
      <c r="S5760" s="1" t="s">
        <v>229</v>
      </c>
      <c r="T5760" s="1" t="s">
        <v>513</v>
      </c>
      <c r="U5760" s="1">
        <v>1.00602248E8</v>
      </c>
      <c r="X5760" s="1" t="s">
        <v>239</v>
      </c>
      <c r="Y5760" s="1" t="s">
        <v>13638</v>
      </c>
      <c r="Z5760" s="1" t="s">
        <v>37</v>
      </c>
    </row>
    <row r="5761" hidden="1">
      <c r="A5761" s="1" t="s">
        <v>15914</v>
      </c>
      <c r="B5761" s="1" t="s">
        <v>12220</v>
      </c>
      <c r="C5761" s="1" t="s">
        <v>15915</v>
      </c>
      <c r="D5761" s="1" t="s">
        <v>27</v>
      </c>
      <c r="E5761" s="1" t="s">
        <v>28</v>
      </c>
      <c r="F5761" s="2">
        <v>14500.0</v>
      </c>
      <c r="G5761" s="4">
        <v>44445.0</v>
      </c>
      <c r="H5761" s="4">
        <f>IFERROR(__xludf.DUMMYFUNCTION("DATE(INDEX(SPLIT(G5761,""/""),,3),INDEX(SPLIT(G5761,""/""),,2),INDEX(SPLIT(G5761,""/""),,1))"),44356.0)</f>
        <v>44356</v>
      </c>
      <c r="I5761" s="1" t="s">
        <v>109</v>
      </c>
      <c r="J5761" s="4">
        <f>IFERROR(__xludf.DUMMYFUNCTION("DATE(INDEX(SPLIT(I5761,""/""),,3),INDEX(SPLIT(I5761,""/""),,2),INDEX(SPLIT(I5761,""/""),,1))"),44834.0)</f>
        <v>44834</v>
      </c>
      <c r="L5761" s="1">
        <v>0.0</v>
      </c>
      <c r="M5761" s="1" t="s">
        <v>11254</v>
      </c>
      <c r="N5761" s="1"/>
      <c r="O5761" s="1" t="s">
        <v>30</v>
      </c>
      <c r="P5761" s="1" t="s">
        <v>31</v>
      </c>
      <c r="Q5761" s="1" t="s">
        <v>228</v>
      </c>
      <c r="R5761" s="1" t="s">
        <v>228</v>
      </c>
      <c r="S5761" s="1" t="s">
        <v>229</v>
      </c>
      <c r="T5761" s="1" t="s">
        <v>513</v>
      </c>
      <c r="U5761" s="1">
        <v>1.00602248E8</v>
      </c>
      <c r="X5761" s="1" t="s">
        <v>254</v>
      </c>
      <c r="Y5761" s="1" t="s">
        <v>12637</v>
      </c>
      <c r="Z5761" s="1" t="s">
        <v>37</v>
      </c>
    </row>
    <row r="5762" hidden="1">
      <c r="A5762" s="1" t="s">
        <v>15916</v>
      </c>
      <c r="B5762" s="1" t="s">
        <v>15917</v>
      </c>
      <c r="C5762" s="1" t="s">
        <v>15918</v>
      </c>
      <c r="D5762" s="1" t="s">
        <v>78</v>
      </c>
      <c r="E5762" s="1" t="s">
        <v>28</v>
      </c>
      <c r="F5762" s="2">
        <v>14500.0</v>
      </c>
      <c r="G5762" s="1" t="s">
        <v>1467</v>
      </c>
      <c r="H5762" s="4">
        <f>IFERROR(__xludf.DUMMYFUNCTION("DATE(INDEX(SPLIT(G5762,""/""),,3),INDEX(SPLIT(G5762,""/""),,2),INDEX(SPLIT(G5762,""/""),,1))"),44396.0)</f>
        <v>44396</v>
      </c>
      <c r="I5762" s="1" t="s">
        <v>109</v>
      </c>
      <c r="J5762" s="4">
        <f>IFERROR(__xludf.DUMMYFUNCTION("DATE(INDEX(SPLIT(I5762,""/""),,3),INDEX(SPLIT(I5762,""/""),,2),INDEX(SPLIT(I5762,""/""),,1))"),44834.0)</f>
        <v>44834</v>
      </c>
      <c r="L5762" s="1">
        <v>0.0</v>
      </c>
      <c r="M5762" s="1" t="s">
        <v>11254</v>
      </c>
      <c r="N5762" s="1"/>
      <c r="O5762" s="1" t="s">
        <v>30</v>
      </c>
      <c r="P5762" s="1" t="s">
        <v>31</v>
      </c>
      <c r="Q5762" s="1" t="s">
        <v>228</v>
      </c>
      <c r="R5762" s="1" t="s">
        <v>228</v>
      </c>
      <c r="S5762" s="1" t="s">
        <v>229</v>
      </c>
      <c r="T5762" s="1" t="s">
        <v>513</v>
      </c>
      <c r="U5762" s="1">
        <v>1.00602248E8</v>
      </c>
      <c r="X5762" s="1" t="s">
        <v>490</v>
      </c>
      <c r="Y5762" s="1" t="s">
        <v>12637</v>
      </c>
      <c r="Z5762" s="1" t="s">
        <v>37</v>
      </c>
    </row>
    <row r="5763" hidden="1">
      <c r="A5763" s="1" t="s">
        <v>15919</v>
      </c>
      <c r="B5763" s="1" t="s">
        <v>6293</v>
      </c>
      <c r="C5763" s="1" t="s">
        <v>15920</v>
      </c>
      <c r="D5763" s="1" t="s">
        <v>78</v>
      </c>
      <c r="E5763" s="1" t="s">
        <v>28</v>
      </c>
      <c r="F5763" s="2">
        <v>14500.0</v>
      </c>
      <c r="G5763" s="1" t="s">
        <v>1190</v>
      </c>
      <c r="H5763" s="4">
        <f>IFERROR(__xludf.DUMMYFUNCTION("DATE(INDEX(SPLIT(G5763,""/""),,3),INDEX(SPLIT(G5763,""/""),,2),INDEX(SPLIT(G5763,""/""),,1))"),44397.0)</f>
        <v>44397</v>
      </c>
      <c r="I5763" s="1" t="s">
        <v>447</v>
      </c>
      <c r="J5763" s="4">
        <f>IFERROR(__xludf.DUMMYFUNCTION("DATE(INDEX(SPLIT(I5763,""/""),,3),INDEX(SPLIT(I5763,""/""),,2),INDEX(SPLIT(I5763,""/""),,1))"),44910.0)</f>
        <v>44910</v>
      </c>
      <c r="L5763" s="1">
        <v>0.0</v>
      </c>
      <c r="M5763" s="1" t="s">
        <v>11254</v>
      </c>
      <c r="N5763" s="1"/>
      <c r="O5763" s="1" t="s">
        <v>30</v>
      </c>
      <c r="P5763" s="1" t="s">
        <v>31</v>
      </c>
      <c r="Q5763" s="1" t="s">
        <v>228</v>
      </c>
      <c r="R5763" s="1" t="s">
        <v>228</v>
      </c>
      <c r="S5763" s="1" t="s">
        <v>229</v>
      </c>
      <c r="U5763" s="1">
        <v>1.00602248E8</v>
      </c>
      <c r="X5763" s="1" t="s">
        <v>490</v>
      </c>
      <c r="Y5763" s="1" t="s">
        <v>12637</v>
      </c>
      <c r="Z5763" s="1" t="s">
        <v>37</v>
      </c>
    </row>
    <row r="5764" hidden="1">
      <c r="A5764" s="1" t="s">
        <v>15921</v>
      </c>
      <c r="B5764" s="1" t="s">
        <v>15391</v>
      </c>
      <c r="C5764" s="1" t="s">
        <v>15922</v>
      </c>
      <c r="D5764" s="1" t="s">
        <v>27</v>
      </c>
      <c r="E5764" s="1" t="s">
        <v>28</v>
      </c>
      <c r="F5764" s="2">
        <v>14500.0</v>
      </c>
      <c r="G5764" s="1" t="s">
        <v>6301</v>
      </c>
      <c r="H5764" s="4">
        <f>IFERROR(__xludf.DUMMYFUNCTION("DATE(INDEX(SPLIT(G5764,""/""),,3),INDEX(SPLIT(G5764,""/""),,2),INDEX(SPLIT(G5764,""/""),,1))"),44635.0)</f>
        <v>44635</v>
      </c>
      <c r="I5764" s="1" t="s">
        <v>317</v>
      </c>
      <c r="J5764" s="4">
        <f>IFERROR(__xludf.DUMMYFUNCTION("DATE(INDEX(SPLIT(I5764,""/""),,3),INDEX(SPLIT(I5764,""/""),,2),INDEX(SPLIT(I5764,""/""),,1))"),44862.0)</f>
        <v>44862</v>
      </c>
      <c r="L5764" s="1">
        <v>0.0</v>
      </c>
      <c r="M5764" s="1" t="s">
        <v>11254</v>
      </c>
      <c r="N5764" s="1"/>
      <c r="O5764" s="1" t="s">
        <v>30</v>
      </c>
      <c r="P5764" s="1" t="s">
        <v>31</v>
      </c>
      <c r="Q5764" s="1" t="s">
        <v>228</v>
      </c>
      <c r="R5764" s="1" t="s">
        <v>228</v>
      </c>
      <c r="S5764" s="1" t="s">
        <v>229</v>
      </c>
      <c r="T5764" s="1" t="s">
        <v>513</v>
      </c>
      <c r="U5764" s="1">
        <v>1.00602248E8</v>
      </c>
      <c r="X5764" s="1" t="s">
        <v>88</v>
      </c>
      <c r="Y5764" s="1" t="s">
        <v>14932</v>
      </c>
      <c r="Z5764" s="1" t="s">
        <v>37</v>
      </c>
    </row>
    <row r="5765" hidden="1">
      <c r="A5765" s="1" t="s">
        <v>15923</v>
      </c>
      <c r="B5765" s="1" t="s">
        <v>15924</v>
      </c>
      <c r="C5765" s="1" t="s">
        <v>15925</v>
      </c>
      <c r="D5765" s="1" t="s">
        <v>78</v>
      </c>
      <c r="E5765" s="1" t="s">
        <v>28</v>
      </c>
      <c r="F5765" s="2">
        <v>14500.0</v>
      </c>
      <c r="G5765" s="1" t="s">
        <v>41</v>
      </c>
      <c r="H5765" s="4">
        <f>IFERROR(__xludf.DUMMYFUNCTION("DATE(INDEX(SPLIT(G5765,""/""),,3),INDEX(SPLIT(G5765,""/""),,2),INDEX(SPLIT(G5765,""/""),,1))"),44607.0)</f>
        <v>44607</v>
      </c>
      <c r="I5765" s="1" t="s">
        <v>109</v>
      </c>
      <c r="J5765" s="4">
        <f>IFERROR(__xludf.DUMMYFUNCTION("DATE(INDEX(SPLIT(I5765,""/""),,3),INDEX(SPLIT(I5765,""/""),,2),INDEX(SPLIT(I5765,""/""),,1))"),44834.0)</f>
        <v>44834</v>
      </c>
      <c r="L5765" s="1">
        <v>0.0</v>
      </c>
      <c r="M5765" s="1" t="s">
        <v>11254</v>
      </c>
      <c r="N5765" s="1"/>
      <c r="O5765" s="1" t="s">
        <v>30</v>
      </c>
      <c r="P5765" s="1" t="s">
        <v>31</v>
      </c>
      <c r="Q5765" s="1" t="s">
        <v>228</v>
      </c>
      <c r="R5765" s="1" t="s">
        <v>228</v>
      </c>
      <c r="S5765" s="1" t="s">
        <v>229</v>
      </c>
      <c r="T5765" s="1" t="s">
        <v>513</v>
      </c>
      <c r="U5765" s="1">
        <v>1.00602248E8</v>
      </c>
      <c r="X5765" s="1" t="s">
        <v>35</v>
      </c>
      <c r="Y5765" s="1" t="s">
        <v>13638</v>
      </c>
      <c r="Z5765" s="1" t="s">
        <v>37</v>
      </c>
    </row>
    <row r="5766" hidden="1">
      <c r="A5766" s="1" t="s">
        <v>15926</v>
      </c>
      <c r="B5766" s="1" t="s">
        <v>15927</v>
      </c>
      <c r="C5766" s="1" t="s">
        <v>15928</v>
      </c>
      <c r="D5766" s="1" t="s">
        <v>27</v>
      </c>
      <c r="E5766" s="1" t="s">
        <v>28</v>
      </c>
      <c r="F5766" s="2">
        <v>14500.0</v>
      </c>
      <c r="G5766" s="4">
        <v>44594.0</v>
      </c>
      <c r="H5766" s="4">
        <f>IFERROR(__xludf.DUMMYFUNCTION("DATE(INDEX(SPLIT(G5766,""/""),,3),INDEX(SPLIT(G5766,""/""),,2),INDEX(SPLIT(G5766,""/""),,1))"),44594.0)</f>
        <v>44594</v>
      </c>
      <c r="I5766" s="1" t="s">
        <v>109</v>
      </c>
      <c r="J5766" s="4">
        <f>IFERROR(__xludf.DUMMYFUNCTION("DATE(INDEX(SPLIT(I5766,""/""),,3),INDEX(SPLIT(I5766,""/""),,2),INDEX(SPLIT(I5766,""/""),,1))"),44834.0)</f>
        <v>44834</v>
      </c>
      <c r="L5766" s="1">
        <v>0.0</v>
      </c>
      <c r="M5766" s="1" t="s">
        <v>11254</v>
      </c>
      <c r="N5766" s="1"/>
      <c r="O5766" s="1" t="s">
        <v>30</v>
      </c>
      <c r="P5766" s="1" t="s">
        <v>31</v>
      </c>
      <c r="Q5766" s="1" t="s">
        <v>228</v>
      </c>
      <c r="R5766" s="1" t="s">
        <v>228</v>
      </c>
      <c r="S5766" s="1" t="s">
        <v>229</v>
      </c>
      <c r="T5766" s="1" t="s">
        <v>513</v>
      </c>
      <c r="U5766" s="1">
        <v>1.00602248E8</v>
      </c>
      <c r="Y5766" s="1" t="s">
        <v>14932</v>
      </c>
      <c r="Z5766" s="1" t="s">
        <v>37</v>
      </c>
    </row>
    <row r="5767" hidden="1">
      <c r="A5767" s="1" t="s">
        <v>15929</v>
      </c>
      <c r="B5767" s="1" t="s">
        <v>15930</v>
      </c>
      <c r="C5767" s="1" t="s">
        <v>15931</v>
      </c>
      <c r="D5767" s="1" t="s">
        <v>78</v>
      </c>
      <c r="E5767" s="1" t="s">
        <v>28</v>
      </c>
      <c r="F5767" s="2">
        <v>14500.0</v>
      </c>
      <c r="G5767" s="4">
        <v>44384.0</v>
      </c>
      <c r="H5767" s="4">
        <f>IFERROR(__xludf.DUMMYFUNCTION("DATE(INDEX(SPLIT(G5767,""/""),,3),INDEX(SPLIT(G5767,""/""),,2),INDEX(SPLIT(G5767,""/""),,1))"),44384.0)</f>
        <v>44384</v>
      </c>
      <c r="I5767" s="1" t="s">
        <v>109</v>
      </c>
      <c r="J5767" s="4">
        <f>IFERROR(__xludf.DUMMYFUNCTION("DATE(INDEX(SPLIT(I5767,""/""),,3),INDEX(SPLIT(I5767,""/""),,2),INDEX(SPLIT(I5767,""/""),,1))"),44834.0)</f>
        <v>44834</v>
      </c>
      <c r="L5767" s="1">
        <v>0.0</v>
      </c>
      <c r="M5767" s="1" t="s">
        <v>11254</v>
      </c>
      <c r="N5767" s="1"/>
      <c r="O5767" s="1" t="s">
        <v>30</v>
      </c>
      <c r="P5767" s="1" t="s">
        <v>31</v>
      </c>
      <c r="Q5767" s="1" t="s">
        <v>228</v>
      </c>
      <c r="R5767" s="1" t="s">
        <v>228</v>
      </c>
      <c r="S5767" s="1" t="s">
        <v>229</v>
      </c>
      <c r="T5767" s="1" t="s">
        <v>513</v>
      </c>
      <c r="U5767" s="1">
        <v>1.00602248E8</v>
      </c>
      <c r="X5767" s="1" t="s">
        <v>74</v>
      </c>
      <c r="Y5767" s="1" t="s">
        <v>12637</v>
      </c>
      <c r="Z5767" s="1" t="s">
        <v>37</v>
      </c>
    </row>
    <row r="5768" hidden="1">
      <c r="A5768" s="1" t="s">
        <v>15932</v>
      </c>
      <c r="B5768" s="1" t="s">
        <v>15933</v>
      </c>
      <c r="C5768" s="1" t="s">
        <v>15934</v>
      </c>
      <c r="D5768" s="1" t="s">
        <v>78</v>
      </c>
      <c r="E5768" s="1" t="s">
        <v>28</v>
      </c>
      <c r="F5768" s="2">
        <v>14500.0</v>
      </c>
      <c r="G5768" s="4">
        <v>44417.0</v>
      </c>
      <c r="H5768" s="4">
        <f>IFERROR(__xludf.DUMMYFUNCTION("DATE(INDEX(SPLIT(G5768,""/""),,3),INDEX(SPLIT(G5768,""/""),,2),INDEX(SPLIT(G5768,""/""),,1))"),44447.0)</f>
        <v>44447</v>
      </c>
      <c r="I5768" s="1" t="s">
        <v>447</v>
      </c>
      <c r="J5768" s="4">
        <f>IFERROR(__xludf.DUMMYFUNCTION("DATE(INDEX(SPLIT(I5768,""/""),,3),INDEX(SPLIT(I5768,""/""),,2),INDEX(SPLIT(I5768,""/""),,1))"),44910.0)</f>
        <v>44910</v>
      </c>
      <c r="L5768" s="1">
        <v>0.0</v>
      </c>
      <c r="M5768" s="1" t="s">
        <v>11254</v>
      </c>
      <c r="N5768" s="1"/>
      <c r="O5768" s="1" t="s">
        <v>30</v>
      </c>
      <c r="P5768" s="1" t="s">
        <v>31</v>
      </c>
      <c r="Q5768" s="1" t="s">
        <v>228</v>
      </c>
      <c r="R5768" s="1" t="s">
        <v>228</v>
      </c>
      <c r="S5768" s="1" t="s">
        <v>229</v>
      </c>
      <c r="U5768" s="1">
        <v>1.00602248E8</v>
      </c>
      <c r="X5768" s="1" t="s">
        <v>254</v>
      </c>
      <c r="Y5768" s="1" t="s">
        <v>12637</v>
      </c>
      <c r="Z5768" s="1" t="s">
        <v>37</v>
      </c>
    </row>
    <row r="5769" hidden="1">
      <c r="A5769" s="1" t="s">
        <v>15935</v>
      </c>
      <c r="B5769" s="1" t="s">
        <v>15936</v>
      </c>
      <c r="C5769" s="1" t="s">
        <v>15937</v>
      </c>
      <c r="D5769" s="1" t="s">
        <v>78</v>
      </c>
      <c r="E5769" s="1" t="s">
        <v>28</v>
      </c>
      <c r="F5769" s="2">
        <v>14500.0</v>
      </c>
      <c r="G5769" s="4">
        <v>44415.0</v>
      </c>
      <c r="H5769" s="4">
        <f>IFERROR(__xludf.DUMMYFUNCTION("DATE(INDEX(SPLIT(G5769,""/""),,3),INDEX(SPLIT(G5769,""/""),,2),INDEX(SPLIT(G5769,""/""),,1))"),44385.0)</f>
        <v>44385</v>
      </c>
      <c r="I5769" s="1" t="s">
        <v>109</v>
      </c>
      <c r="J5769" s="4">
        <f>IFERROR(__xludf.DUMMYFUNCTION("DATE(INDEX(SPLIT(I5769,""/""),,3),INDEX(SPLIT(I5769,""/""),,2),INDEX(SPLIT(I5769,""/""),,1))"),44834.0)</f>
        <v>44834</v>
      </c>
      <c r="L5769" s="1">
        <v>0.0</v>
      </c>
      <c r="M5769" s="1" t="s">
        <v>12039</v>
      </c>
      <c r="N5769" s="1"/>
      <c r="O5769" s="1" t="s">
        <v>30</v>
      </c>
      <c r="P5769" s="1" t="s">
        <v>31</v>
      </c>
      <c r="Q5769" s="1" t="s">
        <v>228</v>
      </c>
      <c r="R5769" s="1" t="s">
        <v>228</v>
      </c>
      <c r="S5769" s="1" t="s">
        <v>229</v>
      </c>
      <c r="T5769" s="1" t="s">
        <v>513</v>
      </c>
      <c r="U5769" s="1">
        <v>1.00612509E8</v>
      </c>
      <c r="X5769" s="1" t="s">
        <v>74</v>
      </c>
      <c r="Y5769" s="1" t="s">
        <v>12637</v>
      </c>
      <c r="Z5769" s="1" t="s">
        <v>37</v>
      </c>
    </row>
    <row r="5770" hidden="1">
      <c r="A5770" s="1" t="s">
        <v>15938</v>
      </c>
      <c r="B5770" s="1" t="s">
        <v>1916</v>
      </c>
      <c r="C5770" s="1" t="s">
        <v>15939</v>
      </c>
      <c r="D5770" s="1" t="s">
        <v>27</v>
      </c>
      <c r="E5770" s="1" t="s">
        <v>28</v>
      </c>
      <c r="F5770" s="2">
        <v>14500.0</v>
      </c>
      <c r="G5770" s="4">
        <v>44415.0</v>
      </c>
      <c r="H5770" s="4">
        <f>IFERROR(__xludf.DUMMYFUNCTION("DATE(INDEX(SPLIT(G5770,""/""),,3),INDEX(SPLIT(G5770,""/""),,2),INDEX(SPLIT(G5770,""/""),,1))"),44385.0)</f>
        <v>44385</v>
      </c>
      <c r="I5770" s="1" t="s">
        <v>42</v>
      </c>
      <c r="J5770" s="4">
        <f>IFERROR(__xludf.DUMMYFUNCTION("DATE(INDEX(SPLIT(I5770,""/""),,3),INDEX(SPLIT(I5770,""/""),,2),INDEX(SPLIT(I5770,""/""),,1))"),44926.0)</f>
        <v>44926</v>
      </c>
      <c r="L5770" s="1">
        <v>0.0</v>
      </c>
      <c r="M5770" s="1" t="s">
        <v>11254</v>
      </c>
      <c r="N5770" s="1"/>
      <c r="O5770" s="1" t="s">
        <v>30</v>
      </c>
      <c r="P5770" s="1" t="s">
        <v>31</v>
      </c>
      <c r="Q5770" s="1" t="s">
        <v>228</v>
      </c>
      <c r="R5770" s="1" t="s">
        <v>228</v>
      </c>
      <c r="S5770" s="1" t="s">
        <v>229</v>
      </c>
      <c r="U5770" s="1">
        <v>1.00602248E8</v>
      </c>
      <c r="X5770" s="1" t="s">
        <v>63</v>
      </c>
      <c r="Y5770" s="1" t="s">
        <v>13638</v>
      </c>
      <c r="Z5770" s="1" t="s">
        <v>37</v>
      </c>
    </row>
    <row r="5771" hidden="1">
      <c r="A5771" s="1" t="s">
        <v>15940</v>
      </c>
      <c r="B5771" s="1" t="s">
        <v>15941</v>
      </c>
      <c r="C5771" s="1" t="s">
        <v>15942</v>
      </c>
      <c r="D5771" s="1" t="s">
        <v>27</v>
      </c>
      <c r="E5771" s="1" t="s">
        <v>28</v>
      </c>
      <c r="F5771" s="2">
        <v>14500.0</v>
      </c>
      <c r="G5771" s="4">
        <v>44205.0</v>
      </c>
      <c r="H5771" s="4">
        <f>IFERROR(__xludf.DUMMYFUNCTION("DATE(INDEX(SPLIT(G5771,""/""),,3),INDEX(SPLIT(G5771,""/""),,2),INDEX(SPLIT(G5771,""/""),,1))"),44440.0)</f>
        <v>44440</v>
      </c>
      <c r="I5771" s="1" t="s">
        <v>203</v>
      </c>
      <c r="J5771" s="4">
        <f>IFERROR(__xludf.DUMMYFUNCTION("DATE(INDEX(SPLIT(I5771,""/""),,3),INDEX(SPLIT(I5771,""/""),,2),INDEX(SPLIT(I5771,""/""),,1))"),44925.0)</f>
        <v>44925</v>
      </c>
      <c r="L5771" s="1">
        <v>0.0</v>
      </c>
      <c r="M5771" s="1" t="s">
        <v>12039</v>
      </c>
      <c r="N5771" s="1"/>
      <c r="O5771" s="1" t="s">
        <v>30</v>
      </c>
      <c r="P5771" s="1" t="s">
        <v>31</v>
      </c>
      <c r="Q5771" s="1" t="s">
        <v>228</v>
      </c>
      <c r="R5771" s="1" t="s">
        <v>228</v>
      </c>
      <c r="S5771" s="1" t="s">
        <v>229</v>
      </c>
      <c r="T5771" s="1" t="s">
        <v>513</v>
      </c>
      <c r="U5771" s="1">
        <v>1.00612509E8</v>
      </c>
      <c r="X5771" s="1" t="s">
        <v>74</v>
      </c>
      <c r="Y5771" s="1" t="s">
        <v>12637</v>
      </c>
      <c r="Z5771" s="1" t="s">
        <v>37</v>
      </c>
    </row>
    <row r="5772" hidden="1">
      <c r="A5772" s="1" t="s">
        <v>15943</v>
      </c>
      <c r="B5772" s="1" t="s">
        <v>15944</v>
      </c>
      <c r="C5772" s="1" t="s">
        <v>15945</v>
      </c>
      <c r="D5772" s="1" t="s">
        <v>27</v>
      </c>
      <c r="E5772" s="1" t="s">
        <v>28</v>
      </c>
      <c r="F5772" s="2">
        <v>14500.0</v>
      </c>
      <c r="G5772" s="4">
        <v>44205.0</v>
      </c>
      <c r="H5772" s="4">
        <f>IFERROR(__xludf.DUMMYFUNCTION("DATE(INDEX(SPLIT(G5772,""/""),,3),INDEX(SPLIT(G5772,""/""),,2),INDEX(SPLIT(G5772,""/""),,1))"),44440.0)</f>
        <v>44440</v>
      </c>
      <c r="I5772" s="1" t="s">
        <v>42</v>
      </c>
      <c r="J5772" s="4">
        <f>IFERROR(__xludf.DUMMYFUNCTION("DATE(INDEX(SPLIT(I5772,""/""),,3),INDEX(SPLIT(I5772,""/""),,2),INDEX(SPLIT(I5772,""/""),,1))"),44926.0)</f>
        <v>44926</v>
      </c>
      <c r="L5772" s="1">
        <v>0.0</v>
      </c>
      <c r="M5772" s="1" t="s">
        <v>12039</v>
      </c>
      <c r="N5772" s="1"/>
      <c r="O5772" s="1" t="s">
        <v>30</v>
      </c>
      <c r="P5772" s="1" t="s">
        <v>31</v>
      </c>
      <c r="Q5772" s="1" t="s">
        <v>228</v>
      </c>
      <c r="R5772" s="1" t="s">
        <v>228</v>
      </c>
      <c r="S5772" s="1" t="s">
        <v>229</v>
      </c>
      <c r="T5772" s="1" t="s">
        <v>513</v>
      </c>
      <c r="U5772" s="1">
        <v>1.00612509E8</v>
      </c>
      <c r="X5772" s="1" t="s">
        <v>117</v>
      </c>
      <c r="Y5772" s="1" t="s">
        <v>13638</v>
      </c>
      <c r="Z5772" s="1" t="s">
        <v>37</v>
      </c>
    </row>
    <row r="5773" hidden="1">
      <c r="A5773" s="1" t="s">
        <v>15946</v>
      </c>
      <c r="B5773" s="1" t="s">
        <v>15947</v>
      </c>
      <c r="C5773" s="1" t="s">
        <v>15948</v>
      </c>
      <c r="D5773" s="1" t="s">
        <v>27</v>
      </c>
      <c r="E5773" s="1" t="s">
        <v>28</v>
      </c>
      <c r="F5773" s="2">
        <v>14500.0</v>
      </c>
      <c r="G5773" s="4">
        <v>44415.0</v>
      </c>
      <c r="H5773" s="4">
        <f>IFERROR(__xludf.DUMMYFUNCTION("DATE(INDEX(SPLIT(G5773,""/""),,3),INDEX(SPLIT(G5773,""/""),,2),INDEX(SPLIT(G5773,""/""),,1))"),44385.0)</f>
        <v>44385</v>
      </c>
      <c r="I5773" s="1" t="s">
        <v>42</v>
      </c>
      <c r="J5773" s="4">
        <f>IFERROR(__xludf.DUMMYFUNCTION("DATE(INDEX(SPLIT(I5773,""/""),,3),INDEX(SPLIT(I5773,""/""),,2),INDEX(SPLIT(I5773,""/""),,1))"),44926.0)</f>
        <v>44926</v>
      </c>
      <c r="L5773" s="1">
        <v>0.0</v>
      </c>
      <c r="M5773" s="1" t="s">
        <v>11254</v>
      </c>
      <c r="N5773" s="1"/>
      <c r="O5773" s="1" t="s">
        <v>30</v>
      </c>
      <c r="P5773" s="1" t="s">
        <v>31</v>
      </c>
      <c r="Q5773" s="1" t="s">
        <v>228</v>
      </c>
      <c r="R5773" s="1" t="s">
        <v>228</v>
      </c>
      <c r="S5773" s="1" t="s">
        <v>229</v>
      </c>
      <c r="U5773" s="1">
        <v>1.00602248E8</v>
      </c>
      <c r="Y5773" s="1" t="s">
        <v>13638</v>
      </c>
      <c r="Z5773" s="1" t="s">
        <v>37</v>
      </c>
    </row>
    <row r="5774" hidden="1">
      <c r="A5774" s="1" t="s">
        <v>15949</v>
      </c>
      <c r="B5774" s="1" t="s">
        <v>15950</v>
      </c>
      <c r="C5774" s="1" t="s">
        <v>15951</v>
      </c>
      <c r="D5774" s="1" t="s">
        <v>78</v>
      </c>
      <c r="E5774" s="1" t="s">
        <v>28</v>
      </c>
      <c r="F5774" s="2">
        <v>14500.0</v>
      </c>
      <c r="G5774" s="1" t="s">
        <v>6746</v>
      </c>
      <c r="H5774" s="4">
        <f>IFERROR(__xludf.DUMMYFUNCTION("DATE(INDEX(SPLIT(G5774,""/""),,3),INDEX(SPLIT(G5774,""/""),,2),INDEX(SPLIT(G5774,""/""),,1))"),44309.0)</f>
        <v>44309</v>
      </c>
      <c r="I5774" s="1" t="s">
        <v>447</v>
      </c>
      <c r="J5774" s="4">
        <f>IFERROR(__xludf.DUMMYFUNCTION("DATE(INDEX(SPLIT(I5774,""/""),,3),INDEX(SPLIT(I5774,""/""),,2),INDEX(SPLIT(I5774,""/""),,1))"),44910.0)</f>
        <v>44910</v>
      </c>
      <c r="L5774" s="1">
        <v>0.0</v>
      </c>
      <c r="M5774" s="1" t="s">
        <v>11254</v>
      </c>
      <c r="N5774" s="1"/>
      <c r="O5774" s="1" t="s">
        <v>30</v>
      </c>
      <c r="P5774" s="1" t="s">
        <v>31</v>
      </c>
      <c r="Q5774" s="1" t="s">
        <v>228</v>
      </c>
      <c r="R5774" s="1" t="s">
        <v>228</v>
      </c>
      <c r="S5774" s="1" t="s">
        <v>229</v>
      </c>
      <c r="U5774" s="1">
        <v>1.00602248E8</v>
      </c>
      <c r="X5774" s="1" t="s">
        <v>88</v>
      </c>
      <c r="Y5774" s="1" t="s">
        <v>12637</v>
      </c>
      <c r="Z5774" s="1" t="s">
        <v>37</v>
      </c>
    </row>
    <row r="5775" hidden="1">
      <c r="A5775" s="1" t="s">
        <v>15952</v>
      </c>
      <c r="B5775" s="1" t="s">
        <v>15953</v>
      </c>
      <c r="C5775" s="1" t="s">
        <v>15954</v>
      </c>
      <c r="D5775" s="1" t="s">
        <v>78</v>
      </c>
      <c r="E5775" s="1" t="s">
        <v>28</v>
      </c>
      <c r="F5775" s="2">
        <v>14500.0</v>
      </c>
      <c r="G5775" s="1" t="s">
        <v>836</v>
      </c>
      <c r="H5775" s="4">
        <f>IFERROR(__xludf.DUMMYFUNCTION("DATE(INDEX(SPLIT(G5775,""/""),,3),INDEX(SPLIT(G5775,""/""),,2),INDEX(SPLIT(G5775,""/""),,1))"),44610.0)</f>
        <v>44610</v>
      </c>
      <c r="I5775" s="1" t="s">
        <v>109</v>
      </c>
      <c r="J5775" s="4">
        <f>IFERROR(__xludf.DUMMYFUNCTION("DATE(INDEX(SPLIT(I5775,""/""),,3),INDEX(SPLIT(I5775,""/""),,2),INDEX(SPLIT(I5775,""/""),,1))"),44834.0)</f>
        <v>44834</v>
      </c>
      <c r="L5775" s="1">
        <v>0.0</v>
      </c>
      <c r="M5775" s="1" t="s">
        <v>11254</v>
      </c>
      <c r="N5775" s="1"/>
      <c r="O5775" s="1" t="s">
        <v>30</v>
      </c>
      <c r="P5775" s="1" t="s">
        <v>31</v>
      </c>
      <c r="Q5775" s="1" t="s">
        <v>228</v>
      </c>
      <c r="R5775" s="1" t="s">
        <v>228</v>
      </c>
      <c r="S5775" s="1" t="s">
        <v>229</v>
      </c>
      <c r="T5775" s="1" t="s">
        <v>14924</v>
      </c>
      <c r="U5775" s="1">
        <v>1.00602248E8</v>
      </c>
      <c r="X5775" s="1" t="s">
        <v>254</v>
      </c>
      <c r="Y5775" s="1" t="s">
        <v>13638</v>
      </c>
      <c r="Z5775" s="1" t="s">
        <v>37</v>
      </c>
    </row>
    <row r="5776" hidden="1">
      <c r="A5776" s="1" t="s">
        <v>15955</v>
      </c>
      <c r="B5776" s="1" t="s">
        <v>15956</v>
      </c>
      <c r="C5776" s="1" t="s">
        <v>15957</v>
      </c>
      <c r="D5776" s="1" t="s">
        <v>27</v>
      </c>
      <c r="E5776" s="1" t="s">
        <v>28</v>
      </c>
      <c r="F5776" s="2">
        <v>14500.0</v>
      </c>
      <c r="G5776" s="1" t="s">
        <v>2110</v>
      </c>
      <c r="H5776" s="4">
        <f>IFERROR(__xludf.DUMMYFUNCTION("DATE(INDEX(SPLIT(G5776,""/""),,3),INDEX(SPLIT(G5776,""/""),,2),INDEX(SPLIT(G5776,""/""),,1))"),44650.0)</f>
        <v>44650</v>
      </c>
      <c r="I5776" s="1" t="s">
        <v>203</v>
      </c>
      <c r="J5776" s="4">
        <f>IFERROR(__xludf.DUMMYFUNCTION("DATE(INDEX(SPLIT(I5776,""/""),,3),INDEX(SPLIT(I5776,""/""),,2),INDEX(SPLIT(I5776,""/""),,1))"),44925.0)</f>
        <v>44925</v>
      </c>
      <c r="L5776" s="1">
        <v>0.0</v>
      </c>
      <c r="M5776" s="1" t="s">
        <v>11254</v>
      </c>
      <c r="N5776" s="1"/>
      <c r="O5776" s="1" t="s">
        <v>30</v>
      </c>
      <c r="P5776" s="1" t="s">
        <v>31</v>
      </c>
      <c r="Q5776" s="1" t="s">
        <v>228</v>
      </c>
      <c r="R5776" s="1" t="s">
        <v>228</v>
      </c>
      <c r="S5776" s="1" t="s">
        <v>229</v>
      </c>
      <c r="T5776" s="1" t="s">
        <v>513</v>
      </c>
      <c r="U5776" s="1">
        <v>1.00602248E8</v>
      </c>
      <c r="X5776" s="1" t="s">
        <v>254</v>
      </c>
      <c r="Y5776" s="1" t="s">
        <v>13638</v>
      </c>
      <c r="Z5776" s="1" t="s">
        <v>37</v>
      </c>
    </row>
    <row r="5777" hidden="1">
      <c r="A5777" s="1" t="s">
        <v>15958</v>
      </c>
      <c r="B5777" s="1" t="s">
        <v>15959</v>
      </c>
      <c r="C5777" s="1" t="s">
        <v>15960</v>
      </c>
      <c r="D5777" s="1" t="s">
        <v>78</v>
      </c>
      <c r="E5777" s="1" t="s">
        <v>28</v>
      </c>
      <c r="F5777" s="2">
        <v>14500.0</v>
      </c>
      <c r="G5777" s="1" t="s">
        <v>1092</v>
      </c>
      <c r="H5777" s="4">
        <f>IFERROR(__xludf.DUMMYFUNCTION("DATE(INDEX(SPLIT(G5777,""/""),,3),INDEX(SPLIT(G5777,""/""),,2),INDEX(SPLIT(G5777,""/""),,1))"),44489.0)</f>
        <v>44489</v>
      </c>
      <c r="I5777" s="1" t="s">
        <v>203</v>
      </c>
      <c r="J5777" s="4">
        <f>IFERROR(__xludf.DUMMYFUNCTION("DATE(INDEX(SPLIT(I5777,""/""),,3),INDEX(SPLIT(I5777,""/""),,2),INDEX(SPLIT(I5777,""/""),,1))"),44925.0)</f>
        <v>44925</v>
      </c>
      <c r="L5777" s="1">
        <v>0.0</v>
      </c>
      <c r="M5777" s="1" t="s">
        <v>11254</v>
      </c>
      <c r="N5777" s="1"/>
      <c r="O5777" s="1" t="s">
        <v>30</v>
      </c>
      <c r="P5777" s="1" t="s">
        <v>31</v>
      </c>
      <c r="Q5777" s="1" t="s">
        <v>228</v>
      </c>
      <c r="R5777" s="1" t="s">
        <v>228</v>
      </c>
      <c r="S5777" s="1" t="s">
        <v>229</v>
      </c>
      <c r="T5777" s="1" t="s">
        <v>513</v>
      </c>
      <c r="U5777" s="1">
        <v>1.00602248E8</v>
      </c>
      <c r="X5777" s="1" t="s">
        <v>74</v>
      </c>
      <c r="Y5777" s="1" t="s">
        <v>12637</v>
      </c>
      <c r="Z5777" s="1" t="s">
        <v>37</v>
      </c>
    </row>
    <row r="5778" hidden="1">
      <c r="A5778" s="1" t="s">
        <v>15961</v>
      </c>
      <c r="B5778" s="1" t="s">
        <v>3639</v>
      </c>
      <c r="C5778" s="1" t="s">
        <v>15962</v>
      </c>
      <c r="D5778" s="1" t="s">
        <v>27</v>
      </c>
      <c r="E5778" s="1" t="s">
        <v>28</v>
      </c>
      <c r="F5778" s="2">
        <v>14500.0</v>
      </c>
      <c r="G5778" s="4">
        <v>44810.0</v>
      </c>
      <c r="H5778" s="4">
        <f>IFERROR(__xludf.DUMMYFUNCTION("DATE(INDEX(SPLIT(G5778,""/""),,3),INDEX(SPLIT(G5778,""/""),,2),INDEX(SPLIT(G5778,""/""),,1))"),44721.0)</f>
        <v>44721</v>
      </c>
      <c r="I5778" s="1" t="s">
        <v>42</v>
      </c>
      <c r="J5778" s="4">
        <f>IFERROR(__xludf.DUMMYFUNCTION("DATE(INDEX(SPLIT(I5778,""/""),,3),INDEX(SPLIT(I5778,""/""),,2),INDEX(SPLIT(I5778,""/""),,1))"),44926.0)</f>
        <v>44926</v>
      </c>
      <c r="L5778" s="1">
        <v>0.0</v>
      </c>
      <c r="M5778" s="1" t="s">
        <v>11254</v>
      </c>
      <c r="N5778" s="1"/>
      <c r="O5778" s="1" t="s">
        <v>30</v>
      </c>
      <c r="P5778" s="1" t="s">
        <v>31</v>
      </c>
      <c r="Q5778" s="1" t="s">
        <v>228</v>
      </c>
      <c r="R5778" s="1" t="s">
        <v>228</v>
      </c>
      <c r="S5778" s="1" t="s">
        <v>229</v>
      </c>
      <c r="T5778" s="1" t="s">
        <v>14924</v>
      </c>
      <c r="U5778" s="1">
        <v>1.00602248E8</v>
      </c>
      <c r="X5778" s="1" t="s">
        <v>375</v>
      </c>
      <c r="Y5778" s="1" t="s">
        <v>12640</v>
      </c>
      <c r="Z5778" s="1" t="s">
        <v>37</v>
      </c>
    </row>
    <row r="5779" hidden="1">
      <c r="A5779" s="1" t="s">
        <v>15963</v>
      </c>
      <c r="B5779" s="1" t="s">
        <v>15964</v>
      </c>
      <c r="C5779" s="1" t="s">
        <v>15965</v>
      </c>
      <c r="D5779" s="1" t="s">
        <v>122</v>
      </c>
      <c r="E5779" s="1" t="s">
        <v>28</v>
      </c>
      <c r="F5779" s="2">
        <v>14500.0</v>
      </c>
      <c r="G5779" s="4">
        <v>44810.0</v>
      </c>
      <c r="H5779" s="4">
        <f>IFERROR(__xludf.DUMMYFUNCTION("DATE(INDEX(SPLIT(G5779,""/""),,3),INDEX(SPLIT(G5779,""/""),,2),INDEX(SPLIT(G5779,""/""),,1))"),44721.0)</f>
        <v>44721</v>
      </c>
      <c r="I5779" s="1" t="s">
        <v>109</v>
      </c>
      <c r="J5779" s="4">
        <f>IFERROR(__xludf.DUMMYFUNCTION("DATE(INDEX(SPLIT(I5779,""/""),,3),INDEX(SPLIT(I5779,""/""),,2),INDEX(SPLIT(I5779,""/""),,1))"),44834.0)</f>
        <v>44834</v>
      </c>
      <c r="L5779" s="1">
        <v>0.0</v>
      </c>
      <c r="M5779" s="1" t="s">
        <v>11254</v>
      </c>
      <c r="N5779" s="1"/>
      <c r="O5779" s="1" t="s">
        <v>30</v>
      </c>
      <c r="P5779" s="1" t="s">
        <v>31</v>
      </c>
      <c r="Q5779" s="1" t="s">
        <v>228</v>
      </c>
      <c r="R5779" s="1" t="s">
        <v>228</v>
      </c>
      <c r="S5779" s="1" t="s">
        <v>229</v>
      </c>
      <c r="T5779" s="1" t="s">
        <v>14924</v>
      </c>
      <c r="U5779" s="1">
        <v>1.00602248E8</v>
      </c>
      <c r="X5779" s="1" t="s">
        <v>98</v>
      </c>
      <c r="Y5779" s="1" t="s">
        <v>12640</v>
      </c>
      <c r="Z5779" s="1" t="s">
        <v>37</v>
      </c>
    </row>
    <row r="5780" hidden="1">
      <c r="A5780" s="1" t="s">
        <v>15966</v>
      </c>
      <c r="B5780" s="1" t="s">
        <v>15967</v>
      </c>
      <c r="C5780" s="1" t="s">
        <v>15968</v>
      </c>
      <c r="D5780" s="1" t="s">
        <v>78</v>
      </c>
      <c r="E5780" s="1" t="s">
        <v>28</v>
      </c>
      <c r="F5780" s="2">
        <v>14500.0</v>
      </c>
      <c r="G5780" s="4">
        <v>44447.0</v>
      </c>
      <c r="H5780" s="4">
        <f>IFERROR(__xludf.DUMMYFUNCTION("DATE(INDEX(SPLIT(G5780,""/""),,3),INDEX(SPLIT(G5780,""/""),,2),INDEX(SPLIT(G5780,""/""),,1))"),44417.0)</f>
        <v>44417</v>
      </c>
      <c r="I5780" s="1" t="s">
        <v>447</v>
      </c>
      <c r="J5780" s="4">
        <f>IFERROR(__xludf.DUMMYFUNCTION("DATE(INDEX(SPLIT(I5780,""/""),,3),INDEX(SPLIT(I5780,""/""),,2),INDEX(SPLIT(I5780,""/""),,1))"),44910.0)</f>
        <v>44910</v>
      </c>
      <c r="L5780" s="1">
        <v>0.0</v>
      </c>
      <c r="M5780" s="1" t="s">
        <v>11254</v>
      </c>
      <c r="N5780" s="1"/>
      <c r="O5780" s="1" t="s">
        <v>30</v>
      </c>
      <c r="P5780" s="1" t="s">
        <v>31</v>
      </c>
      <c r="Q5780" s="1" t="s">
        <v>228</v>
      </c>
      <c r="R5780" s="1" t="s">
        <v>228</v>
      </c>
      <c r="S5780" s="1" t="s">
        <v>229</v>
      </c>
      <c r="U5780" s="1">
        <v>1.00602248E8</v>
      </c>
      <c r="X5780" s="1" t="s">
        <v>63</v>
      </c>
      <c r="Y5780" s="1" t="s">
        <v>12637</v>
      </c>
      <c r="Z5780" s="1" t="s">
        <v>37</v>
      </c>
    </row>
    <row r="5781" hidden="1">
      <c r="A5781" s="1" t="s">
        <v>15969</v>
      </c>
      <c r="B5781" s="1" t="s">
        <v>15970</v>
      </c>
      <c r="C5781" s="1" t="s">
        <v>15971</v>
      </c>
      <c r="D5781" s="1" t="s">
        <v>78</v>
      </c>
      <c r="E5781" s="1" t="s">
        <v>28</v>
      </c>
      <c r="F5781" s="2">
        <v>14500.0</v>
      </c>
      <c r="G5781" s="1" t="s">
        <v>2110</v>
      </c>
      <c r="H5781" s="4">
        <f>IFERROR(__xludf.DUMMYFUNCTION("DATE(INDEX(SPLIT(G5781,""/""),,3),INDEX(SPLIT(G5781,""/""),,2),INDEX(SPLIT(G5781,""/""),,1))"),44650.0)</f>
        <v>44650</v>
      </c>
      <c r="I5781" s="1" t="s">
        <v>360</v>
      </c>
      <c r="J5781" s="4">
        <f>IFERROR(__xludf.DUMMYFUNCTION("DATE(INDEX(SPLIT(I5781,""/""),,3),INDEX(SPLIT(I5781,""/""),,2),INDEX(SPLIT(I5781,""/""),,1))"),44895.0)</f>
        <v>44895</v>
      </c>
      <c r="L5781" s="1">
        <v>0.0</v>
      </c>
      <c r="M5781" s="1" t="s">
        <v>11254</v>
      </c>
      <c r="N5781" s="1"/>
      <c r="O5781" s="1" t="s">
        <v>30</v>
      </c>
      <c r="P5781" s="1" t="s">
        <v>31</v>
      </c>
      <c r="Q5781" s="1" t="s">
        <v>228</v>
      </c>
      <c r="R5781" s="1" t="s">
        <v>228</v>
      </c>
      <c r="S5781" s="1" t="s">
        <v>229</v>
      </c>
      <c r="T5781" s="1" t="s">
        <v>513</v>
      </c>
      <c r="U5781" s="1">
        <v>1.00602248E8</v>
      </c>
      <c r="Y5781" s="1" t="s">
        <v>13638</v>
      </c>
      <c r="Z5781" s="1" t="s">
        <v>37</v>
      </c>
    </row>
    <row r="5782" hidden="1">
      <c r="A5782" s="1" t="s">
        <v>15972</v>
      </c>
      <c r="B5782" s="1" t="s">
        <v>15973</v>
      </c>
      <c r="C5782" s="1" t="s">
        <v>15974</v>
      </c>
      <c r="D5782" s="1" t="s">
        <v>78</v>
      </c>
      <c r="E5782" s="1" t="s">
        <v>28</v>
      </c>
      <c r="F5782" s="2">
        <v>14500.0</v>
      </c>
      <c r="G5782" s="1" t="s">
        <v>7249</v>
      </c>
      <c r="H5782" s="4">
        <f>IFERROR(__xludf.DUMMYFUNCTION("DATE(INDEX(SPLIT(G5782,""/""),,3),INDEX(SPLIT(G5782,""/""),,2),INDEX(SPLIT(G5782,""/""),,1))"),44281.0)</f>
        <v>44281</v>
      </c>
      <c r="I5782" s="1" t="s">
        <v>109</v>
      </c>
      <c r="J5782" s="4">
        <f>IFERROR(__xludf.DUMMYFUNCTION("DATE(INDEX(SPLIT(I5782,""/""),,3),INDEX(SPLIT(I5782,""/""),,2),INDEX(SPLIT(I5782,""/""),,1))"),44834.0)</f>
        <v>44834</v>
      </c>
      <c r="L5782" s="1">
        <v>0.0</v>
      </c>
      <c r="M5782" s="1" t="s">
        <v>11254</v>
      </c>
      <c r="N5782" s="1"/>
      <c r="O5782" s="1" t="s">
        <v>30</v>
      </c>
      <c r="P5782" s="1" t="s">
        <v>31</v>
      </c>
      <c r="Q5782" s="1" t="s">
        <v>228</v>
      </c>
      <c r="R5782" s="1" t="s">
        <v>228</v>
      </c>
      <c r="S5782" s="1" t="s">
        <v>229</v>
      </c>
      <c r="T5782" s="1" t="s">
        <v>513</v>
      </c>
      <c r="U5782" s="1">
        <v>1.00602248E8</v>
      </c>
      <c r="X5782" s="1" t="s">
        <v>490</v>
      </c>
      <c r="Y5782" s="1" t="s">
        <v>12637</v>
      </c>
      <c r="Z5782" s="1" t="s">
        <v>37</v>
      </c>
    </row>
    <row r="5783" hidden="1">
      <c r="A5783" s="1" t="s">
        <v>15975</v>
      </c>
      <c r="B5783" s="1" t="s">
        <v>15976</v>
      </c>
      <c r="C5783" s="1" t="s">
        <v>15977</v>
      </c>
      <c r="D5783" s="1" t="s">
        <v>27</v>
      </c>
      <c r="E5783" s="1" t="s">
        <v>28</v>
      </c>
      <c r="F5783" s="2">
        <v>14500.0</v>
      </c>
      <c r="G5783" s="4">
        <v>44810.0</v>
      </c>
      <c r="H5783" s="4">
        <f>IFERROR(__xludf.DUMMYFUNCTION("DATE(INDEX(SPLIT(G5783,""/""),,3),INDEX(SPLIT(G5783,""/""),,2),INDEX(SPLIT(G5783,""/""),,1))"),44721.0)</f>
        <v>44721</v>
      </c>
      <c r="I5783" s="1" t="s">
        <v>42</v>
      </c>
      <c r="J5783" s="4">
        <f>IFERROR(__xludf.DUMMYFUNCTION("DATE(INDEX(SPLIT(I5783,""/""),,3),INDEX(SPLIT(I5783,""/""),,2),INDEX(SPLIT(I5783,""/""),,1))"),44926.0)</f>
        <v>44926</v>
      </c>
      <c r="L5783" s="1">
        <v>0.0</v>
      </c>
      <c r="M5783" s="1" t="s">
        <v>11254</v>
      </c>
      <c r="N5783" s="1"/>
      <c r="O5783" s="1" t="s">
        <v>30</v>
      </c>
      <c r="P5783" s="1" t="s">
        <v>31</v>
      </c>
      <c r="Q5783" s="1" t="s">
        <v>228</v>
      </c>
      <c r="R5783" s="1" t="s">
        <v>228</v>
      </c>
      <c r="S5783" s="1" t="s">
        <v>229</v>
      </c>
      <c r="T5783" s="1" t="s">
        <v>513</v>
      </c>
      <c r="U5783" s="1">
        <v>1.00602248E8</v>
      </c>
      <c r="X5783" s="1" t="s">
        <v>74</v>
      </c>
      <c r="Y5783" s="1" t="s">
        <v>12640</v>
      </c>
      <c r="Z5783" s="1" t="s">
        <v>37</v>
      </c>
    </row>
    <row r="5784" hidden="1">
      <c r="A5784" s="1" t="s">
        <v>15978</v>
      </c>
      <c r="B5784" s="1" t="s">
        <v>2650</v>
      </c>
      <c r="C5784" s="1" t="s">
        <v>15979</v>
      </c>
      <c r="D5784" s="1" t="s">
        <v>27</v>
      </c>
      <c r="E5784" s="1" t="s">
        <v>28</v>
      </c>
      <c r="F5784" s="2">
        <v>14500.0</v>
      </c>
      <c r="G5784" s="4">
        <v>44415.0</v>
      </c>
      <c r="H5784" s="4">
        <f>IFERROR(__xludf.DUMMYFUNCTION("DATE(INDEX(SPLIT(G5784,""/""),,3),INDEX(SPLIT(G5784,""/""),,2),INDEX(SPLIT(G5784,""/""),,1))"),44385.0)</f>
        <v>44385</v>
      </c>
      <c r="I5784" s="1" t="s">
        <v>42</v>
      </c>
      <c r="J5784" s="4">
        <f>IFERROR(__xludf.DUMMYFUNCTION("DATE(INDEX(SPLIT(I5784,""/""),,3),INDEX(SPLIT(I5784,""/""),,2),INDEX(SPLIT(I5784,""/""),,1))"),44926.0)</f>
        <v>44926</v>
      </c>
      <c r="L5784" s="1">
        <v>0.0</v>
      </c>
      <c r="M5784" s="1" t="s">
        <v>11254</v>
      </c>
      <c r="N5784" s="1"/>
      <c r="O5784" s="1" t="s">
        <v>30</v>
      </c>
      <c r="P5784" s="1" t="s">
        <v>31</v>
      </c>
      <c r="Q5784" s="1" t="s">
        <v>228</v>
      </c>
      <c r="R5784" s="1" t="s">
        <v>228</v>
      </c>
      <c r="S5784" s="1" t="s">
        <v>229</v>
      </c>
      <c r="U5784" s="1">
        <v>1.00602248E8</v>
      </c>
      <c r="Y5784" s="1" t="s">
        <v>13638</v>
      </c>
      <c r="Z5784" s="1" t="s">
        <v>37</v>
      </c>
    </row>
    <row r="5785" hidden="1">
      <c r="A5785" s="1" t="s">
        <v>15980</v>
      </c>
      <c r="B5785" s="1" t="s">
        <v>15981</v>
      </c>
      <c r="C5785" s="1" t="s">
        <v>15982</v>
      </c>
      <c r="D5785" s="1" t="s">
        <v>27</v>
      </c>
      <c r="E5785" s="1" t="s">
        <v>28</v>
      </c>
      <c r="F5785" s="2">
        <v>14500.0</v>
      </c>
      <c r="G5785" s="4">
        <v>44810.0</v>
      </c>
      <c r="H5785" s="4">
        <f>IFERROR(__xludf.DUMMYFUNCTION("DATE(INDEX(SPLIT(G5785,""/""),,3),INDEX(SPLIT(G5785,""/""),,2),INDEX(SPLIT(G5785,""/""),,1))"),44721.0)</f>
        <v>44721</v>
      </c>
      <c r="I5785" s="1" t="s">
        <v>42</v>
      </c>
      <c r="J5785" s="4">
        <f>IFERROR(__xludf.DUMMYFUNCTION("DATE(INDEX(SPLIT(I5785,""/""),,3),INDEX(SPLIT(I5785,""/""),,2),INDEX(SPLIT(I5785,""/""),,1))"),44926.0)</f>
        <v>44926</v>
      </c>
      <c r="L5785" s="1">
        <v>0.0</v>
      </c>
      <c r="M5785" s="1" t="s">
        <v>11254</v>
      </c>
      <c r="N5785" s="1"/>
      <c r="O5785" s="1" t="s">
        <v>30</v>
      </c>
      <c r="P5785" s="1" t="s">
        <v>31</v>
      </c>
      <c r="Q5785" s="1" t="s">
        <v>228</v>
      </c>
      <c r="R5785" s="1" t="s">
        <v>228</v>
      </c>
      <c r="S5785" s="1" t="s">
        <v>229</v>
      </c>
      <c r="T5785" s="1" t="s">
        <v>14924</v>
      </c>
      <c r="U5785" s="1">
        <v>1.00602248E8</v>
      </c>
      <c r="X5785" s="1" t="s">
        <v>125</v>
      </c>
      <c r="Y5785" s="1" t="s">
        <v>12640</v>
      </c>
      <c r="Z5785" s="1" t="s">
        <v>37</v>
      </c>
    </row>
    <row r="5786" hidden="1">
      <c r="A5786" s="1" t="s">
        <v>15983</v>
      </c>
      <c r="B5786" s="1" t="s">
        <v>15984</v>
      </c>
      <c r="C5786" s="1" t="s">
        <v>15985</v>
      </c>
      <c r="D5786" s="1" t="s">
        <v>78</v>
      </c>
      <c r="E5786" s="1" t="s">
        <v>28</v>
      </c>
      <c r="F5786" s="2">
        <v>14500.0</v>
      </c>
      <c r="G5786" s="4">
        <v>43901.0</v>
      </c>
      <c r="H5786" s="4">
        <f>IFERROR(__xludf.DUMMYFUNCTION("DATE(INDEX(SPLIT(G5786,""/""),,3),INDEX(SPLIT(G5786,""/""),,2),INDEX(SPLIT(G5786,""/""),,1))"),44138.0)</f>
        <v>44138</v>
      </c>
      <c r="I5786" s="1" t="s">
        <v>109</v>
      </c>
      <c r="J5786" s="4">
        <f>IFERROR(__xludf.DUMMYFUNCTION("DATE(INDEX(SPLIT(I5786,""/""),,3),INDEX(SPLIT(I5786,""/""),,2),INDEX(SPLIT(I5786,""/""),,1))"),44834.0)</f>
        <v>44834</v>
      </c>
      <c r="L5786" s="1">
        <v>0.0</v>
      </c>
      <c r="M5786" s="1" t="s">
        <v>11254</v>
      </c>
      <c r="N5786" s="1"/>
      <c r="O5786" s="1" t="s">
        <v>30</v>
      </c>
      <c r="P5786" s="1" t="s">
        <v>31</v>
      </c>
      <c r="Q5786" s="1" t="s">
        <v>228</v>
      </c>
      <c r="R5786" s="1" t="s">
        <v>228</v>
      </c>
      <c r="S5786" s="1" t="s">
        <v>229</v>
      </c>
      <c r="T5786" s="1" t="s">
        <v>513</v>
      </c>
      <c r="U5786" s="1">
        <v>1.00602248E8</v>
      </c>
      <c r="X5786" s="1" t="s">
        <v>117</v>
      </c>
      <c r="Y5786" s="1" t="s">
        <v>12637</v>
      </c>
      <c r="Z5786" s="1" t="s">
        <v>37</v>
      </c>
    </row>
    <row r="5787" hidden="1">
      <c r="A5787" s="1" t="s">
        <v>15986</v>
      </c>
      <c r="B5787" s="1" t="s">
        <v>15987</v>
      </c>
      <c r="C5787" s="1" t="s">
        <v>15988</v>
      </c>
      <c r="D5787" s="1" t="s">
        <v>27</v>
      </c>
      <c r="E5787" s="1" t="s">
        <v>28</v>
      </c>
      <c r="F5787" s="2">
        <v>14500.0</v>
      </c>
      <c r="G5787" s="1" t="s">
        <v>867</v>
      </c>
      <c r="H5787" s="4">
        <f>IFERROR(__xludf.DUMMYFUNCTION("DATE(INDEX(SPLIT(G5787,""/""),,3),INDEX(SPLIT(G5787,""/""),,2),INDEX(SPLIT(G5787,""/""),,1))"),44363.0)</f>
        <v>44363</v>
      </c>
      <c r="I5787" s="1" t="s">
        <v>42</v>
      </c>
      <c r="J5787" s="4">
        <f>IFERROR(__xludf.DUMMYFUNCTION("DATE(INDEX(SPLIT(I5787,""/""),,3),INDEX(SPLIT(I5787,""/""),,2),INDEX(SPLIT(I5787,""/""),,1))"),44926.0)</f>
        <v>44926</v>
      </c>
      <c r="L5787" s="1">
        <v>0.0</v>
      </c>
      <c r="M5787" s="1" t="s">
        <v>11254</v>
      </c>
      <c r="N5787" s="1"/>
      <c r="O5787" s="1" t="s">
        <v>30</v>
      </c>
      <c r="P5787" s="1" t="s">
        <v>31</v>
      </c>
      <c r="Q5787" s="1" t="s">
        <v>228</v>
      </c>
      <c r="R5787" s="1" t="s">
        <v>228</v>
      </c>
      <c r="S5787" s="1" t="s">
        <v>229</v>
      </c>
      <c r="T5787" s="1" t="s">
        <v>513</v>
      </c>
      <c r="U5787" s="1">
        <v>1.00602248E8</v>
      </c>
      <c r="X5787" s="1" t="s">
        <v>81</v>
      </c>
      <c r="Y5787" s="1" t="s">
        <v>13638</v>
      </c>
      <c r="Z5787" s="1" t="s">
        <v>37</v>
      </c>
    </row>
    <row r="5788" hidden="1">
      <c r="A5788" s="1" t="s">
        <v>15989</v>
      </c>
      <c r="B5788" s="1" t="s">
        <v>15990</v>
      </c>
      <c r="C5788" s="1" t="s">
        <v>15991</v>
      </c>
      <c r="D5788" s="1" t="s">
        <v>78</v>
      </c>
      <c r="E5788" s="1" t="s">
        <v>28</v>
      </c>
      <c r="F5788" s="2">
        <v>14500.0</v>
      </c>
      <c r="G5788" s="1" t="s">
        <v>867</v>
      </c>
      <c r="H5788" s="4">
        <f>IFERROR(__xludf.DUMMYFUNCTION("DATE(INDEX(SPLIT(G5788,""/""),,3),INDEX(SPLIT(G5788,""/""),,2),INDEX(SPLIT(G5788,""/""),,1))"),44363.0)</f>
        <v>44363</v>
      </c>
      <c r="I5788" s="1" t="s">
        <v>109</v>
      </c>
      <c r="J5788" s="4">
        <f>IFERROR(__xludf.DUMMYFUNCTION("DATE(INDEX(SPLIT(I5788,""/""),,3),INDEX(SPLIT(I5788,""/""),,2),INDEX(SPLIT(I5788,""/""),,1))"),44834.0)</f>
        <v>44834</v>
      </c>
      <c r="L5788" s="1">
        <v>0.0</v>
      </c>
      <c r="M5788" s="1" t="s">
        <v>11254</v>
      </c>
      <c r="N5788" s="1"/>
      <c r="O5788" s="1" t="s">
        <v>30</v>
      </c>
      <c r="P5788" s="1" t="s">
        <v>31</v>
      </c>
      <c r="Q5788" s="1" t="s">
        <v>228</v>
      </c>
      <c r="R5788" s="1" t="s">
        <v>228</v>
      </c>
      <c r="S5788" s="1" t="s">
        <v>229</v>
      </c>
      <c r="T5788" s="1" t="s">
        <v>513</v>
      </c>
      <c r="U5788" s="1">
        <v>1.00602248E8</v>
      </c>
      <c r="X5788" s="1" t="s">
        <v>46</v>
      </c>
      <c r="Y5788" s="1" t="s">
        <v>12637</v>
      </c>
      <c r="Z5788" s="1" t="s">
        <v>37</v>
      </c>
    </row>
    <row r="5789" hidden="1">
      <c r="A5789" s="1" t="s">
        <v>15992</v>
      </c>
      <c r="B5789" s="1" t="s">
        <v>15993</v>
      </c>
      <c r="C5789" s="1" t="s">
        <v>15994</v>
      </c>
      <c r="D5789" s="1" t="s">
        <v>27</v>
      </c>
      <c r="E5789" s="1" t="s">
        <v>28</v>
      </c>
      <c r="F5789" s="2">
        <v>14500.0</v>
      </c>
      <c r="G5789" s="1" t="s">
        <v>798</v>
      </c>
      <c r="H5789" s="4">
        <f>IFERROR(__xludf.DUMMYFUNCTION("DATE(INDEX(SPLIT(G5789,""/""),,3),INDEX(SPLIT(G5789,""/""),,2),INDEX(SPLIT(G5789,""/""),,1))"),44313.0)</f>
        <v>44313</v>
      </c>
      <c r="I5789" s="1" t="s">
        <v>42</v>
      </c>
      <c r="J5789" s="4">
        <f>IFERROR(__xludf.DUMMYFUNCTION("DATE(INDEX(SPLIT(I5789,""/""),,3),INDEX(SPLIT(I5789,""/""),,2),INDEX(SPLIT(I5789,""/""),,1))"),44926.0)</f>
        <v>44926</v>
      </c>
      <c r="L5789" s="1">
        <v>0.0</v>
      </c>
      <c r="M5789" s="1" t="s">
        <v>12039</v>
      </c>
      <c r="N5789" s="1"/>
      <c r="O5789" s="1" t="s">
        <v>30</v>
      </c>
      <c r="P5789" s="1" t="s">
        <v>31</v>
      </c>
      <c r="Q5789" s="1" t="s">
        <v>228</v>
      </c>
      <c r="R5789" s="1" t="s">
        <v>228</v>
      </c>
      <c r="S5789" s="1" t="s">
        <v>229</v>
      </c>
      <c r="T5789" s="1" t="s">
        <v>513</v>
      </c>
      <c r="U5789" s="1">
        <v>1.00612509E8</v>
      </c>
      <c r="X5789" s="1" t="s">
        <v>74</v>
      </c>
      <c r="Y5789" s="1" t="s">
        <v>13638</v>
      </c>
      <c r="Z5789" s="1" t="s">
        <v>37</v>
      </c>
    </row>
    <row r="5790" hidden="1">
      <c r="A5790" s="1" t="s">
        <v>15995</v>
      </c>
      <c r="B5790" s="1" t="s">
        <v>15996</v>
      </c>
      <c r="C5790" s="1" t="s">
        <v>15997</v>
      </c>
      <c r="D5790" s="1" t="s">
        <v>27</v>
      </c>
      <c r="E5790" s="1" t="s">
        <v>28</v>
      </c>
      <c r="F5790" s="2">
        <v>14500.0</v>
      </c>
      <c r="G5790" s="1" t="s">
        <v>321</v>
      </c>
      <c r="H5790" s="4">
        <f>IFERROR(__xludf.DUMMYFUNCTION("DATE(INDEX(SPLIT(G5790,""/""),,3),INDEX(SPLIT(G5790,""/""),,2),INDEX(SPLIT(G5790,""/""),,1))"),44586.0)</f>
        <v>44586</v>
      </c>
      <c r="I5790" s="1" t="s">
        <v>42</v>
      </c>
      <c r="J5790" s="4">
        <f>IFERROR(__xludf.DUMMYFUNCTION("DATE(INDEX(SPLIT(I5790,""/""),,3),INDEX(SPLIT(I5790,""/""),,2),INDEX(SPLIT(I5790,""/""),,1))"),44926.0)</f>
        <v>44926</v>
      </c>
      <c r="L5790" s="1">
        <v>0.0</v>
      </c>
      <c r="M5790" s="1" t="s">
        <v>11254</v>
      </c>
      <c r="N5790" s="1"/>
      <c r="O5790" s="1" t="s">
        <v>30</v>
      </c>
      <c r="P5790" s="1" t="s">
        <v>31</v>
      </c>
      <c r="Q5790" s="1" t="s">
        <v>228</v>
      </c>
      <c r="R5790" s="1" t="s">
        <v>228</v>
      </c>
      <c r="S5790" s="1" t="s">
        <v>229</v>
      </c>
      <c r="T5790" s="1" t="s">
        <v>14924</v>
      </c>
      <c r="U5790" s="1">
        <v>1.00602248E8</v>
      </c>
      <c r="X5790" s="1" t="s">
        <v>63</v>
      </c>
      <c r="Y5790" s="1" t="s">
        <v>12640</v>
      </c>
      <c r="Z5790" s="1" t="s">
        <v>37</v>
      </c>
    </row>
    <row r="5791" hidden="1">
      <c r="A5791" s="1" t="s">
        <v>15998</v>
      </c>
      <c r="B5791" s="1" t="s">
        <v>10599</v>
      </c>
      <c r="C5791" s="1" t="s">
        <v>15999</v>
      </c>
      <c r="D5791" s="1" t="s">
        <v>27</v>
      </c>
      <c r="E5791" s="1" t="s">
        <v>28</v>
      </c>
      <c r="F5791" s="2">
        <v>14500.0</v>
      </c>
      <c r="G5791" s="1" t="s">
        <v>1092</v>
      </c>
      <c r="H5791" s="4">
        <f>IFERROR(__xludf.DUMMYFUNCTION("DATE(INDEX(SPLIT(G5791,""/""),,3),INDEX(SPLIT(G5791,""/""),,2),INDEX(SPLIT(G5791,""/""),,1))"),44489.0)</f>
        <v>44489</v>
      </c>
      <c r="I5791" s="1" t="s">
        <v>42</v>
      </c>
      <c r="J5791" s="4">
        <f>IFERROR(__xludf.DUMMYFUNCTION("DATE(INDEX(SPLIT(I5791,""/""),,3),INDEX(SPLIT(I5791,""/""),,2),INDEX(SPLIT(I5791,""/""),,1))"),44926.0)</f>
        <v>44926</v>
      </c>
      <c r="L5791" s="1">
        <v>0.0</v>
      </c>
      <c r="M5791" s="1" t="s">
        <v>11254</v>
      </c>
      <c r="N5791" s="1"/>
      <c r="O5791" s="1" t="s">
        <v>30</v>
      </c>
      <c r="P5791" s="1" t="s">
        <v>31</v>
      </c>
      <c r="Q5791" s="1" t="s">
        <v>228</v>
      </c>
      <c r="R5791" s="1" t="s">
        <v>228</v>
      </c>
      <c r="S5791" s="1" t="s">
        <v>229</v>
      </c>
      <c r="T5791" s="1" t="s">
        <v>513</v>
      </c>
      <c r="U5791" s="1">
        <v>1.00602248E8</v>
      </c>
      <c r="X5791" s="1" t="s">
        <v>117</v>
      </c>
      <c r="Y5791" s="1" t="s">
        <v>13638</v>
      </c>
      <c r="Z5791" s="1" t="s">
        <v>37</v>
      </c>
    </row>
    <row r="5792" hidden="1">
      <c r="A5792" s="1" t="s">
        <v>16000</v>
      </c>
      <c r="B5792" s="1" t="s">
        <v>16001</v>
      </c>
      <c r="C5792" s="1" t="s">
        <v>16002</v>
      </c>
      <c r="D5792" s="1" t="s">
        <v>122</v>
      </c>
      <c r="E5792" s="1" t="s">
        <v>28</v>
      </c>
      <c r="F5792" s="2">
        <v>14500.0</v>
      </c>
      <c r="G5792" s="1" t="s">
        <v>2796</v>
      </c>
      <c r="H5792" s="4">
        <f>IFERROR(__xludf.DUMMYFUNCTION("DATE(INDEX(SPLIT(G5792,""/""),,3),INDEX(SPLIT(G5792,""/""),,2),INDEX(SPLIT(G5792,""/""),,1))"),44464.0)</f>
        <v>44464</v>
      </c>
      <c r="I5792" s="1" t="s">
        <v>109</v>
      </c>
      <c r="J5792" s="4">
        <f>IFERROR(__xludf.DUMMYFUNCTION("DATE(INDEX(SPLIT(I5792,""/""),,3),INDEX(SPLIT(I5792,""/""),,2),INDEX(SPLIT(I5792,""/""),,1))"),44834.0)</f>
        <v>44834</v>
      </c>
      <c r="L5792" s="1">
        <v>0.0</v>
      </c>
      <c r="M5792" s="1" t="s">
        <v>11254</v>
      </c>
      <c r="N5792" s="1"/>
      <c r="O5792" s="1" t="s">
        <v>30</v>
      </c>
      <c r="P5792" s="1" t="s">
        <v>31</v>
      </c>
      <c r="Q5792" s="1" t="s">
        <v>228</v>
      </c>
      <c r="R5792" s="1" t="s">
        <v>228</v>
      </c>
      <c r="S5792" s="1" t="s">
        <v>229</v>
      </c>
      <c r="T5792" s="1" t="s">
        <v>513</v>
      </c>
      <c r="U5792" s="1">
        <v>1.00602248E8</v>
      </c>
      <c r="X5792" s="1" t="s">
        <v>98</v>
      </c>
      <c r="Y5792" s="1" t="s">
        <v>12637</v>
      </c>
      <c r="Z5792" s="1" t="s">
        <v>37</v>
      </c>
    </row>
    <row r="5793" hidden="1">
      <c r="A5793" s="1" t="s">
        <v>16003</v>
      </c>
      <c r="B5793" s="1" t="s">
        <v>6955</v>
      </c>
      <c r="C5793" s="1" t="s">
        <v>16004</v>
      </c>
      <c r="D5793" s="1" t="s">
        <v>122</v>
      </c>
      <c r="E5793" s="1" t="s">
        <v>28</v>
      </c>
      <c r="F5793" s="2">
        <v>14500.0</v>
      </c>
      <c r="G5793" s="1" t="s">
        <v>2796</v>
      </c>
      <c r="H5793" s="4">
        <f>IFERROR(__xludf.DUMMYFUNCTION("DATE(INDEX(SPLIT(G5793,""/""),,3),INDEX(SPLIT(G5793,""/""),,2),INDEX(SPLIT(G5793,""/""),,1))"),44464.0)</f>
        <v>44464</v>
      </c>
      <c r="I5793" s="1" t="s">
        <v>109</v>
      </c>
      <c r="J5793" s="4">
        <f>IFERROR(__xludf.DUMMYFUNCTION("DATE(INDEX(SPLIT(I5793,""/""),,3),INDEX(SPLIT(I5793,""/""),,2),INDEX(SPLIT(I5793,""/""),,1))"),44834.0)</f>
        <v>44834</v>
      </c>
      <c r="L5793" s="1">
        <v>0.0</v>
      </c>
      <c r="M5793" s="1" t="s">
        <v>11254</v>
      </c>
      <c r="N5793" s="1"/>
      <c r="O5793" s="1" t="s">
        <v>30</v>
      </c>
      <c r="P5793" s="1" t="s">
        <v>31</v>
      </c>
      <c r="Q5793" s="1" t="s">
        <v>228</v>
      </c>
      <c r="R5793" s="1" t="s">
        <v>228</v>
      </c>
      <c r="S5793" s="1" t="s">
        <v>229</v>
      </c>
      <c r="T5793" s="1" t="s">
        <v>513</v>
      </c>
      <c r="U5793" s="1">
        <v>1.00602248E8</v>
      </c>
      <c r="X5793" s="1" t="s">
        <v>239</v>
      </c>
      <c r="Y5793" s="1" t="s">
        <v>12637</v>
      </c>
      <c r="Z5793" s="1" t="s">
        <v>37</v>
      </c>
    </row>
    <row r="5794" hidden="1">
      <c r="A5794" s="1" t="s">
        <v>16005</v>
      </c>
      <c r="B5794" s="1" t="s">
        <v>15872</v>
      </c>
      <c r="C5794" s="1" t="s">
        <v>16006</v>
      </c>
      <c r="D5794" s="1" t="s">
        <v>78</v>
      </c>
      <c r="E5794" s="1" t="s">
        <v>28</v>
      </c>
      <c r="F5794" s="2">
        <v>14500.0</v>
      </c>
      <c r="G5794" s="1" t="s">
        <v>798</v>
      </c>
      <c r="H5794" s="4">
        <f>IFERROR(__xludf.DUMMYFUNCTION("DATE(INDEX(SPLIT(G5794,""/""),,3),INDEX(SPLIT(G5794,""/""),,2),INDEX(SPLIT(G5794,""/""),,1))"),44313.0)</f>
        <v>44313</v>
      </c>
      <c r="I5794" s="1" t="s">
        <v>447</v>
      </c>
      <c r="J5794" s="4">
        <f>IFERROR(__xludf.DUMMYFUNCTION("DATE(INDEX(SPLIT(I5794,""/""),,3),INDEX(SPLIT(I5794,""/""),,2),INDEX(SPLIT(I5794,""/""),,1))"),44910.0)</f>
        <v>44910</v>
      </c>
      <c r="L5794" s="1">
        <v>0.0</v>
      </c>
      <c r="M5794" s="1" t="s">
        <v>11254</v>
      </c>
      <c r="N5794" s="1"/>
      <c r="O5794" s="1" t="s">
        <v>30</v>
      </c>
      <c r="P5794" s="1" t="s">
        <v>31</v>
      </c>
      <c r="Q5794" s="1" t="s">
        <v>228</v>
      </c>
      <c r="R5794" s="1" t="s">
        <v>228</v>
      </c>
      <c r="S5794" s="1" t="s">
        <v>229</v>
      </c>
      <c r="U5794" s="1">
        <v>1.00602248E8</v>
      </c>
      <c r="X5794" s="1" t="s">
        <v>35</v>
      </c>
      <c r="Y5794" s="1" t="s">
        <v>12637</v>
      </c>
      <c r="Z5794" s="1" t="s">
        <v>37</v>
      </c>
    </row>
    <row r="5795" hidden="1">
      <c r="A5795" s="1" t="s">
        <v>16007</v>
      </c>
      <c r="B5795" s="1" t="s">
        <v>16008</v>
      </c>
      <c r="C5795" s="1" t="s">
        <v>16009</v>
      </c>
      <c r="D5795" s="1" t="s">
        <v>27</v>
      </c>
      <c r="E5795" s="1" t="s">
        <v>28</v>
      </c>
      <c r="F5795" s="2">
        <v>14500.0</v>
      </c>
      <c r="G5795" s="4">
        <v>44386.0</v>
      </c>
      <c r="H5795" s="4">
        <f>IFERROR(__xludf.DUMMYFUNCTION("DATE(INDEX(SPLIT(G5795,""/""),,3),INDEX(SPLIT(G5795,""/""),,2),INDEX(SPLIT(G5795,""/""),,1))"),44446.0)</f>
        <v>44446</v>
      </c>
      <c r="I5795" s="1" t="s">
        <v>42</v>
      </c>
      <c r="J5795" s="4">
        <f>IFERROR(__xludf.DUMMYFUNCTION("DATE(INDEX(SPLIT(I5795,""/""),,3),INDEX(SPLIT(I5795,""/""),,2),INDEX(SPLIT(I5795,""/""),,1))"),44926.0)</f>
        <v>44926</v>
      </c>
      <c r="L5795" s="1">
        <v>0.0</v>
      </c>
      <c r="M5795" s="1" t="s">
        <v>11254</v>
      </c>
      <c r="N5795" s="1"/>
      <c r="O5795" s="1" t="s">
        <v>30</v>
      </c>
      <c r="P5795" s="1" t="s">
        <v>31</v>
      </c>
      <c r="Q5795" s="1" t="s">
        <v>228</v>
      </c>
      <c r="R5795" s="1" t="s">
        <v>228</v>
      </c>
      <c r="S5795" s="1" t="s">
        <v>229</v>
      </c>
      <c r="T5795" s="1" t="s">
        <v>513</v>
      </c>
      <c r="U5795" s="1">
        <v>1.00602248E8</v>
      </c>
      <c r="X5795" s="1" t="s">
        <v>375</v>
      </c>
      <c r="Y5795" s="1" t="s">
        <v>13638</v>
      </c>
      <c r="Z5795" s="1" t="s">
        <v>37</v>
      </c>
    </row>
    <row r="5796" hidden="1">
      <c r="A5796" s="1" t="s">
        <v>16010</v>
      </c>
      <c r="B5796" s="1" t="s">
        <v>630</v>
      </c>
      <c r="C5796" s="1" t="s">
        <v>16011</v>
      </c>
      <c r="D5796" s="1" t="s">
        <v>78</v>
      </c>
      <c r="E5796" s="1" t="s">
        <v>28</v>
      </c>
      <c r="F5796" s="2">
        <v>14500.0</v>
      </c>
      <c r="G5796" s="4">
        <v>44382.0</v>
      </c>
      <c r="H5796" s="4">
        <f>IFERROR(__xludf.DUMMYFUNCTION("DATE(INDEX(SPLIT(G5796,""/""),,3),INDEX(SPLIT(G5796,""/""),,2),INDEX(SPLIT(G5796,""/""),,1))"),44323.0)</f>
        <v>44323</v>
      </c>
      <c r="I5796" s="1" t="s">
        <v>447</v>
      </c>
      <c r="J5796" s="4">
        <f>IFERROR(__xludf.DUMMYFUNCTION("DATE(INDEX(SPLIT(I5796,""/""),,3),INDEX(SPLIT(I5796,""/""),,2),INDEX(SPLIT(I5796,""/""),,1))"),44910.0)</f>
        <v>44910</v>
      </c>
      <c r="L5796" s="1">
        <v>0.0</v>
      </c>
      <c r="M5796" s="1" t="s">
        <v>11254</v>
      </c>
      <c r="N5796" s="1"/>
      <c r="O5796" s="1" t="s">
        <v>30</v>
      </c>
      <c r="P5796" s="1" t="s">
        <v>31</v>
      </c>
      <c r="Q5796" s="1" t="s">
        <v>228</v>
      </c>
      <c r="R5796" s="1" t="s">
        <v>228</v>
      </c>
      <c r="S5796" s="1" t="s">
        <v>229</v>
      </c>
      <c r="U5796" s="1">
        <v>1.00602248E8</v>
      </c>
      <c r="X5796" s="1" t="s">
        <v>490</v>
      </c>
      <c r="Y5796" s="1" t="s">
        <v>12637</v>
      </c>
      <c r="Z5796" s="1" t="s">
        <v>37</v>
      </c>
    </row>
    <row r="5797" hidden="1">
      <c r="A5797" s="1" t="s">
        <v>16012</v>
      </c>
      <c r="B5797" s="1" t="s">
        <v>7944</v>
      </c>
      <c r="C5797" s="1" t="s">
        <v>16013</v>
      </c>
      <c r="D5797" s="1" t="s">
        <v>78</v>
      </c>
      <c r="E5797" s="1" t="s">
        <v>28</v>
      </c>
      <c r="F5797" s="2">
        <v>14500.0</v>
      </c>
      <c r="G5797" s="1" t="s">
        <v>286</v>
      </c>
      <c r="H5797" s="4">
        <f>IFERROR(__xludf.DUMMYFUNCTION("DATE(INDEX(SPLIT(G5797,""/""),,3),INDEX(SPLIT(G5797,""/""),,2),INDEX(SPLIT(G5797,""/""),,1))"),44609.0)</f>
        <v>44609</v>
      </c>
      <c r="I5797" s="1" t="s">
        <v>109</v>
      </c>
      <c r="J5797" s="4">
        <f>IFERROR(__xludf.DUMMYFUNCTION("DATE(INDEX(SPLIT(I5797,""/""),,3),INDEX(SPLIT(I5797,""/""),,2),INDEX(SPLIT(I5797,""/""),,1))"),44834.0)</f>
        <v>44834</v>
      </c>
      <c r="L5797" s="1">
        <v>0.0</v>
      </c>
      <c r="M5797" s="1" t="s">
        <v>11254</v>
      </c>
      <c r="N5797" s="1"/>
      <c r="O5797" s="1" t="s">
        <v>30</v>
      </c>
      <c r="P5797" s="1" t="s">
        <v>31</v>
      </c>
      <c r="Q5797" s="1" t="s">
        <v>228</v>
      </c>
      <c r="R5797" s="1" t="s">
        <v>228</v>
      </c>
      <c r="S5797" s="1" t="s">
        <v>229</v>
      </c>
      <c r="T5797" s="1" t="s">
        <v>513</v>
      </c>
      <c r="U5797" s="1">
        <v>1.00602248E8</v>
      </c>
      <c r="X5797" s="1" t="s">
        <v>63</v>
      </c>
      <c r="Y5797" s="1" t="s">
        <v>13638</v>
      </c>
      <c r="Z5797" s="1" t="s">
        <v>37</v>
      </c>
    </row>
    <row r="5798" hidden="1">
      <c r="A5798" s="1" t="s">
        <v>16014</v>
      </c>
      <c r="B5798" s="1" t="s">
        <v>16015</v>
      </c>
      <c r="C5798" s="1" t="s">
        <v>16016</v>
      </c>
      <c r="D5798" s="1" t="s">
        <v>27</v>
      </c>
      <c r="E5798" s="1" t="s">
        <v>28</v>
      </c>
      <c r="F5798" s="2">
        <v>14500.0</v>
      </c>
      <c r="G5798" s="1" t="s">
        <v>2419</v>
      </c>
      <c r="H5798" s="4">
        <f>IFERROR(__xludf.DUMMYFUNCTION("DATE(INDEX(SPLIT(G5798,""/""),,3),INDEX(SPLIT(G5798,""/""),,2),INDEX(SPLIT(G5798,""/""),,1))"),44482.0)</f>
        <v>44482</v>
      </c>
      <c r="I5798" s="1" t="s">
        <v>42</v>
      </c>
      <c r="J5798" s="4">
        <f>IFERROR(__xludf.DUMMYFUNCTION("DATE(INDEX(SPLIT(I5798,""/""),,3),INDEX(SPLIT(I5798,""/""),,2),INDEX(SPLIT(I5798,""/""),,1))"),44926.0)</f>
        <v>44926</v>
      </c>
      <c r="L5798" s="1">
        <v>0.0</v>
      </c>
      <c r="M5798" s="1" t="s">
        <v>12039</v>
      </c>
      <c r="N5798" s="1"/>
      <c r="O5798" s="1" t="s">
        <v>30</v>
      </c>
      <c r="P5798" s="1" t="s">
        <v>31</v>
      </c>
      <c r="Q5798" s="1" t="s">
        <v>228</v>
      </c>
      <c r="R5798" s="1" t="s">
        <v>228</v>
      </c>
      <c r="S5798" s="1" t="s">
        <v>229</v>
      </c>
      <c r="T5798" s="1" t="s">
        <v>513</v>
      </c>
      <c r="U5798" s="1">
        <v>1.00612509E8</v>
      </c>
      <c r="X5798" s="1" t="s">
        <v>2028</v>
      </c>
      <c r="Y5798" s="1" t="s">
        <v>13638</v>
      </c>
      <c r="Z5798" s="1" t="s">
        <v>37</v>
      </c>
    </row>
    <row r="5799" hidden="1">
      <c r="A5799" s="1" t="s">
        <v>16017</v>
      </c>
      <c r="B5799" s="1" t="s">
        <v>114</v>
      </c>
      <c r="C5799" s="1" t="s">
        <v>16018</v>
      </c>
      <c r="D5799" s="1" t="s">
        <v>78</v>
      </c>
      <c r="E5799" s="1" t="s">
        <v>28</v>
      </c>
      <c r="F5799" s="2">
        <v>14500.0</v>
      </c>
      <c r="G5799" s="1" t="s">
        <v>210</v>
      </c>
      <c r="H5799" s="4">
        <f>IFERROR(__xludf.DUMMYFUNCTION("DATE(INDEX(SPLIT(G5799,""/""),,3),INDEX(SPLIT(G5799,""/""),,2),INDEX(SPLIT(G5799,""/""),,1))"),44329.0)</f>
        <v>44329</v>
      </c>
      <c r="I5799" s="1" t="s">
        <v>109</v>
      </c>
      <c r="J5799" s="4">
        <f>IFERROR(__xludf.DUMMYFUNCTION("DATE(INDEX(SPLIT(I5799,""/""),,3),INDEX(SPLIT(I5799,""/""),,2),INDEX(SPLIT(I5799,""/""),,1))"),44834.0)</f>
        <v>44834</v>
      </c>
      <c r="L5799" s="1">
        <v>0.0</v>
      </c>
      <c r="M5799" s="1" t="s">
        <v>11254</v>
      </c>
      <c r="N5799" s="1"/>
      <c r="O5799" s="1" t="s">
        <v>30</v>
      </c>
      <c r="P5799" s="1" t="s">
        <v>31</v>
      </c>
      <c r="Q5799" s="1" t="s">
        <v>228</v>
      </c>
      <c r="R5799" s="1" t="s">
        <v>228</v>
      </c>
      <c r="S5799" s="1" t="s">
        <v>229</v>
      </c>
      <c r="T5799" s="1" t="s">
        <v>513</v>
      </c>
      <c r="U5799" s="1">
        <v>1.00602248E8</v>
      </c>
      <c r="X5799" s="1" t="s">
        <v>117</v>
      </c>
      <c r="Y5799" s="1" t="s">
        <v>12637</v>
      </c>
      <c r="Z5799" s="1" t="s">
        <v>37</v>
      </c>
    </row>
    <row r="5800" hidden="1">
      <c r="A5800" s="1" t="s">
        <v>16019</v>
      </c>
      <c r="B5800" s="1" t="s">
        <v>4625</v>
      </c>
      <c r="C5800" s="1" t="s">
        <v>16020</v>
      </c>
      <c r="D5800" s="1" t="s">
        <v>27</v>
      </c>
      <c r="E5800" s="1" t="s">
        <v>28</v>
      </c>
      <c r="F5800" s="2">
        <v>14500.0</v>
      </c>
      <c r="G5800" s="1" t="s">
        <v>2891</v>
      </c>
      <c r="H5800" s="4">
        <f>IFERROR(__xludf.DUMMYFUNCTION("DATE(INDEX(SPLIT(G5800,""/""),,3),INDEX(SPLIT(G5800,""/""),,2),INDEX(SPLIT(G5800,""/""),,1))"),44455.0)</f>
        <v>44455</v>
      </c>
      <c r="I5800" s="1" t="s">
        <v>42</v>
      </c>
      <c r="J5800" s="4">
        <f>IFERROR(__xludf.DUMMYFUNCTION("DATE(INDEX(SPLIT(I5800,""/""),,3),INDEX(SPLIT(I5800,""/""),,2),INDEX(SPLIT(I5800,""/""),,1))"),44926.0)</f>
        <v>44926</v>
      </c>
      <c r="L5800" s="1">
        <v>0.0</v>
      </c>
      <c r="M5800" s="1" t="s">
        <v>11254</v>
      </c>
      <c r="N5800" s="1"/>
      <c r="O5800" s="1" t="s">
        <v>30</v>
      </c>
      <c r="P5800" s="1" t="s">
        <v>31</v>
      </c>
      <c r="Q5800" s="1" t="s">
        <v>228</v>
      </c>
      <c r="R5800" s="1" t="s">
        <v>228</v>
      </c>
      <c r="S5800" s="1" t="s">
        <v>229</v>
      </c>
      <c r="T5800" s="1" t="s">
        <v>513</v>
      </c>
      <c r="U5800" s="1">
        <v>1.00602248E8</v>
      </c>
      <c r="X5800" s="1" t="s">
        <v>490</v>
      </c>
      <c r="Y5800" s="1" t="s">
        <v>12637</v>
      </c>
      <c r="Z5800" s="1" t="s">
        <v>37</v>
      </c>
    </row>
    <row r="5801" hidden="1">
      <c r="A5801" s="1" t="s">
        <v>16021</v>
      </c>
      <c r="B5801" s="1" t="s">
        <v>16022</v>
      </c>
      <c r="C5801" s="1" t="s">
        <v>16023</v>
      </c>
      <c r="D5801" s="1" t="s">
        <v>27</v>
      </c>
      <c r="E5801" s="1" t="s">
        <v>28</v>
      </c>
      <c r="F5801" s="2">
        <v>14500.0</v>
      </c>
      <c r="G5801" s="1" t="s">
        <v>1740</v>
      </c>
      <c r="H5801" s="4">
        <f>IFERROR(__xludf.DUMMYFUNCTION("DATE(INDEX(SPLIT(G5801,""/""),,3),INDEX(SPLIT(G5801,""/""),,2),INDEX(SPLIT(G5801,""/""),,1))"),44456.0)</f>
        <v>44456</v>
      </c>
      <c r="I5801" s="1" t="s">
        <v>42</v>
      </c>
      <c r="J5801" s="4">
        <f>IFERROR(__xludf.DUMMYFUNCTION("DATE(INDEX(SPLIT(I5801,""/""),,3),INDEX(SPLIT(I5801,""/""),,2),INDEX(SPLIT(I5801,""/""),,1))"),44926.0)</f>
        <v>44926</v>
      </c>
      <c r="L5801" s="1">
        <v>0.0</v>
      </c>
      <c r="M5801" s="1" t="s">
        <v>11254</v>
      </c>
      <c r="N5801" s="1"/>
      <c r="O5801" s="1" t="s">
        <v>30</v>
      </c>
      <c r="P5801" s="1" t="s">
        <v>31</v>
      </c>
      <c r="Q5801" s="1" t="s">
        <v>228</v>
      </c>
      <c r="R5801" s="1" t="s">
        <v>228</v>
      </c>
      <c r="S5801" s="1" t="s">
        <v>229</v>
      </c>
      <c r="T5801" s="1" t="s">
        <v>513</v>
      </c>
      <c r="U5801" s="1">
        <v>1.00602248E8</v>
      </c>
      <c r="X5801" s="1" t="s">
        <v>81</v>
      </c>
      <c r="Y5801" s="1" t="s">
        <v>12637</v>
      </c>
      <c r="Z5801" s="1" t="s">
        <v>37</v>
      </c>
    </row>
    <row r="5802" hidden="1">
      <c r="A5802" s="1" t="s">
        <v>16024</v>
      </c>
      <c r="B5802" s="1" t="s">
        <v>16025</v>
      </c>
      <c r="C5802" s="1" t="s">
        <v>16026</v>
      </c>
      <c r="D5802" s="1" t="s">
        <v>27</v>
      </c>
      <c r="E5802" s="1" t="s">
        <v>28</v>
      </c>
      <c r="F5802" s="2">
        <v>14500.0</v>
      </c>
      <c r="G5802" s="1" t="s">
        <v>2309</v>
      </c>
      <c r="H5802" s="4">
        <f>IFERROR(__xludf.DUMMYFUNCTION("DATE(INDEX(SPLIT(G5802,""/""),,3),INDEX(SPLIT(G5802,""/""),,2),INDEX(SPLIT(G5802,""/""),,1))"),44672.0)</f>
        <v>44672</v>
      </c>
      <c r="I5802" s="1" t="s">
        <v>109</v>
      </c>
      <c r="J5802" s="4">
        <f>IFERROR(__xludf.DUMMYFUNCTION("DATE(INDEX(SPLIT(I5802,""/""),,3),INDEX(SPLIT(I5802,""/""),,2),INDEX(SPLIT(I5802,""/""),,1))"),44834.0)</f>
        <v>44834</v>
      </c>
      <c r="L5802" s="1">
        <v>0.0</v>
      </c>
      <c r="M5802" s="1" t="s">
        <v>11254</v>
      </c>
      <c r="N5802" s="1"/>
      <c r="O5802" s="1" t="s">
        <v>30</v>
      </c>
      <c r="P5802" s="1" t="s">
        <v>31</v>
      </c>
      <c r="Q5802" s="1" t="s">
        <v>228</v>
      </c>
      <c r="R5802" s="1" t="s">
        <v>228</v>
      </c>
      <c r="S5802" s="1" t="s">
        <v>229</v>
      </c>
      <c r="T5802" s="1" t="s">
        <v>513</v>
      </c>
      <c r="U5802" s="1">
        <v>1.00602248E8</v>
      </c>
      <c r="X5802" s="1" t="s">
        <v>46</v>
      </c>
      <c r="Y5802" s="1" t="s">
        <v>12637</v>
      </c>
      <c r="Z5802" s="1" t="s">
        <v>37</v>
      </c>
    </row>
    <row r="5803">
      <c r="A5803" s="1" t="s">
        <v>16027</v>
      </c>
      <c r="B5803" s="1" t="s">
        <v>16028</v>
      </c>
      <c r="C5803" s="1" t="s">
        <v>16029</v>
      </c>
      <c r="D5803" s="1" t="s">
        <v>68</v>
      </c>
      <c r="E5803" s="1" t="s">
        <v>28</v>
      </c>
      <c r="F5803" s="2">
        <v>14500.0</v>
      </c>
      <c r="G5803" s="1" t="s">
        <v>2064</v>
      </c>
      <c r="H5803" s="4">
        <f>IFERROR(__xludf.DUMMYFUNCTION("DATE(INDEX(SPLIT(G5803,""/""),,3),INDEX(SPLIT(G5803,""/""),,2),INDEX(SPLIT(G5803,""/""),,1))"),44616.0)</f>
        <v>44616</v>
      </c>
      <c r="I5803" s="1" t="s">
        <v>226</v>
      </c>
      <c r="J5803" s="4">
        <f>IFERROR(__xludf.DUMMYFUNCTION("DATE(INDEX(SPLIT(I5803,""/""),,3),INDEX(SPLIT(I5803,""/""),,2),INDEX(SPLIT(I5803,""/""),,1))"),44771.0)</f>
        <v>44771</v>
      </c>
      <c r="L5803" s="1">
        <v>0.0</v>
      </c>
      <c r="M5803" s="1" t="s">
        <v>11254</v>
      </c>
      <c r="N5803" s="1"/>
      <c r="O5803" s="1" t="s">
        <v>30</v>
      </c>
      <c r="P5803" s="1" t="s">
        <v>31</v>
      </c>
      <c r="Q5803" s="1" t="s">
        <v>228</v>
      </c>
      <c r="R5803" s="1" t="s">
        <v>228</v>
      </c>
      <c r="S5803" s="1" t="s">
        <v>229</v>
      </c>
      <c r="T5803" s="1" t="s">
        <v>513</v>
      </c>
      <c r="U5803" s="1">
        <v>1.00602248E8</v>
      </c>
      <c r="X5803" s="1" t="s">
        <v>63</v>
      </c>
      <c r="Y5803" s="1" t="s">
        <v>13638</v>
      </c>
      <c r="Z5803" s="1" t="s">
        <v>37</v>
      </c>
    </row>
    <row r="5804" hidden="1">
      <c r="A5804" s="1" t="s">
        <v>16030</v>
      </c>
      <c r="B5804" s="1" t="s">
        <v>16031</v>
      </c>
      <c r="C5804" s="1" t="s">
        <v>16032</v>
      </c>
      <c r="D5804" s="1" t="s">
        <v>27</v>
      </c>
      <c r="E5804" s="1" t="s">
        <v>28</v>
      </c>
      <c r="F5804" s="2">
        <v>14500.0</v>
      </c>
      <c r="G5804" s="4">
        <v>44263.0</v>
      </c>
      <c r="H5804" s="4">
        <f>IFERROR(__xludf.DUMMYFUNCTION("DATE(INDEX(SPLIT(G5804,""/""),,3),INDEX(SPLIT(G5804,""/""),,2),INDEX(SPLIT(G5804,""/""),,1))"),44411.0)</f>
        <v>44411</v>
      </c>
      <c r="I5804" s="1" t="s">
        <v>42</v>
      </c>
      <c r="J5804" s="4">
        <f>IFERROR(__xludf.DUMMYFUNCTION("DATE(INDEX(SPLIT(I5804,""/""),,3),INDEX(SPLIT(I5804,""/""),,2),INDEX(SPLIT(I5804,""/""),,1))"),44926.0)</f>
        <v>44926</v>
      </c>
      <c r="L5804" s="1">
        <v>0.0</v>
      </c>
      <c r="M5804" s="1" t="s">
        <v>11254</v>
      </c>
      <c r="N5804" s="1"/>
      <c r="O5804" s="1" t="s">
        <v>30</v>
      </c>
      <c r="P5804" s="1" t="s">
        <v>31</v>
      </c>
      <c r="Q5804" s="1" t="s">
        <v>228</v>
      </c>
      <c r="R5804" s="1" t="s">
        <v>228</v>
      </c>
      <c r="S5804" s="1" t="s">
        <v>229</v>
      </c>
      <c r="T5804" s="1" t="s">
        <v>513</v>
      </c>
      <c r="U5804" s="1">
        <v>1.00602248E8</v>
      </c>
      <c r="X5804" s="1" t="s">
        <v>74</v>
      </c>
      <c r="Y5804" s="1" t="s">
        <v>13638</v>
      </c>
      <c r="Z5804" s="1" t="s">
        <v>37</v>
      </c>
    </row>
    <row r="5805" hidden="1">
      <c r="A5805" s="1" t="s">
        <v>16033</v>
      </c>
      <c r="B5805" s="1" t="s">
        <v>16034</v>
      </c>
      <c r="C5805" s="1" t="s">
        <v>16035</v>
      </c>
      <c r="D5805" s="1" t="s">
        <v>27</v>
      </c>
      <c r="E5805" s="1" t="s">
        <v>28</v>
      </c>
      <c r="F5805" s="2">
        <v>14500.0</v>
      </c>
      <c r="G5805" s="1" t="s">
        <v>5224</v>
      </c>
      <c r="H5805" s="4">
        <f>IFERROR(__xludf.DUMMYFUNCTION("DATE(INDEX(SPLIT(G5805,""/""),,3),INDEX(SPLIT(G5805,""/""),,2),INDEX(SPLIT(G5805,""/""),,1))"),44421.0)</f>
        <v>44421</v>
      </c>
      <c r="I5805" s="1" t="s">
        <v>42</v>
      </c>
      <c r="J5805" s="4">
        <f>IFERROR(__xludf.DUMMYFUNCTION("DATE(INDEX(SPLIT(I5805,""/""),,3),INDEX(SPLIT(I5805,""/""),,2),INDEX(SPLIT(I5805,""/""),,1))"),44926.0)</f>
        <v>44926</v>
      </c>
      <c r="L5805" s="1">
        <v>0.0</v>
      </c>
      <c r="M5805" s="1" t="s">
        <v>11254</v>
      </c>
      <c r="N5805" s="1"/>
      <c r="O5805" s="1" t="s">
        <v>30</v>
      </c>
      <c r="P5805" s="1" t="s">
        <v>31</v>
      </c>
      <c r="Q5805" s="1" t="s">
        <v>228</v>
      </c>
      <c r="R5805" s="1" t="s">
        <v>228</v>
      </c>
      <c r="S5805" s="1" t="s">
        <v>229</v>
      </c>
      <c r="T5805" s="1" t="s">
        <v>513</v>
      </c>
      <c r="U5805" s="1">
        <v>1.00602248E8</v>
      </c>
      <c r="X5805" s="1" t="s">
        <v>239</v>
      </c>
      <c r="Y5805" s="1" t="s">
        <v>13638</v>
      </c>
      <c r="Z5805" s="1" t="s">
        <v>37</v>
      </c>
    </row>
    <row r="5806" hidden="1">
      <c r="A5806" s="1" t="s">
        <v>16036</v>
      </c>
      <c r="B5806" s="1" t="s">
        <v>13770</v>
      </c>
      <c r="C5806" s="1" t="s">
        <v>16037</v>
      </c>
      <c r="D5806" s="1" t="s">
        <v>27</v>
      </c>
      <c r="E5806" s="1" t="s">
        <v>28</v>
      </c>
      <c r="F5806" s="2">
        <v>14500.0</v>
      </c>
      <c r="G5806" s="4">
        <v>44235.0</v>
      </c>
      <c r="H5806" s="4">
        <f>IFERROR(__xludf.DUMMYFUNCTION("DATE(INDEX(SPLIT(G5806,""/""),,3),INDEX(SPLIT(G5806,""/""),,2),INDEX(SPLIT(G5806,""/""),,1))"),44410.0)</f>
        <v>44410</v>
      </c>
      <c r="I5806" s="1" t="s">
        <v>42</v>
      </c>
      <c r="J5806" s="4">
        <f>IFERROR(__xludf.DUMMYFUNCTION("DATE(INDEX(SPLIT(I5806,""/""),,3),INDEX(SPLIT(I5806,""/""),,2),INDEX(SPLIT(I5806,""/""),,1))"),44926.0)</f>
        <v>44926</v>
      </c>
      <c r="L5806" s="1">
        <v>0.0</v>
      </c>
      <c r="M5806" s="1" t="s">
        <v>11254</v>
      </c>
      <c r="N5806" s="1"/>
      <c r="O5806" s="1" t="s">
        <v>30</v>
      </c>
      <c r="P5806" s="1" t="s">
        <v>31</v>
      </c>
      <c r="Q5806" s="1" t="s">
        <v>228</v>
      </c>
      <c r="R5806" s="1" t="s">
        <v>228</v>
      </c>
      <c r="S5806" s="1" t="s">
        <v>229</v>
      </c>
      <c r="U5806" s="1">
        <v>1.00602248E8</v>
      </c>
      <c r="X5806" s="1" t="s">
        <v>63</v>
      </c>
      <c r="Y5806" s="1" t="s">
        <v>13638</v>
      </c>
      <c r="Z5806" s="1" t="s">
        <v>37</v>
      </c>
    </row>
    <row r="5807" hidden="1">
      <c r="A5807" s="1" t="s">
        <v>16038</v>
      </c>
      <c r="B5807" s="1" t="s">
        <v>4941</v>
      </c>
      <c r="C5807" s="1" t="s">
        <v>16039</v>
      </c>
      <c r="D5807" s="1" t="s">
        <v>78</v>
      </c>
      <c r="E5807" s="1" t="s">
        <v>28</v>
      </c>
      <c r="F5807" s="2">
        <v>14500.0</v>
      </c>
      <c r="G5807" s="1" t="s">
        <v>586</v>
      </c>
      <c r="H5807" s="4">
        <f>IFERROR(__xludf.DUMMYFUNCTION("DATE(INDEX(SPLIT(G5807,""/""),,3),INDEX(SPLIT(G5807,""/""),,2),INDEX(SPLIT(G5807,""/""),,1))"),44726.0)</f>
        <v>44726</v>
      </c>
      <c r="I5807" s="1" t="s">
        <v>42</v>
      </c>
      <c r="J5807" s="4">
        <f>IFERROR(__xludf.DUMMYFUNCTION("DATE(INDEX(SPLIT(I5807,""/""),,3),INDEX(SPLIT(I5807,""/""),,2),INDEX(SPLIT(I5807,""/""),,1))"),44926.0)</f>
        <v>44926</v>
      </c>
      <c r="L5807" s="1">
        <v>0.0</v>
      </c>
      <c r="M5807" s="1" t="s">
        <v>11254</v>
      </c>
      <c r="N5807" s="1"/>
      <c r="O5807" s="1" t="s">
        <v>30</v>
      </c>
      <c r="P5807" s="1" t="s">
        <v>31</v>
      </c>
      <c r="Q5807" s="1" t="s">
        <v>228</v>
      </c>
      <c r="R5807" s="1" t="s">
        <v>228</v>
      </c>
      <c r="S5807" s="1" t="s">
        <v>229</v>
      </c>
      <c r="T5807" s="1" t="s">
        <v>14924</v>
      </c>
      <c r="U5807" s="1">
        <v>1.00602248E8</v>
      </c>
      <c r="X5807" s="1" t="s">
        <v>117</v>
      </c>
      <c r="Y5807" s="1" t="s">
        <v>12640</v>
      </c>
      <c r="Z5807" s="1" t="s">
        <v>37</v>
      </c>
    </row>
    <row r="5808" hidden="1">
      <c r="A5808" s="1" t="s">
        <v>16040</v>
      </c>
      <c r="B5808" s="1" t="s">
        <v>630</v>
      </c>
      <c r="C5808" s="1" t="s">
        <v>16041</v>
      </c>
      <c r="D5808" s="1" t="s">
        <v>27</v>
      </c>
      <c r="E5808" s="1" t="s">
        <v>28</v>
      </c>
      <c r="F5808" s="2">
        <v>14500.0</v>
      </c>
      <c r="G5808" s="1" t="s">
        <v>586</v>
      </c>
      <c r="H5808" s="4">
        <f>IFERROR(__xludf.DUMMYFUNCTION("DATE(INDEX(SPLIT(G5808,""/""),,3),INDEX(SPLIT(G5808,""/""),,2),INDEX(SPLIT(G5808,""/""),,1))"),44726.0)</f>
        <v>44726</v>
      </c>
      <c r="I5808" s="1" t="s">
        <v>42</v>
      </c>
      <c r="J5808" s="4">
        <f>IFERROR(__xludf.DUMMYFUNCTION("DATE(INDEX(SPLIT(I5808,""/""),,3),INDEX(SPLIT(I5808,""/""),,2),INDEX(SPLIT(I5808,""/""),,1))"),44926.0)</f>
        <v>44926</v>
      </c>
      <c r="L5808" s="1">
        <v>0.0</v>
      </c>
      <c r="M5808" s="1" t="s">
        <v>11254</v>
      </c>
      <c r="N5808" s="1"/>
      <c r="O5808" s="1" t="s">
        <v>30</v>
      </c>
      <c r="P5808" s="1" t="s">
        <v>31</v>
      </c>
      <c r="Q5808" s="1" t="s">
        <v>228</v>
      </c>
      <c r="R5808" s="1" t="s">
        <v>228</v>
      </c>
      <c r="S5808" s="1" t="s">
        <v>229</v>
      </c>
      <c r="T5808" s="1" t="s">
        <v>15763</v>
      </c>
      <c r="U5808" s="1">
        <v>1.00602248E8</v>
      </c>
      <c r="X5808" s="1" t="s">
        <v>490</v>
      </c>
      <c r="Y5808" s="1" t="s">
        <v>12640</v>
      </c>
      <c r="Z5808" s="1" t="s">
        <v>37</v>
      </c>
    </row>
    <row r="5809" hidden="1">
      <c r="A5809" s="1" t="s">
        <v>16042</v>
      </c>
      <c r="B5809" s="1" t="s">
        <v>16043</v>
      </c>
      <c r="C5809" s="1" t="s">
        <v>16044</v>
      </c>
      <c r="D5809" s="1" t="s">
        <v>78</v>
      </c>
      <c r="E5809" s="1" t="s">
        <v>28</v>
      </c>
      <c r="F5809" s="2">
        <v>14500.0</v>
      </c>
      <c r="G5809" s="1" t="s">
        <v>934</v>
      </c>
      <c r="H5809" s="4">
        <f>IFERROR(__xludf.DUMMYFUNCTION("DATE(INDEX(SPLIT(G5809,""/""),,3),INDEX(SPLIT(G5809,""/""),,2),INDEX(SPLIT(G5809,""/""),,1))"),44681.0)</f>
        <v>44681</v>
      </c>
      <c r="I5809" s="1" t="s">
        <v>42</v>
      </c>
      <c r="J5809" s="4">
        <f>IFERROR(__xludf.DUMMYFUNCTION("DATE(INDEX(SPLIT(I5809,""/""),,3),INDEX(SPLIT(I5809,""/""),,2),INDEX(SPLIT(I5809,""/""),,1))"),44926.0)</f>
        <v>44926</v>
      </c>
      <c r="L5809" s="1">
        <v>0.0</v>
      </c>
      <c r="M5809" s="1" t="s">
        <v>11254</v>
      </c>
      <c r="N5809" s="1"/>
      <c r="O5809" s="1" t="s">
        <v>30</v>
      </c>
      <c r="P5809" s="1" t="s">
        <v>31</v>
      </c>
      <c r="Q5809" s="1" t="s">
        <v>228</v>
      </c>
      <c r="R5809" s="1" t="s">
        <v>228</v>
      </c>
      <c r="S5809" s="1" t="s">
        <v>229</v>
      </c>
      <c r="T5809" s="1" t="s">
        <v>15571</v>
      </c>
      <c r="U5809" s="1">
        <v>1.00602248E8</v>
      </c>
      <c r="X5809" s="1" t="s">
        <v>375</v>
      </c>
      <c r="Y5809" s="1" t="s">
        <v>12640</v>
      </c>
      <c r="Z5809" s="1" t="s">
        <v>37</v>
      </c>
    </row>
    <row r="5810" hidden="1">
      <c r="A5810" s="1" t="s">
        <v>16045</v>
      </c>
      <c r="B5810" s="1" t="s">
        <v>39</v>
      </c>
      <c r="C5810" s="1" t="s">
        <v>16046</v>
      </c>
      <c r="D5810" s="1" t="s">
        <v>27</v>
      </c>
      <c r="E5810" s="1" t="s">
        <v>28</v>
      </c>
      <c r="F5810" s="2">
        <v>14500.0</v>
      </c>
      <c r="G5810" s="1" t="s">
        <v>934</v>
      </c>
      <c r="H5810" s="4">
        <f>IFERROR(__xludf.DUMMYFUNCTION("DATE(INDEX(SPLIT(G5810,""/""),,3),INDEX(SPLIT(G5810,""/""),,2),INDEX(SPLIT(G5810,""/""),,1))"),44681.0)</f>
        <v>44681</v>
      </c>
      <c r="I5810" s="1" t="s">
        <v>42</v>
      </c>
      <c r="J5810" s="4">
        <f>IFERROR(__xludf.DUMMYFUNCTION("DATE(INDEX(SPLIT(I5810,""/""),,3),INDEX(SPLIT(I5810,""/""),,2),INDEX(SPLIT(I5810,""/""),,1))"),44926.0)</f>
        <v>44926</v>
      </c>
      <c r="L5810" s="1">
        <v>0.0</v>
      </c>
      <c r="M5810" s="1" t="s">
        <v>11254</v>
      </c>
      <c r="N5810" s="1"/>
      <c r="O5810" s="1" t="s">
        <v>30</v>
      </c>
      <c r="P5810" s="1" t="s">
        <v>31</v>
      </c>
      <c r="Q5810" s="1" t="s">
        <v>228</v>
      </c>
      <c r="R5810" s="1" t="s">
        <v>228</v>
      </c>
      <c r="S5810" s="1" t="s">
        <v>229</v>
      </c>
      <c r="T5810" s="1" t="s">
        <v>15694</v>
      </c>
      <c r="U5810" s="1">
        <v>1.00602248E8</v>
      </c>
      <c r="X5810" s="1" t="s">
        <v>490</v>
      </c>
      <c r="Y5810" s="1" t="s">
        <v>12640</v>
      </c>
      <c r="Z5810" s="1" t="s">
        <v>37</v>
      </c>
    </row>
    <row r="5811" hidden="1">
      <c r="A5811" s="1" t="s">
        <v>16047</v>
      </c>
      <c r="B5811" s="1" t="s">
        <v>16048</v>
      </c>
      <c r="C5811" s="1" t="s">
        <v>16049</v>
      </c>
      <c r="D5811" s="1" t="s">
        <v>78</v>
      </c>
      <c r="E5811" s="1" t="s">
        <v>28</v>
      </c>
      <c r="F5811" s="2">
        <v>14500.0</v>
      </c>
      <c r="G5811" s="4">
        <v>43900.0</v>
      </c>
      <c r="H5811" s="4">
        <f>IFERROR(__xludf.DUMMYFUNCTION("DATE(INDEX(SPLIT(G5811,""/""),,3),INDEX(SPLIT(G5811,""/""),,2),INDEX(SPLIT(G5811,""/""),,1))"),44107.0)</f>
        <v>44107</v>
      </c>
      <c r="I5811" s="1" t="s">
        <v>447</v>
      </c>
      <c r="J5811" s="4">
        <f>IFERROR(__xludf.DUMMYFUNCTION("DATE(INDEX(SPLIT(I5811,""/""),,3),INDEX(SPLIT(I5811,""/""),,2),INDEX(SPLIT(I5811,""/""),,1))"),44910.0)</f>
        <v>44910</v>
      </c>
      <c r="L5811" s="1">
        <v>0.0</v>
      </c>
      <c r="M5811" s="1" t="s">
        <v>11254</v>
      </c>
      <c r="N5811" s="1"/>
      <c r="O5811" s="1" t="s">
        <v>30</v>
      </c>
      <c r="P5811" s="1" t="s">
        <v>31</v>
      </c>
      <c r="Q5811" s="1" t="s">
        <v>228</v>
      </c>
      <c r="R5811" s="1" t="s">
        <v>228</v>
      </c>
      <c r="S5811" s="1" t="s">
        <v>229</v>
      </c>
      <c r="U5811" s="1">
        <v>1.00602248E8</v>
      </c>
      <c r="X5811" s="1" t="s">
        <v>361</v>
      </c>
      <c r="Y5811" s="1" t="s">
        <v>12637</v>
      </c>
      <c r="Z5811" s="1" t="s">
        <v>37</v>
      </c>
    </row>
    <row r="5812" hidden="1">
      <c r="A5812" s="1" t="s">
        <v>16050</v>
      </c>
      <c r="B5812" s="1" t="s">
        <v>1420</v>
      </c>
      <c r="C5812" s="1" t="s">
        <v>16051</v>
      </c>
      <c r="D5812" s="1" t="s">
        <v>78</v>
      </c>
      <c r="E5812" s="1" t="s">
        <v>28</v>
      </c>
      <c r="F5812" s="2">
        <v>14500.0</v>
      </c>
      <c r="G5812" s="4">
        <v>44384.0</v>
      </c>
      <c r="H5812" s="4">
        <f>IFERROR(__xludf.DUMMYFUNCTION("DATE(INDEX(SPLIT(G5812,""/""),,3),INDEX(SPLIT(G5812,""/""),,2),INDEX(SPLIT(G5812,""/""),,1))"),44384.0)</f>
        <v>44384</v>
      </c>
      <c r="I5812" s="1" t="s">
        <v>447</v>
      </c>
      <c r="J5812" s="4">
        <f>IFERROR(__xludf.DUMMYFUNCTION("DATE(INDEX(SPLIT(I5812,""/""),,3),INDEX(SPLIT(I5812,""/""),,2),INDEX(SPLIT(I5812,""/""),,1))"),44910.0)</f>
        <v>44910</v>
      </c>
      <c r="L5812" s="1">
        <v>0.0</v>
      </c>
      <c r="M5812" s="1" t="s">
        <v>11254</v>
      </c>
      <c r="N5812" s="1"/>
      <c r="O5812" s="1" t="s">
        <v>30</v>
      </c>
      <c r="P5812" s="1" t="s">
        <v>31</v>
      </c>
      <c r="Q5812" s="1" t="s">
        <v>228</v>
      </c>
      <c r="R5812" s="1" t="s">
        <v>228</v>
      </c>
      <c r="S5812" s="1" t="s">
        <v>229</v>
      </c>
      <c r="U5812" s="1">
        <v>1.00602248E8</v>
      </c>
      <c r="X5812" s="1" t="s">
        <v>46</v>
      </c>
      <c r="Y5812" s="1" t="s">
        <v>12637</v>
      </c>
      <c r="Z5812" s="1" t="s">
        <v>37</v>
      </c>
    </row>
    <row r="5813" hidden="1">
      <c r="A5813" s="1" t="s">
        <v>16052</v>
      </c>
      <c r="B5813" s="1" t="s">
        <v>16053</v>
      </c>
      <c r="C5813" s="1" t="s">
        <v>16054</v>
      </c>
      <c r="D5813" s="1" t="s">
        <v>27</v>
      </c>
      <c r="E5813" s="1" t="s">
        <v>28</v>
      </c>
      <c r="F5813" s="2">
        <v>14500.0</v>
      </c>
      <c r="G5813" s="4">
        <v>44563.0</v>
      </c>
      <c r="H5813" s="4">
        <f>IFERROR(__xludf.DUMMYFUNCTION("DATE(INDEX(SPLIT(G5813,""/""),,3),INDEX(SPLIT(G5813,""/""),,2),INDEX(SPLIT(G5813,""/""),,1))"),44593.0)</f>
        <v>44593</v>
      </c>
      <c r="I5813" s="1" t="s">
        <v>109</v>
      </c>
      <c r="J5813" s="4">
        <f>IFERROR(__xludf.DUMMYFUNCTION("DATE(INDEX(SPLIT(I5813,""/""),,3),INDEX(SPLIT(I5813,""/""),,2),INDEX(SPLIT(I5813,""/""),,1))"),44834.0)</f>
        <v>44834</v>
      </c>
      <c r="L5813" s="1">
        <v>0.0</v>
      </c>
      <c r="M5813" s="1" t="s">
        <v>11254</v>
      </c>
      <c r="N5813" s="1"/>
      <c r="O5813" s="1" t="s">
        <v>30</v>
      </c>
      <c r="P5813" s="1" t="s">
        <v>31</v>
      </c>
      <c r="Q5813" s="1" t="s">
        <v>228</v>
      </c>
      <c r="R5813" s="1" t="s">
        <v>228</v>
      </c>
      <c r="S5813" s="1" t="s">
        <v>229</v>
      </c>
      <c r="T5813" s="1" t="s">
        <v>513</v>
      </c>
      <c r="U5813" s="1">
        <v>1.00602248E8</v>
      </c>
      <c r="X5813" s="1" t="s">
        <v>88</v>
      </c>
      <c r="Y5813" s="1" t="s">
        <v>14932</v>
      </c>
      <c r="Z5813" s="1" t="s">
        <v>37</v>
      </c>
    </row>
    <row r="5814" hidden="1">
      <c r="A5814" s="1" t="s">
        <v>16055</v>
      </c>
      <c r="B5814" s="1" t="s">
        <v>2070</v>
      </c>
      <c r="C5814" s="1" t="s">
        <v>16056</v>
      </c>
      <c r="D5814" s="1" t="s">
        <v>27</v>
      </c>
      <c r="E5814" s="1" t="s">
        <v>28</v>
      </c>
      <c r="F5814" s="2">
        <v>14500.0</v>
      </c>
      <c r="G5814" s="4">
        <v>44409.0</v>
      </c>
      <c r="H5814" s="4">
        <f>IFERROR(__xludf.DUMMYFUNCTION("DATE(INDEX(SPLIT(G5814,""/""),,3),INDEX(SPLIT(G5814,""/""),,2),INDEX(SPLIT(G5814,""/""),,1))"),44204.0)</f>
        <v>44204</v>
      </c>
      <c r="I5814" s="1" t="s">
        <v>42</v>
      </c>
      <c r="J5814" s="4">
        <f>IFERROR(__xludf.DUMMYFUNCTION("DATE(INDEX(SPLIT(I5814,""/""),,3),INDEX(SPLIT(I5814,""/""),,2),INDEX(SPLIT(I5814,""/""),,1))"),44926.0)</f>
        <v>44926</v>
      </c>
      <c r="L5814" s="1">
        <v>0.0</v>
      </c>
      <c r="M5814" s="1" t="s">
        <v>11254</v>
      </c>
      <c r="N5814" s="1"/>
      <c r="O5814" s="1" t="s">
        <v>30</v>
      </c>
      <c r="P5814" s="1" t="s">
        <v>31</v>
      </c>
      <c r="Q5814" s="1" t="s">
        <v>228</v>
      </c>
      <c r="R5814" s="1" t="s">
        <v>228</v>
      </c>
      <c r="S5814" s="1" t="s">
        <v>229</v>
      </c>
      <c r="T5814" s="1" t="s">
        <v>513</v>
      </c>
      <c r="U5814" s="1">
        <v>1.00602248E8</v>
      </c>
      <c r="X5814" s="1" t="s">
        <v>74</v>
      </c>
      <c r="Y5814" s="1" t="s">
        <v>13638</v>
      </c>
      <c r="Z5814" s="1" t="s">
        <v>37</v>
      </c>
    </row>
    <row r="5815" hidden="1">
      <c r="A5815" s="1" t="s">
        <v>16057</v>
      </c>
      <c r="B5815" s="1" t="s">
        <v>1479</v>
      </c>
      <c r="C5815" s="1" t="s">
        <v>16058</v>
      </c>
      <c r="D5815" s="1" t="s">
        <v>27</v>
      </c>
      <c r="E5815" s="1" t="s">
        <v>28</v>
      </c>
      <c r="F5815" s="2">
        <v>14500.0</v>
      </c>
      <c r="G5815" s="1" t="s">
        <v>511</v>
      </c>
      <c r="H5815" s="4">
        <f>IFERROR(__xludf.DUMMYFUNCTION("DATE(INDEX(SPLIT(G5815,""/""),,3),INDEX(SPLIT(G5815,""/""),,2),INDEX(SPLIT(G5815,""/""),,1))"),44400.0)</f>
        <v>44400</v>
      </c>
      <c r="I5815" s="1" t="s">
        <v>42</v>
      </c>
      <c r="J5815" s="4">
        <f>IFERROR(__xludf.DUMMYFUNCTION("DATE(INDEX(SPLIT(I5815,""/""),,3),INDEX(SPLIT(I5815,""/""),,2),INDEX(SPLIT(I5815,""/""),,1))"),44926.0)</f>
        <v>44926</v>
      </c>
      <c r="L5815" s="1">
        <v>0.0</v>
      </c>
      <c r="M5815" s="1" t="s">
        <v>11254</v>
      </c>
      <c r="N5815" s="1"/>
      <c r="O5815" s="1" t="s">
        <v>30</v>
      </c>
      <c r="P5815" s="1" t="s">
        <v>31</v>
      </c>
      <c r="Q5815" s="1" t="s">
        <v>228</v>
      </c>
      <c r="R5815" s="1" t="s">
        <v>228</v>
      </c>
      <c r="S5815" s="1" t="s">
        <v>229</v>
      </c>
      <c r="U5815" s="1">
        <v>1.00602248E8</v>
      </c>
      <c r="X5815" s="1" t="s">
        <v>305</v>
      </c>
      <c r="Y5815" s="1" t="s">
        <v>13638</v>
      </c>
      <c r="Z5815" s="1" t="s">
        <v>37</v>
      </c>
    </row>
    <row r="5816" hidden="1">
      <c r="A5816" s="1" t="s">
        <v>16059</v>
      </c>
      <c r="B5816" s="1" t="s">
        <v>1275</v>
      </c>
      <c r="C5816" s="1" t="s">
        <v>16060</v>
      </c>
      <c r="D5816" s="1" t="s">
        <v>27</v>
      </c>
      <c r="E5816" s="1" t="s">
        <v>28</v>
      </c>
      <c r="F5816" s="2">
        <v>14500.0</v>
      </c>
      <c r="G5816" s="1" t="s">
        <v>225</v>
      </c>
      <c r="H5816" s="4">
        <f>IFERROR(__xludf.DUMMYFUNCTION("DATE(INDEX(SPLIT(G5816,""/""),,3),INDEX(SPLIT(G5816,""/""),,2),INDEX(SPLIT(G5816,""/""),,1))"),44518.0)</f>
        <v>44518</v>
      </c>
      <c r="I5816" s="1" t="s">
        <v>42</v>
      </c>
      <c r="J5816" s="4">
        <f>IFERROR(__xludf.DUMMYFUNCTION("DATE(INDEX(SPLIT(I5816,""/""),,3),INDEX(SPLIT(I5816,""/""),,2),INDEX(SPLIT(I5816,""/""),,1))"),44926.0)</f>
        <v>44926</v>
      </c>
      <c r="L5816" s="1">
        <v>0.0</v>
      </c>
      <c r="M5816" s="1" t="s">
        <v>11254</v>
      </c>
      <c r="N5816" s="1"/>
      <c r="O5816" s="1" t="s">
        <v>30</v>
      </c>
      <c r="P5816" s="1" t="s">
        <v>31</v>
      </c>
      <c r="Q5816" s="1" t="s">
        <v>228</v>
      </c>
      <c r="R5816" s="1" t="s">
        <v>228</v>
      </c>
      <c r="S5816" s="1" t="s">
        <v>229</v>
      </c>
      <c r="T5816" s="1" t="s">
        <v>14924</v>
      </c>
      <c r="U5816" s="1">
        <v>1.00602248E8</v>
      </c>
      <c r="X5816" s="1" t="s">
        <v>74</v>
      </c>
      <c r="Y5816" s="1" t="s">
        <v>12640</v>
      </c>
      <c r="Z5816" s="1" t="s">
        <v>37</v>
      </c>
    </row>
    <row r="5817" hidden="1">
      <c r="A5817" s="1" t="s">
        <v>16061</v>
      </c>
      <c r="B5817" s="1" t="s">
        <v>16062</v>
      </c>
      <c r="C5817" s="1" t="s">
        <v>16063</v>
      </c>
      <c r="D5817" s="1" t="s">
        <v>27</v>
      </c>
      <c r="E5817" s="1" t="s">
        <v>28</v>
      </c>
      <c r="F5817" s="2">
        <v>14500.0</v>
      </c>
      <c r="G5817" s="1" t="s">
        <v>225</v>
      </c>
      <c r="H5817" s="4">
        <f>IFERROR(__xludf.DUMMYFUNCTION("DATE(INDEX(SPLIT(G5817,""/""),,3),INDEX(SPLIT(G5817,""/""),,2),INDEX(SPLIT(G5817,""/""),,1))"),44518.0)</f>
        <v>44518</v>
      </c>
      <c r="I5817" s="1" t="s">
        <v>42</v>
      </c>
      <c r="J5817" s="4">
        <f>IFERROR(__xludf.DUMMYFUNCTION("DATE(INDEX(SPLIT(I5817,""/""),,3),INDEX(SPLIT(I5817,""/""),,2),INDEX(SPLIT(I5817,""/""),,1))"),44926.0)</f>
        <v>44926</v>
      </c>
      <c r="L5817" s="1">
        <v>0.0</v>
      </c>
      <c r="M5817" s="1" t="s">
        <v>11254</v>
      </c>
      <c r="N5817" s="1"/>
      <c r="O5817" s="1" t="s">
        <v>30</v>
      </c>
      <c r="P5817" s="1" t="s">
        <v>31</v>
      </c>
      <c r="Q5817" s="1" t="s">
        <v>228</v>
      </c>
      <c r="R5817" s="1" t="s">
        <v>228</v>
      </c>
      <c r="S5817" s="1" t="s">
        <v>229</v>
      </c>
      <c r="T5817" s="1" t="s">
        <v>15571</v>
      </c>
      <c r="U5817" s="1">
        <v>1.00602248E8</v>
      </c>
      <c r="X5817" s="1" t="s">
        <v>117</v>
      </c>
      <c r="Y5817" s="1" t="s">
        <v>12640</v>
      </c>
      <c r="Z5817" s="1" t="s">
        <v>37</v>
      </c>
    </row>
    <row r="5818" hidden="1">
      <c r="A5818" s="1" t="s">
        <v>16064</v>
      </c>
      <c r="B5818" s="1" t="s">
        <v>16065</v>
      </c>
      <c r="C5818" s="1" t="s">
        <v>16066</v>
      </c>
      <c r="D5818" s="1" t="s">
        <v>78</v>
      </c>
      <c r="E5818" s="1" t="s">
        <v>28</v>
      </c>
      <c r="F5818" s="2">
        <v>14500.0</v>
      </c>
      <c r="G5818" s="1" t="s">
        <v>4423</v>
      </c>
      <c r="H5818" s="4">
        <f>IFERROR(__xludf.DUMMYFUNCTION("DATE(INDEX(SPLIT(G5818,""/""),,3),INDEX(SPLIT(G5818,""/""),,2),INDEX(SPLIT(G5818,""/""),,1))"),44337.0)</f>
        <v>44337</v>
      </c>
      <c r="I5818" s="1" t="s">
        <v>109</v>
      </c>
      <c r="J5818" s="4">
        <f>IFERROR(__xludf.DUMMYFUNCTION("DATE(INDEX(SPLIT(I5818,""/""),,3),INDEX(SPLIT(I5818,""/""),,2),INDEX(SPLIT(I5818,""/""),,1))"),44834.0)</f>
        <v>44834</v>
      </c>
      <c r="L5818" s="1">
        <v>0.0</v>
      </c>
      <c r="M5818" s="1" t="s">
        <v>11254</v>
      </c>
      <c r="N5818" s="1"/>
      <c r="O5818" s="1" t="s">
        <v>30</v>
      </c>
      <c r="P5818" s="1" t="s">
        <v>31</v>
      </c>
      <c r="Q5818" s="1" t="s">
        <v>228</v>
      </c>
      <c r="R5818" s="1" t="s">
        <v>228</v>
      </c>
      <c r="S5818" s="1" t="s">
        <v>229</v>
      </c>
      <c r="T5818" s="1" t="s">
        <v>513</v>
      </c>
      <c r="U5818" s="1">
        <v>1.00602248E8</v>
      </c>
      <c r="X5818" s="1" t="s">
        <v>98</v>
      </c>
      <c r="Y5818" s="1" t="s">
        <v>12637</v>
      </c>
      <c r="Z5818" s="1" t="s">
        <v>37</v>
      </c>
    </row>
    <row r="5819" hidden="1">
      <c r="A5819" s="1" t="s">
        <v>16067</v>
      </c>
      <c r="B5819" s="1" t="s">
        <v>16068</v>
      </c>
      <c r="C5819" s="1" t="s">
        <v>16069</v>
      </c>
      <c r="D5819" s="1" t="s">
        <v>78</v>
      </c>
      <c r="E5819" s="1" t="s">
        <v>28</v>
      </c>
      <c r="F5819" s="2">
        <v>14500.0</v>
      </c>
      <c r="G5819" s="4">
        <v>43990.0</v>
      </c>
      <c r="H5819" s="4">
        <f>IFERROR(__xludf.DUMMYFUNCTION("DATE(INDEX(SPLIT(G5819,""/""),,3),INDEX(SPLIT(G5819,""/""),,2),INDEX(SPLIT(G5819,""/""),,1))"),44049.0)</f>
        <v>44049</v>
      </c>
      <c r="I5819" s="1" t="s">
        <v>109</v>
      </c>
      <c r="J5819" s="4">
        <f>IFERROR(__xludf.DUMMYFUNCTION("DATE(INDEX(SPLIT(I5819,""/""),,3),INDEX(SPLIT(I5819,""/""),,2),INDEX(SPLIT(I5819,""/""),,1))"),44834.0)</f>
        <v>44834</v>
      </c>
      <c r="L5819" s="1">
        <v>0.0</v>
      </c>
      <c r="M5819" s="1" t="s">
        <v>11254</v>
      </c>
      <c r="N5819" s="1"/>
      <c r="O5819" s="1" t="s">
        <v>30</v>
      </c>
      <c r="P5819" s="1" t="s">
        <v>31</v>
      </c>
      <c r="Q5819" s="1" t="s">
        <v>228</v>
      </c>
      <c r="R5819" s="1" t="s">
        <v>228</v>
      </c>
      <c r="S5819" s="1" t="s">
        <v>229</v>
      </c>
      <c r="T5819" s="1" t="s">
        <v>513</v>
      </c>
      <c r="U5819" s="1">
        <v>1.00602248E8</v>
      </c>
      <c r="X5819" s="1" t="s">
        <v>63</v>
      </c>
      <c r="Y5819" s="1" t="s">
        <v>12637</v>
      </c>
      <c r="Z5819" s="1" t="s">
        <v>37</v>
      </c>
    </row>
    <row r="5820" hidden="1">
      <c r="A5820" s="1" t="s">
        <v>16070</v>
      </c>
      <c r="B5820" s="1" t="s">
        <v>16071</v>
      </c>
      <c r="C5820" s="1" t="s">
        <v>16072</v>
      </c>
      <c r="D5820" s="1" t="s">
        <v>27</v>
      </c>
      <c r="E5820" s="1" t="s">
        <v>28</v>
      </c>
      <c r="F5820" s="2">
        <v>14500.0</v>
      </c>
      <c r="G5820" s="1" t="s">
        <v>6746</v>
      </c>
      <c r="H5820" s="4">
        <f>IFERROR(__xludf.DUMMYFUNCTION("DATE(INDEX(SPLIT(G5820,""/""),,3),INDEX(SPLIT(G5820,""/""),,2),INDEX(SPLIT(G5820,""/""),,1))"),44309.0)</f>
        <v>44309</v>
      </c>
      <c r="I5820" s="1" t="s">
        <v>42</v>
      </c>
      <c r="J5820" s="4">
        <f>IFERROR(__xludf.DUMMYFUNCTION("DATE(INDEX(SPLIT(I5820,""/""),,3),INDEX(SPLIT(I5820,""/""),,2),INDEX(SPLIT(I5820,""/""),,1))"),44926.0)</f>
        <v>44926</v>
      </c>
      <c r="L5820" s="1">
        <v>0.0</v>
      </c>
      <c r="M5820" s="1" t="s">
        <v>11254</v>
      </c>
      <c r="N5820" s="1"/>
      <c r="O5820" s="1" t="s">
        <v>30</v>
      </c>
      <c r="P5820" s="1" t="s">
        <v>31</v>
      </c>
      <c r="Q5820" s="1" t="s">
        <v>228</v>
      </c>
      <c r="R5820" s="1" t="s">
        <v>228</v>
      </c>
      <c r="S5820" s="1" t="s">
        <v>229</v>
      </c>
      <c r="U5820" s="1">
        <v>1.00602248E8</v>
      </c>
      <c r="X5820" s="1" t="s">
        <v>2769</v>
      </c>
      <c r="Y5820" s="1" t="s">
        <v>13638</v>
      </c>
      <c r="Z5820" s="1" t="s">
        <v>37</v>
      </c>
    </row>
    <row r="5821" hidden="1">
      <c r="A5821" s="1" t="s">
        <v>16073</v>
      </c>
      <c r="B5821" s="1" t="s">
        <v>16074</v>
      </c>
      <c r="C5821" s="1" t="s">
        <v>16075</v>
      </c>
      <c r="D5821" s="1" t="s">
        <v>27</v>
      </c>
      <c r="E5821" s="1" t="s">
        <v>28</v>
      </c>
      <c r="F5821" s="2">
        <v>14500.0</v>
      </c>
      <c r="G5821" s="1" t="s">
        <v>7472</v>
      </c>
      <c r="H5821" s="4">
        <f>IFERROR(__xludf.DUMMYFUNCTION("DATE(INDEX(SPLIT(G5821,""/""),,3),INDEX(SPLIT(G5821,""/""),,2),INDEX(SPLIT(G5821,""/""),,1))"),44299.0)</f>
        <v>44299</v>
      </c>
      <c r="I5821" s="1" t="s">
        <v>42</v>
      </c>
      <c r="J5821" s="4">
        <f>IFERROR(__xludf.DUMMYFUNCTION("DATE(INDEX(SPLIT(I5821,""/""),,3),INDEX(SPLIT(I5821,""/""),,2),INDEX(SPLIT(I5821,""/""),,1))"),44926.0)</f>
        <v>44926</v>
      </c>
      <c r="L5821" s="1">
        <v>0.0</v>
      </c>
      <c r="M5821" s="1" t="s">
        <v>11254</v>
      </c>
      <c r="N5821" s="1"/>
      <c r="O5821" s="1" t="s">
        <v>30</v>
      </c>
      <c r="P5821" s="1" t="s">
        <v>31</v>
      </c>
      <c r="Q5821" s="1" t="s">
        <v>228</v>
      </c>
      <c r="R5821" s="1" t="s">
        <v>228</v>
      </c>
      <c r="S5821" s="1" t="s">
        <v>229</v>
      </c>
      <c r="U5821" s="1">
        <v>1.00602248E8</v>
      </c>
      <c r="X5821" s="1" t="s">
        <v>2769</v>
      </c>
      <c r="Y5821" s="1" t="s">
        <v>13638</v>
      </c>
      <c r="Z5821" s="1" t="s">
        <v>37</v>
      </c>
    </row>
    <row r="5822" hidden="1">
      <c r="A5822" s="1" t="s">
        <v>16076</v>
      </c>
      <c r="B5822" s="1" t="s">
        <v>16077</v>
      </c>
      <c r="C5822" s="1" t="s">
        <v>16078</v>
      </c>
      <c r="D5822" s="1" t="s">
        <v>78</v>
      </c>
      <c r="E5822" s="1" t="s">
        <v>28</v>
      </c>
      <c r="F5822" s="2">
        <v>14500.0</v>
      </c>
      <c r="G5822" s="1" t="s">
        <v>3149</v>
      </c>
      <c r="H5822" s="4">
        <f>IFERROR(__xludf.DUMMYFUNCTION("DATE(INDEX(SPLIT(G5822,""/""),,3),INDEX(SPLIT(G5822,""/""),,2),INDEX(SPLIT(G5822,""/""),,1))"),44301.0)</f>
        <v>44301</v>
      </c>
      <c r="I5822" s="1" t="s">
        <v>447</v>
      </c>
      <c r="J5822" s="4">
        <f>IFERROR(__xludf.DUMMYFUNCTION("DATE(INDEX(SPLIT(I5822,""/""),,3),INDEX(SPLIT(I5822,""/""),,2),INDEX(SPLIT(I5822,""/""),,1))"),44910.0)</f>
        <v>44910</v>
      </c>
      <c r="L5822" s="1">
        <v>0.0</v>
      </c>
      <c r="M5822" s="1" t="s">
        <v>11254</v>
      </c>
      <c r="N5822" s="1"/>
      <c r="O5822" s="1" t="s">
        <v>30</v>
      </c>
      <c r="P5822" s="1" t="s">
        <v>31</v>
      </c>
      <c r="Q5822" s="1" t="s">
        <v>228</v>
      </c>
      <c r="R5822" s="1" t="s">
        <v>228</v>
      </c>
      <c r="S5822" s="1" t="s">
        <v>229</v>
      </c>
      <c r="U5822" s="1">
        <v>1.00602248E8</v>
      </c>
      <c r="X5822" s="1" t="s">
        <v>46</v>
      </c>
      <c r="Y5822" s="1" t="s">
        <v>12637</v>
      </c>
      <c r="Z5822" s="1" t="s">
        <v>37</v>
      </c>
    </row>
    <row r="5823" hidden="1">
      <c r="A5823" s="1" t="s">
        <v>16079</v>
      </c>
      <c r="B5823" s="1" t="s">
        <v>16080</v>
      </c>
      <c r="C5823" s="1" t="s">
        <v>16081</v>
      </c>
      <c r="D5823" s="1" t="s">
        <v>27</v>
      </c>
      <c r="E5823" s="1" t="s">
        <v>28</v>
      </c>
      <c r="F5823" s="2">
        <v>14500.0</v>
      </c>
      <c r="G5823" s="4">
        <v>44292.0</v>
      </c>
      <c r="H5823" s="4">
        <f>IFERROR(__xludf.DUMMYFUNCTION("DATE(INDEX(SPLIT(G5823,""/""),,3),INDEX(SPLIT(G5823,""/""),,2),INDEX(SPLIT(G5823,""/""),,1))"),44351.0)</f>
        <v>44351</v>
      </c>
      <c r="I5823" s="1" t="s">
        <v>42</v>
      </c>
      <c r="J5823" s="4">
        <f>IFERROR(__xludf.DUMMYFUNCTION("DATE(INDEX(SPLIT(I5823,""/""),,3),INDEX(SPLIT(I5823,""/""),,2),INDEX(SPLIT(I5823,""/""),,1))"),44926.0)</f>
        <v>44926</v>
      </c>
      <c r="L5823" s="1">
        <v>0.0</v>
      </c>
      <c r="M5823" s="1" t="s">
        <v>11254</v>
      </c>
      <c r="N5823" s="1"/>
      <c r="O5823" s="1" t="s">
        <v>30</v>
      </c>
      <c r="P5823" s="1" t="s">
        <v>31</v>
      </c>
      <c r="Q5823" s="1" t="s">
        <v>228</v>
      </c>
      <c r="R5823" s="1" t="s">
        <v>228</v>
      </c>
      <c r="S5823" s="1" t="s">
        <v>229</v>
      </c>
      <c r="T5823" s="1" t="s">
        <v>513</v>
      </c>
      <c r="U5823" s="1">
        <v>1.00602248E8</v>
      </c>
      <c r="X5823" s="1" t="s">
        <v>289</v>
      </c>
      <c r="Y5823" s="1" t="s">
        <v>13638</v>
      </c>
      <c r="Z5823" s="1" t="s">
        <v>37</v>
      </c>
    </row>
    <row r="5824" hidden="1">
      <c r="A5824" s="1" t="s">
        <v>16082</v>
      </c>
      <c r="B5824" s="1" t="s">
        <v>16083</v>
      </c>
      <c r="C5824" s="1" t="s">
        <v>16084</v>
      </c>
      <c r="D5824" s="1" t="s">
        <v>27</v>
      </c>
      <c r="E5824" s="1" t="s">
        <v>28</v>
      </c>
      <c r="F5824" s="2">
        <v>14500.0</v>
      </c>
      <c r="G5824" s="1" t="s">
        <v>343</v>
      </c>
      <c r="H5824" s="4">
        <f>IFERROR(__xludf.DUMMYFUNCTION("DATE(INDEX(SPLIT(G5824,""/""),,3),INDEX(SPLIT(G5824,""/""),,2),INDEX(SPLIT(G5824,""/""),,1))"),44761.0)</f>
        <v>44761</v>
      </c>
      <c r="I5824" s="1" t="s">
        <v>42</v>
      </c>
      <c r="J5824" s="4">
        <f>IFERROR(__xludf.DUMMYFUNCTION("DATE(INDEX(SPLIT(I5824,""/""),,3),INDEX(SPLIT(I5824,""/""),,2),INDEX(SPLIT(I5824,""/""),,1))"),44926.0)</f>
        <v>44926</v>
      </c>
      <c r="L5824" s="1">
        <v>0.0</v>
      </c>
      <c r="M5824" s="1" t="s">
        <v>11254</v>
      </c>
      <c r="N5824" s="1"/>
      <c r="O5824" s="1" t="s">
        <v>30</v>
      </c>
      <c r="P5824" s="1" t="s">
        <v>31</v>
      </c>
      <c r="Q5824" s="1" t="s">
        <v>228</v>
      </c>
      <c r="R5824" s="1" t="s">
        <v>228</v>
      </c>
      <c r="S5824" s="1" t="s">
        <v>229</v>
      </c>
      <c r="T5824" s="1" t="s">
        <v>14924</v>
      </c>
      <c r="U5824" s="1">
        <v>1.00602248E8</v>
      </c>
      <c r="X5824" s="1" t="s">
        <v>98</v>
      </c>
      <c r="Y5824" s="1" t="s">
        <v>12640</v>
      </c>
      <c r="Z5824" s="1" t="s">
        <v>37</v>
      </c>
    </row>
    <row r="5825" hidden="1">
      <c r="A5825" s="1" t="s">
        <v>16085</v>
      </c>
      <c r="B5825" s="1" t="s">
        <v>16086</v>
      </c>
      <c r="C5825" s="1" t="s">
        <v>16087</v>
      </c>
      <c r="D5825" s="1" t="s">
        <v>27</v>
      </c>
      <c r="E5825" s="1" t="s">
        <v>28</v>
      </c>
      <c r="F5825" s="2">
        <v>14500.0</v>
      </c>
      <c r="G5825" s="1" t="s">
        <v>343</v>
      </c>
      <c r="H5825" s="4">
        <f>IFERROR(__xludf.DUMMYFUNCTION("DATE(INDEX(SPLIT(G5825,""/""),,3),INDEX(SPLIT(G5825,""/""),,2),INDEX(SPLIT(G5825,""/""),,1))"),44761.0)</f>
        <v>44761</v>
      </c>
      <c r="I5825" s="1" t="s">
        <v>42</v>
      </c>
      <c r="J5825" s="4">
        <f>IFERROR(__xludf.DUMMYFUNCTION("DATE(INDEX(SPLIT(I5825,""/""),,3),INDEX(SPLIT(I5825,""/""),,2),INDEX(SPLIT(I5825,""/""),,1))"),44926.0)</f>
        <v>44926</v>
      </c>
      <c r="L5825" s="1">
        <v>0.0</v>
      </c>
      <c r="M5825" s="1" t="s">
        <v>11254</v>
      </c>
      <c r="N5825" s="1"/>
      <c r="O5825" s="1" t="s">
        <v>30</v>
      </c>
      <c r="P5825" s="1" t="s">
        <v>31</v>
      </c>
      <c r="Q5825" s="1" t="s">
        <v>228</v>
      </c>
      <c r="R5825" s="1" t="s">
        <v>228</v>
      </c>
      <c r="S5825" s="1" t="s">
        <v>229</v>
      </c>
      <c r="T5825" s="1" t="s">
        <v>14924</v>
      </c>
      <c r="U5825" s="1">
        <v>1.00602248E8</v>
      </c>
      <c r="Y5825" s="1" t="s">
        <v>13638</v>
      </c>
      <c r="Z5825" s="1" t="s">
        <v>37</v>
      </c>
    </row>
    <row r="5826" hidden="1">
      <c r="A5826" s="1" t="s">
        <v>16088</v>
      </c>
      <c r="B5826" s="1" t="s">
        <v>251</v>
      </c>
      <c r="C5826" s="1" t="s">
        <v>16089</v>
      </c>
      <c r="D5826" s="1" t="s">
        <v>78</v>
      </c>
      <c r="E5826" s="1" t="s">
        <v>28</v>
      </c>
      <c r="F5826" s="2">
        <v>14500.0</v>
      </c>
      <c r="G5826" s="4">
        <v>44441.0</v>
      </c>
      <c r="H5826" s="4">
        <f>IFERROR(__xludf.DUMMYFUNCTION("DATE(INDEX(SPLIT(G5826,""/""),,3),INDEX(SPLIT(G5826,""/""),,2),INDEX(SPLIT(G5826,""/""),,1))"),44236.0)</f>
        <v>44236</v>
      </c>
      <c r="I5826" s="1" t="s">
        <v>42</v>
      </c>
      <c r="J5826" s="4">
        <f>IFERROR(__xludf.DUMMYFUNCTION("DATE(INDEX(SPLIT(I5826,""/""),,3),INDEX(SPLIT(I5826,""/""),,2),INDEX(SPLIT(I5826,""/""),,1))"),44926.0)</f>
        <v>44926</v>
      </c>
      <c r="L5826" s="1">
        <v>0.0</v>
      </c>
      <c r="M5826" s="1" t="s">
        <v>11254</v>
      </c>
      <c r="N5826" s="1"/>
      <c r="O5826" s="1" t="s">
        <v>30</v>
      </c>
      <c r="P5826" s="1" t="s">
        <v>31</v>
      </c>
      <c r="Q5826" s="1" t="s">
        <v>228</v>
      </c>
      <c r="R5826" s="1" t="s">
        <v>228</v>
      </c>
      <c r="S5826" s="1" t="s">
        <v>229</v>
      </c>
      <c r="T5826" s="1" t="s">
        <v>513</v>
      </c>
      <c r="U5826" s="1">
        <v>1.00602248E8</v>
      </c>
      <c r="X5826" s="1" t="s">
        <v>254</v>
      </c>
      <c r="Y5826" s="1" t="s">
        <v>12640</v>
      </c>
      <c r="Z5826" s="1" t="s">
        <v>37</v>
      </c>
    </row>
    <row r="5827" hidden="1">
      <c r="A5827" s="1" t="s">
        <v>16090</v>
      </c>
      <c r="B5827" s="1" t="s">
        <v>16091</v>
      </c>
      <c r="C5827" s="1" t="s">
        <v>16092</v>
      </c>
      <c r="D5827" s="1" t="s">
        <v>27</v>
      </c>
      <c r="E5827" s="1" t="s">
        <v>28</v>
      </c>
      <c r="F5827" s="2">
        <v>14500.0</v>
      </c>
      <c r="G5827" s="1" t="s">
        <v>4916</v>
      </c>
      <c r="H5827" s="4">
        <f>IFERROR(__xludf.DUMMYFUNCTION("DATE(INDEX(SPLIT(G5827,""/""),,3),INDEX(SPLIT(G5827,""/""),,2),INDEX(SPLIT(G5827,""/""),,1))"),44370.0)</f>
        <v>44370</v>
      </c>
      <c r="I5827" s="1" t="s">
        <v>42</v>
      </c>
      <c r="J5827" s="4">
        <f>IFERROR(__xludf.DUMMYFUNCTION("DATE(INDEX(SPLIT(I5827,""/""),,3),INDEX(SPLIT(I5827,""/""),,2),INDEX(SPLIT(I5827,""/""),,1))"),44926.0)</f>
        <v>44926</v>
      </c>
      <c r="L5827" s="1">
        <v>0.0</v>
      </c>
      <c r="M5827" s="1" t="s">
        <v>11254</v>
      </c>
      <c r="N5827" s="1"/>
      <c r="O5827" s="1" t="s">
        <v>30</v>
      </c>
      <c r="P5827" s="1" t="s">
        <v>31</v>
      </c>
      <c r="Q5827" s="1" t="s">
        <v>228</v>
      </c>
      <c r="R5827" s="1" t="s">
        <v>228</v>
      </c>
      <c r="S5827" s="1" t="s">
        <v>229</v>
      </c>
      <c r="T5827" s="1" t="s">
        <v>513</v>
      </c>
      <c r="U5827" s="1">
        <v>1.00602248E8</v>
      </c>
      <c r="X5827" s="1" t="s">
        <v>490</v>
      </c>
      <c r="Y5827" s="1" t="s">
        <v>13638</v>
      </c>
      <c r="Z5827" s="1" t="s">
        <v>37</v>
      </c>
    </row>
    <row r="5828" hidden="1">
      <c r="A5828" s="1" t="s">
        <v>16093</v>
      </c>
      <c r="B5828" s="1" t="s">
        <v>7733</v>
      </c>
      <c r="C5828" s="1" t="s">
        <v>16094</v>
      </c>
      <c r="D5828" s="1" t="s">
        <v>27</v>
      </c>
      <c r="E5828" s="1" t="s">
        <v>28</v>
      </c>
      <c r="F5828" s="2">
        <v>14500.0</v>
      </c>
      <c r="G5828" s="1" t="s">
        <v>7187</v>
      </c>
      <c r="H5828" s="4">
        <f>IFERROR(__xludf.DUMMYFUNCTION("DATE(INDEX(SPLIT(G5828,""/""),,3),INDEX(SPLIT(G5828,""/""),,2),INDEX(SPLIT(G5828,""/""),,1))"),44253.0)</f>
        <v>44253</v>
      </c>
      <c r="I5828" s="1" t="s">
        <v>42</v>
      </c>
      <c r="J5828" s="4">
        <f>IFERROR(__xludf.DUMMYFUNCTION("DATE(INDEX(SPLIT(I5828,""/""),,3),INDEX(SPLIT(I5828,""/""),,2),INDEX(SPLIT(I5828,""/""),,1))"),44926.0)</f>
        <v>44926</v>
      </c>
      <c r="L5828" s="1">
        <v>0.0</v>
      </c>
      <c r="M5828" s="1" t="s">
        <v>11254</v>
      </c>
      <c r="N5828" s="1"/>
      <c r="O5828" s="1" t="s">
        <v>30</v>
      </c>
      <c r="P5828" s="1" t="s">
        <v>31</v>
      </c>
      <c r="Q5828" s="1" t="s">
        <v>228</v>
      </c>
      <c r="R5828" s="1" t="s">
        <v>228</v>
      </c>
      <c r="S5828" s="1" t="s">
        <v>229</v>
      </c>
      <c r="T5828" s="1" t="s">
        <v>513</v>
      </c>
      <c r="U5828" s="1">
        <v>1.00602248E8</v>
      </c>
      <c r="X5828" s="1" t="s">
        <v>289</v>
      </c>
      <c r="Y5828" s="1" t="s">
        <v>13638</v>
      </c>
      <c r="Z5828" s="1" t="s">
        <v>37</v>
      </c>
    </row>
    <row r="5829" hidden="1">
      <c r="A5829" s="1" t="s">
        <v>16095</v>
      </c>
      <c r="B5829" s="1" t="s">
        <v>16096</v>
      </c>
      <c r="C5829" s="1" t="s">
        <v>16097</v>
      </c>
      <c r="D5829" s="1" t="s">
        <v>27</v>
      </c>
      <c r="E5829" s="1" t="s">
        <v>28</v>
      </c>
      <c r="F5829" s="2">
        <v>14500.0</v>
      </c>
      <c r="G5829" s="4">
        <v>44599.0</v>
      </c>
      <c r="H5829" s="4">
        <f>IFERROR(__xludf.DUMMYFUNCTION("DATE(INDEX(SPLIT(G5829,""/""),,3),INDEX(SPLIT(G5829,""/""),,2),INDEX(SPLIT(G5829,""/""),,1))"),44744.0)</f>
        <v>44744</v>
      </c>
      <c r="I5829" s="1" t="s">
        <v>1097</v>
      </c>
      <c r="J5829" s="4">
        <f>IFERROR(__xludf.DUMMYFUNCTION("DATE(INDEX(SPLIT(I5829,""/""),,3),INDEX(SPLIT(I5829,""/""),,2),INDEX(SPLIT(I5829,""/""),,1))"),45107.0)</f>
        <v>45107</v>
      </c>
      <c r="L5829" s="1">
        <v>0.0</v>
      </c>
      <c r="M5829" s="1" t="s">
        <v>11254</v>
      </c>
      <c r="N5829" s="1"/>
      <c r="O5829" s="1" t="s">
        <v>30</v>
      </c>
      <c r="P5829" s="1" t="s">
        <v>31</v>
      </c>
      <c r="Q5829" s="1" t="s">
        <v>228</v>
      </c>
      <c r="R5829" s="1" t="s">
        <v>228</v>
      </c>
      <c r="S5829" s="1" t="s">
        <v>229</v>
      </c>
      <c r="T5829" s="1" t="s">
        <v>513</v>
      </c>
      <c r="U5829" s="1">
        <v>1.00602248E8</v>
      </c>
      <c r="X5829" s="1" t="s">
        <v>490</v>
      </c>
      <c r="Y5829" s="1" t="s">
        <v>12640</v>
      </c>
      <c r="Z5829" s="1" t="s">
        <v>37</v>
      </c>
    </row>
    <row r="5830" hidden="1">
      <c r="A5830" s="1" t="s">
        <v>16098</v>
      </c>
      <c r="B5830" s="1" t="s">
        <v>16099</v>
      </c>
      <c r="C5830" s="1" t="s">
        <v>16100</v>
      </c>
      <c r="D5830" s="1" t="s">
        <v>27</v>
      </c>
      <c r="E5830" s="1" t="s">
        <v>28</v>
      </c>
      <c r="F5830" s="2">
        <v>14500.0</v>
      </c>
      <c r="G5830" s="1" t="s">
        <v>1012</v>
      </c>
      <c r="H5830" s="4">
        <f>IFERROR(__xludf.DUMMYFUNCTION("DATE(INDEX(SPLIT(G5830,""/""),,3),INDEX(SPLIT(G5830,""/""),,2),INDEX(SPLIT(G5830,""/""),,1))"),44496.0)</f>
        <v>44496</v>
      </c>
      <c r="I5830" s="1" t="s">
        <v>42</v>
      </c>
      <c r="J5830" s="4">
        <f>IFERROR(__xludf.DUMMYFUNCTION("DATE(INDEX(SPLIT(I5830,""/""),,3),INDEX(SPLIT(I5830,""/""),,2),INDEX(SPLIT(I5830,""/""),,1))"),44926.0)</f>
        <v>44926</v>
      </c>
      <c r="L5830" s="1">
        <v>0.0</v>
      </c>
      <c r="M5830" s="1" t="s">
        <v>11254</v>
      </c>
      <c r="N5830" s="1"/>
      <c r="O5830" s="1" t="s">
        <v>30</v>
      </c>
      <c r="P5830" s="1" t="s">
        <v>31</v>
      </c>
      <c r="Q5830" s="1" t="s">
        <v>228</v>
      </c>
      <c r="R5830" s="1" t="s">
        <v>228</v>
      </c>
      <c r="S5830" s="1" t="s">
        <v>229</v>
      </c>
      <c r="T5830" s="1" t="s">
        <v>513</v>
      </c>
      <c r="U5830" s="1">
        <v>1.00602248E8</v>
      </c>
      <c r="X5830" s="1" t="s">
        <v>289</v>
      </c>
      <c r="Y5830" s="1" t="s">
        <v>13638</v>
      </c>
      <c r="Z5830" s="1" t="s">
        <v>37</v>
      </c>
    </row>
    <row r="5831" hidden="1">
      <c r="A5831" s="1" t="s">
        <v>16101</v>
      </c>
      <c r="B5831" s="1" t="s">
        <v>16102</v>
      </c>
      <c r="C5831" s="1" t="s">
        <v>16103</v>
      </c>
      <c r="D5831" s="1" t="s">
        <v>27</v>
      </c>
      <c r="E5831" s="1" t="s">
        <v>28</v>
      </c>
      <c r="F5831" s="2">
        <v>14500.0</v>
      </c>
      <c r="G5831" s="4">
        <v>44599.0</v>
      </c>
      <c r="H5831" s="4">
        <f>IFERROR(__xludf.DUMMYFUNCTION("DATE(INDEX(SPLIT(G5831,""/""),,3),INDEX(SPLIT(G5831,""/""),,2),INDEX(SPLIT(G5831,""/""),,1))"),44744.0)</f>
        <v>44744</v>
      </c>
      <c r="I5831" s="1" t="s">
        <v>1097</v>
      </c>
      <c r="J5831" s="4">
        <f>IFERROR(__xludf.DUMMYFUNCTION("DATE(INDEX(SPLIT(I5831,""/""),,3),INDEX(SPLIT(I5831,""/""),,2),INDEX(SPLIT(I5831,""/""),,1))"),45107.0)</f>
        <v>45107</v>
      </c>
      <c r="L5831" s="1">
        <v>0.0</v>
      </c>
      <c r="M5831" s="1" t="s">
        <v>12039</v>
      </c>
      <c r="N5831" s="1"/>
      <c r="O5831" s="1" t="s">
        <v>30</v>
      </c>
      <c r="P5831" s="1" t="s">
        <v>31</v>
      </c>
      <c r="Q5831" s="1" t="s">
        <v>228</v>
      </c>
      <c r="R5831" s="1" t="s">
        <v>228</v>
      </c>
      <c r="S5831" s="1" t="s">
        <v>229</v>
      </c>
      <c r="T5831" s="1" t="s">
        <v>513</v>
      </c>
      <c r="U5831" s="1">
        <v>1.00612509E8</v>
      </c>
      <c r="X5831" s="1" t="s">
        <v>74</v>
      </c>
      <c r="Y5831" s="1" t="s">
        <v>12640</v>
      </c>
      <c r="Z5831" s="1" t="s">
        <v>37</v>
      </c>
    </row>
    <row r="5832" hidden="1">
      <c r="A5832" s="1" t="s">
        <v>16104</v>
      </c>
      <c r="B5832" s="1" t="s">
        <v>16105</v>
      </c>
      <c r="C5832" s="1" t="s">
        <v>16106</v>
      </c>
      <c r="D5832" s="1" t="s">
        <v>27</v>
      </c>
      <c r="E5832" s="1" t="s">
        <v>28</v>
      </c>
      <c r="F5832" s="2">
        <v>14500.0</v>
      </c>
      <c r="G5832" s="4">
        <v>44599.0</v>
      </c>
      <c r="H5832" s="4">
        <f>IFERROR(__xludf.DUMMYFUNCTION("DATE(INDEX(SPLIT(G5832,""/""),,3),INDEX(SPLIT(G5832,""/""),,2),INDEX(SPLIT(G5832,""/""),,1))"),44744.0)</f>
        <v>44744</v>
      </c>
      <c r="I5832" s="1" t="s">
        <v>1097</v>
      </c>
      <c r="J5832" s="4">
        <f>IFERROR(__xludf.DUMMYFUNCTION("DATE(INDEX(SPLIT(I5832,""/""),,3),INDEX(SPLIT(I5832,""/""),,2),INDEX(SPLIT(I5832,""/""),,1))"),45107.0)</f>
        <v>45107</v>
      </c>
      <c r="L5832" s="1">
        <v>0.0</v>
      </c>
      <c r="M5832" s="1" t="s">
        <v>12039</v>
      </c>
      <c r="N5832" s="1"/>
      <c r="O5832" s="1" t="s">
        <v>30</v>
      </c>
      <c r="P5832" s="1" t="s">
        <v>31</v>
      </c>
      <c r="Q5832" s="1" t="s">
        <v>228</v>
      </c>
      <c r="R5832" s="1" t="s">
        <v>228</v>
      </c>
      <c r="S5832" s="1" t="s">
        <v>229</v>
      </c>
      <c r="T5832" s="1" t="s">
        <v>513</v>
      </c>
      <c r="U5832" s="1">
        <v>1.00612509E8</v>
      </c>
      <c r="X5832" s="1" t="s">
        <v>74</v>
      </c>
      <c r="Y5832" s="1" t="s">
        <v>12640</v>
      </c>
      <c r="Z5832" s="1" t="s">
        <v>37</v>
      </c>
    </row>
    <row r="5833" hidden="1">
      <c r="A5833" s="1" t="s">
        <v>16107</v>
      </c>
      <c r="B5833" s="1" t="s">
        <v>10868</v>
      </c>
      <c r="C5833" s="1" t="s">
        <v>16108</v>
      </c>
      <c r="D5833" s="1" t="s">
        <v>27</v>
      </c>
      <c r="E5833" s="1" t="s">
        <v>28</v>
      </c>
      <c r="F5833" s="2">
        <v>14500.0</v>
      </c>
      <c r="G5833" s="4">
        <v>44599.0</v>
      </c>
      <c r="H5833" s="4">
        <f>IFERROR(__xludf.DUMMYFUNCTION("DATE(INDEX(SPLIT(G5833,""/""),,3),INDEX(SPLIT(G5833,""/""),,2),INDEX(SPLIT(G5833,""/""),,1))"),44744.0)</f>
        <v>44744</v>
      </c>
      <c r="I5833" s="1" t="s">
        <v>1097</v>
      </c>
      <c r="J5833" s="4">
        <f>IFERROR(__xludf.DUMMYFUNCTION("DATE(INDEX(SPLIT(I5833,""/""),,3),INDEX(SPLIT(I5833,""/""),,2),INDEX(SPLIT(I5833,""/""),,1))"),45107.0)</f>
        <v>45107</v>
      </c>
      <c r="L5833" s="1">
        <v>0.0</v>
      </c>
      <c r="M5833" s="1" t="s">
        <v>11254</v>
      </c>
      <c r="N5833" s="1"/>
      <c r="O5833" s="1" t="s">
        <v>30</v>
      </c>
      <c r="P5833" s="1" t="s">
        <v>31</v>
      </c>
      <c r="Q5833" s="1" t="s">
        <v>228</v>
      </c>
      <c r="R5833" s="1" t="s">
        <v>228</v>
      </c>
      <c r="S5833" s="1" t="s">
        <v>229</v>
      </c>
      <c r="U5833" s="1">
        <v>1.00602248E8</v>
      </c>
      <c r="X5833" s="1" t="s">
        <v>46</v>
      </c>
      <c r="Y5833" s="1" t="s">
        <v>12640</v>
      </c>
      <c r="Z5833" s="1" t="s">
        <v>37</v>
      </c>
    </row>
    <row r="5834" hidden="1">
      <c r="A5834" s="1" t="s">
        <v>16109</v>
      </c>
      <c r="B5834" s="1" t="s">
        <v>16110</v>
      </c>
      <c r="C5834" s="1" t="s">
        <v>16111</v>
      </c>
      <c r="D5834" s="1" t="s">
        <v>27</v>
      </c>
      <c r="E5834" s="1" t="s">
        <v>28</v>
      </c>
      <c r="F5834" s="2">
        <v>14500.0</v>
      </c>
      <c r="G5834" s="4">
        <v>44599.0</v>
      </c>
      <c r="H5834" s="4">
        <f>IFERROR(__xludf.DUMMYFUNCTION("DATE(INDEX(SPLIT(G5834,""/""),,3),INDEX(SPLIT(G5834,""/""),,2),INDEX(SPLIT(G5834,""/""),,1))"),44744.0)</f>
        <v>44744</v>
      </c>
      <c r="I5834" s="1" t="s">
        <v>1097</v>
      </c>
      <c r="J5834" s="4">
        <f>IFERROR(__xludf.DUMMYFUNCTION("DATE(INDEX(SPLIT(I5834,""/""),,3),INDEX(SPLIT(I5834,""/""),,2),INDEX(SPLIT(I5834,""/""),,1))"),45107.0)</f>
        <v>45107</v>
      </c>
      <c r="L5834" s="1">
        <v>0.0</v>
      </c>
      <c r="M5834" s="1" t="s">
        <v>11254</v>
      </c>
      <c r="N5834" s="1"/>
      <c r="O5834" s="1" t="s">
        <v>30</v>
      </c>
      <c r="P5834" s="1" t="s">
        <v>31</v>
      </c>
      <c r="Q5834" s="1" t="s">
        <v>228</v>
      </c>
      <c r="R5834" s="1" t="s">
        <v>228</v>
      </c>
      <c r="S5834" s="1" t="s">
        <v>229</v>
      </c>
      <c r="T5834" s="1" t="s">
        <v>513</v>
      </c>
      <c r="U5834" s="1">
        <v>1.00602248E8</v>
      </c>
      <c r="X5834" s="1" t="s">
        <v>35</v>
      </c>
      <c r="Y5834" s="1" t="s">
        <v>12640</v>
      </c>
      <c r="Z5834" s="1" t="s">
        <v>37</v>
      </c>
    </row>
    <row r="5835" hidden="1">
      <c r="A5835" s="1" t="s">
        <v>16112</v>
      </c>
      <c r="B5835" s="1" t="s">
        <v>12146</v>
      </c>
      <c r="C5835" s="1" t="s">
        <v>16113</v>
      </c>
      <c r="D5835" s="1" t="s">
        <v>27</v>
      </c>
      <c r="E5835" s="1" t="s">
        <v>28</v>
      </c>
      <c r="F5835" s="2">
        <v>14500.0</v>
      </c>
      <c r="G5835" s="4">
        <v>44599.0</v>
      </c>
      <c r="H5835" s="4">
        <f>IFERROR(__xludf.DUMMYFUNCTION("DATE(INDEX(SPLIT(G5835,""/""),,3),INDEX(SPLIT(G5835,""/""),,2),INDEX(SPLIT(G5835,""/""),,1))"),44744.0)</f>
        <v>44744</v>
      </c>
      <c r="I5835" s="1" t="s">
        <v>1097</v>
      </c>
      <c r="J5835" s="4">
        <f>IFERROR(__xludf.DUMMYFUNCTION("DATE(INDEX(SPLIT(I5835,""/""),,3),INDEX(SPLIT(I5835,""/""),,2),INDEX(SPLIT(I5835,""/""),,1))"),45107.0)</f>
        <v>45107</v>
      </c>
      <c r="L5835" s="1">
        <v>0.0</v>
      </c>
      <c r="M5835" s="1" t="s">
        <v>11254</v>
      </c>
      <c r="N5835" s="1"/>
      <c r="O5835" s="1" t="s">
        <v>30</v>
      </c>
      <c r="P5835" s="1" t="s">
        <v>31</v>
      </c>
      <c r="Q5835" s="1" t="s">
        <v>228</v>
      </c>
      <c r="R5835" s="1" t="s">
        <v>228</v>
      </c>
      <c r="S5835" s="1" t="s">
        <v>229</v>
      </c>
      <c r="T5835" s="1" t="s">
        <v>513</v>
      </c>
      <c r="U5835" s="1">
        <v>1.00602248E8</v>
      </c>
      <c r="X5835" s="1" t="s">
        <v>74</v>
      </c>
      <c r="Y5835" s="1" t="s">
        <v>12640</v>
      </c>
      <c r="Z5835" s="1" t="s">
        <v>37</v>
      </c>
    </row>
    <row r="5836" hidden="1">
      <c r="A5836" s="1" t="s">
        <v>16114</v>
      </c>
      <c r="B5836" s="1" t="s">
        <v>16115</v>
      </c>
      <c r="C5836" s="1" t="s">
        <v>16116</v>
      </c>
      <c r="D5836" s="1" t="s">
        <v>27</v>
      </c>
      <c r="E5836" s="1" t="s">
        <v>28</v>
      </c>
      <c r="F5836" s="2">
        <v>14500.0</v>
      </c>
      <c r="G5836" s="4">
        <v>44599.0</v>
      </c>
      <c r="H5836" s="4">
        <f>IFERROR(__xludf.DUMMYFUNCTION("DATE(INDEX(SPLIT(G5836,""/""),,3),INDEX(SPLIT(G5836,""/""),,2),INDEX(SPLIT(G5836,""/""),,1))"),44744.0)</f>
        <v>44744</v>
      </c>
      <c r="I5836" s="1" t="s">
        <v>1097</v>
      </c>
      <c r="J5836" s="4">
        <f>IFERROR(__xludf.DUMMYFUNCTION("DATE(INDEX(SPLIT(I5836,""/""),,3),INDEX(SPLIT(I5836,""/""),,2),INDEX(SPLIT(I5836,""/""),,1))"),45107.0)</f>
        <v>45107</v>
      </c>
      <c r="L5836" s="1">
        <v>0.0</v>
      </c>
      <c r="M5836" s="1" t="s">
        <v>11254</v>
      </c>
      <c r="N5836" s="1"/>
      <c r="O5836" s="1" t="s">
        <v>30</v>
      </c>
      <c r="P5836" s="1" t="s">
        <v>31</v>
      </c>
      <c r="Q5836" s="1" t="s">
        <v>228</v>
      </c>
      <c r="R5836" s="1" t="s">
        <v>228</v>
      </c>
      <c r="S5836" s="1" t="s">
        <v>229</v>
      </c>
      <c r="T5836" s="1" t="s">
        <v>513</v>
      </c>
      <c r="U5836" s="1">
        <v>1.00602248E8</v>
      </c>
      <c r="X5836" s="1" t="s">
        <v>74</v>
      </c>
      <c r="Y5836" s="1" t="s">
        <v>12640</v>
      </c>
      <c r="Z5836" s="1" t="s">
        <v>37</v>
      </c>
    </row>
    <row r="5837" hidden="1">
      <c r="A5837" s="1" t="s">
        <v>16117</v>
      </c>
      <c r="B5837" s="1" t="s">
        <v>16118</v>
      </c>
      <c r="C5837" s="1" t="s">
        <v>16119</v>
      </c>
      <c r="D5837" s="1" t="s">
        <v>27</v>
      </c>
      <c r="E5837" s="1" t="s">
        <v>28</v>
      </c>
      <c r="F5837" s="2">
        <v>14500.0</v>
      </c>
      <c r="G5837" s="4">
        <v>44599.0</v>
      </c>
      <c r="H5837" s="4">
        <f>IFERROR(__xludf.DUMMYFUNCTION("DATE(INDEX(SPLIT(G5837,""/""),,3),INDEX(SPLIT(G5837,""/""),,2),INDEX(SPLIT(G5837,""/""),,1))"),44744.0)</f>
        <v>44744</v>
      </c>
      <c r="I5837" s="1" t="s">
        <v>1097</v>
      </c>
      <c r="J5837" s="4">
        <f>IFERROR(__xludf.DUMMYFUNCTION("DATE(INDEX(SPLIT(I5837,""/""),,3),INDEX(SPLIT(I5837,""/""),,2),INDEX(SPLIT(I5837,""/""),,1))"),45107.0)</f>
        <v>45107</v>
      </c>
      <c r="L5837" s="1">
        <v>0.0</v>
      </c>
      <c r="M5837" s="1" t="s">
        <v>1685</v>
      </c>
      <c r="N5837" s="1"/>
      <c r="O5837" s="1" t="s">
        <v>30</v>
      </c>
      <c r="P5837" s="1" t="s">
        <v>31</v>
      </c>
      <c r="Q5837" s="1" t="s">
        <v>228</v>
      </c>
      <c r="R5837" s="1" t="s">
        <v>228</v>
      </c>
      <c r="S5837" s="1" t="s">
        <v>229</v>
      </c>
      <c r="T5837" s="1" t="s">
        <v>513</v>
      </c>
      <c r="U5837" s="1">
        <v>1.00612055E8</v>
      </c>
      <c r="X5837" s="1" t="s">
        <v>490</v>
      </c>
      <c r="Y5837" s="1" t="s">
        <v>12640</v>
      </c>
      <c r="Z5837" s="1" t="s">
        <v>37</v>
      </c>
    </row>
    <row r="5838" hidden="1">
      <c r="A5838" s="1" t="s">
        <v>16120</v>
      </c>
      <c r="B5838" s="1" t="s">
        <v>16121</v>
      </c>
      <c r="C5838" s="1" t="s">
        <v>16122</v>
      </c>
      <c r="D5838" s="1" t="s">
        <v>27</v>
      </c>
      <c r="E5838" s="1" t="s">
        <v>28</v>
      </c>
      <c r="F5838" s="2">
        <v>14500.0</v>
      </c>
      <c r="G5838" s="4">
        <v>44599.0</v>
      </c>
      <c r="H5838" s="4">
        <f>IFERROR(__xludf.DUMMYFUNCTION("DATE(INDEX(SPLIT(G5838,""/""),,3),INDEX(SPLIT(G5838,""/""),,2),INDEX(SPLIT(G5838,""/""),,1))"),44744.0)</f>
        <v>44744</v>
      </c>
      <c r="I5838" s="1" t="s">
        <v>1097</v>
      </c>
      <c r="J5838" s="4">
        <f>IFERROR(__xludf.DUMMYFUNCTION("DATE(INDEX(SPLIT(I5838,""/""),,3),INDEX(SPLIT(I5838,""/""),,2),INDEX(SPLIT(I5838,""/""),,1))"),45107.0)</f>
        <v>45107</v>
      </c>
      <c r="L5838" s="1">
        <v>0.0</v>
      </c>
      <c r="M5838" s="1" t="s">
        <v>11254</v>
      </c>
      <c r="N5838" s="1"/>
      <c r="O5838" s="1" t="s">
        <v>30</v>
      </c>
      <c r="P5838" s="1" t="s">
        <v>31</v>
      </c>
      <c r="Q5838" s="1" t="s">
        <v>228</v>
      </c>
      <c r="R5838" s="1" t="s">
        <v>228</v>
      </c>
      <c r="S5838" s="1" t="s">
        <v>229</v>
      </c>
      <c r="U5838" s="1">
        <v>1.00602248E8</v>
      </c>
      <c r="X5838" s="1" t="s">
        <v>117</v>
      </c>
      <c r="Y5838" s="1" t="s">
        <v>14932</v>
      </c>
      <c r="Z5838" s="1" t="s">
        <v>37</v>
      </c>
    </row>
    <row r="5839" hidden="1">
      <c r="A5839" s="1" t="s">
        <v>16123</v>
      </c>
      <c r="B5839" s="1" t="s">
        <v>6923</v>
      </c>
      <c r="C5839" s="1" t="s">
        <v>16124</v>
      </c>
      <c r="D5839" s="1" t="s">
        <v>27</v>
      </c>
      <c r="E5839" s="1" t="s">
        <v>28</v>
      </c>
      <c r="F5839" s="2">
        <v>14500.0</v>
      </c>
      <c r="G5839" s="4">
        <v>44599.0</v>
      </c>
      <c r="H5839" s="4">
        <f>IFERROR(__xludf.DUMMYFUNCTION("DATE(INDEX(SPLIT(G5839,""/""),,3),INDEX(SPLIT(G5839,""/""),,2),INDEX(SPLIT(G5839,""/""),,1))"),44744.0)</f>
        <v>44744</v>
      </c>
      <c r="I5839" s="1" t="s">
        <v>1097</v>
      </c>
      <c r="J5839" s="4">
        <f>IFERROR(__xludf.DUMMYFUNCTION("DATE(INDEX(SPLIT(I5839,""/""),,3),INDEX(SPLIT(I5839,""/""),,2),INDEX(SPLIT(I5839,""/""),,1))"),45107.0)</f>
        <v>45107</v>
      </c>
      <c r="L5839" s="1">
        <v>0.0</v>
      </c>
      <c r="M5839" s="1" t="s">
        <v>11254</v>
      </c>
      <c r="N5839" s="1"/>
      <c r="O5839" s="1" t="s">
        <v>30</v>
      </c>
      <c r="P5839" s="1" t="s">
        <v>31</v>
      </c>
      <c r="Q5839" s="1" t="s">
        <v>228</v>
      </c>
      <c r="R5839" s="1" t="s">
        <v>228</v>
      </c>
      <c r="S5839" s="1" t="s">
        <v>229</v>
      </c>
      <c r="T5839" s="1" t="s">
        <v>513</v>
      </c>
      <c r="U5839" s="1">
        <v>1.00602248E8</v>
      </c>
      <c r="X5839" s="1" t="s">
        <v>74</v>
      </c>
      <c r="Y5839" s="1" t="s">
        <v>14932</v>
      </c>
      <c r="Z5839" s="1" t="s">
        <v>37</v>
      </c>
    </row>
    <row r="5840" hidden="1">
      <c r="A5840" s="1" t="s">
        <v>16125</v>
      </c>
      <c r="B5840" s="1" t="s">
        <v>16126</v>
      </c>
      <c r="C5840" s="1" t="s">
        <v>16127</v>
      </c>
      <c r="D5840" s="1" t="s">
        <v>27</v>
      </c>
      <c r="E5840" s="1" t="s">
        <v>28</v>
      </c>
      <c r="F5840" s="2">
        <v>14500.0</v>
      </c>
      <c r="G5840" s="4">
        <v>44599.0</v>
      </c>
      <c r="H5840" s="4">
        <f>IFERROR(__xludf.DUMMYFUNCTION("DATE(INDEX(SPLIT(G5840,""/""),,3),INDEX(SPLIT(G5840,""/""),,2),INDEX(SPLIT(G5840,""/""),,1))"),44744.0)</f>
        <v>44744</v>
      </c>
      <c r="I5840" s="1" t="s">
        <v>1097</v>
      </c>
      <c r="J5840" s="4">
        <f>IFERROR(__xludf.DUMMYFUNCTION("DATE(INDEX(SPLIT(I5840,""/""),,3),INDEX(SPLIT(I5840,""/""),,2),INDEX(SPLIT(I5840,""/""),,1))"),45107.0)</f>
        <v>45107</v>
      </c>
      <c r="L5840" s="1">
        <v>0.0</v>
      </c>
      <c r="M5840" s="1" t="s">
        <v>12039</v>
      </c>
      <c r="N5840" s="1"/>
      <c r="O5840" s="1" t="s">
        <v>30</v>
      </c>
      <c r="P5840" s="1" t="s">
        <v>31</v>
      </c>
      <c r="Q5840" s="1" t="s">
        <v>228</v>
      </c>
      <c r="R5840" s="1" t="s">
        <v>228</v>
      </c>
      <c r="S5840" s="1" t="s">
        <v>229</v>
      </c>
      <c r="U5840" s="1">
        <v>1.00612509E8</v>
      </c>
      <c r="X5840" s="1" t="s">
        <v>74</v>
      </c>
      <c r="Y5840" s="1" t="s">
        <v>12640</v>
      </c>
      <c r="Z5840" s="1" t="s">
        <v>37</v>
      </c>
    </row>
    <row r="5841" hidden="1">
      <c r="A5841" s="1" t="s">
        <v>16128</v>
      </c>
      <c r="B5841" s="1" t="s">
        <v>16129</v>
      </c>
      <c r="C5841" s="1" t="s">
        <v>16130</v>
      </c>
      <c r="D5841" s="1" t="s">
        <v>27</v>
      </c>
      <c r="E5841" s="1" t="s">
        <v>28</v>
      </c>
      <c r="F5841" s="2">
        <v>14500.0</v>
      </c>
      <c r="G5841" s="4">
        <v>44599.0</v>
      </c>
      <c r="H5841" s="4">
        <f>IFERROR(__xludf.DUMMYFUNCTION("DATE(INDEX(SPLIT(G5841,""/""),,3),INDEX(SPLIT(G5841,""/""),,2),INDEX(SPLIT(G5841,""/""),,1))"),44744.0)</f>
        <v>44744</v>
      </c>
      <c r="I5841" s="1" t="s">
        <v>1097</v>
      </c>
      <c r="J5841" s="4">
        <f>IFERROR(__xludf.DUMMYFUNCTION("DATE(INDEX(SPLIT(I5841,""/""),,3),INDEX(SPLIT(I5841,""/""),,2),INDEX(SPLIT(I5841,""/""),,1))"),45107.0)</f>
        <v>45107</v>
      </c>
      <c r="L5841" s="1">
        <v>0.0</v>
      </c>
      <c r="M5841" s="1" t="s">
        <v>12039</v>
      </c>
      <c r="N5841" s="1"/>
      <c r="O5841" s="1" t="s">
        <v>30</v>
      </c>
      <c r="P5841" s="1" t="s">
        <v>31</v>
      </c>
      <c r="Q5841" s="1" t="s">
        <v>228</v>
      </c>
      <c r="R5841" s="1" t="s">
        <v>228</v>
      </c>
      <c r="S5841" s="1" t="s">
        <v>229</v>
      </c>
      <c r="T5841" s="1" t="s">
        <v>513</v>
      </c>
      <c r="U5841" s="1">
        <v>1.00612509E8</v>
      </c>
      <c r="X5841" s="1" t="s">
        <v>74</v>
      </c>
      <c r="Y5841" s="1" t="s">
        <v>12640</v>
      </c>
      <c r="Z5841" s="1" t="s">
        <v>37</v>
      </c>
    </row>
    <row r="5842" hidden="1">
      <c r="A5842" s="1" t="s">
        <v>16131</v>
      </c>
      <c r="B5842" s="1" t="s">
        <v>16132</v>
      </c>
      <c r="C5842" s="1" t="s">
        <v>16133</v>
      </c>
      <c r="D5842" s="1" t="s">
        <v>27</v>
      </c>
      <c r="E5842" s="1" t="s">
        <v>28</v>
      </c>
      <c r="F5842" s="2">
        <v>14500.0</v>
      </c>
      <c r="G5842" s="4">
        <v>44599.0</v>
      </c>
      <c r="H5842" s="4">
        <f>IFERROR(__xludf.DUMMYFUNCTION("DATE(INDEX(SPLIT(G5842,""/""),,3),INDEX(SPLIT(G5842,""/""),,2),INDEX(SPLIT(G5842,""/""),,1))"),44744.0)</f>
        <v>44744</v>
      </c>
      <c r="I5842" s="1" t="s">
        <v>1097</v>
      </c>
      <c r="J5842" s="4">
        <f>IFERROR(__xludf.DUMMYFUNCTION("DATE(INDEX(SPLIT(I5842,""/""),,3),INDEX(SPLIT(I5842,""/""),,2),INDEX(SPLIT(I5842,""/""),,1))"),45107.0)</f>
        <v>45107</v>
      </c>
      <c r="L5842" s="1">
        <v>0.0</v>
      </c>
      <c r="M5842" s="1" t="s">
        <v>11254</v>
      </c>
      <c r="N5842" s="1"/>
      <c r="O5842" s="1" t="s">
        <v>30</v>
      </c>
      <c r="P5842" s="1" t="s">
        <v>31</v>
      </c>
      <c r="Q5842" s="1" t="s">
        <v>228</v>
      </c>
      <c r="R5842" s="1" t="s">
        <v>228</v>
      </c>
      <c r="S5842" s="1" t="s">
        <v>229</v>
      </c>
      <c r="T5842" s="1" t="s">
        <v>513</v>
      </c>
      <c r="U5842" s="1">
        <v>1.00602248E8</v>
      </c>
      <c r="X5842" s="1" t="s">
        <v>74</v>
      </c>
      <c r="Y5842" s="1" t="s">
        <v>12640</v>
      </c>
      <c r="Z5842" s="1" t="s">
        <v>37</v>
      </c>
    </row>
    <row r="5843" hidden="1">
      <c r="A5843" s="1" t="s">
        <v>16134</v>
      </c>
      <c r="B5843" s="1" t="s">
        <v>7533</v>
      </c>
      <c r="C5843" s="1" t="s">
        <v>16135</v>
      </c>
      <c r="D5843" s="1" t="s">
        <v>27</v>
      </c>
      <c r="E5843" s="1" t="s">
        <v>28</v>
      </c>
      <c r="F5843" s="2">
        <v>14500.0</v>
      </c>
      <c r="G5843" s="4">
        <v>44599.0</v>
      </c>
      <c r="H5843" s="4">
        <f>IFERROR(__xludf.DUMMYFUNCTION("DATE(INDEX(SPLIT(G5843,""/""),,3),INDEX(SPLIT(G5843,""/""),,2),INDEX(SPLIT(G5843,""/""),,1))"),44744.0)</f>
        <v>44744</v>
      </c>
      <c r="I5843" s="1" t="s">
        <v>1097</v>
      </c>
      <c r="J5843" s="4">
        <f>IFERROR(__xludf.DUMMYFUNCTION("DATE(INDEX(SPLIT(I5843,""/""),,3),INDEX(SPLIT(I5843,""/""),,2),INDEX(SPLIT(I5843,""/""),,1))"),45107.0)</f>
        <v>45107</v>
      </c>
      <c r="L5843" s="1">
        <v>0.0</v>
      </c>
      <c r="M5843" s="1" t="s">
        <v>11254</v>
      </c>
      <c r="N5843" s="1"/>
      <c r="O5843" s="1" t="s">
        <v>30</v>
      </c>
      <c r="P5843" s="1" t="s">
        <v>31</v>
      </c>
      <c r="Q5843" s="1" t="s">
        <v>228</v>
      </c>
      <c r="R5843" s="1" t="s">
        <v>228</v>
      </c>
      <c r="S5843" s="1" t="s">
        <v>229</v>
      </c>
      <c r="T5843" s="1" t="s">
        <v>513</v>
      </c>
      <c r="U5843" s="1">
        <v>1.00602248E8</v>
      </c>
      <c r="X5843" s="1" t="s">
        <v>74</v>
      </c>
      <c r="Y5843" s="1" t="s">
        <v>14932</v>
      </c>
      <c r="Z5843" s="1" t="s">
        <v>37</v>
      </c>
    </row>
    <row r="5844" hidden="1">
      <c r="A5844" s="1" t="s">
        <v>16136</v>
      </c>
      <c r="B5844" s="1" t="s">
        <v>296</v>
      </c>
      <c r="C5844" s="1" t="s">
        <v>16137</v>
      </c>
      <c r="D5844" s="1" t="s">
        <v>27</v>
      </c>
      <c r="E5844" s="1" t="s">
        <v>28</v>
      </c>
      <c r="F5844" s="2">
        <v>14500.0</v>
      </c>
      <c r="G5844" s="4">
        <v>44599.0</v>
      </c>
      <c r="H5844" s="4">
        <f>IFERROR(__xludf.DUMMYFUNCTION("DATE(INDEX(SPLIT(G5844,""/""),,3),INDEX(SPLIT(G5844,""/""),,2),INDEX(SPLIT(G5844,""/""),,1))"),44744.0)</f>
        <v>44744</v>
      </c>
      <c r="I5844" s="1" t="s">
        <v>1097</v>
      </c>
      <c r="J5844" s="4">
        <f>IFERROR(__xludf.DUMMYFUNCTION("DATE(INDEX(SPLIT(I5844,""/""),,3),INDEX(SPLIT(I5844,""/""),,2),INDEX(SPLIT(I5844,""/""),,1))"),45107.0)</f>
        <v>45107</v>
      </c>
      <c r="L5844" s="1">
        <v>0.0</v>
      </c>
      <c r="M5844" s="1" t="s">
        <v>12039</v>
      </c>
      <c r="N5844" s="1"/>
      <c r="O5844" s="1" t="s">
        <v>30</v>
      </c>
      <c r="P5844" s="1" t="s">
        <v>31</v>
      </c>
      <c r="Q5844" s="1" t="s">
        <v>228</v>
      </c>
      <c r="R5844" s="1" t="s">
        <v>228</v>
      </c>
      <c r="S5844" s="1" t="s">
        <v>229</v>
      </c>
      <c r="U5844" s="1">
        <v>1.00612509E8</v>
      </c>
      <c r="X5844" s="1" t="s">
        <v>74</v>
      </c>
      <c r="Y5844" s="1" t="s">
        <v>12640</v>
      </c>
      <c r="Z5844" s="1" t="s">
        <v>37</v>
      </c>
    </row>
    <row r="5845" hidden="1">
      <c r="A5845" s="1" t="s">
        <v>16138</v>
      </c>
      <c r="B5845" s="1" t="s">
        <v>16139</v>
      </c>
      <c r="C5845" s="1" t="s">
        <v>16140</v>
      </c>
      <c r="D5845" s="1" t="s">
        <v>27</v>
      </c>
      <c r="E5845" s="1" t="s">
        <v>28</v>
      </c>
      <c r="F5845" s="2">
        <v>14500.0</v>
      </c>
      <c r="G5845" s="4">
        <v>44599.0</v>
      </c>
      <c r="H5845" s="4">
        <f>IFERROR(__xludf.DUMMYFUNCTION("DATE(INDEX(SPLIT(G5845,""/""),,3),INDEX(SPLIT(G5845,""/""),,2),INDEX(SPLIT(G5845,""/""),,1))"),44744.0)</f>
        <v>44744</v>
      </c>
      <c r="I5845" s="1" t="s">
        <v>1097</v>
      </c>
      <c r="J5845" s="4">
        <f>IFERROR(__xludf.DUMMYFUNCTION("DATE(INDEX(SPLIT(I5845,""/""),,3),INDEX(SPLIT(I5845,""/""),,2),INDEX(SPLIT(I5845,""/""),,1))"),45107.0)</f>
        <v>45107</v>
      </c>
      <c r="L5845" s="1">
        <v>0.0</v>
      </c>
      <c r="M5845" s="1" t="s">
        <v>11254</v>
      </c>
      <c r="N5845" s="1"/>
      <c r="O5845" s="1" t="s">
        <v>30</v>
      </c>
      <c r="P5845" s="1" t="s">
        <v>31</v>
      </c>
      <c r="Q5845" s="1" t="s">
        <v>228</v>
      </c>
      <c r="R5845" s="1" t="s">
        <v>228</v>
      </c>
      <c r="S5845" s="1" t="s">
        <v>229</v>
      </c>
      <c r="T5845" s="1" t="s">
        <v>513</v>
      </c>
      <c r="U5845" s="1">
        <v>1.00602248E8</v>
      </c>
      <c r="X5845" s="1" t="s">
        <v>74</v>
      </c>
      <c r="Y5845" s="1" t="s">
        <v>12640</v>
      </c>
      <c r="Z5845" s="1" t="s">
        <v>37</v>
      </c>
    </row>
    <row r="5846" hidden="1">
      <c r="A5846" s="1" t="s">
        <v>16141</v>
      </c>
      <c r="B5846" s="1" t="s">
        <v>16142</v>
      </c>
      <c r="C5846" s="1" t="s">
        <v>16143</v>
      </c>
      <c r="D5846" s="1" t="s">
        <v>27</v>
      </c>
      <c r="E5846" s="1" t="s">
        <v>28</v>
      </c>
      <c r="F5846" s="2">
        <v>14500.0</v>
      </c>
      <c r="G5846" s="4">
        <v>44599.0</v>
      </c>
      <c r="H5846" s="4">
        <f>IFERROR(__xludf.DUMMYFUNCTION("DATE(INDEX(SPLIT(G5846,""/""),,3),INDEX(SPLIT(G5846,""/""),,2),INDEX(SPLIT(G5846,""/""),,1))"),44744.0)</f>
        <v>44744</v>
      </c>
      <c r="I5846" s="1" t="s">
        <v>1097</v>
      </c>
      <c r="J5846" s="4">
        <f>IFERROR(__xludf.DUMMYFUNCTION("DATE(INDEX(SPLIT(I5846,""/""),,3),INDEX(SPLIT(I5846,""/""),,2),INDEX(SPLIT(I5846,""/""),,1))"),45107.0)</f>
        <v>45107</v>
      </c>
      <c r="L5846" s="1">
        <v>0.0</v>
      </c>
      <c r="M5846" s="1" t="s">
        <v>11254</v>
      </c>
      <c r="N5846" s="1"/>
      <c r="O5846" s="1" t="s">
        <v>30</v>
      </c>
      <c r="P5846" s="1" t="s">
        <v>31</v>
      </c>
      <c r="Q5846" s="1" t="s">
        <v>228</v>
      </c>
      <c r="R5846" s="1" t="s">
        <v>228</v>
      </c>
      <c r="S5846" s="1" t="s">
        <v>229</v>
      </c>
      <c r="T5846" s="1" t="s">
        <v>513</v>
      </c>
      <c r="U5846" s="1">
        <v>1.00602248E8</v>
      </c>
      <c r="X5846" s="1" t="s">
        <v>88</v>
      </c>
      <c r="Y5846" s="1" t="s">
        <v>12640</v>
      </c>
      <c r="Z5846" s="1" t="s">
        <v>37</v>
      </c>
    </row>
    <row r="5847" hidden="1">
      <c r="A5847" s="1" t="s">
        <v>16144</v>
      </c>
      <c r="B5847" s="1" t="s">
        <v>16145</v>
      </c>
      <c r="C5847" s="1" t="s">
        <v>16146</v>
      </c>
      <c r="D5847" s="1" t="s">
        <v>27</v>
      </c>
      <c r="E5847" s="1" t="s">
        <v>28</v>
      </c>
      <c r="F5847" s="2">
        <v>14500.0</v>
      </c>
      <c r="G5847" s="4">
        <v>44599.0</v>
      </c>
      <c r="H5847" s="4">
        <f>IFERROR(__xludf.DUMMYFUNCTION("DATE(INDEX(SPLIT(G5847,""/""),,3),INDEX(SPLIT(G5847,""/""),,2),INDEX(SPLIT(G5847,""/""),,1))"),44744.0)</f>
        <v>44744</v>
      </c>
      <c r="I5847" s="1" t="s">
        <v>1097</v>
      </c>
      <c r="J5847" s="4">
        <f>IFERROR(__xludf.DUMMYFUNCTION("DATE(INDEX(SPLIT(I5847,""/""),,3),INDEX(SPLIT(I5847,""/""),,2),INDEX(SPLIT(I5847,""/""),,1))"),45107.0)</f>
        <v>45107</v>
      </c>
      <c r="L5847" s="1">
        <v>0.0</v>
      </c>
      <c r="M5847" s="1" t="s">
        <v>12039</v>
      </c>
      <c r="N5847" s="1"/>
      <c r="O5847" s="1" t="s">
        <v>30</v>
      </c>
      <c r="P5847" s="1" t="s">
        <v>31</v>
      </c>
      <c r="Q5847" s="1" t="s">
        <v>228</v>
      </c>
      <c r="R5847" s="1" t="s">
        <v>228</v>
      </c>
      <c r="S5847" s="1" t="s">
        <v>229</v>
      </c>
      <c r="T5847" s="1" t="s">
        <v>513</v>
      </c>
      <c r="U5847" s="1">
        <v>1.00612509E8</v>
      </c>
      <c r="X5847" s="1" t="s">
        <v>98</v>
      </c>
      <c r="Y5847" s="1" t="s">
        <v>12640</v>
      </c>
      <c r="Z5847" s="1" t="s">
        <v>37</v>
      </c>
    </row>
    <row r="5848" hidden="1">
      <c r="A5848" s="1" t="s">
        <v>16147</v>
      </c>
      <c r="B5848" s="1" t="s">
        <v>16148</v>
      </c>
      <c r="C5848" s="1" t="s">
        <v>16149</v>
      </c>
      <c r="D5848" s="1" t="s">
        <v>27</v>
      </c>
      <c r="E5848" s="1" t="s">
        <v>28</v>
      </c>
      <c r="F5848" s="2">
        <v>14500.0</v>
      </c>
      <c r="G5848" s="1" t="s">
        <v>15136</v>
      </c>
      <c r="H5848" s="4">
        <f>IFERROR(__xludf.DUMMYFUNCTION("DATE(INDEX(SPLIT(G5848,""/""),,3),INDEX(SPLIT(G5848,""/""),,2),INDEX(SPLIT(G5848,""/""),,1))"),44408.0)</f>
        <v>44408</v>
      </c>
      <c r="I5848" s="1" t="s">
        <v>42</v>
      </c>
      <c r="J5848" s="4">
        <f>IFERROR(__xludf.DUMMYFUNCTION("DATE(INDEX(SPLIT(I5848,""/""),,3),INDEX(SPLIT(I5848,""/""),,2),INDEX(SPLIT(I5848,""/""),,1))"),44926.0)</f>
        <v>44926</v>
      </c>
      <c r="L5848" s="1">
        <v>0.0</v>
      </c>
      <c r="M5848" s="1" t="s">
        <v>11254</v>
      </c>
      <c r="N5848" s="1"/>
      <c r="O5848" s="1" t="s">
        <v>30</v>
      </c>
      <c r="P5848" s="1" t="s">
        <v>31</v>
      </c>
      <c r="Q5848" s="1" t="s">
        <v>228</v>
      </c>
      <c r="R5848" s="1" t="s">
        <v>228</v>
      </c>
      <c r="S5848" s="1" t="s">
        <v>229</v>
      </c>
      <c r="T5848" s="1" t="s">
        <v>513</v>
      </c>
      <c r="U5848" s="1">
        <v>1.00602248E8</v>
      </c>
      <c r="X5848" s="1" t="s">
        <v>490</v>
      </c>
      <c r="Y5848" s="1" t="s">
        <v>12640</v>
      </c>
      <c r="Z5848" s="1" t="s">
        <v>37</v>
      </c>
    </row>
    <row r="5849" hidden="1">
      <c r="A5849" s="1" t="s">
        <v>16150</v>
      </c>
      <c r="B5849" s="1" t="s">
        <v>658</v>
      </c>
      <c r="C5849" s="1" t="s">
        <v>16151</v>
      </c>
      <c r="D5849" s="1" t="s">
        <v>27</v>
      </c>
      <c r="E5849" s="1" t="s">
        <v>28</v>
      </c>
      <c r="F5849" s="2">
        <v>14500.0</v>
      </c>
      <c r="G5849" s="4">
        <v>44599.0</v>
      </c>
      <c r="H5849" s="4">
        <f>IFERROR(__xludf.DUMMYFUNCTION("DATE(INDEX(SPLIT(G5849,""/""),,3),INDEX(SPLIT(G5849,""/""),,2),INDEX(SPLIT(G5849,""/""),,1))"),44744.0)</f>
        <v>44744</v>
      </c>
      <c r="I5849" s="1" t="s">
        <v>1097</v>
      </c>
      <c r="J5849" s="4">
        <f>IFERROR(__xludf.DUMMYFUNCTION("DATE(INDEX(SPLIT(I5849,""/""),,3),INDEX(SPLIT(I5849,""/""),,2),INDEX(SPLIT(I5849,""/""),,1))"),45107.0)</f>
        <v>45107</v>
      </c>
      <c r="L5849" s="1">
        <v>0.0</v>
      </c>
      <c r="M5849" s="1" t="s">
        <v>11254</v>
      </c>
      <c r="N5849" s="1"/>
      <c r="O5849" s="1" t="s">
        <v>30</v>
      </c>
      <c r="P5849" s="1" t="s">
        <v>31</v>
      </c>
      <c r="Q5849" s="1" t="s">
        <v>228</v>
      </c>
      <c r="R5849" s="1" t="s">
        <v>228</v>
      </c>
      <c r="S5849" s="1" t="s">
        <v>229</v>
      </c>
      <c r="T5849" s="1" t="s">
        <v>513</v>
      </c>
      <c r="U5849" s="1">
        <v>1.00602248E8</v>
      </c>
      <c r="X5849" s="1" t="s">
        <v>74</v>
      </c>
      <c r="Y5849" s="1" t="s">
        <v>12640</v>
      </c>
      <c r="Z5849" s="1" t="s">
        <v>37</v>
      </c>
    </row>
    <row r="5850" hidden="1">
      <c r="A5850" s="1" t="s">
        <v>16152</v>
      </c>
      <c r="B5850" s="1" t="s">
        <v>7557</v>
      </c>
      <c r="C5850" s="1" t="s">
        <v>16153</v>
      </c>
      <c r="D5850" s="1" t="s">
        <v>27</v>
      </c>
      <c r="E5850" s="1" t="s">
        <v>28</v>
      </c>
      <c r="F5850" s="2">
        <v>14500.0</v>
      </c>
      <c r="G5850" s="4">
        <v>44599.0</v>
      </c>
      <c r="H5850" s="4">
        <f>IFERROR(__xludf.DUMMYFUNCTION("DATE(INDEX(SPLIT(G5850,""/""),,3),INDEX(SPLIT(G5850,""/""),,2),INDEX(SPLIT(G5850,""/""),,1))"),44744.0)</f>
        <v>44744</v>
      </c>
      <c r="I5850" s="1" t="s">
        <v>1097</v>
      </c>
      <c r="J5850" s="4">
        <f>IFERROR(__xludf.DUMMYFUNCTION("DATE(INDEX(SPLIT(I5850,""/""),,3),INDEX(SPLIT(I5850,""/""),,2),INDEX(SPLIT(I5850,""/""),,1))"),45107.0)</f>
        <v>45107</v>
      </c>
      <c r="L5850" s="1">
        <v>0.0</v>
      </c>
      <c r="M5850" s="1" t="s">
        <v>11254</v>
      </c>
      <c r="N5850" s="1"/>
      <c r="O5850" s="1" t="s">
        <v>30</v>
      </c>
      <c r="P5850" s="1" t="s">
        <v>31</v>
      </c>
      <c r="Q5850" s="1" t="s">
        <v>228</v>
      </c>
      <c r="R5850" s="1" t="s">
        <v>228</v>
      </c>
      <c r="S5850" s="1" t="s">
        <v>229</v>
      </c>
      <c r="T5850" s="1" t="s">
        <v>513</v>
      </c>
      <c r="U5850" s="1">
        <v>1.00602248E8</v>
      </c>
      <c r="X5850" s="1" t="s">
        <v>74</v>
      </c>
      <c r="Y5850" s="1" t="s">
        <v>12640</v>
      </c>
      <c r="Z5850" s="1" t="s">
        <v>37</v>
      </c>
    </row>
    <row r="5851" hidden="1">
      <c r="A5851" s="1" t="s">
        <v>16154</v>
      </c>
      <c r="B5851" s="1" t="s">
        <v>25</v>
      </c>
      <c r="C5851" s="1" t="s">
        <v>16155</v>
      </c>
      <c r="D5851" s="1" t="s">
        <v>27</v>
      </c>
      <c r="E5851" s="1" t="s">
        <v>28</v>
      </c>
      <c r="F5851" s="2">
        <v>14500.0</v>
      </c>
      <c r="G5851" s="1" t="s">
        <v>16156</v>
      </c>
      <c r="H5851" s="4">
        <f>IFERROR(__xludf.DUMMYFUNCTION("DATE(INDEX(SPLIT(G5851,""/""),,3),INDEX(SPLIT(G5851,""/""),,2),INDEX(SPLIT(G5851,""/""),,1))"),44438.0)</f>
        <v>44438</v>
      </c>
      <c r="I5851" s="1" t="s">
        <v>42</v>
      </c>
      <c r="J5851" s="4">
        <f>IFERROR(__xludf.DUMMYFUNCTION("DATE(INDEX(SPLIT(I5851,""/""),,3),INDEX(SPLIT(I5851,""/""),,2),INDEX(SPLIT(I5851,""/""),,1))"),44926.0)</f>
        <v>44926</v>
      </c>
      <c r="L5851" s="1">
        <v>0.0</v>
      </c>
      <c r="M5851" s="1" t="s">
        <v>11254</v>
      </c>
      <c r="N5851" s="1"/>
      <c r="O5851" s="1" t="s">
        <v>30</v>
      </c>
      <c r="P5851" s="1" t="s">
        <v>31</v>
      </c>
      <c r="Q5851" s="1" t="s">
        <v>228</v>
      </c>
      <c r="R5851" s="1" t="s">
        <v>228</v>
      </c>
      <c r="S5851" s="1" t="s">
        <v>229</v>
      </c>
      <c r="T5851" s="1" t="s">
        <v>513</v>
      </c>
      <c r="U5851" s="1">
        <v>1.00602248E8</v>
      </c>
      <c r="X5851" s="1" t="s">
        <v>35</v>
      </c>
      <c r="Y5851" s="1" t="s">
        <v>13638</v>
      </c>
      <c r="Z5851" s="1" t="s">
        <v>37</v>
      </c>
    </row>
    <row r="5852" hidden="1">
      <c r="A5852" s="1" t="s">
        <v>16157</v>
      </c>
      <c r="B5852" s="1" t="s">
        <v>497</v>
      </c>
      <c r="C5852" s="1" t="s">
        <v>16158</v>
      </c>
      <c r="D5852" s="1" t="s">
        <v>27</v>
      </c>
      <c r="E5852" s="1" t="s">
        <v>28</v>
      </c>
      <c r="F5852" s="2">
        <v>14500.0</v>
      </c>
      <c r="G5852" s="4">
        <v>44599.0</v>
      </c>
      <c r="H5852" s="4">
        <f>IFERROR(__xludf.DUMMYFUNCTION("DATE(INDEX(SPLIT(G5852,""/""),,3),INDEX(SPLIT(G5852,""/""),,2),INDEX(SPLIT(G5852,""/""),,1))"),44744.0)</f>
        <v>44744</v>
      </c>
      <c r="I5852" s="1" t="s">
        <v>1097</v>
      </c>
      <c r="J5852" s="4">
        <f>IFERROR(__xludf.DUMMYFUNCTION("DATE(INDEX(SPLIT(I5852,""/""),,3),INDEX(SPLIT(I5852,""/""),,2),INDEX(SPLIT(I5852,""/""),,1))"),45107.0)</f>
        <v>45107</v>
      </c>
      <c r="L5852" s="1">
        <v>0.0</v>
      </c>
      <c r="M5852" s="1" t="s">
        <v>11254</v>
      </c>
      <c r="N5852" s="1"/>
      <c r="O5852" s="1" t="s">
        <v>30</v>
      </c>
      <c r="P5852" s="1" t="s">
        <v>31</v>
      </c>
      <c r="Q5852" s="1" t="s">
        <v>228</v>
      </c>
      <c r="R5852" s="1" t="s">
        <v>228</v>
      </c>
      <c r="S5852" s="1" t="s">
        <v>229</v>
      </c>
      <c r="T5852" s="1" t="s">
        <v>513</v>
      </c>
      <c r="U5852" s="1">
        <v>1.00602248E8</v>
      </c>
      <c r="X5852" s="1" t="s">
        <v>35</v>
      </c>
      <c r="Y5852" s="1" t="s">
        <v>12640</v>
      </c>
      <c r="Z5852" s="1" t="s">
        <v>37</v>
      </c>
    </row>
    <row r="5853" hidden="1">
      <c r="A5853" s="1" t="s">
        <v>16159</v>
      </c>
      <c r="B5853" s="1" t="s">
        <v>16160</v>
      </c>
      <c r="C5853" s="1" t="s">
        <v>16161</v>
      </c>
      <c r="D5853" s="1" t="s">
        <v>27</v>
      </c>
      <c r="E5853" s="1" t="s">
        <v>28</v>
      </c>
      <c r="F5853" s="2">
        <v>14500.0</v>
      </c>
      <c r="G5853" s="4">
        <v>44599.0</v>
      </c>
      <c r="H5853" s="4">
        <f>IFERROR(__xludf.DUMMYFUNCTION("DATE(INDEX(SPLIT(G5853,""/""),,3),INDEX(SPLIT(G5853,""/""),,2),INDEX(SPLIT(G5853,""/""),,1))"),44744.0)</f>
        <v>44744</v>
      </c>
      <c r="I5853" s="1" t="s">
        <v>1097</v>
      </c>
      <c r="J5853" s="4">
        <f>IFERROR(__xludf.DUMMYFUNCTION("DATE(INDEX(SPLIT(I5853,""/""),,3),INDEX(SPLIT(I5853,""/""),,2),INDEX(SPLIT(I5853,""/""),,1))"),45107.0)</f>
        <v>45107</v>
      </c>
      <c r="L5853" s="1">
        <v>0.0</v>
      </c>
      <c r="M5853" s="1" t="s">
        <v>11254</v>
      </c>
      <c r="N5853" s="1"/>
      <c r="O5853" s="1" t="s">
        <v>30</v>
      </c>
      <c r="P5853" s="1" t="s">
        <v>31</v>
      </c>
      <c r="Q5853" s="1" t="s">
        <v>228</v>
      </c>
      <c r="R5853" s="1" t="s">
        <v>228</v>
      </c>
      <c r="S5853" s="1" t="s">
        <v>229</v>
      </c>
      <c r="T5853" s="1" t="s">
        <v>513</v>
      </c>
      <c r="U5853" s="1">
        <v>1.00602248E8</v>
      </c>
      <c r="X5853" s="1" t="s">
        <v>46</v>
      </c>
      <c r="Y5853" s="1" t="s">
        <v>12640</v>
      </c>
      <c r="Z5853" s="1" t="s">
        <v>37</v>
      </c>
    </row>
    <row r="5854" hidden="1">
      <c r="A5854" s="1" t="s">
        <v>16162</v>
      </c>
      <c r="B5854" s="1" t="s">
        <v>16163</v>
      </c>
      <c r="C5854" s="1" t="s">
        <v>16164</v>
      </c>
      <c r="D5854" s="1" t="s">
        <v>27</v>
      </c>
      <c r="E5854" s="1" t="s">
        <v>28</v>
      </c>
      <c r="F5854" s="2">
        <v>14500.0</v>
      </c>
      <c r="G5854" s="4">
        <v>44599.0</v>
      </c>
      <c r="H5854" s="4">
        <f>IFERROR(__xludf.DUMMYFUNCTION("DATE(INDEX(SPLIT(G5854,""/""),,3),INDEX(SPLIT(G5854,""/""),,2),INDEX(SPLIT(G5854,""/""),,1))"),44744.0)</f>
        <v>44744</v>
      </c>
      <c r="I5854" s="1" t="s">
        <v>1097</v>
      </c>
      <c r="J5854" s="4">
        <f>IFERROR(__xludf.DUMMYFUNCTION("DATE(INDEX(SPLIT(I5854,""/""),,3),INDEX(SPLIT(I5854,""/""),,2),INDEX(SPLIT(I5854,""/""),,1))"),45107.0)</f>
        <v>45107</v>
      </c>
      <c r="L5854" s="1">
        <v>0.0</v>
      </c>
      <c r="M5854" s="1" t="s">
        <v>11254</v>
      </c>
      <c r="N5854" s="1"/>
      <c r="O5854" s="1" t="s">
        <v>30</v>
      </c>
      <c r="P5854" s="1" t="s">
        <v>31</v>
      </c>
      <c r="Q5854" s="1" t="s">
        <v>228</v>
      </c>
      <c r="R5854" s="1" t="s">
        <v>228</v>
      </c>
      <c r="S5854" s="1" t="s">
        <v>229</v>
      </c>
      <c r="T5854" s="1" t="s">
        <v>513</v>
      </c>
      <c r="U5854" s="1">
        <v>1.00602248E8</v>
      </c>
      <c r="X5854" s="1" t="s">
        <v>410</v>
      </c>
      <c r="Y5854" s="1" t="s">
        <v>12640</v>
      </c>
      <c r="Z5854" s="1" t="s">
        <v>37</v>
      </c>
    </row>
    <row r="5855" hidden="1">
      <c r="A5855" s="1" t="s">
        <v>16165</v>
      </c>
      <c r="B5855" s="1" t="s">
        <v>16166</v>
      </c>
      <c r="C5855" s="1" t="s">
        <v>16167</v>
      </c>
      <c r="D5855" s="1" t="s">
        <v>27</v>
      </c>
      <c r="E5855" s="1" t="s">
        <v>28</v>
      </c>
      <c r="F5855" s="2">
        <v>14500.0</v>
      </c>
      <c r="G5855" s="4">
        <v>44599.0</v>
      </c>
      <c r="H5855" s="4">
        <f>IFERROR(__xludf.DUMMYFUNCTION("DATE(INDEX(SPLIT(G5855,""/""),,3),INDEX(SPLIT(G5855,""/""),,2),INDEX(SPLIT(G5855,""/""),,1))"),44744.0)</f>
        <v>44744</v>
      </c>
      <c r="I5855" s="1" t="s">
        <v>1097</v>
      </c>
      <c r="J5855" s="4">
        <f>IFERROR(__xludf.DUMMYFUNCTION("DATE(INDEX(SPLIT(I5855,""/""),,3),INDEX(SPLIT(I5855,""/""),,2),INDEX(SPLIT(I5855,""/""),,1))"),45107.0)</f>
        <v>45107</v>
      </c>
      <c r="L5855" s="1">
        <v>0.0</v>
      </c>
      <c r="M5855" s="1" t="s">
        <v>11254</v>
      </c>
      <c r="N5855" s="1"/>
      <c r="O5855" s="1" t="s">
        <v>30</v>
      </c>
      <c r="P5855" s="1" t="s">
        <v>31</v>
      </c>
      <c r="Q5855" s="1" t="s">
        <v>228</v>
      </c>
      <c r="R5855" s="1" t="s">
        <v>228</v>
      </c>
      <c r="S5855" s="1" t="s">
        <v>229</v>
      </c>
      <c r="U5855" s="1">
        <v>1.00602248E8</v>
      </c>
      <c r="X5855" s="1" t="s">
        <v>125</v>
      </c>
      <c r="Y5855" s="1" t="s">
        <v>12640</v>
      </c>
      <c r="Z5855" s="1" t="s">
        <v>37</v>
      </c>
    </row>
    <row r="5856" hidden="1">
      <c r="A5856" s="1" t="s">
        <v>16168</v>
      </c>
      <c r="B5856" s="1" t="s">
        <v>16169</v>
      </c>
      <c r="C5856" s="1" t="s">
        <v>16170</v>
      </c>
      <c r="D5856" s="1" t="s">
        <v>27</v>
      </c>
      <c r="E5856" s="1" t="s">
        <v>28</v>
      </c>
      <c r="F5856" s="2">
        <v>14500.0</v>
      </c>
      <c r="G5856" s="4">
        <v>44599.0</v>
      </c>
      <c r="H5856" s="4">
        <f>IFERROR(__xludf.DUMMYFUNCTION("DATE(INDEX(SPLIT(G5856,""/""),,3),INDEX(SPLIT(G5856,""/""),,2),INDEX(SPLIT(G5856,""/""),,1))"),44744.0)</f>
        <v>44744</v>
      </c>
      <c r="I5856" s="1" t="s">
        <v>1097</v>
      </c>
      <c r="J5856" s="4">
        <f>IFERROR(__xludf.DUMMYFUNCTION("DATE(INDEX(SPLIT(I5856,""/""),,3),INDEX(SPLIT(I5856,""/""),,2),INDEX(SPLIT(I5856,""/""),,1))"),45107.0)</f>
        <v>45107</v>
      </c>
      <c r="L5856" s="1">
        <v>0.0</v>
      </c>
      <c r="M5856" s="1" t="s">
        <v>11254</v>
      </c>
      <c r="N5856" s="1"/>
      <c r="O5856" s="1" t="s">
        <v>30</v>
      </c>
      <c r="P5856" s="1" t="s">
        <v>31</v>
      </c>
      <c r="Q5856" s="1" t="s">
        <v>228</v>
      </c>
      <c r="R5856" s="1" t="s">
        <v>228</v>
      </c>
      <c r="S5856" s="1" t="s">
        <v>229</v>
      </c>
      <c r="T5856" s="1" t="s">
        <v>513</v>
      </c>
      <c r="U5856" s="1">
        <v>1.00602248E8</v>
      </c>
      <c r="X5856" s="1" t="s">
        <v>74</v>
      </c>
      <c r="Y5856" s="1" t="s">
        <v>12640</v>
      </c>
      <c r="Z5856" s="1" t="s">
        <v>37</v>
      </c>
    </row>
    <row r="5857" hidden="1">
      <c r="A5857" s="1" t="s">
        <v>16171</v>
      </c>
      <c r="B5857" s="1" t="s">
        <v>1854</v>
      </c>
      <c r="C5857" s="1" t="s">
        <v>16172</v>
      </c>
      <c r="D5857" s="1" t="s">
        <v>27</v>
      </c>
      <c r="E5857" s="1" t="s">
        <v>28</v>
      </c>
      <c r="F5857" s="2">
        <v>14500.0</v>
      </c>
      <c r="G5857" s="4">
        <v>44538.0</v>
      </c>
      <c r="H5857" s="4">
        <f>IFERROR(__xludf.DUMMYFUNCTION("DATE(INDEX(SPLIT(G5857,""/""),,3),INDEX(SPLIT(G5857,""/""),,2),INDEX(SPLIT(G5857,""/""),,1))"),44420.0)</f>
        <v>44420</v>
      </c>
      <c r="I5857" s="1" t="s">
        <v>42</v>
      </c>
      <c r="J5857" s="4">
        <f>IFERROR(__xludf.DUMMYFUNCTION("DATE(INDEX(SPLIT(I5857,""/""),,3),INDEX(SPLIT(I5857,""/""),,2),INDEX(SPLIT(I5857,""/""),,1))"),44926.0)</f>
        <v>44926</v>
      </c>
      <c r="L5857" s="1">
        <v>0.0</v>
      </c>
      <c r="M5857" s="1" t="s">
        <v>11254</v>
      </c>
      <c r="N5857" s="1"/>
      <c r="O5857" s="1" t="s">
        <v>30</v>
      </c>
      <c r="P5857" s="1" t="s">
        <v>31</v>
      </c>
      <c r="Q5857" s="1" t="s">
        <v>228</v>
      </c>
      <c r="R5857" s="1" t="s">
        <v>228</v>
      </c>
      <c r="S5857" s="1" t="s">
        <v>229</v>
      </c>
      <c r="U5857" s="1">
        <v>1.00602248E8</v>
      </c>
      <c r="X5857" s="1" t="s">
        <v>63</v>
      </c>
      <c r="Y5857" s="1" t="s">
        <v>13638</v>
      </c>
      <c r="Z5857" s="1" t="s">
        <v>37</v>
      </c>
    </row>
    <row r="5858" hidden="1">
      <c r="A5858" s="1" t="s">
        <v>16173</v>
      </c>
      <c r="B5858" s="1" t="s">
        <v>16174</v>
      </c>
      <c r="C5858" s="1" t="s">
        <v>16175</v>
      </c>
      <c r="D5858" s="1" t="s">
        <v>78</v>
      </c>
      <c r="E5858" s="1" t="s">
        <v>28</v>
      </c>
      <c r="F5858" s="2">
        <v>14500.0</v>
      </c>
      <c r="G5858" s="1" t="s">
        <v>14524</v>
      </c>
      <c r="H5858" s="4">
        <f>IFERROR(__xludf.DUMMYFUNCTION("DATE(INDEX(SPLIT(G5858,""/""),,3),INDEX(SPLIT(G5858,""/""),,2),INDEX(SPLIT(G5858,""/""),,1))"),44181.0)</f>
        <v>44181</v>
      </c>
      <c r="I5858" s="1" t="s">
        <v>109</v>
      </c>
      <c r="J5858" s="4">
        <f>IFERROR(__xludf.DUMMYFUNCTION("DATE(INDEX(SPLIT(I5858,""/""),,3),INDEX(SPLIT(I5858,""/""),,2),INDEX(SPLIT(I5858,""/""),,1))"),44834.0)</f>
        <v>44834</v>
      </c>
      <c r="L5858" s="1">
        <v>0.0</v>
      </c>
      <c r="M5858" s="1" t="s">
        <v>11254</v>
      </c>
      <c r="N5858" s="1"/>
      <c r="O5858" s="1" t="s">
        <v>30</v>
      </c>
      <c r="P5858" s="1" t="s">
        <v>31</v>
      </c>
      <c r="Q5858" s="1" t="s">
        <v>228</v>
      </c>
      <c r="R5858" s="1" t="s">
        <v>228</v>
      </c>
      <c r="S5858" s="1" t="s">
        <v>229</v>
      </c>
      <c r="T5858" s="1" t="s">
        <v>513</v>
      </c>
      <c r="U5858" s="1">
        <v>1.00602248E8</v>
      </c>
      <c r="X5858" s="1" t="s">
        <v>88</v>
      </c>
      <c r="Y5858" s="1" t="s">
        <v>14932</v>
      </c>
      <c r="Z5858" s="1" t="s">
        <v>37</v>
      </c>
    </row>
    <row r="5859" hidden="1">
      <c r="A5859" s="1" t="s">
        <v>16176</v>
      </c>
      <c r="B5859" s="1" t="s">
        <v>10892</v>
      </c>
      <c r="C5859" s="1" t="s">
        <v>16177</v>
      </c>
      <c r="D5859" s="1" t="s">
        <v>27</v>
      </c>
      <c r="E5859" s="1" t="s">
        <v>28</v>
      </c>
      <c r="F5859" s="2">
        <v>14500.0</v>
      </c>
      <c r="G5859" s="1" t="s">
        <v>576</v>
      </c>
      <c r="H5859" s="4">
        <f>IFERROR(__xludf.DUMMYFUNCTION("DATE(INDEX(SPLIT(G5859,""/""),,3),INDEX(SPLIT(G5859,""/""),,2),INDEX(SPLIT(G5859,""/""),,1))"),44614.0)</f>
        <v>44614</v>
      </c>
      <c r="I5859" s="1" t="s">
        <v>42</v>
      </c>
      <c r="J5859" s="4">
        <f>IFERROR(__xludf.DUMMYFUNCTION("DATE(INDEX(SPLIT(I5859,""/""),,3),INDEX(SPLIT(I5859,""/""),,2),INDEX(SPLIT(I5859,""/""),,1))"),44926.0)</f>
        <v>44926</v>
      </c>
      <c r="L5859" s="1">
        <v>0.0</v>
      </c>
      <c r="M5859" s="1" t="s">
        <v>11254</v>
      </c>
      <c r="N5859" s="1"/>
      <c r="O5859" s="1" t="s">
        <v>30</v>
      </c>
      <c r="P5859" s="1" t="s">
        <v>31</v>
      </c>
      <c r="Q5859" s="1" t="s">
        <v>228</v>
      </c>
      <c r="R5859" s="1" t="s">
        <v>228</v>
      </c>
      <c r="S5859" s="1" t="s">
        <v>229</v>
      </c>
      <c r="T5859" s="1" t="s">
        <v>513</v>
      </c>
      <c r="U5859" s="1">
        <v>1.00602248E8</v>
      </c>
      <c r="X5859" s="1" t="s">
        <v>74</v>
      </c>
      <c r="Y5859" s="1" t="s">
        <v>12637</v>
      </c>
      <c r="Z5859" s="1" t="s">
        <v>37</v>
      </c>
    </row>
    <row r="5860" hidden="1">
      <c r="A5860" s="1" t="s">
        <v>16178</v>
      </c>
      <c r="B5860" s="1" t="s">
        <v>16179</v>
      </c>
      <c r="C5860" s="1" t="s">
        <v>16180</v>
      </c>
      <c r="D5860" s="1" t="s">
        <v>27</v>
      </c>
      <c r="E5860" s="1" t="s">
        <v>28</v>
      </c>
      <c r="F5860" s="2">
        <v>14500.0</v>
      </c>
      <c r="G5860" s="4">
        <v>44292.0</v>
      </c>
      <c r="H5860" s="4">
        <f>IFERROR(__xludf.DUMMYFUNCTION("DATE(INDEX(SPLIT(G5860,""/""),,3),INDEX(SPLIT(G5860,""/""),,2),INDEX(SPLIT(G5860,""/""),,1))"),44351.0)</f>
        <v>44351</v>
      </c>
      <c r="I5860" s="1" t="s">
        <v>42</v>
      </c>
      <c r="J5860" s="4">
        <f>IFERROR(__xludf.DUMMYFUNCTION("DATE(INDEX(SPLIT(I5860,""/""),,3),INDEX(SPLIT(I5860,""/""),,2),INDEX(SPLIT(I5860,""/""),,1))"),44926.0)</f>
        <v>44926</v>
      </c>
      <c r="L5860" s="1">
        <v>0.0</v>
      </c>
      <c r="M5860" s="1" t="s">
        <v>11254</v>
      </c>
      <c r="N5860" s="1"/>
      <c r="O5860" s="1" t="s">
        <v>30</v>
      </c>
      <c r="P5860" s="1" t="s">
        <v>31</v>
      </c>
      <c r="Q5860" s="1" t="s">
        <v>228</v>
      </c>
      <c r="R5860" s="1" t="s">
        <v>228</v>
      </c>
      <c r="S5860" s="1" t="s">
        <v>229</v>
      </c>
      <c r="T5860" s="1" t="s">
        <v>513</v>
      </c>
      <c r="U5860" s="1">
        <v>1.00602248E8</v>
      </c>
      <c r="X5860" s="1" t="s">
        <v>410</v>
      </c>
      <c r="Y5860" s="1" t="s">
        <v>13638</v>
      </c>
      <c r="Z5860" s="1" t="s">
        <v>37</v>
      </c>
    </row>
    <row r="5861" hidden="1">
      <c r="A5861" s="1" t="s">
        <v>16181</v>
      </c>
      <c r="B5861" s="1" t="s">
        <v>2650</v>
      </c>
      <c r="C5861" s="1" t="s">
        <v>16182</v>
      </c>
      <c r="D5861" s="1" t="s">
        <v>78</v>
      </c>
      <c r="E5861" s="1" t="s">
        <v>28</v>
      </c>
      <c r="F5861" s="2">
        <v>14500.0</v>
      </c>
      <c r="G5861" s="1" t="s">
        <v>3853</v>
      </c>
      <c r="H5861" s="4">
        <f>IFERROR(__xludf.DUMMYFUNCTION("DATE(INDEX(SPLIT(G5861,""/""),,3),INDEX(SPLIT(G5861,""/""),,2),INDEX(SPLIT(G5861,""/""),,1))"),44679.0)</f>
        <v>44679</v>
      </c>
      <c r="I5861" s="1" t="s">
        <v>42</v>
      </c>
      <c r="J5861" s="4">
        <f>IFERROR(__xludf.DUMMYFUNCTION("DATE(INDEX(SPLIT(I5861,""/""),,3),INDEX(SPLIT(I5861,""/""),,2),INDEX(SPLIT(I5861,""/""),,1))"),44926.0)</f>
        <v>44926</v>
      </c>
      <c r="L5861" s="1">
        <v>0.0</v>
      </c>
      <c r="M5861" s="1" t="s">
        <v>11254</v>
      </c>
      <c r="N5861" s="1"/>
      <c r="O5861" s="1" t="s">
        <v>30</v>
      </c>
      <c r="P5861" s="1" t="s">
        <v>31</v>
      </c>
      <c r="Q5861" s="1" t="s">
        <v>228</v>
      </c>
      <c r="R5861" s="1" t="s">
        <v>228</v>
      </c>
      <c r="S5861" s="1" t="s">
        <v>229</v>
      </c>
      <c r="T5861" s="1" t="s">
        <v>14924</v>
      </c>
      <c r="U5861" s="1">
        <v>1.00602248E8</v>
      </c>
      <c r="X5861" s="1" t="s">
        <v>125</v>
      </c>
      <c r="Y5861" s="1" t="s">
        <v>12640</v>
      </c>
      <c r="Z5861" s="1" t="s">
        <v>37</v>
      </c>
    </row>
    <row r="5862" hidden="1">
      <c r="A5862" s="1" t="s">
        <v>16183</v>
      </c>
      <c r="B5862" s="1" t="s">
        <v>16184</v>
      </c>
      <c r="C5862" s="1" t="s">
        <v>16185</v>
      </c>
      <c r="D5862" s="1" t="s">
        <v>27</v>
      </c>
      <c r="E5862" s="1" t="s">
        <v>28</v>
      </c>
      <c r="F5862" s="2">
        <v>14500.0</v>
      </c>
      <c r="G5862" s="1" t="s">
        <v>3853</v>
      </c>
      <c r="H5862" s="4">
        <f>IFERROR(__xludf.DUMMYFUNCTION("DATE(INDEX(SPLIT(G5862,""/""),,3),INDEX(SPLIT(G5862,""/""),,2),INDEX(SPLIT(G5862,""/""),,1))"),44679.0)</f>
        <v>44679</v>
      </c>
      <c r="I5862" s="1" t="s">
        <v>42</v>
      </c>
      <c r="J5862" s="4">
        <f>IFERROR(__xludf.DUMMYFUNCTION("DATE(INDEX(SPLIT(I5862,""/""),,3),INDEX(SPLIT(I5862,""/""),,2),INDEX(SPLIT(I5862,""/""),,1))"),44926.0)</f>
        <v>44926</v>
      </c>
      <c r="L5862" s="1">
        <v>0.0</v>
      </c>
      <c r="M5862" s="1" t="s">
        <v>11254</v>
      </c>
      <c r="N5862" s="1"/>
      <c r="O5862" s="1" t="s">
        <v>30</v>
      </c>
      <c r="P5862" s="1" t="s">
        <v>31</v>
      </c>
      <c r="Q5862" s="1" t="s">
        <v>228</v>
      </c>
      <c r="R5862" s="1" t="s">
        <v>228</v>
      </c>
      <c r="S5862" s="1" t="s">
        <v>229</v>
      </c>
      <c r="T5862" s="1" t="s">
        <v>14924</v>
      </c>
      <c r="U5862" s="1">
        <v>1.00602248E8</v>
      </c>
      <c r="Y5862" s="1" t="s">
        <v>12640</v>
      </c>
      <c r="Z5862" s="1" t="s">
        <v>37</v>
      </c>
    </row>
    <row r="5863" hidden="1">
      <c r="A5863" s="1" t="s">
        <v>16186</v>
      </c>
      <c r="B5863" s="1" t="s">
        <v>16187</v>
      </c>
      <c r="C5863" s="1" t="s">
        <v>16188</v>
      </c>
      <c r="D5863" s="1" t="s">
        <v>27</v>
      </c>
      <c r="E5863" s="1" t="s">
        <v>28</v>
      </c>
      <c r="F5863" s="2">
        <v>14500.0</v>
      </c>
      <c r="G5863" s="4">
        <v>44568.0</v>
      </c>
      <c r="H5863" s="4">
        <f>IFERROR(__xludf.DUMMYFUNCTION("DATE(INDEX(SPLIT(G5863,""/""),,3),INDEX(SPLIT(G5863,""/""),,2),INDEX(SPLIT(G5863,""/""),,1))"),44743.0)</f>
        <v>44743</v>
      </c>
      <c r="I5863" s="1" t="s">
        <v>1097</v>
      </c>
      <c r="J5863" s="4">
        <f>IFERROR(__xludf.DUMMYFUNCTION("DATE(INDEX(SPLIT(I5863,""/""),,3),INDEX(SPLIT(I5863,""/""),,2),INDEX(SPLIT(I5863,""/""),,1))"),45107.0)</f>
        <v>45107</v>
      </c>
      <c r="L5863" s="1">
        <v>0.0</v>
      </c>
      <c r="M5863" s="1" t="s">
        <v>11254</v>
      </c>
      <c r="N5863" s="1"/>
      <c r="O5863" s="1" t="s">
        <v>30</v>
      </c>
      <c r="P5863" s="1" t="s">
        <v>31</v>
      </c>
      <c r="Q5863" s="1" t="s">
        <v>228</v>
      </c>
      <c r="R5863" s="1" t="s">
        <v>228</v>
      </c>
      <c r="S5863" s="1" t="s">
        <v>229</v>
      </c>
      <c r="T5863" s="1" t="s">
        <v>513</v>
      </c>
      <c r="U5863" s="1">
        <v>1.00602248E8</v>
      </c>
      <c r="X5863" s="1" t="s">
        <v>490</v>
      </c>
      <c r="Y5863" s="1" t="s">
        <v>12640</v>
      </c>
      <c r="Z5863" s="1" t="s">
        <v>37</v>
      </c>
    </row>
    <row r="5864" hidden="1">
      <c r="A5864" s="1" t="s">
        <v>16189</v>
      </c>
      <c r="B5864" s="1" t="s">
        <v>11459</v>
      </c>
      <c r="C5864" s="1" t="s">
        <v>16190</v>
      </c>
      <c r="D5864" s="1" t="s">
        <v>27</v>
      </c>
      <c r="E5864" s="1" t="s">
        <v>28</v>
      </c>
      <c r="F5864" s="2">
        <v>14500.0</v>
      </c>
      <c r="G5864" s="4">
        <v>44568.0</v>
      </c>
      <c r="H5864" s="4">
        <f>IFERROR(__xludf.DUMMYFUNCTION("DATE(INDEX(SPLIT(G5864,""/""),,3),INDEX(SPLIT(G5864,""/""),,2),INDEX(SPLIT(G5864,""/""),,1))"),44743.0)</f>
        <v>44743</v>
      </c>
      <c r="I5864" s="1" t="s">
        <v>1097</v>
      </c>
      <c r="J5864" s="4">
        <f>IFERROR(__xludf.DUMMYFUNCTION("DATE(INDEX(SPLIT(I5864,""/""),,3),INDEX(SPLIT(I5864,""/""),,2),INDEX(SPLIT(I5864,""/""),,1))"),45107.0)</f>
        <v>45107</v>
      </c>
      <c r="L5864" s="1">
        <v>0.0</v>
      </c>
      <c r="M5864" s="1" t="s">
        <v>12039</v>
      </c>
      <c r="N5864" s="1"/>
      <c r="O5864" s="1" t="s">
        <v>30</v>
      </c>
      <c r="P5864" s="1" t="s">
        <v>31</v>
      </c>
      <c r="Q5864" s="1" t="s">
        <v>228</v>
      </c>
      <c r="R5864" s="1" t="s">
        <v>228</v>
      </c>
      <c r="S5864" s="1" t="s">
        <v>229</v>
      </c>
      <c r="T5864" s="1" t="s">
        <v>513</v>
      </c>
      <c r="U5864" s="1">
        <v>1.00612509E8</v>
      </c>
      <c r="X5864" s="1" t="s">
        <v>74</v>
      </c>
      <c r="Y5864" s="1" t="s">
        <v>12640</v>
      </c>
      <c r="Z5864" s="1" t="s">
        <v>37</v>
      </c>
    </row>
    <row r="5865" hidden="1">
      <c r="A5865" s="1" t="s">
        <v>16191</v>
      </c>
      <c r="B5865" s="1" t="s">
        <v>704</v>
      </c>
      <c r="C5865" s="1" t="s">
        <v>16192</v>
      </c>
      <c r="D5865" s="1" t="s">
        <v>27</v>
      </c>
      <c r="E5865" s="1" t="s">
        <v>28</v>
      </c>
      <c r="F5865" s="2">
        <v>14500.0</v>
      </c>
      <c r="G5865" s="4">
        <v>44568.0</v>
      </c>
      <c r="H5865" s="4">
        <f>IFERROR(__xludf.DUMMYFUNCTION("DATE(INDEX(SPLIT(G5865,""/""),,3),INDEX(SPLIT(G5865,""/""),,2),INDEX(SPLIT(G5865,""/""),,1))"),44743.0)</f>
        <v>44743</v>
      </c>
      <c r="I5865" s="1" t="s">
        <v>1097</v>
      </c>
      <c r="J5865" s="4">
        <f>IFERROR(__xludf.DUMMYFUNCTION("DATE(INDEX(SPLIT(I5865,""/""),,3),INDEX(SPLIT(I5865,""/""),,2),INDEX(SPLIT(I5865,""/""),,1))"),45107.0)</f>
        <v>45107</v>
      </c>
      <c r="L5865" s="1">
        <v>0.0</v>
      </c>
      <c r="M5865" s="1" t="s">
        <v>11254</v>
      </c>
      <c r="N5865" s="1"/>
      <c r="O5865" s="1" t="s">
        <v>30</v>
      </c>
      <c r="P5865" s="1" t="s">
        <v>31</v>
      </c>
      <c r="Q5865" s="1" t="s">
        <v>228</v>
      </c>
      <c r="R5865" s="1" t="s">
        <v>228</v>
      </c>
      <c r="S5865" s="1" t="s">
        <v>229</v>
      </c>
      <c r="T5865" s="1" t="s">
        <v>513</v>
      </c>
      <c r="U5865" s="1">
        <v>1.00602248E8</v>
      </c>
      <c r="X5865" s="1" t="s">
        <v>35</v>
      </c>
      <c r="Y5865" s="1" t="s">
        <v>12640</v>
      </c>
      <c r="Z5865" s="1" t="s">
        <v>37</v>
      </c>
    </row>
    <row r="5866" hidden="1">
      <c r="A5866" s="1" t="s">
        <v>16193</v>
      </c>
      <c r="B5866" s="1" t="s">
        <v>16194</v>
      </c>
      <c r="C5866" s="1" t="s">
        <v>16195</v>
      </c>
      <c r="D5866" s="1" t="s">
        <v>78</v>
      </c>
      <c r="E5866" s="1" t="s">
        <v>28</v>
      </c>
      <c r="F5866" s="2">
        <v>14500.0</v>
      </c>
      <c r="G5866" s="1" t="s">
        <v>3745</v>
      </c>
      <c r="H5866" s="4">
        <f>IFERROR(__xludf.DUMMYFUNCTION("DATE(INDEX(SPLIT(G5866,""/""),,3),INDEX(SPLIT(G5866,""/""),,2),INDEX(SPLIT(G5866,""/""),,1))"),44343.0)</f>
        <v>44343</v>
      </c>
      <c r="I5866" s="1" t="s">
        <v>109</v>
      </c>
      <c r="J5866" s="4">
        <f>IFERROR(__xludf.DUMMYFUNCTION("DATE(INDEX(SPLIT(I5866,""/""),,3),INDEX(SPLIT(I5866,""/""),,2),INDEX(SPLIT(I5866,""/""),,1))"),44834.0)</f>
        <v>44834</v>
      </c>
      <c r="L5866" s="1">
        <v>0.0</v>
      </c>
      <c r="M5866" s="1" t="s">
        <v>12039</v>
      </c>
      <c r="N5866" s="1"/>
      <c r="O5866" s="1" t="s">
        <v>30</v>
      </c>
      <c r="P5866" s="1" t="s">
        <v>31</v>
      </c>
      <c r="Q5866" s="1" t="s">
        <v>228</v>
      </c>
      <c r="R5866" s="1" t="s">
        <v>228</v>
      </c>
      <c r="S5866" s="1" t="s">
        <v>229</v>
      </c>
      <c r="T5866" s="1" t="s">
        <v>513</v>
      </c>
      <c r="U5866" s="1">
        <v>1.00612509E8</v>
      </c>
      <c r="X5866" s="1" t="s">
        <v>74</v>
      </c>
      <c r="Y5866" s="1" t="s">
        <v>12637</v>
      </c>
      <c r="Z5866" s="1" t="s">
        <v>37</v>
      </c>
    </row>
    <row r="5867" hidden="1">
      <c r="A5867" s="1" t="s">
        <v>16196</v>
      </c>
      <c r="B5867" s="1" t="s">
        <v>16197</v>
      </c>
      <c r="C5867" s="1" t="s">
        <v>16198</v>
      </c>
      <c r="D5867" s="1" t="s">
        <v>78</v>
      </c>
      <c r="E5867" s="1" t="s">
        <v>28</v>
      </c>
      <c r="F5867" s="2">
        <v>14500.0</v>
      </c>
      <c r="G5867" s="4">
        <v>44868.0</v>
      </c>
      <c r="H5867" s="4">
        <f>IFERROR(__xludf.DUMMYFUNCTION("DATE(INDEX(SPLIT(G5867,""/""),,3),INDEX(SPLIT(G5867,""/""),,2),INDEX(SPLIT(G5867,""/""),,1))"),44631.0)</f>
        <v>44631</v>
      </c>
      <c r="I5867" s="1" t="s">
        <v>109</v>
      </c>
      <c r="J5867" s="4">
        <f>IFERROR(__xludf.DUMMYFUNCTION("DATE(INDEX(SPLIT(I5867,""/""),,3),INDEX(SPLIT(I5867,""/""),,2),INDEX(SPLIT(I5867,""/""),,1))"),44834.0)</f>
        <v>44834</v>
      </c>
      <c r="L5867" s="1">
        <v>0.0</v>
      </c>
      <c r="M5867" s="1" t="s">
        <v>11254</v>
      </c>
      <c r="N5867" s="1"/>
      <c r="O5867" s="1" t="s">
        <v>30</v>
      </c>
      <c r="P5867" s="1" t="s">
        <v>31</v>
      </c>
      <c r="Q5867" s="1" t="s">
        <v>228</v>
      </c>
      <c r="R5867" s="1" t="s">
        <v>228</v>
      </c>
      <c r="S5867" s="1" t="s">
        <v>229</v>
      </c>
      <c r="T5867" s="1" t="s">
        <v>513</v>
      </c>
      <c r="U5867" s="1">
        <v>1.00602248E8</v>
      </c>
      <c r="X5867" s="1" t="s">
        <v>74</v>
      </c>
      <c r="Y5867" s="1" t="s">
        <v>13638</v>
      </c>
      <c r="Z5867" s="1" t="s">
        <v>37</v>
      </c>
    </row>
    <row r="5868" hidden="1">
      <c r="A5868" s="1" t="s">
        <v>16199</v>
      </c>
      <c r="B5868" s="1" t="s">
        <v>16200</v>
      </c>
      <c r="C5868" s="1" t="s">
        <v>16201</v>
      </c>
      <c r="D5868" s="1" t="s">
        <v>27</v>
      </c>
      <c r="E5868" s="1" t="s">
        <v>28</v>
      </c>
      <c r="F5868" s="2">
        <v>14500.0</v>
      </c>
      <c r="G5868" s="1" t="s">
        <v>280</v>
      </c>
      <c r="H5868" s="4">
        <f>IFERROR(__xludf.DUMMYFUNCTION("DATE(INDEX(SPLIT(G5868,""/""),,3),INDEX(SPLIT(G5868,""/""),,2),INDEX(SPLIT(G5868,""/""),,1))"),44613.0)</f>
        <v>44613</v>
      </c>
      <c r="I5868" s="1" t="s">
        <v>42</v>
      </c>
      <c r="J5868" s="4">
        <f>IFERROR(__xludf.DUMMYFUNCTION("DATE(INDEX(SPLIT(I5868,""/""),,3),INDEX(SPLIT(I5868,""/""),,2),INDEX(SPLIT(I5868,""/""),,1))"),44926.0)</f>
        <v>44926</v>
      </c>
      <c r="L5868" s="1">
        <v>0.0</v>
      </c>
      <c r="M5868" s="1" t="s">
        <v>11254</v>
      </c>
      <c r="N5868" s="1"/>
      <c r="O5868" s="1" t="s">
        <v>30</v>
      </c>
      <c r="P5868" s="1" t="s">
        <v>31</v>
      </c>
      <c r="Q5868" s="1" t="s">
        <v>228</v>
      </c>
      <c r="R5868" s="1" t="s">
        <v>228</v>
      </c>
      <c r="S5868" s="1" t="s">
        <v>229</v>
      </c>
      <c r="T5868" s="1" t="s">
        <v>513</v>
      </c>
      <c r="U5868" s="1">
        <v>1.00602248E8</v>
      </c>
      <c r="X5868" s="1" t="s">
        <v>375</v>
      </c>
      <c r="Y5868" s="1" t="s">
        <v>14932</v>
      </c>
      <c r="Z5868" s="1" t="s">
        <v>37</v>
      </c>
    </row>
    <row r="5869" hidden="1">
      <c r="A5869" s="1" t="s">
        <v>16202</v>
      </c>
      <c r="B5869" s="1" t="s">
        <v>16203</v>
      </c>
      <c r="C5869" s="1" t="s">
        <v>16204</v>
      </c>
      <c r="D5869" s="1" t="s">
        <v>78</v>
      </c>
      <c r="E5869" s="1" t="s">
        <v>28</v>
      </c>
      <c r="F5869" s="2">
        <v>14500.0</v>
      </c>
      <c r="G5869" s="1" t="s">
        <v>324</v>
      </c>
      <c r="H5869" s="4">
        <f>IFERROR(__xludf.DUMMYFUNCTION("DATE(INDEX(SPLIT(G5869,""/""),,3),INDEX(SPLIT(G5869,""/""),,2),INDEX(SPLIT(G5869,""/""),,1))"),44636.0)</f>
        <v>44636</v>
      </c>
      <c r="I5869" s="1" t="s">
        <v>109</v>
      </c>
      <c r="J5869" s="4">
        <f>IFERROR(__xludf.DUMMYFUNCTION("DATE(INDEX(SPLIT(I5869,""/""),,3),INDEX(SPLIT(I5869,""/""),,2),INDEX(SPLIT(I5869,""/""),,1))"),44834.0)</f>
        <v>44834</v>
      </c>
      <c r="L5869" s="1">
        <v>0.0</v>
      </c>
      <c r="M5869" s="1" t="s">
        <v>11254</v>
      </c>
      <c r="N5869" s="1"/>
      <c r="O5869" s="1" t="s">
        <v>30</v>
      </c>
      <c r="P5869" s="1" t="s">
        <v>31</v>
      </c>
      <c r="Q5869" s="1" t="s">
        <v>228</v>
      </c>
      <c r="R5869" s="1" t="s">
        <v>228</v>
      </c>
      <c r="S5869" s="1" t="s">
        <v>229</v>
      </c>
      <c r="T5869" s="1" t="s">
        <v>513</v>
      </c>
      <c r="U5869" s="1">
        <v>1.00602248E8</v>
      </c>
      <c r="X5869" s="1" t="s">
        <v>117</v>
      </c>
      <c r="Y5869" s="1" t="s">
        <v>13638</v>
      </c>
      <c r="Z5869" s="1" t="s">
        <v>37</v>
      </c>
    </row>
    <row r="5870" hidden="1">
      <c r="A5870" s="1" t="s">
        <v>16205</v>
      </c>
      <c r="B5870" s="1" t="s">
        <v>16206</v>
      </c>
      <c r="C5870" s="1" t="s">
        <v>16207</v>
      </c>
      <c r="D5870" s="1" t="s">
        <v>27</v>
      </c>
      <c r="E5870" s="1" t="s">
        <v>28</v>
      </c>
      <c r="F5870" s="2">
        <v>14500.0</v>
      </c>
      <c r="G5870" s="4">
        <v>44568.0</v>
      </c>
      <c r="H5870" s="4">
        <f>IFERROR(__xludf.DUMMYFUNCTION("DATE(INDEX(SPLIT(G5870,""/""),,3),INDEX(SPLIT(G5870,""/""),,2),INDEX(SPLIT(G5870,""/""),,1))"),44743.0)</f>
        <v>44743</v>
      </c>
      <c r="I5870" s="1" t="s">
        <v>1097</v>
      </c>
      <c r="J5870" s="4">
        <f>IFERROR(__xludf.DUMMYFUNCTION("DATE(INDEX(SPLIT(I5870,""/""),,3),INDEX(SPLIT(I5870,""/""),,2),INDEX(SPLIT(I5870,""/""),,1))"),45107.0)</f>
        <v>45107</v>
      </c>
      <c r="L5870" s="1">
        <v>0.0</v>
      </c>
      <c r="M5870" s="1" t="s">
        <v>12039</v>
      </c>
      <c r="N5870" s="1"/>
      <c r="O5870" s="1" t="s">
        <v>30</v>
      </c>
      <c r="P5870" s="1" t="s">
        <v>31</v>
      </c>
      <c r="Q5870" s="1" t="s">
        <v>228</v>
      </c>
      <c r="R5870" s="1" t="s">
        <v>228</v>
      </c>
      <c r="S5870" s="1" t="s">
        <v>229</v>
      </c>
      <c r="T5870" s="1" t="s">
        <v>513</v>
      </c>
      <c r="U5870" s="1">
        <v>1.00612509E8</v>
      </c>
      <c r="X5870" s="1" t="s">
        <v>74</v>
      </c>
      <c r="Y5870" s="1" t="s">
        <v>12640</v>
      </c>
      <c r="Z5870" s="1" t="s">
        <v>37</v>
      </c>
    </row>
    <row r="5871" hidden="1">
      <c r="A5871" s="1" t="s">
        <v>16208</v>
      </c>
      <c r="B5871" s="1" t="s">
        <v>16209</v>
      </c>
      <c r="C5871" s="1" t="s">
        <v>16210</v>
      </c>
      <c r="D5871" s="1" t="s">
        <v>27</v>
      </c>
      <c r="E5871" s="1" t="s">
        <v>28</v>
      </c>
      <c r="F5871" s="2">
        <v>14500.0</v>
      </c>
      <c r="G5871" s="4">
        <v>44568.0</v>
      </c>
      <c r="H5871" s="4">
        <f>IFERROR(__xludf.DUMMYFUNCTION("DATE(INDEX(SPLIT(G5871,""/""),,3),INDEX(SPLIT(G5871,""/""),,2),INDEX(SPLIT(G5871,""/""),,1))"),44743.0)</f>
        <v>44743</v>
      </c>
      <c r="I5871" s="1" t="s">
        <v>1097</v>
      </c>
      <c r="J5871" s="4">
        <f>IFERROR(__xludf.DUMMYFUNCTION("DATE(INDEX(SPLIT(I5871,""/""),,3),INDEX(SPLIT(I5871,""/""),,2),INDEX(SPLIT(I5871,""/""),,1))"),45107.0)</f>
        <v>45107</v>
      </c>
      <c r="L5871" s="1">
        <v>0.0</v>
      </c>
      <c r="M5871" s="1" t="s">
        <v>11254</v>
      </c>
      <c r="N5871" s="1"/>
      <c r="O5871" s="1" t="s">
        <v>30</v>
      </c>
      <c r="P5871" s="1" t="s">
        <v>31</v>
      </c>
      <c r="Q5871" s="1" t="s">
        <v>228</v>
      </c>
      <c r="R5871" s="1" t="s">
        <v>228</v>
      </c>
      <c r="S5871" s="1" t="s">
        <v>229</v>
      </c>
      <c r="T5871" s="1" t="s">
        <v>513</v>
      </c>
      <c r="U5871" s="1">
        <v>1.00602248E8</v>
      </c>
      <c r="Y5871" s="1" t="s">
        <v>12640</v>
      </c>
      <c r="Z5871" s="1" t="s">
        <v>37</v>
      </c>
    </row>
    <row r="5872" hidden="1">
      <c r="A5872" s="1" t="s">
        <v>16211</v>
      </c>
      <c r="B5872" s="1" t="s">
        <v>3751</v>
      </c>
      <c r="C5872" s="1" t="s">
        <v>16212</v>
      </c>
      <c r="D5872" s="1" t="s">
        <v>27</v>
      </c>
      <c r="E5872" s="1" t="s">
        <v>28</v>
      </c>
      <c r="F5872" s="2">
        <v>14500.0</v>
      </c>
      <c r="G5872" s="4">
        <v>44568.0</v>
      </c>
      <c r="H5872" s="4">
        <f>IFERROR(__xludf.DUMMYFUNCTION("DATE(INDEX(SPLIT(G5872,""/""),,3),INDEX(SPLIT(G5872,""/""),,2),INDEX(SPLIT(G5872,""/""),,1))"),44743.0)</f>
        <v>44743</v>
      </c>
      <c r="I5872" s="1" t="s">
        <v>1097</v>
      </c>
      <c r="J5872" s="4">
        <f>IFERROR(__xludf.DUMMYFUNCTION("DATE(INDEX(SPLIT(I5872,""/""),,3),INDEX(SPLIT(I5872,""/""),,2),INDEX(SPLIT(I5872,""/""),,1))"),45107.0)</f>
        <v>45107</v>
      </c>
      <c r="L5872" s="1">
        <v>0.0</v>
      </c>
      <c r="M5872" s="1" t="s">
        <v>12039</v>
      </c>
      <c r="N5872" s="1"/>
      <c r="O5872" s="1" t="s">
        <v>30</v>
      </c>
      <c r="P5872" s="1" t="s">
        <v>31</v>
      </c>
      <c r="Q5872" s="1" t="s">
        <v>228</v>
      </c>
      <c r="R5872" s="1" t="s">
        <v>228</v>
      </c>
      <c r="S5872" s="1" t="s">
        <v>229</v>
      </c>
      <c r="T5872" s="1" t="s">
        <v>513</v>
      </c>
      <c r="U5872" s="1">
        <v>1.00612509E8</v>
      </c>
      <c r="X5872" s="1" t="s">
        <v>74</v>
      </c>
      <c r="Y5872" s="1" t="s">
        <v>12640</v>
      </c>
      <c r="Z5872" s="1" t="s">
        <v>37</v>
      </c>
    </row>
    <row r="5873" hidden="1">
      <c r="A5873" s="1" t="s">
        <v>16213</v>
      </c>
      <c r="B5873" s="1" t="s">
        <v>709</v>
      </c>
      <c r="C5873" s="1" t="s">
        <v>16214</v>
      </c>
      <c r="D5873" s="1" t="s">
        <v>27</v>
      </c>
      <c r="E5873" s="1" t="s">
        <v>28</v>
      </c>
      <c r="F5873" s="2">
        <v>14500.0</v>
      </c>
      <c r="G5873" s="4">
        <v>44568.0</v>
      </c>
      <c r="H5873" s="4">
        <f>IFERROR(__xludf.DUMMYFUNCTION("DATE(INDEX(SPLIT(G5873,""/""),,3),INDEX(SPLIT(G5873,""/""),,2),INDEX(SPLIT(G5873,""/""),,1))"),44743.0)</f>
        <v>44743</v>
      </c>
      <c r="I5873" s="1" t="s">
        <v>1097</v>
      </c>
      <c r="J5873" s="4">
        <f>IFERROR(__xludf.DUMMYFUNCTION("DATE(INDEX(SPLIT(I5873,""/""),,3),INDEX(SPLIT(I5873,""/""),,2),INDEX(SPLIT(I5873,""/""),,1))"),45107.0)</f>
        <v>45107</v>
      </c>
      <c r="L5873" s="1">
        <v>0.0</v>
      </c>
      <c r="M5873" s="1" t="s">
        <v>437</v>
      </c>
      <c r="N5873" s="1"/>
      <c r="O5873" s="1" t="s">
        <v>30</v>
      </c>
      <c r="P5873" s="1" t="s">
        <v>31</v>
      </c>
      <c r="Q5873" s="1" t="s">
        <v>235</v>
      </c>
      <c r="R5873" s="1" t="s">
        <v>235</v>
      </c>
      <c r="S5873" s="1" t="s">
        <v>236</v>
      </c>
      <c r="T5873" s="1" t="s">
        <v>513</v>
      </c>
      <c r="U5873" s="1">
        <v>1.00650375E8</v>
      </c>
      <c r="X5873" s="1" t="s">
        <v>35</v>
      </c>
      <c r="Y5873" s="1" t="s">
        <v>14932</v>
      </c>
      <c r="Z5873" s="1" t="s">
        <v>37</v>
      </c>
    </row>
    <row r="5874" hidden="1">
      <c r="A5874" s="1" t="s">
        <v>16215</v>
      </c>
      <c r="B5874" s="1" t="s">
        <v>1931</v>
      </c>
      <c r="C5874" s="1" t="s">
        <v>16216</v>
      </c>
      <c r="D5874" s="1" t="s">
        <v>27</v>
      </c>
      <c r="E5874" s="1" t="s">
        <v>28</v>
      </c>
      <c r="F5874" s="2">
        <v>14500.0</v>
      </c>
      <c r="G5874" s="4">
        <v>44568.0</v>
      </c>
      <c r="H5874" s="4">
        <f>IFERROR(__xludf.DUMMYFUNCTION("DATE(INDEX(SPLIT(G5874,""/""),,3),INDEX(SPLIT(G5874,""/""),,2),INDEX(SPLIT(G5874,""/""),,1))"),44743.0)</f>
        <v>44743</v>
      </c>
      <c r="I5874" s="1" t="s">
        <v>1097</v>
      </c>
      <c r="J5874" s="4">
        <f>IFERROR(__xludf.DUMMYFUNCTION("DATE(INDEX(SPLIT(I5874,""/""),,3),INDEX(SPLIT(I5874,""/""),,2),INDEX(SPLIT(I5874,""/""),,1))"),45107.0)</f>
        <v>45107</v>
      </c>
      <c r="L5874" s="1">
        <v>0.0</v>
      </c>
      <c r="M5874" s="1" t="s">
        <v>11254</v>
      </c>
      <c r="N5874" s="1"/>
      <c r="O5874" s="1" t="s">
        <v>30</v>
      </c>
      <c r="P5874" s="1" t="s">
        <v>31</v>
      </c>
      <c r="Q5874" s="1" t="s">
        <v>228</v>
      </c>
      <c r="R5874" s="1" t="s">
        <v>228</v>
      </c>
      <c r="S5874" s="1" t="s">
        <v>229</v>
      </c>
      <c r="T5874" s="1" t="s">
        <v>513</v>
      </c>
      <c r="U5874" s="1">
        <v>1.00602248E8</v>
      </c>
      <c r="X5874" s="1" t="s">
        <v>74</v>
      </c>
      <c r="Y5874" s="1" t="s">
        <v>12640</v>
      </c>
      <c r="Z5874" s="1" t="s">
        <v>37</v>
      </c>
    </row>
    <row r="5875" hidden="1">
      <c r="A5875" s="1" t="s">
        <v>16217</v>
      </c>
      <c r="B5875" s="1" t="s">
        <v>14406</v>
      </c>
      <c r="C5875" s="1" t="s">
        <v>16218</v>
      </c>
      <c r="D5875" s="1" t="s">
        <v>27</v>
      </c>
      <c r="E5875" s="1" t="s">
        <v>28</v>
      </c>
      <c r="F5875" s="2">
        <v>14500.0</v>
      </c>
      <c r="G5875" s="4">
        <v>44568.0</v>
      </c>
      <c r="H5875" s="4">
        <f>IFERROR(__xludf.DUMMYFUNCTION("DATE(INDEX(SPLIT(G5875,""/""),,3),INDEX(SPLIT(G5875,""/""),,2),INDEX(SPLIT(G5875,""/""),,1))"),44743.0)</f>
        <v>44743</v>
      </c>
      <c r="I5875" s="1" t="s">
        <v>1097</v>
      </c>
      <c r="J5875" s="4">
        <f>IFERROR(__xludf.DUMMYFUNCTION("DATE(INDEX(SPLIT(I5875,""/""),,3),INDEX(SPLIT(I5875,""/""),,2),INDEX(SPLIT(I5875,""/""),,1))"),45107.0)</f>
        <v>45107</v>
      </c>
      <c r="L5875" s="1">
        <v>0.0</v>
      </c>
      <c r="M5875" s="1" t="s">
        <v>1685</v>
      </c>
      <c r="N5875" s="1"/>
      <c r="O5875" s="1" t="s">
        <v>30</v>
      </c>
      <c r="P5875" s="1" t="s">
        <v>31</v>
      </c>
      <c r="Q5875" s="1" t="s">
        <v>228</v>
      </c>
      <c r="R5875" s="1" t="s">
        <v>228</v>
      </c>
      <c r="S5875" s="1" t="s">
        <v>229</v>
      </c>
      <c r="T5875" s="1" t="s">
        <v>513</v>
      </c>
      <c r="U5875" s="1">
        <v>1.00612055E8</v>
      </c>
      <c r="X5875" s="1" t="s">
        <v>98</v>
      </c>
      <c r="Y5875" s="1" t="s">
        <v>12640</v>
      </c>
      <c r="Z5875" s="1" t="s">
        <v>37</v>
      </c>
    </row>
    <row r="5876" hidden="1">
      <c r="A5876" s="1" t="s">
        <v>16219</v>
      </c>
      <c r="B5876" s="1" t="s">
        <v>16220</v>
      </c>
      <c r="C5876" s="1" t="s">
        <v>16221</v>
      </c>
      <c r="D5876" s="1" t="s">
        <v>27</v>
      </c>
      <c r="E5876" s="1" t="s">
        <v>28</v>
      </c>
      <c r="F5876" s="2">
        <v>14500.0</v>
      </c>
      <c r="G5876" s="4">
        <v>44568.0</v>
      </c>
      <c r="H5876" s="4">
        <f>IFERROR(__xludf.DUMMYFUNCTION("DATE(INDEX(SPLIT(G5876,""/""),,3),INDEX(SPLIT(G5876,""/""),,2),INDEX(SPLIT(G5876,""/""),,1))"),44743.0)</f>
        <v>44743</v>
      </c>
      <c r="I5876" s="1" t="s">
        <v>1097</v>
      </c>
      <c r="J5876" s="4">
        <f>IFERROR(__xludf.DUMMYFUNCTION("DATE(INDEX(SPLIT(I5876,""/""),,3),INDEX(SPLIT(I5876,""/""),,2),INDEX(SPLIT(I5876,""/""),,1))"),45107.0)</f>
        <v>45107</v>
      </c>
      <c r="L5876" s="1">
        <v>0.0</v>
      </c>
      <c r="M5876" s="1" t="s">
        <v>11254</v>
      </c>
      <c r="N5876" s="1"/>
      <c r="O5876" s="1" t="s">
        <v>30</v>
      </c>
      <c r="P5876" s="1" t="s">
        <v>31</v>
      </c>
      <c r="Q5876" s="1" t="s">
        <v>228</v>
      </c>
      <c r="R5876" s="1" t="s">
        <v>228</v>
      </c>
      <c r="S5876" s="1" t="s">
        <v>229</v>
      </c>
      <c r="T5876" s="1" t="s">
        <v>513</v>
      </c>
      <c r="U5876" s="1">
        <v>1.00602248E8</v>
      </c>
      <c r="X5876" s="1" t="s">
        <v>2028</v>
      </c>
      <c r="Y5876" s="1" t="s">
        <v>14932</v>
      </c>
      <c r="Z5876" s="1" t="s">
        <v>37</v>
      </c>
    </row>
    <row r="5877" hidden="1">
      <c r="A5877" s="1" t="s">
        <v>16222</v>
      </c>
      <c r="B5877" s="1" t="s">
        <v>2483</v>
      </c>
      <c r="C5877" s="1" t="s">
        <v>16223</v>
      </c>
      <c r="D5877" s="1" t="s">
        <v>27</v>
      </c>
      <c r="E5877" s="1" t="s">
        <v>28</v>
      </c>
      <c r="F5877" s="2">
        <v>14500.0</v>
      </c>
      <c r="G5877" s="4">
        <v>44568.0</v>
      </c>
      <c r="H5877" s="4">
        <f>IFERROR(__xludf.DUMMYFUNCTION("DATE(INDEX(SPLIT(G5877,""/""),,3),INDEX(SPLIT(G5877,""/""),,2),INDEX(SPLIT(G5877,""/""),,1))"),44743.0)</f>
        <v>44743</v>
      </c>
      <c r="I5877" s="1" t="s">
        <v>1097</v>
      </c>
      <c r="J5877" s="4">
        <f>IFERROR(__xludf.DUMMYFUNCTION("DATE(INDEX(SPLIT(I5877,""/""),,3),INDEX(SPLIT(I5877,""/""),,2),INDEX(SPLIT(I5877,""/""),,1))"),45107.0)</f>
        <v>45107</v>
      </c>
      <c r="L5877" s="1">
        <v>0.0</v>
      </c>
      <c r="M5877" s="1" t="s">
        <v>11254</v>
      </c>
      <c r="N5877" s="1"/>
      <c r="O5877" s="1" t="s">
        <v>30</v>
      </c>
      <c r="P5877" s="1" t="s">
        <v>31</v>
      </c>
      <c r="Q5877" s="1" t="s">
        <v>228</v>
      </c>
      <c r="R5877" s="1" t="s">
        <v>228</v>
      </c>
      <c r="S5877" s="1" t="s">
        <v>229</v>
      </c>
      <c r="T5877" s="1" t="s">
        <v>513</v>
      </c>
      <c r="U5877" s="1">
        <v>1.00602248E8</v>
      </c>
      <c r="X5877" s="1" t="s">
        <v>2028</v>
      </c>
      <c r="Y5877" s="1" t="s">
        <v>12640</v>
      </c>
      <c r="Z5877" s="1" t="s">
        <v>37</v>
      </c>
    </row>
    <row r="5878" hidden="1">
      <c r="A5878" s="1" t="s">
        <v>16224</v>
      </c>
      <c r="B5878" s="1" t="s">
        <v>796</v>
      </c>
      <c r="C5878" s="1" t="s">
        <v>16225</v>
      </c>
      <c r="D5878" s="1" t="s">
        <v>27</v>
      </c>
      <c r="E5878" s="1" t="s">
        <v>28</v>
      </c>
      <c r="F5878" s="2">
        <v>14500.0</v>
      </c>
      <c r="G5878" s="4">
        <v>44568.0</v>
      </c>
      <c r="H5878" s="4">
        <f>IFERROR(__xludf.DUMMYFUNCTION("DATE(INDEX(SPLIT(G5878,""/""),,3),INDEX(SPLIT(G5878,""/""),,2),INDEX(SPLIT(G5878,""/""),,1))"),44743.0)</f>
        <v>44743</v>
      </c>
      <c r="I5878" s="1" t="s">
        <v>1097</v>
      </c>
      <c r="J5878" s="4">
        <f>IFERROR(__xludf.DUMMYFUNCTION("DATE(INDEX(SPLIT(I5878,""/""),,3),INDEX(SPLIT(I5878,""/""),,2),INDEX(SPLIT(I5878,""/""),,1))"),45107.0)</f>
        <v>45107</v>
      </c>
      <c r="L5878" s="1">
        <v>0.0</v>
      </c>
      <c r="M5878" s="1" t="s">
        <v>11254</v>
      </c>
      <c r="N5878" s="1"/>
      <c r="O5878" s="1" t="s">
        <v>30</v>
      </c>
      <c r="P5878" s="1" t="s">
        <v>31</v>
      </c>
      <c r="Q5878" s="1" t="s">
        <v>228</v>
      </c>
      <c r="R5878" s="1" t="s">
        <v>228</v>
      </c>
      <c r="S5878" s="1" t="s">
        <v>229</v>
      </c>
      <c r="T5878" s="1" t="s">
        <v>513</v>
      </c>
      <c r="U5878" s="1">
        <v>1.00602248E8</v>
      </c>
      <c r="X5878" s="1" t="s">
        <v>74</v>
      </c>
      <c r="Y5878" s="1" t="s">
        <v>12640</v>
      </c>
      <c r="Z5878" s="1" t="s">
        <v>37</v>
      </c>
    </row>
    <row r="5879" hidden="1">
      <c r="A5879" s="1" t="s">
        <v>16226</v>
      </c>
      <c r="B5879" s="1" t="s">
        <v>14148</v>
      </c>
      <c r="C5879" s="1" t="s">
        <v>16227</v>
      </c>
      <c r="D5879" s="1" t="s">
        <v>27</v>
      </c>
      <c r="E5879" s="1" t="s">
        <v>28</v>
      </c>
      <c r="F5879" s="2">
        <v>14500.0</v>
      </c>
      <c r="G5879" s="4">
        <v>44568.0</v>
      </c>
      <c r="H5879" s="4">
        <f>IFERROR(__xludf.DUMMYFUNCTION("DATE(INDEX(SPLIT(G5879,""/""),,3),INDEX(SPLIT(G5879,""/""),,2),INDEX(SPLIT(G5879,""/""),,1))"),44743.0)</f>
        <v>44743</v>
      </c>
      <c r="I5879" s="1" t="s">
        <v>1097</v>
      </c>
      <c r="J5879" s="4">
        <f>IFERROR(__xludf.DUMMYFUNCTION("DATE(INDEX(SPLIT(I5879,""/""),,3),INDEX(SPLIT(I5879,""/""),,2),INDEX(SPLIT(I5879,""/""),,1))"),45107.0)</f>
        <v>45107</v>
      </c>
      <c r="L5879" s="1">
        <v>0.0</v>
      </c>
      <c r="M5879" s="1" t="s">
        <v>11254</v>
      </c>
      <c r="N5879" s="1"/>
      <c r="O5879" s="1" t="s">
        <v>30</v>
      </c>
      <c r="P5879" s="1" t="s">
        <v>31</v>
      </c>
      <c r="Q5879" s="1" t="s">
        <v>228</v>
      </c>
      <c r="R5879" s="1" t="s">
        <v>228</v>
      </c>
      <c r="S5879" s="1" t="s">
        <v>229</v>
      </c>
      <c r="T5879" s="1" t="s">
        <v>513</v>
      </c>
      <c r="U5879" s="1">
        <v>1.00602248E8</v>
      </c>
      <c r="X5879" s="1" t="s">
        <v>74</v>
      </c>
      <c r="Y5879" s="1" t="s">
        <v>14932</v>
      </c>
      <c r="Z5879" s="1" t="s">
        <v>37</v>
      </c>
    </row>
    <row r="5880" hidden="1">
      <c r="A5880" s="1" t="s">
        <v>16228</v>
      </c>
      <c r="B5880" s="1" t="s">
        <v>16229</v>
      </c>
      <c r="C5880" s="1" t="s">
        <v>16230</v>
      </c>
      <c r="D5880" s="1" t="s">
        <v>27</v>
      </c>
      <c r="E5880" s="1" t="s">
        <v>28</v>
      </c>
      <c r="F5880" s="2">
        <v>14500.0</v>
      </c>
      <c r="G5880" s="1" t="s">
        <v>343</v>
      </c>
      <c r="H5880" s="4">
        <f>IFERROR(__xludf.DUMMYFUNCTION("DATE(INDEX(SPLIT(G5880,""/""),,3),INDEX(SPLIT(G5880,""/""),,2),INDEX(SPLIT(G5880,""/""),,1))"),44761.0)</f>
        <v>44761</v>
      </c>
      <c r="I5880" s="1" t="s">
        <v>42</v>
      </c>
      <c r="J5880" s="4">
        <f>IFERROR(__xludf.DUMMYFUNCTION("DATE(INDEX(SPLIT(I5880,""/""),,3),INDEX(SPLIT(I5880,""/""),,2),INDEX(SPLIT(I5880,""/""),,1))"),44926.0)</f>
        <v>44926</v>
      </c>
      <c r="L5880" s="1">
        <v>0.0</v>
      </c>
      <c r="M5880" s="1" t="s">
        <v>11254</v>
      </c>
      <c r="N5880" s="1"/>
      <c r="O5880" s="1" t="s">
        <v>30</v>
      </c>
      <c r="P5880" s="1" t="s">
        <v>31</v>
      </c>
      <c r="Q5880" s="1" t="s">
        <v>228</v>
      </c>
      <c r="R5880" s="1" t="s">
        <v>228</v>
      </c>
      <c r="S5880" s="1" t="s">
        <v>229</v>
      </c>
      <c r="T5880" s="1" t="s">
        <v>14924</v>
      </c>
      <c r="U5880" s="1">
        <v>1.00602248E8</v>
      </c>
      <c r="X5880" s="1" t="s">
        <v>490</v>
      </c>
      <c r="Y5880" s="1" t="s">
        <v>13638</v>
      </c>
      <c r="Z5880" s="1" t="s">
        <v>37</v>
      </c>
    </row>
    <row r="5881" hidden="1">
      <c r="A5881" s="1" t="s">
        <v>16231</v>
      </c>
      <c r="B5881" s="1" t="s">
        <v>8019</v>
      </c>
      <c r="C5881" s="1" t="s">
        <v>16232</v>
      </c>
      <c r="D5881" s="1" t="s">
        <v>27</v>
      </c>
      <c r="E5881" s="1" t="s">
        <v>28</v>
      </c>
      <c r="F5881" s="2">
        <v>14500.0</v>
      </c>
      <c r="G5881" s="4">
        <v>44568.0</v>
      </c>
      <c r="H5881" s="4">
        <f>IFERROR(__xludf.DUMMYFUNCTION("DATE(INDEX(SPLIT(G5881,""/""),,3),INDEX(SPLIT(G5881,""/""),,2),INDEX(SPLIT(G5881,""/""),,1))"),44743.0)</f>
        <v>44743</v>
      </c>
      <c r="I5881" s="1" t="s">
        <v>1097</v>
      </c>
      <c r="J5881" s="4">
        <f>IFERROR(__xludf.DUMMYFUNCTION("DATE(INDEX(SPLIT(I5881,""/""),,3),INDEX(SPLIT(I5881,""/""),,2),INDEX(SPLIT(I5881,""/""),,1))"),45107.0)</f>
        <v>45107</v>
      </c>
      <c r="L5881" s="1">
        <v>0.0</v>
      </c>
      <c r="M5881" s="1" t="s">
        <v>11254</v>
      </c>
      <c r="N5881" s="1"/>
      <c r="O5881" s="1" t="s">
        <v>30</v>
      </c>
      <c r="P5881" s="1" t="s">
        <v>31</v>
      </c>
      <c r="Q5881" s="1" t="s">
        <v>228</v>
      </c>
      <c r="R5881" s="1" t="s">
        <v>228</v>
      </c>
      <c r="S5881" s="1" t="s">
        <v>229</v>
      </c>
      <c r="T5881" s="1" t="s">
        <v>513</v>
      </c>
      <c r="U5881" s="1">
        <v>1.00602248E8</v>
      </c>
      <c r="X5881" s="1" t="s">
        <v>74</v>
      </c>
      <c r="Y5881" s="1" t="s">
        <v>14932</v>
      </c>
      <c r="Z5881" s="1" t="s">
        <v>37</v>
      </c>
    </row>
    <row r="5882" hidden="1">
      <c r="A5882" s="1" t="s">
        <v>16233</v>
      </c>
      <c r="B5882" s="1" t="s">
        <v>16234</v>
      </c>
      <c r="C5882" s="1" t="s">
        <v>16235</v>
      </c>
      <c r="D5882" s="1" t="s">
        <v>27</v>
      </c>
      <c r="E5882" s="1" t="s">
        <v>28</v>
      </c>
      <c r="F5882" s="2">
        <v>14500.0</v>
      </c>
      <c r="G5882" s="4">
        <v>44568.0</v>
      </c>
      <c r="H5882" s="4">
        <f>IFERROR(__xludf.DUMMYFUNCTION("DATE(INDEX(SPLIT(G5882,""/""),,3),INDEX(SPLIT(G5882,""/""),,2),INDEX(SPLIT(G5882,""/""),,1))"),44743.0)</f>
        <v>44743</v>
      </c>
      <c r="I5882" s="1" t="s">
        <v>1097</v>
      </c>
      <c r="J5882" s="4">
        <f>IFERROR(__xludf.DUMMYFUNCTION("DATE(INDEX(SPLIT(I5882,""/""),,3),INDEX(SPLIT(I5882,""/""),,2),INDEX(SPLIT(I5882,""/""),,1))"),45107.0)</f>
        <v>45107</v>
      </c>
      <c r="L5882" s="1">
        <v>0.0</v>
      </c>
      <c r="M5882" s="1" t="s">
        <v>11254</v>
      </c>
      <c r="N5882" s="1"/>
      <c r="O5882" s="1" t="s">
        <v>30</v>
      </c>
      <c r="P5882" s="1" t="s">
        <v>31</v>
      </c>
      <c r="Q5882" s="1" t="s">
        <v>228</v>
      </c>
      <c r="R5882" s="1" t="s">
        <v>228</v>
      </c>
      <c r="S5882" s="1" t="s">
        <v>229</v>
      </c>
      <c r="T5882" s="1" t="s">
        <v>513</v>
      </c>
      <c r="U5882" s="1">
        <v>1.00602248E8</v>
      </c>
      <c r="X5882" s="1" t="s">
        <v>239</v>
      </c>
      <c r="Y5882" s="1" t="s">
        <v>14932</v>
      </c>
      <c r="Z5882" s="1" t="s">
        <v>37</v>
      </c>
    </row>
    <row r="5883" hidden="1">
      <c r="A5883" s="1" t="s">
        <v>16236</v>
      </c>
      <c r="B5883" s="1" t="s">
        <v>1596</v>
      </c>
      <c r="C5883" s="1" t="s">
        <v>16237</v>
      </c>
      <c r="D5883" s="1" t="s">
        <v>27</v>
      </c>
      <c r="E5883" s="1" t="s">
        <v>28</v>
      </c>
      <c r="F5883" s="2">
        <v>14500.0</v>
      </c>
      <c r="G5883" s="4">
        <v>44568.0</v>
      </c>
      <c r="H5883" s="4">
        <f>IFERROR(__xludf.DUMMYFUNCTION("DATE(INDEX(SPLIT(G5883,""/""),,3),INDEX(SPLIT(G5883,""/""),,2),INDEX(SPLIT(G5883,""/""),,1))"),44743.0)</f>
        <v>44743</v>
      </c>
      <c r="I5883" s="1" t="s">
        <v>1097</v>
      </c>
      <c r="J5883" s="4">
        <f>IFERROR(__xludf.DUMMYFUNCTION("DATE(INDEX(SPLIT(I5883,""/""),,3),INDEX(SPLIT(I5883,""/""),,2),INDEX(SPLIT(I5883,""/""),,1))"),45107.0)</f>
        <v>45107</v>
      </c>
      <c r="L5883" s="1">
        <v>0.0</v>
      </c>
      <c r="M5883" s="1" t="s">
        <v>11254</v>
      </c>
      <c r="N5883" s="1"/>
      <c r="O5883" s="1" t="s">
        <v>30</v>
      </c>
      <c r="P5883" s="1" t="s">
        <v>31</v>
      </c>
      <c r="Q5883" s="1" t="s">
        <v>228</v>
      </c>
      <c r="R5883" s="1" t="s">
        <v>228</v>
      </c>
      <c r="S5883" s="1" t="s">
        <v>229</v>
      </c>
      <c r="T5883" s="1" t="s">
        <v>513</v>
      </c>
      <c r="U5883" s="1">
        <v>1.00602248E8</v>
      </c>
      <c r="X5883" s="1" t="s">
        <v>125</v>
      </c>
      <c r="Y5883" s="1" t="s">
        <v>14932</v>
      </c>
      <c r="Z5883" s="1" t="s">
        <v>37</v>
      </c>
    </row>
    <row r="5884" hidden="1">
      <c r="A5884" s="1" t="s">
        <v>16238</v>
      </c>
      <c r="B5884" s="1" t="s">
        <v>975</v>
      </c>
      <c r="C5884" s="1" t="s">
        <v>16239</v>
      </c>
      <c r="D5884" s="1" t="s">
        <v>27</v>
      </c>
      <c r="E5884" s="1" t="s">
        <v>28</v>
      </c>
      <c r="F5884" s="2">
        <v>14500.0</v>
      </c>
      <c r="G5884" s="1" t="s">
        <v>164</v>
      </c>
      <c r="H5884" s="4">
        <f>IFERROR(__xludf.DUMMYFUNCTION("DATE(INDEX(SPLIT(G5884,""/""),,3),INDEX(SPLIT(G5884,""/""),,2),INDEX(SPLIT(G5884,""/""),,1))"),44706.0)</f>
        <v>44706</v>
      </c>
      <c r="I5884" s="1" t="s">
        <v>360</v>
      </c>
      <c r="J5884" s="4">
        <f>IFERROR(__xludf.DUMMYFUNCTION("DATE(INDEX(SPLIT(I5884,""/""),,3),INDEX(SPLIT(I5884,""/""),,2),INDEX(SPLIT(I5884,""/""),,1))"),44895.0)</f>
        <v>44895</v>
      </c>
      <c r="L5884" s="1">
        <v>0.0</v>
      </c>
      <c r="M5884" s="1" t="s">
        <v>11254</v>
      </c>
      <c r="N5884" s="1"/>
      <c r="O5884" s="1" t="s">
        <v>30</v>
      </c>
      <c r="P5884" s="1" t="s">
        <v>31</v>
      </c>
      <c r="Q5884" s="1" t="s">
        <v>228</v>
      </c>
      <c r="R5884" s="1" t="s">
        <v>228</v>
      </c>
      <c r="S5884" s="1" t="s">
        <v>229</v>
      </c>
      <c r="U5884" s="1">
        <v>1.00602248E8</v>
      </c>
      <c r="X5884" s="1" t="s">
        <v>88</v>
      </c>
      <c r="Y5884" s="1" t="s">
        <v>14932</v>
      </c>
      <c r="Z5884" s="1" t="s">
        <v>37</v>
      </c>
    </row>
    <row r="5885" hidden="1">
      <c r="A5885" s="1" t="s">
        <v>16240</v>
      </c>
      <c r="B5885" s="1" t="s">
        <v>1931</v>
      </c>
      <c r="C5885" s="1" t="s">
        <v>16241</v>
      </c>
      <c r="D5885" s="1" t="s">
        <v>27</v>
      </c>
      <c r="E5885" s="1" t="s">
        <v>28</v>
      </c>
      <c r="F5885" s="2">
        <v>14500.0</v>
      </c>
      <c r="G5885" s="4">
        <v>44568.0</v>
      </c>
      <c r="H5885" s="4">
        <f>IFERROR(__xludf.DUMMYFUNCTION("DATE(INDEX(SPLIT(G5885,""/""),,3),INDEX(SPLIT(G5885,""/""),,2),INDEX(SPLIT(G5885,""/""),,1))"),44743.0)</f>
        <v>44743</v>
      </c>
      <c r="I5885" s="1" t="s">
        <v>1097</v>
      </c>
      <c r="J5885" s="4">
        <f>IFERROR(__xludf.DUMMYFUNCTION("DATE(INDEX(SPLIT(I5885,""/""),,3),INDEX(SPLIT(I5885,""/""),,2),INDEX(SPLIT(I5885,""/""),,1))"),45107.0)</f>
        <v>45107</v>
      </c>
      <c r="L5885" s="1">
        <v>0.0</v>
      </c>
      <c r="M5885" s="1" t="s">
        <v>11254</v>
      </c>
      <c r="N5885" s="1"/>
      <c r="O5885" s="1" t="s">
        <v>30</v>
      </c>
      <c r="P5885" s="1" t="s">
        <v>31</v>
      </c>
      <c r="Q5885" s="1" t="s">
        <v>228</v>
      </c>
      <c r="R5885" s="1" t="s">
        <v>228</v>
      </c>
      <c r="S5885" s="1" t="s">
        <v>229</v>
      </c>
      <c r="T5885" s="1" t="s">
        <v>513</v>
      </c>
      <c r="U5885" s="1">
        <v>1.00602248E8</v>
      </c>
      <c r="X5885" s="1" t="s">
        <v>74</v>
      </c>
      <c r="Y5885" s="1" t="s">
        <v>12640</v>
      </c>
      <c r="Z5885" s="1" t="s">
        <v>37</v>
      </c>
    </row>
    <row r="5886" hidden="1">
      <c r="A5886" s="1" t="s">
        <v>16242</v>
      </c>
      <c r="B5886" s="1" t="s">
        <v>16243</v>
      </c>
      <c r="C5886" s="1" t="s">
        <v>16244</v>
      </c>
      <c r="D5886" s="1" t="s">
        <v>27</v>
      </c>
      <c r="E5886" s="1" t="s">
        <v>28</v>
      </c>
      <c r="F5886" s="2">
        <v>14500.0</v>
      </c>
      <c r="G5886" s="4">
        <v>44568.0</v>
      </c>
      <c r="H5886" s="4">
        <f>IFERROR(__xludf.DUMMYFUNCTION("DATE(INDEX(SPLIT(G5886,""/""),,3),INDEX(SPLIT(G5886,""/""),,2),INDEX(SPLIT(G5886,""/""),,1))"),44743.0)</f>
        <v>44743</v>
      </c>
      <c r="I5886" s="1" t="s">
        <v>1097</v>
      </c>
      <c r="J5886" s="4">
        <f>IFERROR(__xludf.DUMMYFUNCTION("DATE(INDEX(SPLIT(I5886,""/""),,3),INDEX(SPLIT(I5886,""/""),,2),INDEX(SPLIT(I5886,""/""),,1))"),45107.0)</f>
        <v>45107</v>
      </c>
      <c r="L5886" s="1">
        <v>0.0</v>
      </c>
      <c r="M5886" s="1" t="s">
        <v>11254</v>
      </c>
      <c r="N5886" s="1"/>
      <c r="O5886" s="1" t="s">
        <v>30</v>
      </c>
      <c r="P5886" s="1" t="s">
        <v>31</v>
      </c>
      <c r="Q5886" s="1" t="s">
        <v>228</v>
      </c>
      <c r="R5886" s="1" t="s">
        <v>228</v>
      </c>
      <c r="S5886" s="1" t="s">
        <v>229</v>
      </c>
      <c r="T5886" s="1" t="s">
        <v>513</v>
      </c>
      <c r="U5886" s="1">
        <v>1.00602248E8</v>
      </c>
      <c r="Y5886" s="1" t="s">
        <v>12640</v>
      </c>
      <c r="Z5886" s="1" t="s">
        <v>37</v>
      </c>
    </row>
    <row r="5887" hidden="1">
      <c r="A5887" s="1" t="s">
        <v>16245</v>
      </c>
      <c r="B5887" s="1" t="s">
        <v>8562</v>
      </c>
      <c r="C5887" s="1" t="s">
        <v>16246</v>
      </c>
      <c r="D5887" s="1" t="s">
        <v>27</v>
      </c>
      <c r="E5887" s="1" t="s">
        <v>28</v>
      </c>
      <c r="F5887" s="2">
        <v>14500.0</v>
      </c>
      <c r="G5887" s="1" t="s">
        <v>164</v>
      </c>
      <c r="H5887" s="4">
        <f>IFERROR(__xludf.DUMMYFUNCTION("DATE(INDEX(SPLIT(G5887,""/""),,3),INDEX(SPLIT(G5887,""/""),,2),INDEX(SPLIT(G5887,""/""),,1))"),44706.0)</f>
        <v>44706</v>
      </c>
      <c r="I5887" s="1" t="s">
        <v>360</v>
      </c>
      <c r="J5887" s="4">
        <f>IFERROR(__xludf.DUMMYFUNCTION("DATE(INDEX(SPLIT(I5887,""/""),,3),INDEX(SPLIT(I5887,""/""),,2),INDEX(SPLIT(I5887,""/""),,1))"),44895.0)</f>
        <v>44895</v>
      </c>
      <c r="L5887" s="1">
        <v>0.0</v>
      </c>
      <c r="M5887" s="1" t="s">
        <v>11254</v>
      </c>
      <c r="N5887" s="1"/>
      <c r="O5887" s="1" t="s">
        <v>30</v>
      </c>
      <c r="P5887" s="1" t="s">
        <v>31</v>
      </c>
      <c r="Q5887" s="1" t="s">
        <v>228</v>
      </c>
      <c r="R5887" s="1" t="s">
        <v>228</v>
      </c>
      <c r="S5887" s="1" t="s">
        <v>229</v>
      </c>
      <c r="U5887" s="1">
        <v>1.00602248E8</v>
      </c>
      <c r="X5887" s="1" t="s">
        <v>88</v>
      </c>
      <c r="Y5887" s="1" t="s">
        <v>14932</v>
      </c>
      <c r="Z5887" s="1" t="s">
        <v>37</v>
      </c>
    </row>
    <row r="5888" hidden="1">
      <c r="A5888" s="1" t="s">
        <v>16247</v>
      </c>
      <c r="B5888" s="1" t="s">
        <v>16248</v>
      </c>
      <c r="C5888" s="1" t="s">
        <v>16249</v>
      </c>
      <c r="D5888" s="1" t="s">
        <v>27</v>
      </c>
      <c r="E5888" s="1" t="s">
        <v>28</v>
      </c>
      <c r="F5888" s="2">
        <v>14500.0</v>
      </c>
      <c r="G5888" s="4">
        <v>44568.0</v>
      </c>
      <c r="H5888" s="4">
        <f>IFERROR(__xludf.DUMMYFUNCTION("DATE(INDEX(SPLIT(G5888,""/""),,3),INDEX(SPLIT(G5888,""/""),,2),INDEX(SPLIT(G5888,""/""),,1))"),44743.0)</f>
        <v>44743</v>
      </c>
      <c r="I5888" s="1" t="s">
        <v>1097</v>
      </c>
      <c r="J5888" s="4">
        <f>IFERROR(__xludf.DUMMYFUNCTION("DATE(INDEX(SPLIT(I5888,""/""),,3),INDEX(SPLIT(I5888,""/""),,2),INDEX(SPLIT(I5888,""/""),,1))"),45107.0)</f>
        <v>45107</v>
      </c>
      <c r="L5888" s="1">
        <v>0.0</v>
      </c>
      <c r="M5888" s="1" t="s">
        <v>11254</v>
      </c>
      <c r="N5888" s="1"/>
      <c r="O5888" s="1" t="s">
        <v>30</v>
      </c>
      <c r="P5888" s="1" t="s">
        <v>31</v>
      </c>
      <c r="Q5888" s="1" t="s">
        <v>228</v>
      </c>
      <c r="R5888" s="1" t="s">
        <v>228</v>
      </c>
      <c r="S5888" s="1" t="s">
        <v>229</v>
      </c>
      <c r="T5888" s="1" t="s">
        <v>513</v>
      </c>
      <c r="U5888" s="1">
        <v>1.00602248E8</v>
      </c>
      <c r="X5888" s="1" t="s">
        <v>88</v>
      </c>
      <c r="Y5888" s="1" t="s">
        <v>12640</v>
      </c>
      <c r="Z5888" s="1" t="s">
        <v>37</v>
      </c>
    </row>
    <row r="5889" hidden="1">
      <c r="A5889" s="1" t="s">
        <v>16250</v>
      </c>
      <c r="B5889" s="1" t="s">
        <v>3364</v>
      </c>
      <c r="C5889" s="1" t="s">
        <v>16251</v>
      </c>
      <c r="D5889" s="1" t="s">
        <v>27</v>
      </c>
      <c r="E5889" s="1" t="s">
        <v>28</v>
      </c>
      <c r="F5889" s="2">
        <v>14500.0</v>
      </c>
      <c r="G5889" s="4">
        <v>44568.0</v>
      </c>
      <c r="H5889" s="4">
        <f>IFERROR(__xludf.DUMMYFUNCTION("DATE(INDEX(SPLIT(G5889,""/""),,3),INDEX(SPLIT(G5889,""/""),,2),INDEX(SPLIT(G5889,""/""),,1))"),44743.0)</f>
        <v>44743</v>
      </c>
      <c r="I5889" s="1" t="s">
        <v>1097</v>
      </c>
      <c r="J5889" s="4">
        <f>IFERROR(__xludf.DUMMYFUNCTION("DATE(INDEX(SPLIT(I5889,""/""),,3),INDEX(SPLIT(I5889,""/""),,2),INDEX(SPLIT(I5889,""/""),,1))"),45107.0)</f>
        <v>45107</v>
      </c>
      <c r="L5889" s="1">
        <v>0.0</v>
      </c>
      <c r="M5889" s="1" t="s">
        <v>12039</v>
      </c>
      <c r="N5889" s="1"/>
      <c r="O5889" s="1" t="s">
        <v>30</v>
      </c>
      <c r="P5889" s="1" t="s">
        <v>31</v>
      </c>
      <c r="Q5889" s="1" t="s">
        <v>228</v>
      </c>
      <c r="R5889" s="1" t="s">
        <v>228</v>
      </c>
      <c r="S5889" s="1" t="s">
        <v>229</v>
      </c>
      <c r="U5889" s="1">
        <v>1.00612509E8</v>
      </c>
      <c r="X5889" s="1" t="s">
        <v>74</v>
      </c>
      <c r="Y5889" s="1" t="s">
        <v>12640</v>
      </c>
      <c r="Z5889" s="1" t="s">
        <v>37</v>
      </c>
    </row>
    <row r="5890" hidden="1">
      <c r="A5890" s="1" t="s">
        <v>16252</v>
      </c>
      <c r="B5890" s="1" t="s">
        <v>16253</v>
      </c>
      <c r="C5890" s="1" t="s">
        <v>16254</v>
      </c>
      <c r="D5890" s="1" t="s">
        <v>27</v>
      </c>
      <c r="E5890" s="1" t="s">
        <v>28</v>
      </c>
      <c r="F5890" s="2">
        <v>14500.0</v>
      </c>
      <c r="G5890" s="1" t="s">
        <v>4985</v>
      </c>
      <c r="H5890" s="4">
        <f>IFERROR(__xludf.DUMMYFUNCTION("DATE(INDEX(SPLIT(G5890,""/""),,3),INDEX(SPLIT(G5890,""/""),,2),INDEX(SPLIT(G5890,""/""),,1))"),44273.0)</f>
        <v>44273</v>
      </c>
      <c r="I5890" s="1" t="s">
        <v>42</v>
      </c>
      <c r="J5890" s="4">
        <f>IFERROR(__xludf.DUMMYFUNCTION("DATE(INDEX(SPLIT(I5890,""/""),,3),INDEX(SPLIT(I5890,""/""),,2),INDEX(SPLIT(I5890,""/""),,1))"),44926.0)</f>
        <v>44926</v>
      </c>
      <c r="L5890" s="1">
        <v>0.0</v>
      </c>
      <c r="M5890" s="1" t="s">
        <v>11254</v>
      </c>
      <c r="N5890" s="1"/>
      <c r="O5890" s="1" t="s">
        <v>30</v>
      </c>
      <c r="P5890" s="1" t="s">
        <v>31</v>
      </c>
      <c r="Q5890" s="1" t="s">
        <v>228</v>
      </c>
      <c r="R5890" s="1" t="s">
        <v>228</v>
      </c>
      <c r="S5890" s="1" t="s">
        <v>229</v>
      </c>
      <c r="T5890" s="1" t="s">
        <v>513</v>
      </c>
      <c r="U5890" s="1">
        <v>1.00602248E8</v>
      </c>
      <c r="X5890" s="1" t="s">
        <v>81</v>
      </c>
      <c r="Y5890" s="1" t="s">
        <v>13638</v>
      </c>
      <c r="Z5890" s="1" t="s">
        <v>37</v>
      </c>
    </row>
    <row r="5891" hidden="1">
      <c r="A5891" s="1" t="s">
        <v>16255</v>
      </c>
      <c r="B5891" s="1" t="s">
        <v>2257</v>
      </c>
      <c r="C5891" s="1" t="s">
        <v>16256</v>
      </c>
      <c r="D5891" s="1" t="s">
        <v>27</v>
      </c>
      <c r="E5891" s="1" t="s">
        <v>28</v>
      </c>
      <c r="F5891" s="2">
        <v>14500.0</v>
      </c>
      <c r="G5891" s="4">
        <v>44568.0</v>
      </c>
      <c r="H5891" s="4">
        <f>IFERROR(__xludf.DUMMYFUNCTION("DATE(INDEX(SPLIT(G5891,""/""),,3),INDEX(SPLIT(G5891,""/""),,2),INDEX(SPLIT(G5891,""/""),,1))"),44743.0)</f>
        <v>44743</v>
      </c>
      <c r="I5891" s="1" t="s">
        <v>1097</v>
      </c>
      <c r="J5891" s="4">
        <f>IFERROR(__xludf.DUMMYFUNCTION("DATE(INDEX(SPLIT(I5891,""/""),,3),INDEX(SPLIT(I5891,""/""),,2),INDEX(SPLIT(I5891,""/""),,1))"),45107.0)</f>
        <v>45107</v>
      </c>
      <c r="L5891" s="1">
        <v>0.0</v>
      </c>
      <c r="M5891" s="1" t="s">
        <v>11254</v>
      </c>
      <c r="N5891" s="1"/>
      <c r="O5891" s="1" t="s">
        <v>30</v>
      </c>
      <c r="P5891" s="1" t="s">
        <v>31</v>
      </c>
      <c r="Q5891" s="1" t="s">
        <v>228</v>
      </c>
      <c r="R5891" s="1" t="s">
        <v>228</v>
      </c>
      <c r="S5891" s="1" t="s">
        <v>229</v>
      </c>
      <c r="T5891" s="1" t="s">
        <v>513</v>
      </c>
      <c r="U5891" s="1">
        <v>1.00602248E8</v>
      </c>
      <c r="X5891" s="1" t="s">
        <v>88</v>
      </c>
      <c r="Y5891" s="1" t="s">
        <v>12640</v>
      </c>
      <c r="Z5891" s="1" t="s">
        <v>37</v>
      </c>
    </row>
    <row r="5892" hidden="1">
      <c r="A5892" s="1" t="s">
        <v>16257</v>
      </c>
      <c r="B5892" s="1" t="s">
        <v>16258</v>
      </c>
      <c r="C5892" s="1" t="s">
        <v>16259</v>
      </c>
      <c r="D5892" s="1" t="s">
        <v>27</v>
      </c>
      <c r="E5892" s="1" t="s">
        <v>28</v>
      </c>
      <c r="F5892" s="2">
        <v>14500.0</v>
      </c>
      <c r="G5892" s="4">
        <v>44568.0</v>
      </c>
      <c r="H5892" s="4">
        <f>IFERROR(__xludf.DUMMYFUNCTION("DATE(INDEX(SPLIT(G5892,""/""),,3),INDEX(SPLIT(G5892,""/""),,2),INDEX(SPLIT(G5892,""/""),,1))"),44743.0)</f>
        <v>44743</v>
      </c>
      <c r="I5892" s="1" t="s">
        <v>1097</v>
      </c>
      <c r="J5892" s="4">
        <f>IFERROR(__xludf.DUMMYFUNCTION("DATE(INDEX(SPLIT(I5892,""/""),,3),INDEX(SPLIT(I5892,""/""),,2),INDEX(SPLIT(I5892,""/""),,1))"),45107.0)</f>
        <v>45107</v>
      </c>
      <c r="L5892" s="1">
        <v>0.0</v>
      </c>
      <c r="M5892" s="1" t="s">
        <v>11254</v>
      </c>
      <c r="N5892" s="1"/>
      <c r="O5892" s="1" t="s">
        <v>30</v>
      </c>
      <c r="P5892" s="1" t="s">
        <v>31</v>
      </c>
      <c r="Q5892" s="1" t="s">
        <v>228</v>
      </c>
      <c r="R5892" s="1" t="s">
        <v>228</v>
      </c>
      <c r="S5892" s="1" t="s">
        <v>229</v>
      </c>
      <c r="T5892" s="1" t="s">
        <v>513</v>
      </c>
      <c r="U5892" s="1">
        <v>1.00602248E8</v>
      </c>
      <c r="X5892" s="1" t="s">
        <v>239</v>
      </c>
      <c r="Y5892" s="1" t="s">
        <v>12640</v>
      </c>
      <c r="Z5892" s="1" t="s">
        <v>37</v>
      </c>
    </row>
    <row r="5893" hidden="1">
      <c r="A5893" s="1" t="s">
        <v>16260</v>
      </c>
      <c r="B5893" s="1" t="s">
        <v>16261</v>
      </c>
      <c r="C5893" s="1" t="s">
        <v>16262</v>
      </c>
      <c r="D5893" s="1" t="s">
        <v>27</v>
      </c>
      <c r="E5893" s="1" t="s">
        <v>28</v>
      </c>
      <c r="F5893" s="2">
        <v>14500.0</v>
      </c>
      <c r="G5893" s="4">
        <v>44568.0</v>
      </c>
      <c r="H5893" s="4">
        <f>IFERROR(__xludf.DUMMYFUNCTION("DATE(INDEX(SPLIT(G5893,""/""),,3),INDEX(SPLIT(G5893,""/""),,2),INDEX(SPLIT(G5893,""/""),,1))"),44743.0)</f>
        <v>44743</v>
      </c>
      <c r="I5893" s="1" t="s">
        <v>1097</v>
      </c>
      <c r="J5893" s="4">
        <f>IFERROR(__xludf.DUMMYFUNCTION("DATE(INDEX(SPLIT(I5893,""/""),,3),INDEX(SPLIT(I5893,""/""),,2),INDEX(SPLIT(I5893,""/""),,1))"),45107.0)</f>
        <v>45107</v>
      </c>
      <c r="L5893" s="1">
        <v>0.0</v>
      </c>
      <c r="M5893" s="1" t="s">
        <v>11254</v>
      </c>
      <c r="N5893" s="1"/>
      <c r="O5893" s="1" t="s">
        <v>30</v>
      </c>
      <c r="P5893" s="1" t="s">
        <v>31</v>
      </c>
      <c r="Q5893" s="1" t="s">
        <v>228</v>
      </c>
      <c r="R5893" s="1" t="s">
        <v>228</v>
      </c>
      <c r="S5893" s="1" t="s">
        <v>229</v>
      </c>
      <c r="T5893" s="1" t="s">
        <v>513</v>
      </c>
      <c r="U5893" s="1">
        <v>1.00602248E8</v>
      </c>
      <c r="X5893" s="1" t="s">
        <v>88</v>
      </c>
      <c r="Y5893" s="1" t="s">
        <v>12640</v>
      </c>
      <c r="Z5893" s="1" t="s">
        <v>37</v>
      </c>
    </row>
    <row r="5894" hidden="1">
      <c r="A5894" s="1" t="s">
        <v>16263</v>
      </c>
      <c r="B5894" s="1" t="s">
        <v>16264</v>
      </c>
      <c r="C5894" s="1" t="s">
        <v>16265</v>
      </c>
      <c r="D5894" s="1" t="s">
        <v>27</v>
      </c>
      <c r="E5894" s="1" t="s">
        <v>28</v>
      </c>
      <c r="F5894" s="2">
        <v>14500.0</v>
      </c>
      <c r="G5894" s="1" t="s">
        <v>280</v>
      </c>
      <c r="H5894" s="4">
        <f>IFERROR(__xludf.DUMMYFUNCTION("DATE(INDEX(SPLIT(G5894,""/""),,3),INDEX(SPLIT(G5894,""/""),,2),INDEX(SPLIT(G5894,""/""),,1))"),44613.0)</f>
        <v>44613</v>
      </c>
      <c r="I5894" s="1" t="s">
        <v>203</v>
      </c>
      <c r="J5894" s="4">
        <f>IFERROR(__xludf.DUMMYFUNCTION("DATE(INDEX(SPLIT(I5894,""/""),,3),INDEX(SPLIT(I5894,""/""),,2),INDEX(SPLIT(I5894,""/""),,1))"),44925.0)</f>
        <v>44925</v>
      </c>
      <c r="L5894" s="1">
        <v>0.0</v>
      </c>
      <c r="M5894" s="1" t="s">
        <v>11254</v>
      </c>
      <c r="N5894" s="1"/>
      <c r="O5894" s="1" t="s">
        <v>30</v>
      </c>
      <c r="P5894" s="1" t="s">
        <v>31</v>
      </c>
      <c r="Q5894" s="1" t="s">
        <v>228</v>
      </c>
      <c r="R5894" s="1" t="s">
        <v>228</v>
      </c>
      <c r="S5894" s="1" t="s">
        <v>229</v>
      </c>
      <c r="T5894" s="1" t="s">
        <v>513</v>
      </c>
      <c r="U5894" s="1">
        <v>1.00602248E8</v>
      </c>
      <c r="X5894" s="1" t="s">
        <v>117</v>
      </c>
      <c r="Y5894" s="1" t="s">
        <v>13638</v>
      </c>
      <c r="Z5894" s="1" t="s">
        <v>37</v>
      </c>
    </row>
    <row r="5895" hidden="1">
      <c r="A5895" s="1" t="s">
        <v>16266</v>
      </c>
      <c r="B5895" s="1" t="s">
        <v>5574</v>
      </c>
      <c r="C5895" s="1" t="s">
        <v>16267</v>
      </c>
      <c r="D5895" s="1" t="s">
        <v>27</v>
      </c>
      <c r="E5895" s="1" t="s">
        <v>28</v>
      </c>
      <c r="F5895" s="2">
        <v>14500.0</v>
      </c>
      <c r="G5895" s="4">
        <v>44568.0</v>
      </c>
      <c r="H5895" s="4">
        <f>IFERROR(__xludf.DUMMYFUNCTION("DATE(INDEX(SPLIT(G5895,""/""),,3),INDEX(SPLIT(G5895,""/""),,2),INDEX(SPLIT(G5895,""/""),,1))"),44743.0)</f>
        <v>44743</v>
      </c>
      <c r="I5895" s="1" t="s">
        <v>1097</v>
      </c>
      <c r="J5895" s="4">
        <f>IFERROR(__xludf.DUMMYFUNCTION("DATE(INDEX(SPLIT(I5895,""/""),,3),INDEX(SPLIT(I5895,""/""),,2),INDEX(SPLIT(I5895,""/""),,1))"),45107.0)</f>
        <v>45107</v>
      </c>
      <c r="L5895" s="1">
        <v>0.0</v>
      </c>
      <c r="M5895" s="1" t="s">
        <v>11254</v>
      </c>
      <c r="N5895" s="1"/>
      <c r="O5895" s="1" t="s">
        <v>30</v>
      </c>
      <c r="P5895" s="1" t="s">
        <v>31</v>
      </c>
      <c r="Q5895" s="1" t="s">
        <v>228</v>
      </c>
      <c r="R5895" s="1" t="s">
        <v>228</v>
      </c>
      <c r="S5895" s="1" t="s">
        <v>229</v>
      </c>
      <c r="T5895" s="1" t="s">
        <v>513</v>
      </c>
      <c r="U5895" s="1">
        <v>1.00602248E8</v>
      </c>
      <c r="X5895" s="1" t="s">
        <v>74</v>
      </c>
      <c r="Y5895" s="1" t="s">
        <v>12640</v>
      </c>
      <c r="Z5895" s="1" t="s">
        <v>37</v>
      </c>
    </row>
    <row r="5896" hidden="1">
      <c r="A5896" s="1" t="s">
        <v>16268</v>
      </c>
      <c r="B5896" s="1" t="s">
        <v>16269</v>
      </c>
      <c r="C5896" s="1" t="s">
        <v>16270</v>
      </c>
      <c r="D5896" s="1" t="s">
        <v>78</v>
      </c>
      <c r="E5896" s="1" t="s">
        <v>28</v>
      </c>
      <c r="F5896" s="2">
        <v>14500.0</v>
      </c>
      <c r="G5896" s="4">
        <v>44540.0</v>
      </c>
      <c r="H5896" s="4">
        <f>IFERROR(__xludf.DUMMYFUNCTION("DATE(INDEX(SPLIT(G5896,""/""),,3),INDEX(SPLIT(G5896,""/""),,2),INDEX(SPLIT(G5896,""/""),,1))"),44481.0)</f>
        <v>44481</v>
      </c>
      <c r="I5896" s="1" t="s">
        <v>109</v>
      </c>
      <c r="J5896" s="4">
        <f>IFERROR(__xludf.DUMMYFUNCTION("DATE(INDEX(SPLIT(I5896,""/""),,3),INDEX(SPLIT(I5896,""/""),,2),INDEX(SPLIT(I5896,""/""),,1))"),44834.0)</f>
        <v>44834</v>
      </c>
      <c r="L5896" s="1">
        <v>0.0</v>
      </c>
      <c r="M5896" s="1" t="s">
        <v>11254</v>
      </c>
      <c r="N5896" s="1"/>
      <c r="O5896" s="1" t="s">
        <v>30</v>
      </c>
      <c r="P5896" s="1" t="s">
        <v>31</v>
      </c>
      <c r="Q5896" s="1" t="s">
        <v>228</v>
      </c>
      <c r="R5896" s="1" t="s">
        <v>228</v>
      </c>
      <c r="S5896" s="1" t="s">
        <v>229</v>
      </c>
      <c r="T5896" s="1" t="s">
        <v>513</v>
      </c>
      <c r="U5896" s="1">
        <v>1.00602248E8</v>
      </c>
      <c r="X5896" s="1" t="s">
        <v>63</v>
      </c>
      <c r="Y5896" s="1" t="s">
        <v>12637</v>
      </c>
      <c r="Z5896" s="1" t="s">
        <v>37</v>
      </c>
    </row>
    <row r="5897" hidden="1">
      <c r="A5897" s="1" t="s">
        <v>16271</v>
      </c>
      <c r="B5897" s="1" t="s">
        <v>16272</v>
      </c>
      <c r="C5897" s="1" t="s">
        <v>16273</v>
      </c>
      <c r="D5897" s="1" t="s">
        <v>78</v>
      </c>
      <c r="E5897" s="1" t="s">
        <v>28</v>
      </c>
      <c r="F5897" s="2">
        <v>14500.0</v>
      </c>
      <c r="G5897" s="1" t="s">
        <v>343</v>
      </c>
      <c r="H5897" s="4">
        <f>IFERROR(__xludf.DUMMYFUNCTION("DATE(INDEX(SPLIT(G5897,""/""),,3),INDEX(SPLIT(G5897,""/""),,2),INDEX(SPLIT(G5897,""/""),,1))"),44761.0)</f>
        <v>44761</v>
      </c>
      <c r="I5897" s="1" t="s">
        <v>42</v>
      </c>
      <c r="J5897" s="4">
        <f>IFERROR(__xludf.DUMMYFUNCTION("DATE(INDEX(SPLIT(I5897,""/""),,3),INDEX(SPLIT(I5897,""/""),,2),INDEX(SPLIT(I5897,""/""),,1))"),44926.0)</f>
        <v>44926</v>
      </c>
      <c r="L5897" s="1">
        <v>0.0</v>
      </c>
      <c r="M5897" s="1" t="s">
        <v>11254</v>
      </c>
      <c r="N5897" s="1"/>
      <c r="O5897" s="1" t="s">
        <v>30</v>
      </c>
      <c r="P5897" s="1" t="s">
        <v>31</v>
      </c>
      <c r="Q5897" s="1" t="s">
        <v>228</v>
      </c>
      <c r="R5897" s="1" t="s">
        <v>228</v>
      </c>
      <c r="S5897" s="1" t="s">
        <v>229</v>
      </c>
      <c r="T5897" s="1" t="s">
        <v>14924</v>
      </c>
      <c r="U5897" s="1">
        <v>1.00602248E8</v>
      </c>
      <c r="X5897" s="1" t="s">
        <v>46</v>
      </c>
      <c r="Y5897" s="1" t="s">
        <v>12640</v>
      </c>
      <c r="Z5897" s="1" t="s">
        <v>37</v>
      </c>
    </row>
    <row r="5898" hidden="1">
      <c r="A5898" s="1" t="s">
        <v>16274</v>
      </c>
      <c r="B5898" s="1" t="s">
        <v>16275</v>
      </c>
      <c r="C5898" s="1" t="s">
        <v>16276</v>
      </c>
      <c r="D5898" s="1" t="s">
        <v>27</v>
      </c>
      <c r="E5898" s="1" t="s">
        <v>28</v>
      </c>
      <c r="F5898" s="2">
        <v>14500.0</v>
      </c>
      <c r="G5898" s="4">
        <v>44568.0</v>
      </c>
      <c r="H5898" s="4">
        <f>IFERROR(__xludf.DUMMYFUNCTION("DATE(INDEX(SPLIT(G5898,""/""),,3),INDEX(SPLIT(G5898,""/""),,2),INDEX(SPLIT(G5898,""/""),,1))"),44743.0)</f>
        <v>44743</v>
      </c>
      <c r="I5898" s="1" t="s">
        <v>1097</v>
      </c>
      <c r="J5898" s="4">
        <f>IFERROR(__xludf.DUMMYFUNCTION("DATE(INDEX(SPLIT(I5898,""/""),,3),INDEX(SPLIT(I5898,""/""),,2),INDEX(SPLIT(I5898,""/""),,1))"),45107.0)</f>
        <v>45107</v>
      </c>
      <c r="L5898" s="1">
        <v>0.0</v>
      </c>
      <c r="M5898" s="1" t="s">
        <v>11254</v>
      </c>
      <c r="N5898" s="1"/>
      <c r="O5898" s="1" t="s">
        <v>30</v>
      </c>
      <c r="P5898" s="1" t="s">
        <v>31</v>
      </c>
      <c r="Q5898" s="1" t="s">
        <v>228</v>
      </c>
      <c r="R5898" s="1" t="s">
        <v>228</v>
      </c>
      <c r="S5898" s="1" t="s">
        <v>229</v>
      </c>
      <c r="T5898" s="1" t="s">
        <v>513</v>
      </c>
      <c r="U5898" s="1">
        <v>1.00602248E8</v>
      </c>
      <c r="X5898" s="1" t="s">
        <v>63</v>
      </c>
      <c r="Y5898" s="1" t="s">
        <v>12640</v>
      </c>
      <c r="Z5898" s="1" t="s">
        <v>37</v>
      </c>
    </row>
    <row r="5899" hidden="1">
      <c r="A5899" s="1" t="s">
        <v>16277</v>
      </c>
      <c r="B5899" s="1" t="s">
        <v>16278</v>
      </c>
      <c r="C5899" s="1" t="s">
        <v>16279</v>
      </c>
      <c r="D5899" s="1" t="s">
        <v>27</v>
      </c>
      <c r="E5899" s="1" t="s">
        <v>28</v>
      </c>
      <c r="F5899" s="2">
        <v>14500.0</v>
      </c>
      <c r="G5899" s="1" t="s">
        <v>779</v>
      </c>
      <c r="H5899" s="4">
        <f>IFERROR(__xludf.DUMMYFUNCTION("DATE(INDEX(SPLIT(G5899,""/""),,3),INDEX(SPLIT(G5899,""/""),,2),INDEX(SPLIT(G5899,""/""),,1))"),44734.0)</f>
        <v>44734</v>
      </c>
      <c r="I5899" s="1" t="s">
        <v>1097</v>
      </c>
      <c r="J5899" s="4">
        <f>IFERROR(__xludf.DUMMYFUNCTION("DATE(INDEX(SPLIT(I5899,""/""),,3),INDEX(SPLIT(I5899,""/""),,2),INDEX(SPLIT(I5899,""/""),,1))"),45107.0)</f>
        <v>45107</v>
      </c>
      <c r="L5899" s="1">
        <v>0.0</v>
      </c>
      <c r="M5899" s="1" t="s">
        <v>11254</v>
      </c>
      <c r="N5899" s="1"/>
      <c r="O5899" s="1" t="s">
        <v>30</v>
      </c>
      <c r="P5899" s="1" t="s">
        <v>31</v>
      </c>
      <c r="Q5899" s="1" t="s">
        <v>228</v>
      </c>
      <c r="R5899" s="1" t="s">
        <v>228</v>
      </c>
      <c r="S5899" s="1" t="s">
        <v>229</v>
      </c>
      <c r="T5899" s="1" t="s">
        <v>513</v>
      </c>
      <c r="U5899" s="1">
        <v>1.00602248E8</v>
      </c>
      <c r="X5899" s="1" t="s">
        <v>35</v>
      </c>
      <c r="Y5899" s="1" t="s">
        <v>13944</v>
      </c>
      <c r="Z5899" s="1" t="s">
        <v>37</v>
      </c>
    </row>
    <row r="5900" hidden="1">
      <c r="A5900" s="1" t="s">
        <v>16280</v>
      </c>
      <c r="B5900" s="1" t="s">
        <v>12353</v>
      </c>
      <c r="C5900" s="1" t="s">
        <v>16281</v>
      </c>
      <c r="D5900" s="1" t="s">
        <v>27</v>
      </c>
      <c r="E5900" s="1" t="s">
        <v>28</v>
      </c>
      <c r="F5900" s="2">
        <v>14500.0</v>
      </c>
      <c r="G5900" s="1" t="s">
        <v>3934</v>
      </c>
      <c r="H5900" s="4">
        <f>IFERROR(__xludf.DUMMYFUNCTION("DATE(INDEX(SPLIT(G5900,""/""),,3),INDEX(SPLIT(G5900,""/""),,2),INDEX(SPLIT(G5900,""/""),,1))"),44428.0)</f>
        <v>44428</v>
      </c>
      <c r="I5900" s="1" t="s">
        <v>42</v>
      </c>
      <c r="J5900" s="4">
        <f>IFERROR(__xludf.DUMMYFUNCTION("DATE(INDEX(SPLIT(I5900,""/""),,3),INDEX(SPLIT(I5900,""/""),,2),INDEX(SPLIT(I5900,""/""),,1))"),44926.0)</f>
        <v>44926</v>
      </c>
      <c r="L5900" s="1">
        <v>0.0</v>
      </c>
      <c r="M5900" s="1" t="s">
        <v>11254</v>
      </c>
      <c r="N5900" s="1"/>
      <c r="O5900" s="1" t="s">
        <v>30</v>
      </c>
      <c r="P5900" s="1" t="s">
        <v>31</v>
      </c>
      <c r="Q5900" s="1" t="s">
        <v>228</v>
      </c>
      <c r="R5900" s="1" t="s">
        <v>228</v>
      </c>
      <c r="S5900" s="1" t="s">
        <v>229</v>
      </c>
      <c r="T5900" s="1" t="s">
        <v>513</v>
      </c>
      <c r="U5900" s="1">
        <v>1.00602248E8</v>
      </c>
      <c r="X5900" s="1" t="s">
        <v>125</v>
      </c>
      <c r="Y5900" s="1" t="s">
        <v>13638</v>
      </c>
      <c r="Z5900" s="1" t="s">
        <v>37</v>
      </c>
    </row>
    <row r="5901" hidden="1">
      <c r="A5901" s="1" t="s">
        <v>16282</v>
      </c>
      <c r="B5901" s="1" t="s">
        <v>16283</v>
      </c>
      <c r="C5901" s="1" t="s">
        <v>16284</v>
      </c>
      <c r="D5901" s="1" t="s">
        <v>27</v>
      </c>
      <c r="E5901" s="1" t="s">
        <v>28</v>
      </c>
      <c r="F5901" s="2">
        <v>14500.0</v>
      </c>
      <c r="G5901" s="1" t="s">
        <v>123</v>
      </c>
      <c r="H5901" s="4">
        <f>IFERROR(__xludf.DUMMYFUNCTION("DATE(INDEX(SPLIT(G5901,""/""),,3),INDEX(SPLIT(G5901,""/""),,2),INDEX(SPLIT(G5901,""/""),,1))"),44368.0)</f>
        <v>44368</v>
      </c>
      <c r="I5901" s="1" t="s">
        <v>42</v>
      </c>
      <c r="J5901" s="4">
        <f>IFERROR(__xludf.DUMMYFUNCTION("DATE(INDEX(SPLIT(I5901,""/""),,3),INDEX(SPLIT(I5901,""/""),,2),INDEX(SPLIT(I5901,""/""),,1))"),44926.0)</f>
        <v>44926</v>
      </c>
      <c r="L5901" s="1">
        <v>0.0</v>
      </c>
      <c r="M5901" s="1" t="s">
        <v>11254</v>
      </c>
      <c r="N5901" s="1"/>
      <c r="O5901" s="1" t="s">
        <v>30</v>
      </c>
      <c r="P5901" s="1" t="s">
        <v>31</v>
      </c>
      <c r="Q5901" s="1" t="s">
        <v>228</v>
      </c>
      <c r="R5901" s="1" t="s">
        <v>228</v>
      </c>
      <c r="S5901" s="1" t="s">
        <v>229</v>
      </c>
      <c r="T5901" s="1" t="s">
        <v>513</v>
      </c>
      <c r="U5901" s="1">
        <v>1.00602248E8</v>
      </c>
      <c r="X5901" s="1" t="s">
        <v>88</v>
      </c>
      <c r="Y5901" s="1" t="s">
        <v>13638</v>
      </c>
      <c r="Z5901" s="1" t="s">
        <v>37</v>
      </c>
    </row>
    <row r="5902" hidden="1">
      <c r="A5902" s="1" t="s">
        <v>16285</v>
      </c>
      <c r="B5902" s="1" t="s">
        <v>16286</v>
      </c>
      <c r="C5902" s="1" t="s">
        <v>16287</v>
      </c>
      <c r="D5902" s="1" t="s">
        <v>27</v>
      </c>
      <c r="E5902" s="1" t="s">
        <v>28</v>
      </c>
      <c r="F5902" s="2">
        <v>14500.0</v>
      </c>
      <c r="G5902" s="4">
        <v>44565.0</v>
      </c>
      <c r="H5902" s="4">
        <f>IFERROR(__xludf.DUMMYFUNCTION("DATE(INDEX(SPLIT(G5902,""/""),,3),INDEX(SPLIT(G5902,""/""),,2),INDEX(SPLIT(G5902,""/""),,1))"),44652.0)</f>
        <v>44652</v>
      </c>
      <c r="I5902" s="1" t="s">
        <v>42</v>
      </c>
      <c r="J5902" s="4">
        <f>IFERROR(__xludf.DUMMYFUNCTION("DATE(INDEX(SPLIT(I5902,""/""),,3),INDEX(SPLIT(I5902,""/""),,2),INDEX(SPLIT(I5902,""/""),,1))"),44926.0)</f>
        <v>44926</v>
      </c>
      <c r="L5902" s="1">
        <v>0.0</v>
      </c>
      <c r="M5902" s="1" t="s">
        <v>11254</v>
      </c>
      <c r="N5902" s="1"/>
      <c r="O5902" s="1" t="s">
        <v>30</v>
      </c>
      <c r="P5902" s="1" t="s">
        <v>31</v>
      </c>
      <c r="Q5902" s="1" t="s">
        <v>228</v>
      </c>
      <c r="R5902" s="1" t="s">
        <v>228</v>
      </c>
      <c r="S5902" s="1" t="s">
        <v>229</v>
      </c>
      <c r="T5902" s="1" t="s">
        <v>513</v>
      </c>
      <c r="U5902" s="1">
        <v>1.00602248E8</v>
      </c>
      <c r="X5902" s="1" t="s">
        <v>490</v>
      </c>
      <c r="Y5902" s="1" t="s">
        <v>12640</v>
      </c>
      <c r="Z5902" s="1" t="s">
        <v>37</v>
      </c>
    </row>
    <row r="5903" hidden="1">
      <c r="A5903" s="1" t="s">
        <v>16288</v>
      </c>
      <c r="B5903" s="1" t="s">
        <v>16289</v>
      </c>
      <c r="C5903" s="1" t="s">
        <v>16290</v>
      </c>
      <c r="D5903" s="1" t="s">
        <v>27</v>
      </c>
      <c r="E5903" s="1" t="s">
        <v>28</v>
      </c>
      <c r="F5903" s="2">
        <v>14500.0</v>
      </c>
      <c r="G5903" s="1" t="s">
        <v>2324</v>
      </c>
      <c r="H5903" s="4">
        <f>IFERROR(__xludf.DUMMYFUNCTION("DATE(INDEX(SPLIT(G5903,""/""),,3),INDEX(SPLIT(G5903,""/""),,2),INDEX(SPLIT(G5903,""/""),,1))"),44705.0)</f>
        <v>44705</v>
      </c>
      <c r="I5903" s="1" t="s">
        <v>203</v>
      </c>
      <c r="J5903" s="4">
        <f>IFERROR(__xludf.DUMMYFUNCTION("DATE(INDEX(SPLIT(I5903,""/""),,3),INDEX(SPLIT(I5903,""/""),,2),INDEX(SPLIT(I5903,""/""),,1))"),44925.0)</f>
        <v>44925</v>
      </c>
      <c r="L5903" s="1">
        <v>0.0</v>
      </c>
      <c r="M5903" s="1" t="s">
        <v>11254</v>
      </c>
      <c r="N5903" s="1"/>
      <c r="O5903" s="1" t="s">
        <v>30</v>
      </c>
      <c r="P5903" s="1" t="s">
        <v>31</v>
      </c>
      <c r="Q5903" s="1" t="s">
        <v>228</v>
      </c>
      <c r="R5903" s="1" t="s">
        <v>228</v>
      </c>
      <c r="S5903" s="1" t="s">
        <v>229</v>
      </c>
      <c r="U5903" s="1">
        <v>1.00602248E8</v>
      </c>
      <c r="X5903" s="1" t="s">
        <v>88</v>
      </c>
      <c r="Y5903" s="1" t="s">
        <v>11387</v>
      </c>
      <c r="Z5903" s="1" t="s">
        <v>37</v>
      </c>
    </row>
    <row r="5904" hidden="1">
      <c r="A5904" s="1" t="s">
        <v>16291</v>
      </c>
      <c r="B5904" s="1" t="s">
        <v>16292</v>
      </c>
      <c r="C5904" s="1" t="s">
        <v>16293</v>
      </c>
      <c r="D5904" s="1" t="s">
        <v>27</v>
      </c>
      <c r="E5904" s="1" t="s">
        <v>28</v>
      </c>
      <c r="F5904" s="2">
        <v>14500.0</v>
      </c>
      <c r="G5904" s="1" t="s">
        <v>2324</v>
      </c>
      <c r="H5904" s="4">
        <f>IFERROR(__xludf.DUMMYFUNCTION("DATE(INDEX(SPLIT(G5904,""/""),,3),INDEX(SPLIT(G5904,""/""),,2),INDEX(SPLIT(G5904,""/""),,1))"),44705.0)</f>
        <v>44705</v>
      </c>
      <c r="I5904" s="1" t="s">
        <v>203</v>
      </c>
      <c r="J5904" s="4">
        <f>IFERROR(__xludf.DUMMYFUNCTION("DATE(INDEX(SPLIT(I5904,""/""),,3),INDEX(SPLIT(I5904,""/""),,2),INDEX(SPLIT(I5904,""/""),,1))"),44925.0)</f>
        <v>44925</v>
      </c>
      <c r="L5904" s="1">
        <v>0.0</v>
      </c>
      <c r="M5904" s="1" t="s">
        <v>11254</v>
      </c>
      <c r="N5904" s="1"/>
      <c r="O5904" s="1" t="s">
        <v>30</v>
      </c>
      <c r="P5904" s="1" t="s">
        <v>31</v>
      </c>
      <c r="Q5904" s="1" t="s">
        <v>228</v>
      </c>
      <c r="R5904" s="1" t="s">
        <v>228</v>
      </c>
      <c r="S5904" s="1" t="s">
        <v>229</v>
      </c>
      <c r="T5904" s="1" t="s">
        <v>513</v>
      </c>
      <c r="U5904" s="1">
        <v>1.00602248E8</v>
      </c>
      <c r="X5904" s="1" t="s">
        <v>490</v>
      </c>
      <c r="Y5904" s="1" t="s">
        <v>11387</v>
      </c>
      <c r="Z5904" s="1" t="s">
        <v>37</v>
      </c>
    </row>
    <row r="5905" hidden="1">
      <c r="A5905" s="1" t="s">
        <v>16294</v>
      </c>
      <c r="B5905" s="1" t="s">
        <v>13505</v>
      </c>
      <c r="C5905" s="1" t="s">
        <v>16295</v>
      </c>
      <c r="D5905" s="1" t="s">
        <v>27</v>
      </c>
      <c r="E5905" s="1" t="s">
        <v>28</v>
      </c>
      <c r="F5905" s="2">
        <v>14500.0</v>
      </c>
      <c r="G5905" s="1" t="s">
        <v>2324</v>
      </c>
      <c r="H5905" s="4">
        <f>IFERROR(__xludf.DUMMYFUNCTION("DATE(INDEX(SPLIT(G5905,""/""),,3),INDEX(SPLIT(G5905,""/""),,2),INDEX(SPLIT(G5905,""/""),,1))"),44705.0)</f>
        <v>44705</v>
      </c>
      <c r="I5905" s="1" t="s">
        <v>203</v>
      </c>
      <c r="J5905" s="4">
        <f>IFERROR(__xludf.DUMMYFUNCTION("DATE(INDEX(SPLIT(I5905,""/""),,3),INDEX(SPLIT(I5905,""/""),,2),INDEX(SPLIT(I5905,""/""),,1))"),44925.0)</f>
        <v>44925</v>
      </c>
      <c r="L5905" s="1">
        <v>0.0</v>
      </c>
      <c r="M5905" s="1" t="s">
        <v>11254</v>
      </c>
      <c r="N5905" s="1"/>
      <c r="O5905" s="1" t="s">
        <v>30</v>
      </c>
      <c r="P5905" s="1" t="s">
        <v>31</v>
      </c>
      <c r="Q5905" s="1" t="s">
        <v>228</v>
      </c>
      <c r="R5905" s="1" t="s">
        <v>228</v>
      </c>
      <c r="S5905" s="1" t="s">
        <v>229</v>
      </c>
      <c r="T5905" s="1" t="s">
        <v>513</v>
      </c>
      <c r="U5905" s="1">
        <v>1.00602248E8</v>
      </c>
      <c r="X5905" s="1" t="s">
        <v>88</v>
      </c>
      <c r="Y5905" s="1" t="s">
        <v>11387</v>
      </c>
      <c r="Z5905" s="1" t="s">
        <v>37</v>
      </c>
    </row>
    <row r="5906" hidden="1">
      <c r="A5906" s="1" t="s">
        <v>16296</v>
      </c>
      <c r="B5906" s="1" t="s">
        <v>16297</v>
      </c>
      <c r="C5906" s="1" t="s">
        <v>16298</v>
      </c>
      <c r="D5906" s="1" t="s">
        <v>27</v>
      </c>
      <c r="E5906" s="1" t="s">
        <v>28</v>
      </c>
      <c r="F5906" s="2">
        <v>14500.0</v>
      </c>
      <c r="G5906" s="1" t="s">
        <v>1598</v>
      </c>
      <c r="H5906" s="4">
        <f>IFERROR(__xludf.DUMMYFUNCTION("DATE(INDEX(SPLIT(G5906,""/""),,3),INDEX(SPLIT(G5906,""/""),,2),INDEX(SPLIT(G5906,""/""),,1))"),44461.0)</f>
        <v>44461</v>
      </c>
      <c r="I5906" s="1" t="s">
        <v>42</v>
      </c>
      <c r="J5906" s="4">
        <f>IFERROR(__xludf.DUMMYFUNCTION("DATE(INDEX(SPLIT(I5906,""/""),,3),INDEX(SPLIT(I5906,""/""),,2),INDEX(SPLIT(I5906,""/""),,1))"),44926.0)</f>
        <v>44926</v>
      </c>
      <c r="L5906" s="1">
        <v>0.0</v>
      </c>
      <c r="M5906" s="1" t="s">
        <v>11254</v>
      </c>
      <c r="N5906" s="1"/>
      <c r="O5906" s="1" t="s">
        <v>30</v>
      </c>
      <c r="P5906" s="1" t="s">
        <v>31</v>
      </c>
      <c r="Q5906" s="1" t="s">
        <v>228</v>
      </c>
      <c r="R5906" s="1" t="s">
        <v>228</v>
      </c>
      <c r="S5906" s="1" t="s">
        <v>229</v>
      </c>
      <c r="T5906" s="1" t="s">
        <v>513</v>
      </c>
      <c r="U5906" s="1">
        <v>1.00602248E8</v>
      </c>
      <c r="X5906" s="1" t="s">
        <v>190</v>
      </c>
      <c r="Y5906" s="1" t="s">
        <v>12637</v>
      </c>
      <c r="Z5906" s="1" t="s">
        <v>37</v>
      </c>
    </row>
    <row r="5907" hidden="1">
      <c r="A5907" s="1" t="s">
        <v>16299</v>
      </c>
      <c r="B5907" s="1" t="s">
        <v>10024</v>
      </c>
      <c r="C5907" s="1" t="s">
        <v>16300</v>
      </c>
      <c r="D5907" s="1" t="s">
        <v>27</v>
      </c>
      <c r="E5907" s="1" t="s">
        <v>28</v>
      </c>
      <c r="F5907" s="2">
        <v>14500.0</v>
      </c>
      <c r="G5907" s="1" t="s">
        <v>343</v>
      </c>
      <c r="H5907" s="4">
        <f>IFERROR(__xludf.DUMMYFUNCTION("DATE(INDEX(SPLIT(G5907,""/""),,3),INDEX(SPLIT(G5907,""/""),,2),INDEX(SPLIT(G5907,""/""),,1))"),44761.0)</f>
        <v>44761</v>
      </c>
      <c r="I5907" s="1" t="s">
        <v>42</v>
      </c>
      <c r="J5907" s="4">
        <f>IFERROR(__xludf.DUMMYFUNCTION("DATE(INDEX(SPLIT(I5907,""/""),,3),INDEX(SPLIT(I5907,""/""),,2),INDEX(SPLIT(I5907,""/""),,1))"),44926.0)</f>
        <v>44926</v>
      </c>
      <c r="L5907" s="1">
        <v>0.0</v>
      </c>
      <c r="M5907" s="1" t="s">
        <v>11254</v>
      </c>
      <c r="N5907" s="1"/>
      <c r="O5907" s="1" t="s">
        <v>30</v>
      </c>
      <c r="P5907" s="1" t="s">
        <v>31</v>
      </c>
      <c r="Q5907" s="1" t="s">
        <v>228</v>
      </c>
      <c r="R5907" s="1" t="s">
        <v>228</v>
      </c>
      <c r="S5907" s="1" t="s">
        <v>229</v>
      </c>
      <c r="T5907" s="1" t="s">
        <v>14924</v>
      </c>
      <c r="U5907" s="1">
        <v>1.00602248E8</v>
      </c>
      <c r="X5907" s="1" t="s">
        <v>63</v>
      </c>
      <c r="Y5907" s="1" t="s">
        <v>12640</v>
      </c>
      <c r="Z5907" s="1" t="s">
        <v>37</v>
      </c>
    </row>
    <row r="5908" hidden="1">
      <c r="A5908" s="1" t="s">
        <v>16301</v>
      </c>
      <c r="B5908" s="1" t="s">
        <v>4603</v>
      </c>
      <c r="C5908" s="1" t="s">
        <v>16302</v>
      </c>
      <c r="D5908" s="1" t="s">
        <v>27</v>
      </c>
      <c r="E5908" s="1" t="s">
        <v>28</v>
      </c>
      <c r="F5908" s="2">
        <v>14500.0</v>
      </c>
      <c r="G5908" s="1" t="s">
        <v>2324</v>
      </c>
      <c r="H5908" s="4">
        <f>IFERROR(__xludf.DUMMYFUNCTION("DATE(INDEX(SPLIT(G5908,""/""),,3),INDEX(SPLIT(G5908,""/""),,2),INDEX(SPLIT(G5908,""/""),,1))"),44705.0)</f>
        <v>44705</v>
      </c>
      <c r="I5908" s="1" t="s">
        <v>203</v>
      </c>
      <c r="J5908" s="4">
        <f>IFERROR(__xludf.DUMMYFUNCTION("DATE(INDEX(SPLIT(I5908,""/""),,3),INDEX(SPLIT(I5908,""/""),,2),INDEX(SPLIT(I5908,""/""),,1))"),44925.0)</f>
        <v>44925</v>
      </c>
      <c r="L5908" s="1">
        <v>0.0</v>
      </c>
      <c r="M5908" s="1" t="s">
        <v>11254</v>
      </c>
      <c r="N5908" s="1"/>
      <c r="O5908" s="1" t="s">
        <v>30</v>
      </c>
      <c r="P5908" s="1" t="s">
        <v>31</v>
      </c>
      <c r="Q5908" s="1" t="s">
        <v>228</v>
      </c>
      <c r="R5908" s="1" t="s">
        <v>228</v>
      </c>
      <c r="S5908" s="1" t="s">
        <v>229</v>
      </c>
      <c r="T5908" s="1" t="s">
        <v>513</v>
      </c>
      <c r="U5908" s="1">
        <v>1.00602248E8</v>
      </c>
      <c r="X5908" s="1" t="s">
        <v>88</v>
      </c>
      <c r="Y5908" s="1" t="s">
        <v>14932</v>
      </c>
      <c r="Z5908" s="1" t="s">
        <v>37</v>
      </c>
    </row>
    <row r="5909" hidden="1">
      <c r="A5909" s="1" t="s">
        <v>16303</v>
      </c>
      <c r="B5909" s="1" t="s">
        <v>16304</v>
      </c>
      <c r="C5909" s="1" t="s">
        <v>16305</v>
      </c>
      <c r="D5909" s="1" t="s">
        <v>27</v>
      </c>
      <c r="E5909" s="1" t="s">
        <v>28</v>
      </c>
      <c r="F5909" s="2">
        <v>14500.0</v>
      </c>
      <c r="G5909" s="1" t="s">
        <v>2324</v>
      </c>
      <c r="H5909" s="4">
        <f>IFERROR(__xludf.DUMMYFUNCTION("DATE(INDEX(SPLIT(G5909,""/""),,3),INDEX(SPLIT(G5909,""/""),,2),INDEX(SPLIT(G5909,""/""),,1))"),44705.0)</f>
        <v>44705</v>
      </c>
      <c r="I5909" s="1" t="s">
        <v>203</v>
      </c>
      <c r="J5909" s="4">
        <f>IFERROR(__xludf.DUMMYFUNCTION("DATE(INDEX(SPLIT(I5909,""/""),,3),INDEX(SPLIT(I5909,""/""),,2),INDEX(SPLIT(I5909,""/""),,1))"),44925.0)</f>
        <v>44925</v>
      </c>
      <c r="L5909" s="1">
        <v>0.0</v>
      </c>
      <c r="M5909" s="1" t="s">
        <v>11254</v>
      </c>
      <c r="N5909" s="1"/>
      <c r="O5909" s="1" t="s">
        <v>30</v>
      </c>
      <c r="P5909" s="1" t="s">
        <v>31</v>
      </c>
      <c r="Q5909" s="1" t="s">
        <v>228</v>
      </c>
      <c r="R5909" s="1" t="s">
        <v>228</v>
      </c>
      <c r="S5909" s="1" t="s">
        <v>229</v>
      </c>
      <c r="U5909" s="1">
        <v>1.00602248E8</v>
      </c>
      <c r="X5909" s="1" t="s">
        <v>190</v>
      </c>
      <c r="Y5909" s="1" t="s">
        <v>11387</v>
      </c>
      <c r="Z5909" s="1" t="s">
        <v>37</v>
      </c>
    </row>
    <row r="5910" hidden="1">
      <c r="A5910" s="1" t="s">
        <v>16306</v>
      </c>
      <c r="B5910" s="1" t="s">
        <v>2265</v>
      </c>
      <c r="C5910" s="1" t="s">
        <v>16307</v>
      </c>
      <c r="D5910" s="1" t="s">
        <v>27</v>
      </c>
      <c r="E5910" s="1" t="s">
        <v>28</v>
      </c>
      <c r="F5910" s="2">
        <v>14500.0</v>
      </c>
      <c r="G5910" s="1" t="s">
        <v>2324</v>
      </c>
      <c r="H5910" s="4">
        <f>IFERROR(__xludf.DUMMYFUNCTION("DATE(INDEX(SPLIT(G5910,""/""),,3),INDEX(SPLIT(G5910,""/""),,2),INDEX(SPLIT(G5910,""/""),,1))"),44705.0)</f>
        <v>44705</v>
      </c>
      <c r="I5910" s="1" t="s">
        <v>203</v>
      </c>
      <c r="J5910" s="4">
        <f>IFERROR(__xludf.DUMMYFUNCTION("DATE(INDEX(SPLIT(I5910,""/""),,3),INDEX(SPLIT(I5910,""/""),,2),INDEX(SPLIT(I5910,""/""),,1))"),44925.0)</f>
        <v>44925</v>
      </c>
      <c r="L5910" s="1">
        <v>0.0</v>
      </c>
      <c r="M5910" s="1" t="s">
        <v>11254</v>
      </c>
      <c r="N5910" s="1"/>
      <c r="O5910" s="1" t="s">
        <v>30</v>
      </c>
      <c r="P5910" s="1" t="s">
        <v>31</v>
      </c>
      <c r="Q5910" s="1" t="s">
        <v>228</v>
      </c>
      <c r="R5910" s="1" t="s">
        <v>228</v>
      </c>
      <c r="S5910" s="1" t="s">
        <v>229</v>
      </c>
      <c r="T5910" s="1" t="s">
        <v>513</v>
      </c>
      <c r="U5910" s="1">
        <v>1.00602248E8</v>
      </c>
      <c r="X5910" s="1" t="s">
        <v>239</v>
      </c>
      <c r="Y5910" s="1" t="s">
        <v>14932</v>
      </c>
      <c r="Z5910" s="1" t="s">
        <v>37</v>
      </c>
    </row>
    <row r="5911" hidden="1">
      <c r="A5911" s="1" t="s">
        <v>16308</v>
      </c>
      <c r="B5911" s="1" t="s">
        <v>16309</v>
      </c>
      <c r="C5911" s="1" t="s">
        <v>16310</v>
      </c>
      <c r="D5911" s="1" t="s">
        <v>27</v>
      </c>
      <c r="E5911" s="1" t="s">
        <v>28</v>
      </c>
      <c r="F5911" s="2">
        <v>14500.0</v>
      </c>
      <c r="G5911" s="4">
        <v>44475.0</v>
      </c>
      <c r="H5911" s="4">
        <f>IFERROR(__xludf.DUMMYFUNCTION("DATE(INDEX(SPLIT(G5911,""/""),,3),INDEX(SPLIT(G5911,""/""),,2),INDEX(SPLIT(G5911,""/""),,1))"),44357.0)</f>
        <v>44357</v>
      </c>
      <c r="I5911" s="1" t="s">
        <v>42</v>
      </c>
      <c r="J5911" s="4">
        <f>IFERROR(__xludf.DUMMYFUNCTION("DATE(INDEX(SPLIT(I5911,""/""),,3),INDEX(SPLIT(I5911,""/""),,2),INDEX(SPLIT(I5911,""/""),,1))"),44926.0)</f>
        <v>44926</v>
      </c>
      <c r="L5911" s="1">
        <v>0.0</v>
      </c>
      <c r="M5911" s="1" t="s">
        <v>11254</v>
      </c>
      <c r="N5911" s="1"/>
      <c r="O5911" s="1" t="s">
        <v>30</v>
      </c>
      <c r="P5911" s="1" t="s">
        <v>31</v>
      </c>
      <c r="Q5911" s="1" t="s">
        <v>228</v>
      </c>
      <c r="R5911" s="1" t="s">
        <v>228</v>
      </c>
      <c r="S5911" s="1" t="s">
        <v>229</v>
      </c>
      <c r="T5911" s="1" t="s">
        <v>14924</v>
      </c>
      <c r="U5911" s="1">
        <v>1.00602248E8</v>
      </c>
      <c r="X5911" s="1" t="s">
        <v>361</v>
      </c>
      <c r="Y5911" s="1" t="s">
        <v>13638</v>
      </c>
      <c r="Z5911" s="1" t="s">
        <v>37</v>
      </c>
    </row>
    <row r="5912" hidden="1">
      <c r="A5912" s="1" t="s">
        <v>16311</v>
      </c>
      <c r="B5912" s="1" t="s">
        <v>3446</v>
      </c>
      <c r="C5912" s="1" t="s">
        <v>16312</v>
      </c>
      <c r="D5912" s="1" t="s">
        <v>27</v>
      </c>
      <c r="E5912" s="1" t="s">
        <v>28</v>
      </c>
      <c r="F5912" s="2">
        <v>14500.0</v>
      </c>
      <c r="G5912" s="4">
        <v>44475.0</v>
      </c>
      <c r="H5912" s="4">
        <f>IFERROR(__xludf.DUMMYFUNCTION("DATE(INDEX(SPLIT(G5912,""/""),,3),INDEX(SPLIT(G5912,""/""),,2),INDEX(SPLIT(G5912,""/""),,1))"),44357.0)</f>
        <v>44357</v>
      </c>
      <c r="I5912" s="1" t="s">
        <v>42</v>
      </c>
      <c r="J5912" s="4">
        <f>IFERROR(__xludf.DUMMYFUNCTION("DATE(INDEX(SPLIT(I5912,""/""),,3),INDEX(SPLIT(I5912,""/""),,2),INDEX(SPLIT(I5912,""/""),,1))"),44926.0)</f>
        <v>44926</v>
      </c>
      <c r="L5912" s="1">
        <v>0.0</v>
      </c>
      <c r="M5912" s="1" t="s">
        <v>11254</v>
      </c>
      <c r="N5912" s="1"/>
      <c r="O5912" s="1" t="s">
        <v>30</v>
      </c>
      <c r="P5912" s="1" t="s">
        <v>31</v>
      </c>
      <c r="Q5912" s="1" t="s">
        <v>228</v>
      </c>
      <c r="R5912" s="1" t="s">
        <v>228</v>
      </c>
      <c r="S5912" s="1" t="s">
        <v>229</v>
      </c>
      <c r="T5912" s="1" t="s">
        <v>513</v>
      </c>
      <c r="U5912" s="1">
        <v>1.00602248E8</v>
      </c>
      <c r="X5912" s="1" t="s">
        <v>63</v>
      </c>
      <c r="Y5912" s="1" t="s">
        <v>13638</v>
      </c>
      <c r="Z5912" s="1" t="s">
        <v>37</v>
      </c>
    </row>
    <row r="5913" hidden="1">
      <c r="A5913" s="1" t="s">
        <v>16313</v>
      </c>
      <c r="B5913" s="1" t="s">
        <v>8254</v>
      </c>
      <c r="C5913" s="1" t="s">
        <v>16314</v>
      </c>
      <c r="D5913" s="1" t="s">
        <v>78</v>
      </c>
      <c r="E5913" s="1" t="s">
        <v>28</v>
      </c>
      <c r="F5913" s="2">
        <v>14500.0</v>
      </c>
      <c r="G5913" s="4">
        <v>44568.0</v>
      </c>
      <c r="H5913" s="4">
        <f>IFERROR(__xludf.DUMMYFUNCTION("DATE(INDEX(SPLIT(G5913,""/""),,3),INDEX(SPLIT(G5913,""/""),,2),INDEX(SPLIT(G5913,""/""),,1))"),44743.0)</f>
        <v>44743</v>
      </c>
      <c r="I5913" s="1" t="s">
        <v>42</v>
      </c>
      <c r="J5913" s="4">
        <f>IFERROR(__xludf.DUMMYFUNCTION("DATE(INDEX(SPLIT(I5913,""/""),,3),INDEX(SPLIT(I5913,""/""),,2),INDEX(SPLIT(I5913,""/""),,1))"),44926.0)</f>
        <v>44926</v>
      </c>
      <c r="L5913" s="1">
        <v>0.0</v>
      </c>
      <c r="M5913" s="1" t="s">
        <v>11254</v>
      </c>
      <c r="N5913" s="1"/>
      <c r="O5913" s="1" t="s">
        <v>30</v>
      </c>
      <c r="P5913" s="1" t="s">
        <v>31</v>
      </c>
      <c r="Q5913" s="1" t="s">
        <v>228</v>
      </c>
      <c r="R5913" s="1" t="s">
        <v>228</v>
      </c>
      <c r="S5913" s="1" t="s">
        <v>229</v>
      </c>
      <c r="T5913" s="1" t="s">
        <v>513</v>
      </c>
      <c r="U5913" s="1">
        <v>1.00602248E8</v>
      </c>
      <c r="X5913" s="1" t="s">
        <v>468</v>
      </c>
      <c r="Y5913" s="1" t="s">
        <v>12640</v>
      </c>
      <c r="Z5913" s="1" t="s">
        <v>37</v>
      </c>
    </row>
    <row r="5914" hidden="1">
      <c r="A5914" s="1" t="s">
        <v>16315</v>
      </c>
      <c r="B5914" s="1" t="s">
        <v>16316</v>
      </c>
      <c r="C5914" s="1" t="s">
        <v>16317</v>
      </c>
      <c r="D5914" s="1" t="s">
        <v>78</v>
      </c>
      <c r="E5914" s="1" t="s">
        <v>28</v>
      </c>
      <c r="F5914" s="2">
        <v>14500.0</v>
      </c>
      <c r="G5914" s="4">
        <v>44594.0</v>
      </c>
      <c r="H5914" s="4">
        <f>IFERROR(__xludf.DUMMYFUNCTION("DATE(INDEX(SPLIT(G5914,""/""),,3),INDEX(SPLIT(G5914,""/""),,2),INDEX(SPLIT(G5914,""/""),,1))"),44594.0)</f>
        <v>44594</v>
      </c>
      <c r="I5914" s="1" t="s">
        <v>109</v>
      </c>
      <c r="J5914" s="4">
        <f>IFERROR(__xludf.DUMMYFUNCTION("DATE(INDEX(SPLIT(I5914,""/""),,3),INDEX(SPLIT(I5914,""/""),,2),INDEX(SPLIT(I5914,""/""),,1))"),44834.0)</f>
        <v>44834</v>
      </c>
      <c r="L5914" s="1">
        <v>0.0</v>
      </c>
      <c r="M5914" s="1" t="s">
        <v>11254</v>
      </c>
      <c r="N5914" s="1"/>
      <c r="O5914" s="1" t="s">
        <v>30</v>
      </c>
      <c r="P5914" s="1" t="s">
        <v>31</v>
      </c>
      <c r="Q5914" s="1" t="s">
        <v>228</v>
      </c>
      <c r="R5914" s="1" t="s">
        <v>228</v>
      </c>
      <c r="S5914" s="1" t="s">
        <v>229</v>
      </c>
      <c r="T5914" s="1" t="s">
        <v>513</v>
      </c>
      <c r="U5914" s="1">
        <v>1.00602248E8</v>
      </c>
      <c r="X5914" s="1" t="s">
        <v>98</v>
      </c>
      <c r="Y5914" s="1" t="s">
        <v>13638</v>
      </c>
      <c r="Z5914" s="1" t="s">
        <v>37</v>
      </c>
    </row>
    <row r="5915" hidden="1">
      <c r="A5915" s="1" t="s">
        <v>16318</v>
      </c>
      <c r="B5915" s="1" t="s">
        <v>16319</v>
      </c>
      <c r="C5915" s="1" t="s">
        <v>16320</v>
      </c>
      <c r="D5915" s="1" t="s">
        <v>78</v>
      </c>
      <c r="E5915" s="1" t="s">
        <v>28</v>
      </c>
      <c r="F5915" s="2">
        <v>14500.0</v>
      </c>
      <c r="G5915" s="4">
        <v>44568.0</v>
      </c>
      <c r="H5915" s="4">
        <f>IFERROR(__xludf.DUMMYFUNCTION("DATE(INDEX(SPLIT(G5915,""/""),,3),INDEX(SPLIT(G5915,""/""),,2),INDEX(SPLIT(G5915,""/""),,1))"),44743.0)</f>
        <v>44743</v>
      </c>
      <c r="I5915" s="1" t="s">
        <v>42</v>
      </c>
      <c r="J5915" s="4">
        <f>IFERROR(__xludf.DUMMYFUNCTION("DATE(INDEX(SPLIT(I5915,""/""),,3),INDEX(SPLIT(I5915,""/""),,2),INDEX(SPLIT(I5915,""/""),,1))"),44926.0)</f>
        <v>44926</v>
      </c>
      <c r="L5915" s="1">
        <v>0.0</v>
      </c>
      <c r="M5915" s="1" t="s">
        <v>11254</v>
      </c>
      <c r="N5915" s="1"/>
      <c r="O5915" s="1" t="s">
        <v>30</v>
      </c>
      <c r="P5915" s="1" t="s">
        <v>31</v>
      </c>
      <c r="Q5915" s="1" t="s">
        <v>228</v>
      </c>
      <c r="R5915" s="1" t="s">
        <v>228</v>
      </c>
      <c r="S5915" s="1" t="s">
        <v>229</v>
      </c>
      <c r="T5915" s="1" t="s">
        <v>513</v>
      </c>
      <c r="U5915" s="1">
        <v>1.00602248E8</v>
      </c>
      <c r="X5915" s="1" t="s">
        <v>125</v>
      </c>
      <c r="Y5915" s="1" t="s">
        <v>13638</v>
      </c>
      <c r="Z5915" s="1" t="s">
        <v>37</v>
      </c>
    </row>
    <row r="5916" hidden="1">
      <c r="A5916" s="1" t="s">
        <v>16321</v>
      </c>
      <c r="B5916" s="1" t="s">
        <v>16322</v>
      </c>
      <c r="C5916" s="1" t="s">
        <v>16323</v>
      </c>
      <c r="D5916" s="1" t="s">
        <v>78</v>
      </c>
      <c r="E5916" s="1" t="s">
        <v>28</v>
      </c>
      <c r="F5916" s="2">
        <v>14500.0</v>
      </c>
      <c r="G5916" s="1" t="s">
        <v>123</v>
      </c>
      <c r="H5916" s="4">
        <f>IFERROR(__xludf.DUMMYFUNCTION("DATE(INDEX(SPLIT(G5916,""/""),,3),INDEX(SPLIT(G5916,""/""),,2),INDEX(SPLIT(G5916,""/""),,1))"),44368.0)</f>
        <v>44368</v>
      </c>
      <c r="I5916" s="1" t="s">
        <v>42</v>
      </c>
      <c r="J5916" s="4">
        <f>IFERROR(__xludf.DUMMYFUNCTION("DATE(INDEX(SPLIT(I5916,""/""),,3),INDEX(SPLIT(I5916,""/""),,2),INDEX(SPLIT(I5916,""/""),,1))"),44926.0)</f>
        <v>44926</v>
      </c>
      <c r="L5916" s="1">
        <v>0.0</v>
      </c>
      <c r="M5916" s="1" t="s">
        <v>11254</v>
      </c>
      <c r="N5916" s="1"/>
      <c r="O5916" s="1" t="s">
        <v>30</v>
      </c>
      <c r="P5916" s="1" t="s">
        <v>31</v>
      </c>
      <c r="Q5916" s="1" t="s">
        <v>228</v>
      </c>
      <c r="R5916" s="1" t="s">
        <v>228</v>
      </c>
      <c r="S5916" s="1" t="s">
        <v>229</v>
      </c>
      <c r="U5916" s="1">
        <v>1.00602248E8</v>
      </c>
      <c r="X5916" s="1" t="s">
        <v>125</v>
      </c>
      <c r="Y5916" s="1" t="s">
        <v>13638</v>
      </c>
      <c r="Z5916" s="1" t="s">
        <v>37</v>
      </c>
    </row>
    <row r="5917" hidden="1">
      <c r="A5917" s="1" t="s">
        <v>16324</v>
      </c>
      <c r="B5917" s="1" t="s">
        <v>1743</v>
      </c>
      <c r="C5917" s="1" t="s">
        <v>16325</v>
      </c>
      <c r="D5917" s="1" t="s">
        <v>27</v>
      </c>
      <c r="E5917" s="1" t="s">
        <v>28</v>
      </c>
      <c r="F5917" s="2">
        <v>14500.0</v>
      </c>
      <c r="G5917" s="1" t="s">
        <v>779</v>
      </c>
      <c r="H5917" s="4">
        <f>IFERROR(__xludf.DUMMYFUNCTION("DATE(INDEX(SPLIT(G5917,""/""),,3),INDEX(SPLIT(G5917,""/""),,2),INDEX(SPLIT(G5917,""/""),,1))"),44734.0)</f>
        <v>44734</v>
      </c>
      <c r="I5917" s="1" t="s">
        <v>1097</v>
      </c>
      <c r="J5917" s="4">
        <f>IFERROR(__xludf.DUMMYFUNCTION("DATE(INDEX(SPLIT(I5917,""/""),,3),INDEX(SPLIT(I5917,""/""),,2),INDEX(SPLIT(I5917,""/""),,1))"),45107.0)</f>
        <v>45107</v>
      </c>
      <c r="L5917" s="1">
        <v>0.0</v>
      </c>
      <c r="M5917" s="1" t="s">
        <v>11254</v>
      </c>
      <c r="N5917" s="1"/>
      <c r="O5917" s="1" t="s">
        <v>30</v>
      </c>
      <c r="P5917" s="1" t="s">
        <v>31</v>
      </c>
      <c r="Q5917" s="1" t="s">
        <v>228</v>
      </c>
      <c r="R5917" s="1" t="s">
        <v>228</v>
      </c>
      <c r="S5917" s="1" t="s">
        <v>229</v>
      </c>
      <c r="T5917" s="1" t="s">
        <v>513</v>
      </c>
      <c r="U5917" s="1">
        <v>1.00602248E8</v>
      </c>
      <c r="X5917" s="1" t="s">
        <v>74</v>
      </c>
      <c r="Y5917" s="1" t="s">
        <v>14932</v>
      </c>
      <c r="Z5917" s="1" t="s">
        <v>37</v>
      </c>
    </row>
    <row r="5918" hidden="1">
      <c r="A5918" s="1" t="s">
        <v>16326</v>
      </c>
      <c r="B5918" s="1" t="s">
        <v>16327</v>
      </c>
      <c r="C5918" s="1" t="s">
        <v>16328</v>
      </c>
      <c r="D5918" s="1" t="s">
        <v>27</v>
      </c>
      <c r="E5918" s="1" t="s">
        <v>28</v>
      </c>
      <c r="F5918" s="2">
        <v>14500.0</v>
      </c>
      <c r="G5918" s="1" t="s">
        <v>779</v>
      </c>
      <c r="H5918" s="4">
        <f>IFERROR(__xludf.DUMMYFUNCTION("DATE(INDEX(SPLIT(G5918,""/""),,3),INDEX(SPLIT(G5918,""/""),,2),INDEX(SPLIT(G5918,""/""),,1))"),44734.0)</f>
        <v>44734</v>
      </c>
      <c r="I5918" s="1" t="s">
        <v>1097</v>
      </c>
      <c r="J5918" s="4">
        <f>IFERROR(__xludf.DUMMYFUNCTION("DATE(INDEX(SPLIT(I5918,""/""),,3),INDEX(SPLIT(I5918,""/""),,2),INDEX(SPLIT(I5918,""/""),,1))"),45107.0)</f>
        <v>45107</v>
      </c>
      <c r="L5918" s="1">
        <v>0.0</v>
      </c>
      <c r="M5918" s="1" t="s">
        <v>11254</v>
      </c>
      <c r="N5918" s="1"/>
      <c r="O5918" s="1" t="s">
        <v>30</v>
      </c>
      <c r="P5918" s="1" t="s">
        <v>31</v>
      </c>
      <c r="Q5918" s="1" t="s">
        <v>228</v>
      </c>
      <c r="R5918" s="1" t="s">
        <v>228</v>
      </c>
      <c r="S5918" s="1" t="s">
        <v>229</v>
      </c>
      <c r="T5918" s="1" t="s">
        <v>513</v>
      </c>
      <c r="U5918" s="1">
        <v>1.00602248E8</v>
      </c>
      <c r="X5918" s="1" t="s">
        <v>410</v>
      </c>
      <c r="Y5918" s="1" t="s">
        <v>14932</v>
      </c>
      <c r="Z5918" s="1" t="s">
        <v>37</v>
      </c>
    </row>
    <row r="5919" hidden="1">
      <c r="A5919" s="1" t="s">
        <v>16329</v>
      </c>
      <c r="B5919" s="1" t="s">
        <v>1445</v>
      </c>
      <c r="C5919" s="1" t="s">
        <v>16330</v>
      </c>
      <c r="D5919" s="1" t="s">
        <v>27</v>
      </c>
      <c r="E5919" s="1" t="s">
        <v>28</v>
      </c>
      <c r="F5919" s="2">
        <v>14500.0</v>
      </c>
      <c r="G5919" s="1" t="s">
        <v>779</v>
      </c>
      <c r="H5919" s="4">
        <f>IFERROR(__xludf.DUMMYFUNCTION("DATE(INDEX(SPLIT(G5919,""/""),,3),INDEX(SPLIT(G5919,""/""),,2),INDEX(SPLIT(G5919,""/""),,1))"),44734.0)</f>
        <v>44734</v>
      </c>
      <c r="I5919" s="1" t="s">
        <v>1097</v>
      </c>
      <c r="J5919" s="4">
        <f>IFERROR(__xludf.DUMMYFUNCTION("DATE(INDEX(SPLIT(I5919,""/""),,3),INDEX(SPLIT(I5919,""/""),,2),INDEX(SPLIT(I5919,""/""),,1))"),45107.0)</f>
        <v>45107</v>
      </c>
      <c r="L5919" s="1">
        <v>0.0</v>
      </c>
      <c r="M5919" s="1" t="s">
        <v>11254</v>
      </c>
      <c r="N5919" s="1"/>
      <c r="O5919" s="1" t="s">
        <v>30</v>
      </c>
      <c r="P5919" s="1" t="s">
        <v>31</v>
      </c>
      <c r="Q5919" s="1" t="s">
        <v>228</v>
      </c>
      <c r="R5919" s="1" t="s">
        <v>228</v>
      </c>
      <c r="S5919" s="1" t="s">
        <v>229</v>
      </c>
      <c r="T5919" s="1" t="s">
        <v>513</v>
      </c>
      <c r="U5919" s="1">
        <v>1.00602248E8</v>
      </c>
      <c r="X5919" s="1" t="s">
        <v>74</v>
      </c>
      <c r="Y5919" s="1" t="s">
        <v>13944</v>
      </c>
      <c r="Z5919" s="1" t="s">
        <v>37</v>
      </c>
    </row>
    <row r="5920" hidden="1">
      <c r="A5920" s="1" t="s">
        <v>16331</v>
      </c>
      <c r="B5920" s="1" t="s">
        <v>16332</v>
      </c>
      <c r="C5920" s="1" t="s">
        <v>16333</v>
      </c>
      <c r="D5920" s="1" t="s">
        <v>27</v>
      </c>
      <c r="E5920" s="1" t="s">
        <v>28</v>
      </c>
      <c r="F5920" s="2">
        <v>14500.0</v>
      </c>
      <c r="G5920" s="1" t="s">
        <v>4402</v>
      </c>
      <c r="H5920" s="4">
        <f>IFERROR(__xludf.DUMMYFUNCTION("DATE(INDEX(SPLIT(G5920,""/""),,3),INDEX(SPLIT(G5920,""/""),,2),INDEX(SPLIT(G5920,""/""),,1))"),44390.0)</f>
        <v>44390</v>
      </c>
      <c r="I5920" s="1" t="s">
        <v>42</v>
      </c>
      <c r="J5920" s="4">
        <f>IFERROR(__xludf.DUMMYFUNCTION("DATE(INDEX(SPLIT(I5920,""/""),,3),INDEX(SPLIT(I5920,""/""),,2),INDEX(SPLIT(I5920,""/""),,1))"),44926.0)</f>
        <v>44926</v>
      </c>
      <c r="L5920" s="1">
        <v>0.0</v>
      </c>
      <c r="M5920" s="1" t="s">
        <v>11254</v>
      </c>
      <c r="N5920" s="1"/>
      <c r="O5920" s="1" t="s">
        <v>30</v>
      </c>
      <c r="P5920" s="1" t="s">
        <v>31</v>
      </c>
      <c r="Q5920" s="1" t="s">
        <v>228</v>
      </c>
      <c r="R5920" s="1" t="s">
        <v>228</v>
      </c>
      <c r="S5920" s="1" t="s">
        <v>229</v>
      </c>
      <c r="T5920" s="1" t="s">
        <v>513</v>
      </c>
      <c r="U5920" s="1">
        <v>1.00602248E8</v>
      </c>
      <c r="X5920" s="1" t="s">
        <v>490</v>
      </c>
      <c r="Y5920" s="1" t="s">
        <v>13638</v>
      </c>
      <c r="Z5920" s="1" t="s">
        <v>37</v>
      </c>
    </row>
    <row r="5921" hidden="1">
      <c r="A5921" s="1" t="s">
        <v>16334</v>
      </c>
      <c r="B5921" s="1" t="s">
        <v>12818</v>
      </c>
      <c r="C5921" s="1" t="s">
        <v>16335</v>
      </c>
      <c r="D5921" s="1" t="s">
        <v>78</v>
      </c>
      <c r="E5921" s="1" t="s">
        <v>28</v>
      </c>
      <c r="F5921" s="2">
        <v>14500.0</v>
      </c>
      <c r="G5921" s="4">
        <v>44867.0</v>
      </c>
      <c r="H5921" s="4">
        <f>IFERROR(__xludf.DUMMYFUNCTION("DATE(INDEX(SPLIT(G5921,""/""),,3),INDEX(SPLIT(G5921,""/""),,2),INDEX(SPLIT(G5921,""/""),,1))"),44603.0)</f>
        <v>44603</v>
      </c>
      <c r="I5921" s="1" t="s">
        <v>109</v>
      </c>
      <c r="J5921" s="4">
        <f>IFERROR(__xludf.DUMMYFUNCTION("DATE(INDEX(SPLIT(I5921,""/""),,3),INDEX(SPLIT(I5921,""/""),,2),INDEX(SPLIT(I5921,""/""),,1))"),44834.0)</f>
        <v>44834</v>
      </c>
      <c r="L5921" s="1">
        <v>0.0</v>
      </c>
      <c r="M5921" s="1" t="s">
        <v>11254</v>
      </c>
      <c r="N5921" s="1"/>
      <c r="O5921" s="1" t="s">
        <v>30</v>
      </c>
      <c r="P5921" s="1" t="s">
        <v>31</v>
      </c>
      <c r="Q5921" s="1" t="s">
        <v>228</v>
      </c>
      <c r="R5921" s="1" t="s">
        <v>228</v>
      </c>
      <c r="S5921" s="1" t="s">
        <v>229</v>
      </c>
      <c r="T5921" s="1" t="s">
        <v>14924</v>
      </c>
      <c r="U5921" s="1">
        <v>1.00602248E8</v>
      </c>
      <c r="X5921" s="1" t="s">
        <v>74</v>
      </c>
      <c r="Y5921" s="1" t="s">
        <v>13638</v>
      </c>
      <c r="Z5921" s="1" t="s">
        <v>37</v>
      </c>
    </row>
    <row r="5922" hidden="1">
      <c r="A5922" s="1" t="s">
        <v>16336</v>
      </c>
      <c r="B5922" s="1" t="s">
        <v>9103</v>
      </c>
      <c r="C5922" s="1" t="s">
        <v>16337</v>
      </c>
      <c r="D5922" s="1" t="s">
        <v>78</v>
      </c>
      <c r="E5922" s="1" t="s">
        <v>28</v>
      </c>
      <c r="F5922" s="2">
        <v>14500.0</v>
      </c>
      <c r="G5922" s="1" t="s">
        <v>286</v>
      </c>
      <c r="H5922" s="4">
        <f>IFERROR(__xludf.DUMMYFUNCTION("DATE(INDEX(SPLIT(G5922,""/""),,3),INDEX(SPLIT(G5922,""/""),,2),INDEX(SPLIT(G5922,""/""),,1))"),44609.0)</f>
        <v>44609</v>
      </c>
      <c r="I5922" s="1" t="s">
        <v>109</v>
      </c>
      <c r="J5922" s="4">
        <f>IFERROR(__xludf.DUMMYFUNCTION("DATE(INDEX(SPLIT(I5922,""/""),,3),INDEX(SPLIT(I5922,""/""),,2),INDEX(SPLIT(I5922,""/""),,1))"),44834.0)</f>
        <v>44834</v>
      </c>
      <c r="L5922" s="1">
        <v>0.0</v>
      </c>
      <c r="M5922" s="1" t="s">
        <v>11254</v>
      </c>
      <c r="N5922" s="1"/>
      <c r="O5922" s="1" t="s">
        <v>30</v>
      </c>
      <c r="P5922" s="1" t="s">
        <v>31</v>
      </c>
      <c r="Q5922" s="1" t="s">
        <v>228</v>
      </c>
      <c r="R5922" s="1" t="s">
        <v>228</v>
      </c>
      <c r="S5922" s="1" t="s">
        <v>229</v>
      </c>
      <c r="T5922" s="1" t="s">
        <v>513</v>
      </c>
      <c r="U5922" s="1">
        <v>1.00602248E8</v>
      </c>
      <c r="X5922" s="1" t="s">
        <v>74</v>
      </c>
      <c r="Y5922" s="1" t="s">
        <v>13638</v>
      </c>
      <c r="Z5922" s="1" t="s">
        <v>37</v>
      </c>
    </row>
    <row r="5923" hidden="1">
      <c r="A5923" s="1" t="s">
        <v>16338</v>
      </c>
      <c r="B5923" s="1" t="s">
        <v>16339</v>
      </c>
      <c r="C5923" s="1" t="s">
        <v>16340</v>
      </c>
      <c r="D5923" s="1" t="s">
        <v>27</v>
      </c>
      <c r="E5923" s="1" t="s">
        <v>28</v>
      </c>
      <c r="F5923" s="2">
        <v>14500.0</v>
      </c>
      <c r="G5923" s="4">
        <v>44567.0</v>
      </c>
      <c r="H5923" s="4">
        <f>IFERROR(__xludf.DUMMYFUNCTION("DATE(INDEX(SPLIT(G5923,""/""),,3),INDEX(SPLIT(G5923,""/""),,2),INDEX(SPLIT(G5923,""/""),,1))"),44713.0)</f>
        <v>44713</v>
      </c>
      <c r="I5923" s="1" t="s">
        <v>42</v>
      </c>
      <c r="J5923" s="4">
        <f>IFERROR(__xludf.DUMMYFUNCTION("DATE(INDEX(SPLIT(I5923,""/""),,3),INDEX(SPLIT(I5923,""/""),,2),INDEX(SPLIT(I5923,""/""),,1))"),44926.0)</f>
        <v>44926</v>
      </c>
      <c r="L5923" s="1">
        <v>0.0</v>
      </c>
      <c r="M5923" s="1" t="s">
        <v>11254</v>
      </c>
      <c r="N5923" s="1"/>
      <c r="O5923" s="1" t="s">
        <v>30</v>
      </c>
      <c r="P5923" s="1" t="s">
        <v>31</v>
      </c>
      <c r="Q5923" s="1" t="s">
        <v>228</v>
      </c>
      <c r="R5923" s="1" t="s">
        <v>228</v>
      </c>
      <c r="S5923" s="1" t="s">
        <v>229</v>
      </c>
      <c r="T5923" s="1" t="s">
        <v>513</v>
      </c>
      <c r="U5923" s="1">
        <v>1.00602248E8</v>
      </c>
      <c r="X5923" s="1" t="s">
        <v>239</v>
      </c>
      <c r="Y5923" s="1" t="s">
        <v>12640</v>
      </c>
      <c r="Z5923" s="1" t="s">
        <v>37</v>
      </c>
    </row>
    <row r="5924" hidden="1">
      <c r="A5924" s="1" t="s">
        <v>16341</v>
      </c>
      <c r="B5924" s="1" t="s">
        <v>16342</v>
      </c>
      <c r="C5924" s="1" t="s">
        <v>16343</v>
      </c>
      <c r="D5924" s="1" t="s">
        <v>27</v>
      </c>
      <c r="E5924" s="1" t="s">
        <v>28</v>
      </c>
      <c r="F5924" s="2">
        <v>14400.0</v>
      </c>
      <c r="G5924" s="1" t="s">
        <v>298</v>
      </c>
      <c r="H5924" s="4">
        <f>IFERROR(__xludf.DUMMYFUNCTION("DATE(INDEX(SPLIT(G5924,""/""),,3),INDEX(SPLIT(G5924,""/""),,2),INDEX(SPLIT(G5924,""/""),,1))"),44762.0)</f>
        <v>44762</v>
      </c>
      <c r="I5924" s="4">
        <v>44601.0</v>
      </c>
      <c r="J5924" s="4">
        <f>IFERROR(__xludf.DUMMYFUNCTION("DATE(INDEX(SPLIT(I5924,""/""),,3),INDEX(SPLIT(I5924,""/""),,2),INDEX(SPLIT(I5924,""/""),,1))"),44806.0)</f>
        <v>44806</v>
      </c>
      <c r="L5924" s="1">
        <v>0.0</v>
      </c>
      <c r="M5924" s="1" t="s">
        <v>4262</v>
      </c>
      <c r="N5924" s="1"/>
      <c r="O5924" s="1" t="s">
        <v>30</v>
      </c>
      <c r="P5924" s="1" t="s">
        <v>31</v>
      </c>
      <c r="Q5924" s="1" t="s">
        <v>228</v>
      </c>
      <c r="R5924" s="1" t="s">
        <v>228</v>
      </c>
      <c r="S5924" s="1" t="s">
        <v>229</v>
      </c>
      <c r="U5924" s="1">
        <v>1.00639544E8</v>
      </c>
      <c r="X5924" s="1" t="s">
        <v>375</v>
      </c>
      <c r="Y5924" s="1" t="s">
        <v>14321</v>
      </c>
      <c r="Z5924" s="1" t="s">
        <v>206</v>
      </c>
    </row>
    <row r="5925" hidden="1">
      <c r="A5925" s="1" t="s">
        <v>16344</v>
      </c>
      <c r="B5925" s="1" t="s">
        <v>2620</v>
      </c>
      <c r="C5925" s="1" t="s">
        <v>16345</v>
      </c>
      <c r="D5925" s="1" t="s">
        <v>78</v>
      </c>
      <c r="E5925" s="1" t="s">
        <v>28</v>
      </c>
      <c r="F5925" s="2">
        <v>14280.0</v>
      </c>
      <c r="G5925" s="1" t="s">
        <v>5224</v>
      </c>
      <c r="H5925" s="4">
        <f>IFERROR(__xludf.DUMMYFUNCTION("DATE(INDEX(SPLIT(G5925,""/""),,3),INDEX(SPLIT(G5925,""/""),,2),INDEX(SPLIT(G5925,""/""),,1))"),44421.0)</f>
        <v>44421</v>
      </c>
      <c r="I5925" s="1" t="s">
        <v>109</v>
      </c>
      <c r="J5925" s="4">
        <f>IFERROR(__xludf.DUMMYFUNCTION("DATE(INDEX(SPLIT(I5925,""/""),,3),INDEX(SPLIT(I5925,""/""),,2),INDEX(SPLIT(I5925,""/""),,1))"),44834.0)</f>
        <v>44834</v>
      </c>
      <c r="L5925" s="1">
        <v>0.0</v>
      </c>
      <c r="M5925" s="1" t="s">
        <v>318</v>
      </c>
      <c r="N5925" s="1"/>
      <c r="O5925" s="1" t="s">
        <v>30</v>
      </c>
      <c r="P5925" s="1" t="s">
        <v>31</v>
      </c>
      <c r="Q5925" s="1" t="s">
        <v>71</v>
      </c>
      <c r="R5925" s="1" t="s">
        <v>71</v>
      </c>
      <c r="S5925" s="1" t="s">
        <v>72</v>
      </c>
      <c r="T5925" s="1" t="s">
        <v>73</v>
      </c>
      <c r="U5925" s="1">
        <v>1.00654705E8</v>
      </c>
      <c r="X5925" s="1" t="s">
        <v>74</v>
      </c>
      <c r="Y5925" s="1" t="s">
        <v>8809</v>
      </c>
      <c r="Z5925" s="1" t="s">
        <v>37</v>
      </c>
    </row>
    <row r="5926">
      <c r="A5926" s="1" t="s">
        <v>16346</v>
      </c>
      <c r="B5926" s="1" t="s">
        <v>16347</v>
      </c>
      <c r="C5926" s="1" t="s">
        <v>16348</v>
      </c>
      <c r="D5926" s="1" t="s">
        <v>78</v>
      </c>
      <c r="E5926" s="1" t="s">
        <v>28</v>
      </c>
      <c r="F5926" s="2">
        <v>14000.0</v>
      </c>
      <c r="G5926" s="1" t="s">
        <v>2077</v>
      </c>
      <c r="H5926" s="4">
        <f>IFERROR(__xludf.DUMMYFUNCTION("DATE(INDEX(SPLIT(G5926,""/""),,3),INDEX(SPLIT(G5926,""/""),,2),INDEX(SPLIT(G5926,""/""),,1))"),44700.0)</f>
        <v>44700</v>
      </c>
      <c r="I5926" s="1" t="s">
        <v>1288</v>
      </c>
      <c r="J5926" s="4">
        <f>IFERROR(__xludf.DUMMYFUNCTION("DATE(INDEX(SPLIT(I5926,""/""),,3),INDEX(SPLIT(I5926,""/""),,2),INDEX(SPLIT(I5926,""/""),,1))"),44707.0)</f>
        <v>44707</v>
      </c>
      <c r="L5926" s="1">
        <v>0.0</v>
      </c>
      <c r="M5926" s="1" t="s">
        <v>1741</v>
      </c>
      <c r="N5926" s="1"/>
      <c r="O5926" s="1" t="s">
        <v>30</v>
      </c>
      <c r="P5926" s="1" t="s">
        <v>31</v>
      </c>
      <c r="Q5926" s="1" t="s">
        <v>32</v>
      </c>
      <c r="R5926" s="1" t="s">
        <v>32</v>
      </c>
      <c r="S5926" s="1" t="s">
        <v>33</v>
      </c>
      <c r="U5926" s="1">
        <v>1.00645852E8</v>
      </c>
      <c r="X5926" s="1" t="s">
        <v>490</v>
      </c>
      <c r="Y5926" s="1" t="s">
        <v>4913</v>
      </c>
      <c r="Z5926" s="1" t="s">
        <v>37</v>
      </c>
    </row>
    <row r="5927">
      <c r="A5927" s="1" t="s">
        <v>16349</v>
      </c>
      <c r="B5927" s="1" t="s">
        <v>5724</v>
      </c>
      <c r="C5927" s="1" t="s">
        <v>16350</v>
      </c>
      <c r="D5927" s="1" t="s">
        <v>122</v>
      </c>
      <c r="E5927" s="1" t="s">
        <v>28</v>
      </c>
      <c r="F5927" s="2">
        <v>13895.32</v>
      </c>
      <c r="G5927" s="4">
        <v>44384.0</v>
      </c>
      <c r="H5927" s="4">
        <f>IFERROR(__xludf.DUMMYFUNCTION("DATE(INDEX(SPLIT(G5927,""/""),,3),INDEX(SPLIT(G5927,""/""),,2),INDEX(SPLIT(G5927,""/""),,1))"),44384.0)</f>
        <v>44384</v>
      </c>
      <c r="I5927" s="1" t="s">
        <v>226</v>
      </c>
      <c r="J5927" s="4">
        <f>IFERROR(__xludf.DUMMYFUNCTION("DATE(INDEX(SPLIT(I5927,""/""),,3),INDEX(SPLIT(I5927,""/""),,2),INDEX(SPLIT(I5927,""/""),,1))"),44771.0)</f>
        <v>44771</v>
      </c>
      <c r="L5927" s="1">
        <v>0.0</v>
      </c>
      <c r="M5927" s="1" t="s">
        <v>8053</v>
      </c>
      <c r="N5927" s="1"/>
      <c r="O5927" s="1" t="s">
        <v>30</v>
      </c>
      <c r="P5927" s="1" t="s">
        <v>31</v>
      </c>
      <c r="Q5927" s="1" t="s">
        <v>1320</v>
      </c>
      <c r="R5927" s="1" t="s">
        <v>1320</v>
      </c>
      <c r="S5927" s="1" t="s">
        <v>33</v>
      </c>
      <c r="T5927" s="1" t="s">
        <v>311</v>
      </c>
      <c r="U5927" s="1">
        <v>1.00613849E8</v>
      </c>
      <c r="X5927" s="1" t="s">
        <v>312</v>
      </c>
      <c r="Y5927" s="1" t="s">
        <v>16351</v>
      </c>
      <c r="Z5927" s="1" t="s">
        <v>37</v>
      </c>
    </row>
    <row r="5928" hidden="1">
      <c r="A5928" s="1" t="s">
        <v>16352</v>
      </c>
      <c r="B5928" s="1" t="s">
        <v>1606</v>
      </c>
      <c r="C5928" s="1" t="s">
        <v>16353</v>
      </c>
      <c r="D5928" s="1" t="s">
        <v>27</v>
      </c>
      <c r="E5928" s="1" t="s">
        <v>28</v>
      </c>
      <c r="F5928" s="2">
        <v>13775.0</v>
      </c>
      <c r="G5928" s="4">
        <v>44599.0</v>
      </c>
      <c r="H5928" s="4">
        <f>IFERROR(__xludf.DUMMYFUNCTION("DATE(INDEX(SPLIT(G5928,""/""),,3),INDEX(SPLIT(G5928,""/""),,2),INDEX(SPLIT(G5928,""/""),,1))"),44744.0)</f>
        <v>44744</v>
      </c>
      <c r="I5928" s="1" t="s">
        <v>203</v>
      </c>
      <c r="J5928" s="4">
        <f>IFERROR(__xludf.DUMMYFUNCTION("DATE(INDEX(SPLIT(I5928,""/""),,3),INDEX(SPLIT(I5928,""/""),,2),INDEX(SPLIT(I5928,""/""),,1))"),44925.0)</f>
        <v>44925</v>
      </c>
      <c r="L5928" s="1">
        <v>0.0</v>
      </c>
      <c r="M5928" s="1" t="s">
        <v>11254</v>
      </c>
      <c r="N5928" s="1"/>
      <c r="O5928" s="1" t="s">
        <v>30</v>
      </c>
      <c r="P5928" s="1" t="s">
        <v>31</v>
      </c>
      <c r="Q5928" s="1" t="s">
        <v>228</v>
      </c>
      <c r="R5928" s="1" t="s">
        <v>228</v>
      </c>
      <c r="S5928" s="1" t="s">
        <v>229</v>
      </c>
      <c r="T5928" s="1" t="s">
        <v>513</v>
      </c>
      <c r="U5928" s="1">
        <v>1.00602248E8</v>
      </c>
      <c r="X5928" s="1" t="s">
        <v>74</v>
      </c>
      <c r="Y5928" s="1" t="s">
        <v>14932</v>
      </c>
      <c r="Z5928" s="1" t="s">
        <v>37</v>
      </c>
    </row>
    <row r="5929" hidden="1">
      <c r="A5929" s="1" t="s">
        <v>16354</v>
      </c>
      <c r="B5929" s="1" t="s">
        <v>3040</v>
      </c>
      <c r="C5929" s="1" t="s">
        <v>16355</v>
      </c>
      <c r="D5929" s="1" t="s">
        <v>27</v>
      </c>
      <c r="E5929" s="1" t="s">
        <v>28</v>
      </c>
      <c r="F5929" s="2">
        <v>13775.0</v>
      </c>
      <c r="G5929" s="4">
        <v>44599.0</v>
      </c>
      <c r="H5929" s="4">
        <f>IFERROR(__xludf.DUMMYFUNCTION("DATE(INDEX(SPLIT(G5929,""/""),,3),INDEX(SPLIT(G5929,""/""),,2),INDEX(SPLIT(G5929,""/""),,1))"),44744.0)</f>
        <v>44744</v>
      </c>
      <c r="I5929" s="1" t="s">
        <v>203</v>
      </c>
      <c r="J5929" s="4">
        <f>IFERROR(__xludf.DUMMYFUNCTION("DATE(INDEX(SPLIT(I5929,""/""),,3),INDEX(SPLIT(I5929,""/""),,2),INDEX(SPLIT(I5929,""/""),,1))"),44925.0)</f>
        <v>44925</v>
      </c>
      <c r="L5929" s="1">
        <v>0.0</v>
      </c>
      <c r="M5929" s="1" t="s">
        <v>11254</v>
      </c>
      <c r="N5929" s="1"/>
      <c r="O5929" s="1" t="s">
        <v>30</v>
      </c>
      <c r="P5929" s="1" t="s">
        <v>31</v>
      </c>
      <c r="Q5929" s="1" t="s">
        <v>228</v>
      </c>
      <c r="R5929" s="1" t="s">
        <v>228</v>
      </c>
      <c r="S5929" s="1" t="s">
        <v>229</v>
      </c>
      <c r="T5929" s="1" t="s">
        <v>513</v>
      </c>
      <c r="U5929" s="1">
        <v>1.00602248E8</v>
      </c>
      <c r="X5929" s="1" t="s">
        <v>125</v>
      </c>
      <c r="Y5929" s="1" t="s">
        <v>14932</v>
      </c>
      <c r="Z5929" s="1" t="s">
        <v>37</v>
      </c>
    </row>
    <row r="5930" hidden="1">
      <c r="A5930" s="1" t="s">
        <v>16356</v>
      </c>
      <c r="B5930" s="1" t="s">
        <v>16357</v>
      </c>
      <c r="C5930" s="1" t="s">
        <v>16358</v>
      </c>
      <c r="D5930" s="1" t="s">
        <v>27</v>
      </c>
      <c r="E5930" s="1" t="s">
        <v>28</v>
      </c>
      <c r="F5930" s="2">
        <v>13775.0</v>
      </c>
      <c r="G5930" s="4">
        <v>44599.0</v>
      </c>
      <c r="H5930" s="4">
        <f>IFERROR(__xludf.DUMMYFUNCTION("DATE(INDEX(SPLIT(G5930,""/""),,3),INDEX(SPLIT(G5930,""/""),,2),INDEX(SPLIT(G5930,""/""),,1))"),44744.0)</f>
        <v>44744</v>
      </c>
      <c r="I5930" s="1" t="s">
        <v>203</v>
      </c>
      <c r="J5930" s="4">
        <f>IFERROR(__xludf.DUMMYFUNCTION("DATE(INDEX(SPLIT(I5930,""/""),,3),INDEX(SPLIT(I5930,""/""),,2),INDEX(SPLIT(I5930,""/""),,1))"),44925.0)</f>
        <v>44925</v>
      </c>
      <c r="L5930" s="1">
        <v>0.0</v>
      </c>
      <c r="M5930" s="1" t="s">
        <v>11254</v>
      </c>
      <c r="N5930" s="1"/>
      <c r="O5930" s="1" t="s">
        <v>30</v>
      </c>
      <c r="P5930" s="1" t="s">
        <v>31</v>
      </c>
      <c r="Q5930" s="1" t="s">
        <v>228</v>
      </c>
      <c r="R5930" s="1" t="s">
        <v>228</v>
      </c>
      <c r="S5930" s="1" t="s">
        <v>229</v>
      </c>
      <c r="T5930" s="1" t="s">
        <v>513</v>
      </c>
      <c r="U5930" s="1">
        <v>1.00602248E8</v>
      </c>
      <c r="X5930" s="1" t="s">
        <v>239</v>
      </c>
      <c r="Y5930" s="1" t="s">
        <v>14932</v>
      </c>
      <c r="Z5930" s="1" t="s">
        <v>37</v>
      </c>
    </row>
    <row r="5931" hidden="1">
      <c r="A5931" s="1" t="s">
        <v>16359</v>
      </c>
      <c r="B5931" s="1" t="s">
        <v>1030</v>
      </c>
      <c r="C5931" s="1" t="s">
        <v>16360</v>
      </c>
      <c r="D5931" s="1" t="s">
        <v>27</v>
      </c>
      <c r="E5931" s="1" t="s">
        <v>28</v>
      </c>
      <c r="F5931" s="2">
        <v>13500.0</v>
      </c>
      <c r="G5931" s="4">
        <v>44599.0</v>
      </c>
      <c r="H5931" s="4">
        <f>IFERROR(__xludf.DUMMYFUNCTION("DATE(INDEX(SPLIT(G5931,""/""),,3),INDEX(SPLIT(G5931,""/""),,2),INDEX(SPLIT(G5931,""/""),,1))"),44744.0)</f>
        <v>44744</v>
      </c>
      <c r="I5931" s="1" t="s">
        <v>1097</v>
      </c>
      <c r="J5931" s="4">
        <f>IFERROR(__xludf.DUMMYFUNCTION("DATE(INDEX(SPLIT(I5931,""/""),,3),INDEX(SPLIT(I5931,""/""),,2),INDEX(SPLIT(I5931,""/""),,1))"),45107.0)</f>
        <v>45107</v>
      </c>
      <c r="L5931" s="1">
        <v>0.0</v>
      </c>
      <c r="M5931" s="1" t="s">
        <v>16361</v>
      </c>
      <c r="N5931" s="1"/>
      <c r="O5931" s="1" t="s">
        <v>30</v>
      </c>
      <c r="P5931" s="1" t="s">
        <v>31</v>
      </c>
      <c r="Q5931" s="1" t="s">
        <v>228</v>
      </c>
      <c r="R5931" s="1" t="s">
        <v>228</v>
      </c>
      <c r="S5931" s="1" t="s">
        <v>229</v>
      </c>
      <c r="U5931" s="1">
        <v>1.00933942E8</v>
      </c>
      <c r="X5931" s="1" t="s">
        <v>289</v>
      </c>
      <c r="Y5931" s="1" t="s">
        <v>12640</v>
      </c>
      <c r="Z5931" s="1" t="s">
        <v>37</v>
      </c>
    </row>
    <row r="5932" hidden="1">
      <c r="A5932" s="1" t="s">
        <v>16362</v>
      </c>
      <c r="B5932" s="1" t="s">
        <v>16363</v>
      </c>
      <c r="C5932" s="1" t="s">
        <v>16364</v>
      </c>
      <c r="D5932" s="1" t="s">
        <v>27</v>
      </c>
      <c r="E5932" s="1" t="s">
        <v>28</v>
      </c>
      <c r="F5932" s="2">
        <v>13300.0</v>
      </c>
      <c r="G5932" s="4">
        <v>44599.0</v>
      </c>
      <c r="H5932" s="4">
        <f>IFERROR(__xludf.DUMMYFUNCTION("DATE(INDEX(SPLIT(G5932,""/""),,3),INDEX(SPLIT(G5932,""/""),,2),INDEX(SPLIT(G5932,""/""),,1))"),44744.0)</f>
        <v>44744</v>
      </c>
      <c r="I5932" s="1" t="s">
        <v>1097</v>
      </c>
      <c r="J5932" s="4">
        <f>IFERROR(__xludf.DUMMYFUNCTION("DATE(INDEX(SPLIT(I5932,""/""),,3),INDEX(SPLIT(I5932,""/""),,2),INDEX(SPLIT(I5932,""/""),,1))"),45107.0)</f>
        <v>45107</v>
      </c>
      <c r="L5932" s="1">
        <v>0.0</v>
      </c>
      <c r="M5932" s="1" t="s">
        <v>11254</v>
      </c>
      <c r="N5932" s="1"/>
      <c r="O5932" s="1" t="s">
        <v>30</v>
      </c>
      <c r="P5932" s="1" t="s">
        <v>31</v>
      </c>
      <c r="Q5932" s="1" t="s">
        <v>228</v>
      </c>
      <c r="R5932" s="1" t="s">
        <v>228</v>
      </c>
      <c r="S5932" s="1" t="s">
        <v>229</v>
      </c>
      <c r="T5932" s="1" t="s">
        <v>513</v>
      </c>
      <c r="U5932" s="1">
        <v>1.00602248E8</v>
      </c>
      <c r="X5932" s="1" t="s">
        <v>2769</v>
      </c>
      <c r="Y5932" s="1" t="s">
        <v>12640</v>
      </c>
      <c r="Z5932" s="1" t="s">
        <v>37</v>
      </c>
    </row>
    <row r="5933">
      <c r="A5933" s="1" t="s">
        <v>16365</v>
      </c>
      <c r="B5933" s="1" t="s">
        <v>2727</v>
      </c>
      <c r="C5933" s="1" t="s">
        <v>16366</v>
      </c>
      <c r="D5933" s="1" t="s">
        <v>27</v>
      </c>
      <c r="E5933" s="1" t="s">
        <v>28</v>
      </c>
      <c r="F5933" s="2">
        <v>13050.0</v>
      </c>
      <c r="G5933" s="4">
        <v>44599.0</v>
      </c>
      <c r="H5933" s="4">
        <f>IFERROR(__xludf.DUMMYFUNCTION("DATE(INDEX(SPLIT(G5933,""/""),,3),INDEX(SPLIT(G5933,""/""),,2),INDEX(SPLIT(G5933,""/""),,1))"),44744.0)</f>
        <v>44744</v>
      </c>
      <c r="I5933" s="1" t="s">
        <v>414</v>
      </c>
      <c r="J5933" s="4">
        <f>IFERROR(__xludf.DUMMYFUNCTION("DATE(INDEX(SPLIT(I5933,""/""),,3),INDEX(SPLIT(I5933,""/""),,2),INDEX(SPLIT(I5933,""/""),,1))"),44772.0)</f>
        <v>44772</v>
      </c>
      <c r="L5933" s="1">
        <v>0.0</v>
      </c>
      <c r="M5933" s="1" t="s">
        <v>11254</v>
      </c>
      <c r="N5933" s="1"/>
      <c r="O5933" s="1" t="s">
        <v>30</v>
      </c>
      <c r="P5933" s="1" t="s">
        <v>31</v>
      </c>
      <c r="Q5933" s="1" t="s">
        <v>228</v>
      </c>
      <c r="R5933" s="1" t="s">
        <v>228</v>
      </c>
      <c r="S5933" s="1" t="s">
        <v>229</v>
      </c>
      <c r="T5933" s="1" t="s">
        <v>513</v>
      </c>
      <c r="U5933" s="1">
        <v>1.00602248E8</v>
      </c>
      <c r="X5933" s="1" t="s">
        <v>74</v>
      </c>
      <c r="Y5933" s="1" t="s">
        <v>15486</v>
      </c>
      <c r="Z5933" s="1" t="s">
        <v>37</v>
      </c>
    </row>
    <row r="5934">
      <c r="A5934" s="1" t="s">
        <v>16367</v>
      </c>
      <c r="B5934" s="1" t="s">
        <v>12659</v>
      </c>
      <c r="C5934" s="1" t="s">
        <v>16368</v>
      </c>
      <c r="D5934" s="1" t="s">
        <v>27</v>
      </c>
      <c r="E5934" s="1" t="s">
        <v>28</v>
      </c>
      <c r="F5934" s="2">
        <v>13050.0</v>
      </c>
      <c r="G5934" s="4">
        <v>44599.0</v>
      </c>
      <c r="H5934" s="4">
        <f>IFERROR(__xludf.DUMMYFUNCTION("DATE(INDEX(SPLIT(G5934,""/""),,3),INDEX(SPLIT(G5934,""/""),,2),INDEX(SPLIT(G5934,""/""),,1))"),44744.0)</f>
        <v>44744</v>
      </c>
      <c r="I5934" s="1" t="s">
        <v>414</v>
      </c>
      <c r="J5934" s="4">
        <f>IFERROR(__xludf.DUMMYFUNCTION("DATE(INDEX(SPLIT(I5934,""/""),,3),INDEX(SPLIT(I5934,""/""),,2),INDEX(SPLIT(I5934,""/""),,1))"),44772.0)</f>
        <v>44772</v>
      </c>
      <c r="L5934" s="1">
        <v>0.0</v>
      </c>
      <c r="M5934" s="1" t="s">
        <v>11254</v>
      </c>
      <c r="N5934" s="1"/>
      <c r="O5934" s="1" t="s">
        <v>30</v>
      </c>
      <c r="P5934" s="1" t="s">
        <v>31</v>
      </c>
      <c r="Q5934" s="1" t="s">
        <v>228</v>
      </c>
      <c r="R5934" s="1" t="s">
        <v>228</v>
      </c>
      <c r="S5934" s="1" t="s">
        <v>229</v>
      </c>
      <c r="U5934" s="1">
        <v>1.00602248E8</v>
      </c>
      <c r="X5934" s="1" t="s">
        <v>74</v>
      </c>
      <c r="Y5934" s="1" t="s">
        <v>12640</v>
      </c>
      <c r="Z5934" s="1" t="s">
        <v>37</v>
      </c>
    </row>
    <row r="5935">
      <c r="A5935" s="1" t="s">
        <v>16369</v>
      </c>
      <c r="B5935" s="1" t="s">
        <v>16370</v>
      </c>
      <c r="C5935" s="1" t="s">
        <v>16371</v>
      </c>
      <c r="D5935" s="1" t="s">
        <v>27</v>
      </c>
      <c r="E5935" s="1" t="s">
        <v>28</v>
      </c>
      <c r="F5935" s="2">
        <v>13050.0</v>
      </c>
      <c r="G5935" s="4">
        <v>44599.0</v>
      </c>
      <c r="H5935" s="4">
        <f>IFERROR(__xludf.DUMMYFUNCTION("DATE(INDEX(SPLIT(G5935,""/""),,3),INDEX(SPLIT(G5935,""/""),,2),INDEX(SPLIT(G5935,""/""),,1))"),44744.0)</f>
        <v>44744</v>
      </c>
      <c r="I5935" s="1" t="s">
        <v>414</v>
      </c>
      <c r="J5935" s="4">
        <f>IFERROR(__xludf.DUMMYFUNCTION("DATE(INDEX(SPLIT(I5935,""/""),,3),INDEX(SPLIT(I5935,""/""),,2),INDEX(SPLIT(I5935,""/""),,1))"),44772.0)</f>
        <v>44772</v>
      </c>
      <c r="L5935" s="1">
        <v>0.0</v>
      </c>
      <c r="M5935" s="1" t="s">
        <v>11254</v>
      </c>
      <c r="N5935" s="1"/>
      <c r="O5935" s="1" t="s">
        <v>30</v>
      </c>
      <c r="P5935" s="1" t="s">
        <v>31</v>
      </c>
      <c r="Q5935" s="1" t="s">
        <v>228</v>
      </c>
      <c r="R5935" s="1" t="s">
        <v>228</v>
      </c>
      <c r="S5935" s="1" t="s">
        <v>229</v>
      </c>
      <c r="T5935" s="1" t="s">
        <v>513</v>
      </c>
      <c r="U5935" s="1">
        <v>1.00602248E8</v>
      </c>
      <c r="X5935" s="1" t="s">
        <v>239</v>
      </c>
      <c r="Y5935" s="1" t="s">
        <v>14932</v>
      </c>
      <c r="Z5935" s="1" t="s">
        <v>37</v>
      </c>
    </row>
    <row r="5936" hidden="1">
      <c r="A5936" s="1" t="s">
        <v>16372</v>
      </c>
      <c r="B5936" s="1" t="s">
        <v>2895</v>
      </c>
      <c r="C5936" s="1" t="s">
        <v>16373</v>
      </c>
      <c r="D5936" s="1" t="s">
        <v>27</v>
      </c>
      <c r="E5936" s="1" t="s">
        <v>28</v>
      </c>
      <c r="F5936" s="2">
        <v>13050.0</v>
      </c>
      <c r="G5936" s="4">
        <v>44599.0</v>
      </c>
      <c r="H5936" s="4">
        <f>IFERROR(__xludf.DUMMYFUNCTION("DATE(INDEX(SPLIT(G5936,""/""),,3),INDEX(SPLIT(G5936,""/""),,2),INDEX(SPLIT(G5936,""/""),,1))"),44744.0)</f>
        <v>44744</v>
      </c>
      <c r="I5936" s="1" t="s">
        <v>203</v>
      </c>
      <c r="J5936" s="4">
        <f>IFERROR(__xludf.DUMMYFUNCTION("DATE(INDEX(SPLIT(I5936,""/""),,3),INDEX(SPLIT(I5936,""/""),,2),INDEX(SPLIT(I5936,""/""),,1))"),44925.0)</f>
        <v>44925</v>
      </c>
      <c r="L5936" s="1">
        <v>0.0</v>
      </c>
      <c r="M5936" s="1" t="s">
        <v>11254</v>
      </c>
      <c r="N5936" s="1"/>
      <c r="O5936" s="1" t="s">
        <v>30</v>
      </c>
      <c r="P5936" s="1" t="s">
        <v>31</v>
      </c>
      <c r="Q5936" s="1" t="s">
        <v>228</v>
      </c>
      <c r="R5936" s="1" t="s">
        <v>228</v>
      </c>
      <c r="S5936" s="1" t="s">
        <v>229</v>
      </c>
      <c r="T5936" s="1" t="s">
        <v>513</v>
      </c>
      <c r="U5936" s="1">
        <v>1.00602248E8</v>
      </c>
      <c r="X5936" s="1" t="s">
        <v>74</v>
      </c>
      <c r="Y5936" s="1" t="s">
        <v>14932</v>
      </c>
      <c r="Z5936" s="1" t="s">
        <v>37</v>
      </c>
    </row>
    <row r="5937" hidden="1">
      <c r="A5937" s="1" t="s">
        <v>16374</v>
      </c>
      <c r="B5937" s="1" t="s">
        <v>8999</v>
      </c>
      <c r="C5937" s="1" t="s">
        <v>16375</v>
      </c>
      <c r="D5937" s="1" t="s">
        <v>27</v>
      </c>
      <c r="E5937" s="1" t="s">
        <v>28</v>
      </c>
      <c r="F5937" s="2">
        <v>13050.0</v>
      </c>
      <c r="G5937" s="4">
        <v>44599.0</v>
      </c>
      <c r="H5937" s="4">
        <f>IFERROR(__xludf.DUMMYFUNCTION("DATE(INDEX(SPLIT(G5937,""/""),,3),INDEX(SPLIT(G5937,""/""),,2),INDEX(SPLIT(G5937,""/""),,1))"),44744.0)</f>
        <v>44744</v>
      </c>
      <c r="I5937" s="1" t="s">
        <v>203</v>
      </c>
      <c r="J5937" s="4">
        <f>IFERROR(__xludf.DUMMYFUNCTION("DATE(INDEX(SPLIT(I5937,""/""),,3),INDEX(SPLIT(I5937,""/""),,2),INDEX(SPLIT(I5937,""/""),,1))"),44925.0)</f>
        <v>44925</v>
      </c>
      <c r="L5937" s="1">
        <v>0.0</v>
      </c>
      <c r="M5937" s="1" t="s">
        <v>11254</v>
      </c>
      <c r="N5937" s="1"/>
      <c r="O5937" s="1" t="s">
        <v>30</v>
      </c>
      <c r="P5937" s="1" t="s">
        <v>31</v>
      </c>
      <c r="Q5937" s="1" t="s">
        <v>228</v>
      </c>
      <c r="R5937" s="1" t="s">
        <v>228</v>
      </c>
      <c r="S5937" s="1" t="s">
        <v>229</v>
      </c>
      <c r="T5937" s="1" t="s">
        <v>136</v>
      </c>
      <c r="U5937" s="1">
        <v>1.00602248E8</v>
      </c>
      <c r="X5937" s="1" t="s">
        <v>74</v>
      </c>
      <c r="Y5937" s="1" t="s">
        <v>14932</v>
      </c>
      <c r="Z5937" s="1" t="s">
        <v>37</v>
      </c>
    </row>
    <row r="5938">
      <c r="A5938" s="1" t="s">
        <v>16376</v>
      </c>
      <c r="B5938" s="1" t="s">
        <v>3661</v>
      </c>
      <c r="C5938" s="1" t="s">
        <v>16377</v>
      </c>
      <c r="D5938" s="1" t="s">
        <v>27</v>
      </c>
      <c r="E5938" s="1" t="s">
        <v>28</v>
      </c>
      <c r="F5938" s="2">
        <v>13050.0</v>
      </c>
      <c r="G5938" s="4">
        <v>44599.0</v>
      </c>
      <c r="H5938" s="4">
        <f>IFERROR(__xludf.DUMMYFUNCTION("DATE(INDEX(SPLIT(G5938,""/""),,3),INDEX(SPLIT(G5938,""/""),,2),INDEX(SPLIT(G5938,""/""),,1))"),44744.0)</f>
        <v>44744</v>
      </c>
      <c r="I5938" s="1" t="s">
        <v>414</v>
      </c>
      <c r="J5938" s="4">
        <f>IFERROR(__xludf.DUMMYFUNCTION("DATE(INDEX(SPLIT(I5938,""/""),,3),INDEX(SPLIT(I5938,""/""),,2),INDEX(SPLIT(I5938,""/""),,1))"),44772.0)</f>
        <v>44772</v>
      </c>
      <c r="L5938" s="1">
        <v>0.0</v>
      </c>
      <c r="M5938" s="1" t="s">
        <v>12039</v>
      </c>
      <c r="N5938" s="1"/>
      <c r="O5938" s="1" t="s">
        <v>30</v>
      </c>
      <c r="P5938" s="1" t="s">
        <v>31</v>
      </c>
      <c r="Q5938" s="1" t="s">
        <v>228</v>
      </c>
      <c r="R5938" s="1" t="s">
        <v>228</v>
      </c>
      <c r="S5938" s="1" t="s">
        <v>229</v>
      </c>
      <c r="T5938" s="1" t="s">
        <v>513</v>
      </c>
      <c r="U5938" s="1">
        <v>1.00612509E8</v>
      </c>
      <c r="X5938" s="1" t="s">
        <v>74</v>
      </c>
      <c r="Y5938" s="1" t="s">
        <v>14932</v>
      </c>
      <c r="Z5938" s="1" t="s">
        <v>37</v>
      </c>
    </row>
    <row r="5939" hidden="1">
      <c r="A5939" s="1" t="s">
        <v>16378</v>
      </c>
      <c r="B5939" s="1" t="s">
        <v>2012</v>
      </c>
      <c r="C5939" s="1" t="s">
        <v>16379</v>
      </c>
      <c r="D5939" s="1" t="s">
        <v>27</v>
      </c>
      <c r="E5939" s="1" t="s">
        <v>28</v>
      </c>
      <c r="F5939" s="2">
        <v>13050.0</v>
      </c>
      <c r="G5939" s="4">
        <v>44599.0</v>
      </c>
      <c r="H5939" s="4">
        <f>IFERROR(__xludf.DUMMYFUNCTION("DATE(INDEX(SPLIT(G5939,""/""),,3),INDEX(SPLIT(G5939,""/""),,2),INDEX(SPLIT(G5939,""/""),,1))"),44744.0)</f>
        <v>44744</v>
      </c>
      <c r="I5939" s="1" t="s">
        <v>203</v>
      </c>
      <c r="J5939" s="4">
        <f>IFERROR(__xludf.DUMMYFUNCTION("DATE(INDEX(SPLIT(I5939,""/""),,3),INDEX(SPLIT(I5939,""/""),,2),INDEX(SPLIT(I5939,""/""),,1))"),44925.0)</f>
        <v>44925</v>
      </c>
      <c r="L5939" s="1">
        <v>0.0</v>
      </c>
      <c r="M5939" s="1" t="s">
        <v>11254</v>
      </c>
      <c r="N5939" s="1"/>
      <c r="O5939" s="1" t="s">
        <v>30</v>
      </c>
      <c r="P5939" s="1" t="s">
        <v>31</v>
      </c>
      <c r="Q5939" s="1" t="s">
        <v>228</v>
      </c>
      <c r="R5939" s="1" t="s">
        <v>228</v>
      </c>
      <c r="S5939" s="1" t="s">
        <v>229</v>
      </c>
      <c r="T5939" s="1" t="s">
        <v>513</v>
      </c>
      <c r="U5939" s="1">
        <v>1.00602248E8</v>
      </c>
      <c r="X5939" s="1" t="s">
        <v>74</v>
      </c>
      <c r="Y5939" s="1" t="s">
        <v>14932</v>
      </c>
      <c r="Z5939" s="1" t="s">
        <v>37</v>
      </c>
    </row>
    <row r="5940">
      <c r="A5940" s="1" t="s">
        <v>16380</v>
      </c>
      <c r="B5940" s="1" t="s">
        <v>2642</v>
      </c>
      <c r="C5940" s="1" t="s">
        <v>16381</v>
      </c>
      <c r="D5940" s="1" t="s">
        <v>27</v>
      </c>
      <c r="E5940" s="1" t="s">
        <v>28</v>
      </c>
      <c r="F5940" s="2">
        <v>13050.0</v>
      </c>
      <c r="G5940" s="4">
        <v>44599.0</v>
      </c>
      <c r="H5940" s="4">
        <f>IFERROR(__xludf.DUMMYFUNCTION("DATE(INDEX(SPLIT(G5940,""/""),,3),INDEX(SPLIT(G5940,""/""),,2),INDEX(SPLIT(G5940,""/""),,1))"),44744.0)</f>
        <v>44744</v>
      </c>
      <c r="I5940" s="1" t="s">
        <v>414</v>
      </c>
      <c r="J5940" s="4">
        <f>IFERROR(__xludf.DUMMYFUNCTION("DATE(INDEX(SPLIT(I5940,""/""),,3),INDEX(SPLIT(I5940,""/""),,2),INDEX(SPLIT(I5940,""/""),,1))"),44772.0)</f>
        <v>44772</v>
      </c>
      <c r="L5940" s="1">
        <v>0.0</v>
      </c>
      <c r="M5940" s="1" t="s">
        <v>1685</v>
      </c>
      <c r="N5940" s="1"/>
      <c r="O5940" s="1" t="s">
        <v>30</v>
      </c>
      <c r="P5940" s="1" t="s">
        <v>31</v>
      </c>
      <c r="Q5940" s="1" t="s">
        <v>228</v>
      </c>
      <c r="R5940" s="1" t="s">
        <v>228</v>
      </c>
      <c r="S5940" s="1" t="s">
        <v>229</v>
      </c>
      <c r="U5940" s="1">
        <v>1.00612055E8</v>
      </c>
      <c r="X5940" s="1" t="s">
        <v>74</v>
      </c>
      <c r="Y5940" s="1" t="s">
        <v>12640</v>
      </c>
      <c r="Z5940" s="1" t="s">
        <v>37</v>
      </c>
    </row>
    <row r="5941" hidden="1">
      <c r="A5941" s="1" t="s">
        <v>16382</v>
      </c>
      <c r="B5941" s="1" t="s">
        <v>2016</v>
      </c>
      <c r="C5941" s="1" t="s">
        <v>16383</v>
      </c>
      <c r="D5941" s="1" t="s">
        <v>27</v>
      </c>
      <c r="E5941" s="1" t="s">
        <v>28</v>
      </c>
      <c r="F5941" s="2">
        <v>13050.0</v>
      </c>
      <c r="G5941" s="4">
        <v>44599.0</v>
      </c>
      <c r="H5941" s="4">
        <f>IFERROR(__xludf.DUMMYFUNCTION("DATE(INDEX(SPLIT(G5941,""/""),,3),INDEX(SPLIT(G5941,""/""),,2),INDEX(SPLIT(G5941,""/""),,1))"),44744.0)</f>
        <v>44744</v>
      </c>
      <c r="I5941" s="1" t="s">
        <v>203</v>
      </c>
      <c r="J5941" s="4">
        <f>IFERROR(__xludf.DUMMYFUNCTION("DATE(INDEX(SPLIT(I5941,""/""),,3),INDEX(SPLIT(I5941,""/""),,2),INDEX(SPLIT(I5941,""/""),,1))"),44925.0)</f>
        <v>44925</v>
      </c>
      <c r="L5941" s="1">
        <v>0.0</v>
      </c>
      <c r="M5941" s="1" t="s">
        <v>11254</v>
      </c>
      <c r="N5941" s="1"/>
      <c r="O5941" s="1" t="s">
        <v>30</v>
      </c>
      <c r="P5941" s="1" t="s">
        <v>31</v>
      </c>
      <c r="Q5941" s="1" t="s">
        <v>228</v>
      </c>
      <c r="R5941" s="1" t="s">
        <v>228</v>
      </c>
      <c r="S5941" s="1" t="s">
        <v>229</v>
      </c>
      <c r="T5941" s="1" t="s">
        <v>513</v>
      </c>
      <c r="U5941" s="1">
        <v>1.00602248E8</v>
      </c>
      <c r="X5941" s="1" t="s">
        <v>74</v>
      </c>
      <c r="Y5941" s="1" t="s">
        <v>14932</v>
      </c>
      <c r="Z5941" s="1" t="s">
        <v>37</v>
      </c>
    </row>
    <row r="5942" hidden="1">
      <c r="A5942" s="1" t="s">
        <v>16384</v>
      </c>
      <c r="B5942" s="1" t="s">
        <v>992</v>
      </c>
      <c r="C5942" s="1" t="s">
        <v>16385</v>
      </c>
      <c r="D5942" s="1" t="s">
        <v>27</v>
      </c>
      <c r="E5942" s="1" t="s">
        <v>28</v>
      </c>
      <c r="F5942" s="2">
        <v>13050.0</v>
      </c>
      <c r="G5942" s="4">
        <v>44599.0</v>
      </c>
      <c r="H5942" s="4">
        <f>IFERROR(__xludf.DUMMYFUNCTION("DATE(INDEX(SPLIT(G5942,""/""),,3),INDEX(SPLIT(G5942,""/""),,2),INDEX(SPLIT(G5942,""/""),,1))"),44744.0)</f>
        <v>44744</v>
      </c>
      <c r="I5942" s="1" t="s">
        <v>203</v>
      </c>
      <c r="J5942" s="4">
        <f>IFERROR(__xludf.DUMMYFUNCTION("DATE(INDEX(SPLIT(I5942,""/""),,3),INDEX(SPLIT(I5942,""/""),,2),INDEX(SPLIT(I5942,""/""),,1))"),44925.0)</f>
        <v>44925</v>
      </c>
      <c r="L5942" s="1">
        <v>0.0</v>
      </c>
      <c r="M5942" s="1" t="s">
        <v>11254</v>
      </c>
      <c r="N5942" s="1"/>
      <c r="O5942" s="1" t="s">
        <v>30</v>
      </c>
      <c r="P5942" s="1" t="s">
        <v>31</v>
      </c>
      <c r="Q5942" s="1" t="s">
        <v>228</v>
      </c>
      <c r="R5942" s="1" t="s">
        <v>228</v>
      </c>
      <c r="S5942" s="1" t="s">
        <v>229</v>
      </c>
      <c r="T5942" s="1" t="s">
        <v>513</v>
      </c>
      <c r="U5942" s="1">
        <v>1.00602248E8</v>
      </c>
      <c r="X5942" s="1" t="s">
        <v>35</v>
      </c>
      <c r="Y5942" s="1" t="s">
        <v>14932</v>
      </c>
      <c r="Z5942" s="1" t="s">
        <v>37</v>
      </c>
    </row>
    <row r="5943">
      <c r="A5943" s="1" t="s">
        <v>16386</v>
      </c>
      <c r="B5943" s="1" t="s">
        <v>948</v>
      </c>
      <c r="C5943" s="1" t="s">
        <v>16387</v>
      </c>
      <c r="D5943" s="1" t="s">
        <v>27</v>
      </c>
      <c r="E5943" s="1" t="s">
        <v>28</v>
      </c>
      <c r="F5943" s="2">
        <v>13050.0</v>
      </c>
      <c r="G5943" s="4">
        <v>44599.0</v>
      </c>
      <c r="H5943" s="4">
        <f>IFERROR(__xludf.DUMMYFUNCTION("DATE(INDEX(SPLIT(G5943,""/""),,3),INDEX(SPLIT(G5943,""/""),,2),INDEX(SPLIT(G5943,""/""),,1))"),44744.0)</f>
        <v>44744</v>
      </c>
      <c r="I5943" s="1" t="s">
        <v>414</v>
      </c>
      <c r="J5943" s="4">
        <f>IFERROR(__xludf.DUMMYFUNCTION("DATE(INDEX(SPLIT(I5943,""/""),,3),INDEX(SPLIT(I5943,""/""),,2),INDEX(SPLIT(I5943,""/""),,1))"),44772.0)</f>
        <v>44772</v>
      </c>
      <c r="L5943" s="1">
        <v>0.0</v>
      </c>
      <c r="M5943" s="1" t="s">
        <v>1685</v>
      </c>
      <c r="N5943" s="1"/>
      <c r="O5943" s="1" t="s">
        <v>30</v>
      </c>
      <c r="P5943" s="1" t="s">
        <v>31</v>
      </c>
      <c r="Q5943" s="1" t="s">
        <v>228</v>
      </c>
      <c r="R5943" s="1" t="s">
        <v>228</v>
      </c>
      <c r="S5943" s="1" t="s">
        <v>229</v>
      </c>
      <c r="U5943" s="1">
        <v>1.00612055E8</v>
      </c>
      <c r="X5943" s="1" t="s">
        <v>74</v>
      </c>
      <c r="Y5943" s="1" t="s">
        <v>12640</v>
      </c>
      <c r="Z5943" s="1" t="s">
        <v>37</v>
      </c>
    </row>
    <row r="5944" hidden="1">
      <c r="A5944" s="1" t="s">
        <v>16388</v>
      </c>
      <c r="B5944" s="1" t="s">
        <v>8360</v>
      </c>
      <c r="C5944" s="1" t="s">
        <v>16389</v>
      </c>
      <c r="D5944" s="1" t="s">
        <v>27</v>
      </c>
      <c r="E5944" s="1" t="s">
        <v>28</v>
      </c>
      <c r="F5944" s="2">
        <v>13050.0</v>
      </c>
      <c r="G5944" s="4">
        <v>44599.0</v>
      </c>
      <c r="H5944" s="4">
        <f>IFERROR(__xludf.DUMMYFUNCTION("DATE(INDEX(SPLIT(G5944,""/""),,3),INDEX(SPLIT(G5944,""/""),,2),INDEX(SPLIT(G5944,""/""),,1))"),44744.0)</f>
        <v>44744</v>
      </c>
      <c r="I5944" s="1" t="s">
        <v>203</v>
      </c>
      <c r="J5944" s="4">
        <f>IFERROR(__xludf.DUMMYFUNCTION("DATE(INDEX(SPLIT(I5944,""/""),,3),INDEX(SPLIT(I5944,""/""),,2),INDEX(SPLIT(I5944,""/""),,1))"),44925.0)</f>
        <v>44925</v>
      </c>
      <c r="L5944" s="1">
        <v>0.0</v>
      </c>
      <c r="M5944" s="1" t="s">
        <v>11254</v>
      </c>
      <c r="N5944" s="1"/>
      <c r="O5944" s="1" t="s">
        <v>30</v>
      </c>
      <c r="P5944" s="1" t="s">
        <v>31</v>
      </c>
      <c r="Q5944" s="1" t="s">
        <v>228</v>
      </c>
      <c r="R5944" s="1" t="s">
        <v>228</v>
      </c>
      <c r="S5944" s="1" t="s">
        <v>229</v>
      </c>
      <c r="T5944" s="1" t="s">
        <v>513</v>
      </c>
      <c r="U5944" s="1">
        <v>1.00602248E8</v>
      </c>
      <c r="X5944" s="1" t="s">
        <v>74</v>
      </c>
      <c r="Y5944" s="1" t="s">
        <v>14932</v>
      </c>
      <c r="Z5944" s="1" t="s">
        <v>37</v>
      </c>
    </row>
    <row r="5945" hidden="1">
      <c r="A5945" s="1" t="s">
        <v>16390</v>
      </c>
      <c r="B5945" s="1" t="s">
        <v>16391</v>
      </c>
      <c r="C5945" s="1" t="s">
        <v>16392</v>
      </c>
      <c r="D5945" s="1" t="s">
        <v>27</v>
      </c>
      <c r="E5945" s="1" t="s">
        <v>28</v>
      </c>
      <c r="F5945" s="2">
        <v>13050.0</v>
      </c>
      <c r="G5945" s="4">
        <v>44599.0</v>
      </c>
      <c r="H5945" s="4">
        <f>IFERROR(__xludf.DUMMYFUNCTION("DATE(INDEX(SPLIT(G5945,""/""),,3),INDEX(SPLIT(G5945,""/""),,2),INDEX(SPLIT(G5945,""/""),,1))"),44744.0)</f>
        <v>44744</v>
      </c>
      <c r="I5945" s="1" t="s">
        <v>203</v>
      </c>
      <c r="J5945" s="4">
        <f>IFERROR(__xludf.DUMMYFUNCTION("DATE(INDEX(SPLIT(I5945,""/""),,3),INDEX(SPLIT(I5945,""/""),,2),INDEX(SPLIT(I5945,""/""),,1))"),44925.0)</f>
        <v>44925</v>
      </c>
      <c r="L5945" s="1">
        <v>0.0</v>
      </c>
      <c r="M5945" s="1" t="s">
        <v>11254</v>
      </c>
      <c r="N5945" s="1"/>
      <c r="O5945" s="1" t="s">
        <v>30</v>
      </c>
      <c r="P5945" s="1" t="s">
        <v>31</v>
      </c>
      <c r="Q5945" s="1" t="s">
        <v>228</v>
      </c>
      <c r="R5945" s="1" t="s">
        <v>228</v>
      </c>
      <c r="S5945" s="1" t="s">
        <v>229</v>
      </c>
      <c r="T5945" s="1" t="s">
        <v>513</v>
      </c>
      <c r="U5945" s="1">
        <v>1.00602248E8</v>
      </c>
      <c r="X5945" s="1" t="s">
        <v>98</v>
      </c>
      <c r="Y5945" s="1" t="s">
        <v>12640</v>
      </c>
      <c r="Z5945" s="1" t="s">
        <v>37</v>
      </c>
    </row>
    <row r="5946">
      <c r="A5946" s="1" t="s">
        <v>16393</v>
      </c>
      <c r="B5946" s="1" t="s">
        <v>8438</v>
      </c>
      <c r="C5946" s="1" t="s">
        <v>16394</v>
      </c>
      <c r="D5946" s="1" t="s">
        <v>27</v>
      </c>
      <c r="E5946" s="1" t="s">
        <v>28</v>
      </c>
      <c r="F5946" s="2">
        <v>13050.0</v>
      </c>
      <c r="G5946" s="4">
        <v>44599.0</v>
      </c>
      <c r="H5946" s="4">
        <f>IFERROR(__xludf.DUMMYFUNCTION("DATE(INDEX(SPLIT(G5946,""/""),,3),INDEX(SPLIT(G5946,""/""),,2),INDEX(SPLIT(G5946,""/""),,1))"),44744.0)</f>
        <v>44744</v>
      </c>
      <c r="I5946" s="1" t="s">
        <v>414</v>
      </c>
      <c r="J5946" s="4">
        <f>IFERROR(__xludf.DUMMYFUNCTION("DATE(INDEX(SPLIT(I5946,""/""),,3),INDEX(SPLIT(I5946,""/""),,2),INDEX(SPLIT(I5946,""/""),,1))"),44772.0)</f>
        <v>44772</v>
      </c>
      <c r="L5946" s="1">
        <v>0.0</v>
      </c>
      <c r="M5946" s="1" t="s">
        <v>11254</v>
      </c>
      <c r="N5946" s="1"/>
      <c r="O5946" s="1" t="s">
        <v>30</v>
      </c>
      <c r="P5946" s="1" t="s">
        <v>31</v>
      </c>
      <c r="Q5946" s="1" t="s">
        <v>228</v>
      </c>
      <c r="R5946" s="1" t="s">
        <v>228</v>
      </c>
      <c r="S5946" s="1" t="s">
        <v>229</v>
      </c>
      <c r="T5946" s="1" t="s">
        <v>513</v>
      </c>
      <c r="U5946" s="1">
        <v>1.00602248E8</v>
      </c>
      <c r="X5946" s="1" t="s">
        <v>74</v>
      </c>
      <c r="Y5946" s="1" t="s">
        <v>14932</v>
      </c>
      <c r="Z5946" s="1" t="s">
        <v>37</v>
      </c>
    </row>
    <row r="5947" hidden="1">
      <c r="A5947" s="1" t="s">
        <v>16395</v>
      </c>
      <c r="B5947" s="1" t="s">
        <v>16396</v>
      </c>
      <c r="C5947" s="1" t="s">
        <v>16397</v>
      </c>
      <c r="D5947" s="1" t="s">
        <v>78</v>
      </c>
      <c r="E5947" s="1" t="s">
        <v>28</v>
      </c>
      <c r="F5947" s="2">
        <v>13000.0</v>
      </c>
      <c r="G5947" s="1" t="s">
        <v>586</v>
      </c>
      <c r="H5947" s="4">
        <f>IFERROR(__xludf.DUMMYFUNCTION("DATE(INDEX(SPLIT(G5947,""/""),,3),INDEX(SPLIT(G5947,""/""),,2),INDEX(SPLIT(G5947,""/""),,1))"),44726.0)</f>
        <v>44726</v>
      </c>
      <c r="I5947" s="1" t="s">
        <v>1799</v>
      </c>
      <c r="J5947" s="4">
        <f>IFERROR(__xludf.DUMMYFUNCTION("DATE(INDEX(SPLIT(I5947,""/""),,3),INDEX(SPLIT(I5947,""/""),,2),INDEX(SPLIT(I5947,""/""),,1))"),44788.0)</f>
        <v>44788</v>
      </c>
      <c r="L5947" s="1">
        <v>0.0</v>
      </c>
      <c r="M5947" s="1" t="s">
        <v>3948</v>
      </c>
      <c r="N5947" s="1"/>
      <c r="O5947" s="1" t="s">
        <v>30</v>
      </c>
      <c r="P5947" s="1" t="s">
        <v>31</v>
      </c>
      <c r="Q5947" s="1" t="s">
        <v>228</v>
      </c>
      <c r="R5947" s="1" t="s">
        <v>228</v>
      </c>
      <c r="S5947" s="1" t="s">
        <v>229</v>
      </c>
      <c r="T5947" s="1" t="s">
        <v>513</v>
      </c>
      <c r="U5947" s="1">
        <v>1.0066189E8</v>
      </c>
      <c r="X5947" s="1" t="s">
        <v>289</v>
      </c>
      <c r="Y5947" s="1" t="s">
        <v>15429</v>
      </c>
      <c r="Z5947" s="1" t="s">
        <v>37</v>
      </c>
    </row>
    <row r="5948">
      <c r="A5948" s="1" t="s">
        <v>16398</v>
      </c>
      <c r="B5948" s="1" t="s">
        <v>658</v>
      </c>
      <c r="C5948" s="1" t="s">
        <v>16399</v>
      </c>
      <c r="D5948" s="1" t="s">
        <v>27</v>
      </c>
      <c r="E5948" s="1" t="s">
        <v>28</v>
      </c>
      <c r="F5948" s="2">
        <v>13000.0</v>
      </c>
      <c r="G5948" s="4">
        <v>44599.0</v>
      </c>
      <c r="H5948" s="4">
        <f>IFERROR(__xludf.DUMMYFUNCTION("DATE(INDEX(SPLIT(G5948,""/""),,3),INDEX(SPLIT(G5948,""/""),,2),INDEX(SPLIT(G5948,""/""),,1))"),44744.0)</f>
        <v>44744</v>
      </c>
      <c r="I5948" s="1" t="s">
        <v>414</v>
      </c>
      <c r="J5948" s="4">
        <f>IFERROR(__xludf.DUMMYFUNCTION("DATE(INDEX(SPLIT(I5948,""/""),,3),INDEX(SPLIT(I5948,""/""),,2),INDEX(SPLIT(I5948,""/""),,1))"),44772.0)</f>
        <v>44772</v>
      </c>
      <c r="L5948" s="1">
        <v>0.0</v>
      </c>
      <c r="M5948" s="1" t="s">
        <v>12039</v>
      </c>
      <c r="N5948" s="1"/>
      <c r="O5948" s="1" t="s">
        <v>30</v>
      </c>
      <c r="P5948" s="1" t="s">
        <v>31</v>
      </c>
      <c r="Q5948" s="1" t="s">
        <v>228</v>
      </c>
      <c r="R5948" s="1" t="s">
        <v>228</v>
      </c>
      <c r="S5948" s="1" t="s">
        <v>229</v>
      </c>
      <c r="T5948" s="1" t="s">
        <v>513</v>
      </c>
      <c r="U5948" s="1">
        <v>1.00612509E8</v>
      </c>
      <c r="X5948" s="1" t="s">
        <v>74</v>
      </c>
      <c r="Y5948" s="1" t="s">
        <v>14932</v>
      </c>
      <c r="Z5948" s="1" t="s">
        <v>37</v>
      </c>
    </row>
    <row r="5949">
      <c r="A5949" s="1" t="s">
        <v>16400</v>
      </c>
      <c r="B5949" s="1" t="s">
        <v>1168</v>
      </c>
      <c r="C5949" s="1" t="s">
        <v>16401</v>
      </c>
      <c r="D5949" s="1" t="s">
        <v>27</v>
      </c>
      <c r="E5949" s="1" t="s">
        <v>28</v>
      </c>
      <c r="F5949" s="2">
        <v>13000.0</v>
      </c>
      <c r="G5949" s="4">
        <v>44599.0</v>
      </c>
      <c r="H5949" s="4">
        <f>IFERROR(__xludf.DUMMYFUNCTION("DATE(INDEX(SPLIT(G5949,""/""),,3),INDEX(SPLIT(G5949,""/""),,2),INDEX(SPLIT(G5949,""/""),,1))"),44744.0)</f>
        <v>44744</v>
      </c>
      <c r="I5949" s="1" t="s">
        <v>414</v>
      </c>
      <c r="J5949" s="4">
        <f>IFERROR(__xludf.DUMMYFUNCTION("DATE(INDEX(SPLIT(I5949,""/""),,3),INDEX(SPLIT(I5949,""/""),,2),INDEX(SPLIT(I5949,""/""),,1))"),44772.0)</f>
        <v>44772</v>
      </c>
      <c r="L5949" s="1">
        <v>0.0</v>
      </c>
      <c r="M5949" s="1" t="s">
        <v>12039</v>
      </c>
      <c r="N5949" s="1"/>
      <c r="O5949" s="1" t="s">
        <v>30</v>
      </c>
      <c r="P5949" s="1" t="s">
        <v>31</v>
      </c>
      <c r="Q5949" s="1" t="s">
        <v>228</v>
      </c>
      <c r="R5949" s="1" t="s">
        <v>228</v>
      </c>
      <c r="S5949" s="1" t="s">
        <v>229</v>
      </c>
      <c r="U5949" s="1">
        <v>1.00612509E8</v>
      </c>
      <c r="X5949" s="1" t="s">
        <v>74</v>
      </c>
      <c r="Y5949" s="1" t="s">
        <v>12640</v>
      </c>
      <c r="Z5949" s="1" t="s">
        <v>37</v>
      </c>
    </row>
    <row r="5950" hidden="1">
      <c r="A5950" s="1" t="s">
        <v>16402</v>
      </c>
      <c r="B5950" s="1" t="s">
        <v>16403</v>
      </c>
      <c r="C5950" s="1" t="s">
        <v>16404</v>
      </c>
      <c r="D5950" s="1" t="s">
        <v>27</v>
      </c>
      <c r="E5950" s="1" t="s">
        <v>28</v>
      </c>
      <c r="F5950" s="2">
        <v>12887.0</v>
      </c>
      <c r="G5950" s="4">
        <v>44599.0</v>
      </c>
      <c r="H5950" s="4">
        <f>IFERROR(__xludf.DUMMYFUNCTION("DATE(INDEX(SPLIT(G5950,""/""),,3),INDEX(SPLIT(G5950,""/""),,2),INDEX(SPLIT(G5950,""/""),,1))"),44744.0)</f>
        <v>44744</v>
      </c>
      <c r="I5950" s="1" t="s">
        <v>203</v>
      </c>
      <c r="J5950" s="4">
        <f>IFERROR(__xludf.DUMMYFUNCTION("DATE(INDEX(SPLIT(I5950,""/""),,3),INDEX(SPLIT(I5950,""/""),,2),INDEX(SPLIT(I5950,""/""),,1))"),44925.0)</f>
        <v>44925</v>
      </c>
      <c r="L5950" s="1">
        <v>0.0</v>
      </c>
      <c r="M5950" s="1" t="s">
        <v>11254</v>
      </c>
      <c r="N5950" s="1"/>
      <c r="O5950" s="1" t="s">
        <v>30</v>
      </c>
      <c r="P5950" s="1" t="s">
        <v>31</v>
      </c>
      <c r="Q5950" s="1" t="s">
        <v>228</v>
      </c>
      <c r="R5950" s="1" t="s">
        <v>228</v>
      </c>
      <c r="S5950" s="1" t="s">
        <v>229</v>
      </c>
      <c r="T5950" s="1" t="s">
        <v>513</v>
      </c>
      <c r="U5950" s="1">
        <v>1.00602248E8</v>
      </c>
      <c r="X5950" s="1" t="s">
        <v>74</v>
      </c>
      <c r="Y5950" s="1" t="s">
        <v>14932</v>
      </c>
      <c r="Z5950" s="1" t="s">
        <v>37</v>
      </c>
    </row>
    <row r="5951" hidden="1">
      <c r="A5951" s="1" t="s">
        <v>16405</v>
      </c>
      <c r="B5951" s="1" t="s">
        <v>11325</v>
      </c>
      <c r="C5951" s="1" t="s">
        <v>16406</v>
      </c>
      <c r="D5951" s="1" t="s">
        <v>122</v>
      </c>
      <c r="E5951" s="1" t="s">
        <v>28</v>
      </c>
      <c r="F5951" s="2">
        <v>12500.0</v>
      </c>
      <c r="G5951" s="4">
        <v>44867.0</v>
      </c>
      <c r="H5951" s="4">
        <f>IFERROR(__xludf.DUMMYFUNCTION("DATE(INDEX(SPLIT(G5951,""/""),,3),INDEX(SPLIT(G5951,""/""),,2),INDEX(SPLIT(G5951,""/""),,1))"),44603.0)</f>
        <v>44603</v>
      </c>
      <c r="I5951" s="1" t="s">
        <v>109</v>
      </c>
      <c r="J5951" s="4">
        <f>IFERROR(__xludf.DUMMYFUNCTION("DATE(INDEX(SPLIT(I5951,""/""),,3),INDEX(SPLIT(I5951,""/""),,2),INDEX(SPLIT(I5951,""/""),,1))"),44834.0)</f>
        <v>44834</v>
      </c>
      <c r="L5951" s="1">
        <v>0.0</v>
      </c>
      <c r="M5951" s="1" t="s">
        <v>11254</v>
      </c>
      <c r="N5951" s="1"/>
      <c r="O5951" s="1" t="s">
        <v>30</v>
      </c>
      <c r="P5951" s="1" t="s">
        <v>31</v>
      </c>
      <c r="Q5951" s="1" t="s">
        <v>228</v>
      </c>
      <c r="R5951" s="1" t="s">
        <v>228</v>
      </c>
      <c r="S5951" s="1" t="s">
        <v>229</v>
      </c>
      <c r="T5951" s="1" t="s">
        <v>513</v>
      </c>
      <c r="U5951" s="1">
        <v>1.00602248E8</v>
      </c>
      <c r="X5951" s="1" t="s">
        <v>2028</v>
      </c>
      <c r="Y5951" s="1" t="s">
        <v>12637</v>
      </c>
      <c r="Z5951" s="1" t="s">
        <v>37</v>
      </c>
    </row>
    <row r="5952">
      <c r="A5952" s="1" t="s">
        <v>16407</v>
      </c>
      <c r="B5952" s="1" t="s">
        <v>906</v>
      </c>
      <c r="C5952" s="1" t="s">
        <v>16408</v>
      </c>
      <c r="D5952" s="1" t="s">
        <v>27</v>
      </c>
      <c r="E5952" s="1" t="s">
        <v>28</v>
      </c>
      <c r="F5952" s="2">
        <v>12500.0</v>
      </c>
      <c r="G5952" s="4">
        <v>44599.0</v>
      </c>
      <c r="H5952" s="4">
        <f>IFERROR(__xludf.DUMMYFUNCTION("DATE(INDEX(SPLIT(G5952,""/""),,3),INDEX(SPLIT(G5952,""/""),,2),INDEX(SPLIT(G5952,""/""),,1))"),44744.0)</f>
        <v>44744</v>
      </c>
      <c r="I5952" s="1" t="s">
        <v>414</v>
      </c>
      <c r="J5952" s="4">
        <f>IFERROR(__xludf.DUMMYFUNCTION("DATE(INDEX(SPLIT(I5952,""/""),,3),INDEX(SPLIT(I5952,""/""),,2),INDEX(SPLIT(I5952,""/""),,1))"),44772.0)</f>
        <v>44772</v>
      </c>
      <c r="L5952" s="1">
        <v>0.0</v>
      </c>
      <c r="M5952" s="1" t="s">
        <v>12039</v>
      </c>
      <c r="N5952" s="1"/>
      <c r="O5952" s="1" t="s">
        <v>30</v>
      </c>
      <c r="P5952" s="1" t="s">
        <v>31</v>
      </c>
      <c r="Q5952" s="1" t="s">
        <v>228</v>
      </c>
      <c r="R5952" s="1" t="s">
        <v>228</v>
      </c>
      <c r="S5952" s="1" t="s">
        <v>229</v>
      </c>
      <c r="U5952" s="1">
        <v>1.00612509E8</v>
      </c>
      <c r="X5952" s="1" t="s">
        <v>74</v>
      </c>
      <c r="Y5952" s="1" t="s">
        <v>14932</v>
      </c>
      <c r="Z5952" s="1" t="s">
        <v>37</v>
      </c>
    </row>
    <row r="5953" hidden="1">
      <c r="A5953" s="1" t="s">
        <v>16409</v>
      </c>
      <c r="B5953" s="1" t="s">
        <v>9433</v>
      </c>
      <c r="C5953" s="1" t="s">
        <v>16410</v>
      </c>
      <c r="D5953" s="1" t="s">
        <v>27</v>
      </c>
      <c r="E5953" s="1" t="s">
        <v>28</v>
      </c>
      <c r="F5953" s="2">
        <v>12325.0</v>
      </c>
      <c r="G5953" s="4">
        <v>44599.0</v>
      </c>
      <c r="H5953" s="4">
        <f>IFERROR(__xludf.DUMMYFUNCTION("DATE(INDEX(SPLIT(G5953,""/""),,3),INDEX(SPLIT(G5953,""/""),,2),INDEX(SPLIT(G5953,""/""),,1))"),44744.0)</f>
        <v>44744</v>
      </c>
      <c r="I5953" s="1" t="s">
        <v>203</v>
      </c>
      <c r="J5953" s="4">
        <f>IFERROR(__xludf.DUMMYFUNCTION("DATE(INDEX(SPLIT(I5953,""/""),,3),INDEX(SPLIT(I5953,""/""),,2),INDEX(SPLIT(I5953,""/""),,1))"),44925.0)</f>
        <v>44925</v>
      </c>
      <c r="L5953" s="1">
        <v>0.0</v>
      </c>
      <c r="M5953" s="1" t="s">
        <v>11254</v>
      </c>
      <c r="N5953" s="1"/>
      <c r="O5953" s="1" t="s">
        <v>30</v>
      </c>
      <c r="P5953" s="1" t="s">
        <v>31</v>
      </c>
      <c r="Q5953" s="1" t="s">
        <v>228</v>
      </c>
      <c r="R5953" s="1" t="s">
        <v>228</v>
      </c>
      <c r="S5953" s="1" t="s">
        <v>229</v>
      </c>
      <c r="T5953" s="1" t="s">
        <v>513</v>
      </c>
      <c r="U5953" s="1">
        <v>1.00602248E8</v>
      </c>
      <c r="X5953" s="1" t="s">
        <v>117</v>
      </c>
      <c r="Y5953" s="1" t="s">
        <v>15486</v>
      </c>
      <c r="Z5953" s="1" t="s">
        <v>37</v>
      </c>
    </row>
    <row r="5954">
      <c r="A5954" s="1" t="s">
        <v>16411</v>
      </c>
      <c r="B5954" s="1" t="s">
        <v>12087</v>
      </c>
      <c r="C5954" s="1" t="s">
        <v>16412</v>
      </c>
      <c r="D5954" s="1" t="s">
        <v>27</v>
      </c>
      <c r="E5954" s="1" t="s">
        <v>28</v>
      </c>
      <c r="F5954" s="2">
        <v>12325.0</v>
      </c>
      <c r="G5954" s="4">
        <v>44599.0</v>
      </c>
      <c r="H5954" s="4">
        <f>IFERROR(__xludf.DUMMYFUNCTION("DATE(INDEX(SPLIT(G5954,""/""),,3),INDEX(SPLIT(G5954,""/""),,2),INDEX(SPLIT(G5954,""/""),,1))"),44744.0)</f>
        <v>44744</v>
      </c>
      <c r="I5954" s="1" t="s">
        <v>414</v>
      </c>
      <c r="J5954" s="4">
        <f>IFERROR(__xludf.DUMMYFUNCTION("DATE(INDEX(SPLIT(I5954,""/""),,3),INDEX(SPLIT(I5954,""/""),,2),INDEX(SPLIT(I5954,""/""),,1))"),44772.0)</f>
        <v>44772</v>
      </c>
      <c r="L5954" s="1">
        <v>0.0</v>
      </c>
      <c r="M5954" s="1" t="s">
        <v>11254</v>
      </c>
      <c r="N5954" s="1"/>
      <c r="O5954" s="1" t="s">
        <v>30</v>
      </c>
      <c r="P5954" s="1" t="s">
        <v>31</v>
      </c>
      <c r="Q5954" s="1" t="s">
        <v>228</v>
      </c>
      <c r="R5954" s="1" t="s">
        <v>228</v>
      </c>
      <c r="S5954" s="1" t="s">
        <v>229</v>
      </c>
      <c r="T5954" s="1" t="s">
        <v>513</v>
      </c>
      <c r="U5954" s="1">
        <v>1.00602248E8</v>
      </c>
      <c r="X5954" s="1" t="s">
        <v>239</v>
      </c>
      <c r="Y5954" s="1" t="s">
        <v>14932</v>
      </c>
      <c r="Z5954" s="1" t="s">
        <v>37</v>
      </c>
    </row>
    <row r="5955" hidden="1">
      <c r="A5955" s="1" t="s">
        <v>16413</v>
      </c>
      <c r="B5955" s="1" t="s">
        <v>16414</v>
      </c>
      <c r="C5955" s="1" t="s">
        <v>16415</v>
      </c>
      <c r="D5955" s="1" t="s">
        <v>27</v>
      </c>
      <c r="E5955" s="1" t="s">
        <v>28</v>
      </c>
      <c r="F5955" s="2">
        <v>12000.0</v>
      </c>
      <c r="G5955" s="4">
        <v>44236.0</v>
      </c>
      <c r="H5955" s="4">
        <f>IFERROR(__xludf.DUMMYFUNCTION("DATE(INDEX(SPLIT(G5955,""/""),,3),INDEX(SPLIT(G5955,""/""),,2),INDEX(SPLIT(G5955,""/""),,1))"),44441.0)</f>
        <v>44441</v>
      </c>
      <c r="I5955" s="1" t="s">
        <v>42</v>
      </c>
      <c r="J5955" s="4">
        <f>IFERROR(__xludf.DUMMYFUNCTION("DATE(INDEX(SPLIT(I5955,""/""),,3),INDEX(SPLIT(I5955,""/""),,2),INDEX(SPLIT(I5955,""/""),,1))"),44926.0)</f>
        <v>44926</v>
      </c>
      <c r="L5955" s="1">
        <v>0.0</v>
      </c>
      <c r="M5955" s="1" t="s">
        <v>12039</v>
      </c>
      <c r="N5955" s="1"/>
      <c r="O5955" s="1" t="s">
        <v>30</v>
      </c>
      <c r="P5955" s="1" t="s">
        <v>31</v>
      </c>
      <c r="Q5955" s="1" t="s">
        <v>228</v>
      </c>
      <c r="R5955" s="1" t="s">
        <v>228</v>
      </c>
      <c r="S5955" s="1" t="s">
        <v>229</v>
      </c>
      <c r="T5955" s="1" t="s">
        <v>513</v>
      </c>
      <c r="U5955" s="1">
        <v>1.00612509E8</v>
      </c>
      <c r="X5955" s="1" t="s">
        <v>74</v>
      </c>
      <c r="Y5955" s="1" t="s">
        <v>13638</v>
      </c>
      <c r="Z5955" s="1" t="s">
        <v>37</v>
      </c>
    </row>
    <row r="5956" hidden="1">
      <c r="A5956" s="1" t="s">
        <v>16416</v>
      </c>
      <c r="B5956" s="1" t="s">
        <v>16053</v>
      </c>
      <c r="C5956" s="1" t="s">
        <v>16417</v>
      </c>
      <c r="D5956" s="1" t="s">
        <v>78</v>
      </c>
      <c r="E5956" s="1" t="s">
        <v>28</v>
      </c>
      <c r="F5956" s="2">
        <v>12000.0</v>
      </c>
      <c r="G5956" s="1" t="s">
        <v>343</v>
      </c>
      <c r="H5956" s="4">
        <f>IFERROR(__xludf.DUMMYFUNCTION("DATE(INDEX(SPLIT(G5956,""/""),,3),INDEX(SPLIT(G5956,""/""),,2),INDEX(SPLIT(G5956,""/""),,1))"),44761.0)</f>
        <v>44761</v>
      </c>
      <c r="I5956" s="1" t="s">
        <v>130</v>
      </c>
      <c r="J5956" s="4">
        <f>IFERROR(__xludf.DUMMYFUNCTION("DATE(INDEX(SPLIT(I5956,""/""),,3),INDEX(SPLIT(I5956,""/""),,2),INDEX(SPLIT(I5956,""/""),,1))"),44804.0)</f>
        <v>44804</v>
      </c>
      <c r="L5956" s="1">
        <v>0.0</v>
      </c>
      <c r="M5956" s="1" t="s">
        <v>13893</v>
      </c>
      <c r="N5956" s="1"/>
      <c r="O5956" s="1" t="s">
        <v>30</v>
      </c>
      <c r="P5956" s="1" t="s">
        <v>31</v>
      </c>
      <c r="Q5956" s="1" t="s">
        <v>228</v>
      </c>
      <c r="R5956" s="1" t="s">
        <v>228</v>
      </c>
      <c r="S5956" s="1" t="s">
        <v>229</v>
      </c>
      <c r="T5956" s="1" t="s">
        <v>513</v>
      </c>
      <c r="U5956" s="1">
        <v>1.00660529E8</v>
      </c>
      <c r="X5956" s="1" t="s">
        <v>88</v>
      </c>
      <c r="Y5956" s="1" t="s">
        <v>14321</v>
      </c>
      <c r="Z5956" s="1" t="s">
        <v>206</v>
      </c>
    </row>
    <row r="5957" hidden="1">
      <c r="A5957" s="1" t="s">
        <v>16418</v>
      </c>
      <c r="B5957" s="1" t="s">
        <v>6405</v>
      </c>
      <c r="C5957" s="1" t="s">
        <v>16419</v>
      </c>
      <c r="D5957" s="1" t="s">
        <v>78</v>
      </c>
      <c r="E5957" s="1" t="s">
        <v>28</v>
      </c>
      <c r="F5957" s="2">
        <v>12000.0</v>
      </c>
      <c r="G5957" s="1" t="s">
        <v>940</v>
      </c>
      <c r="H5957" s="4">
        <f>IFERROR(__xludf.DUMMYFUNCTION("DATE(INDEX(SPLIT(G5957,""/""),,3),INDEX(SPLIT(G5957,""/""),,2),INDEX(SPLIT(G5957,""/""),,1))"),44574.0)</f>
        <v>44574</v>
      </c>
      <c r="I5957" s="1" t="s">
        <v>42</v>
      </c>
      <c r="J5957" s="4">
        <f>IFERROR(__xludf.DUMMYFUNCTION("DATE(INDEX(SPLIT(I5957,""/""),,3),INDEX(SPLIT(I5957,""/""),,2),INDEX(SPLIT(I5957,""/""),,1))"),44926.0)</f>
        <v>44926</v>
      </c>
      <c r="L5957" s="1">
        <v>0.0</v>
      </c>
      <c r="M5957" s="1" t="s">
        <v>12039</v>
      </c>
      <c r="N5957" s="1"/>
      <c r="O5957" s="1" t="s">
        <v>30</v>
      </c>
      <c r="P5957" s="1" t="s">
        <v>31</v>
      </c>
      <c r="Q5957" s="1" t="s">
        <v>228</v>
      </c>
      <c r="R5957" s="1" t="s">
        <v>228</v>
      </c>
      <c r="S5957" s="1" t="s">
        <v>229</v>
      </c>
      <c r="T5957" s="1" t="s">
        <v>513</v>
      </c>
      <c r="U5957" s="1">
        <v>1.00612509E8</v>
      </c>
      <c r="X5957" s="1" t="s">
        <v>74</v>
      </c>
      <c r="Y5957" s="1" t="s">
        <v>12640</v>
      </c>
      <c r="Z5957" s="1" t="s">
        <v>37</v>
      </c>
    </row>
    <row r="5958" hidden="1">
      <c r="A5958" s="1" t="s">
        <v>16420</v>
      </c>
      <c r="B5958" s="1" t="s">
        <v>16421</v>
      </c>
      <c r="C5958" s="1" t="s">
        <v>16422</v>
      </c>
      <c r="D5958" s="1" t="s">
        <v>122</v>
      </c>
      <c r="E5958" s="1" t="s">
        <v>28</v>
      </c>
      <c r="F5958" s="2">
        <v>12000.0</v>
      </c>
      <c r="G5958" s="1" t="s">
        <v>343</v>
      </c>
      <c r="H5958" s="4">
        <f>IFERROR(__xludf.DUMMYFUNCTION("DATE(INDEX(SPLIT(G5958,""/""),,3),INDEX(SPLIT(G5958,""/""),,2),INDEX(SPLIT(G5958,""/""),,1))"),44761.0)</f>
        <v>44761</v>
      </c>
      <c r="I5958" s="1" t="s">
        <v>130</v>
      </c>
      <c r="J5958" s="4">
        <f>IFERROR(__xludf.DUMMYFUNCTION("DATE(INDEX(SPLIT(I5958,""/""),,3),INDEX(SPLIT(I5958,""/""),,2),INDEX(SPLIT(I5958,""/""),,1))"),44804.0)</f>
        <v>44804</v>
      </c>
      <c r="L5958" s="1">
        <v>0.0</v>
      </c>
      <c r="M5958" s="1" t="s">
        <v>13893</v>
      </c>
      <c r="N5958" s="1"/>
      <c r="O5958" s="1" t="s">
        <v>30</v>
      </c>
      <c r="P5958" s="1" t="s">
        <v>31</v>
      </c>
      <c r="Q5958" s="1" t="s">
        <v>228</v>
      </c>
      <c r="R5958" s="1" t="s">
        <v>228</v>
      </c>
      <c r="S5958" s="1" t="s">
        <v>229</v>
      </c>
      <c r="T5958" s="1" t="s">
        <v>513</v>
      </c>
      <c r="U5958" s="1">
        <v>1.00660529E8</v>
      </c>
      <c r="X5958" s="1" t="s">
        <v>117</v>
      </c>
      <c r="Y5958" s="1" t="s">
        <v>14321</v>
      </c>
      <c r="Z5958" s="1" t="s">
        <v>206</v>
      </c>
    </row>
    <row r="5959" hidden="1">
      <c r="A5959" s="1" t="s">
        <v>16423</v>
      </c>
      <c r="B5959" s="1" t="s">
        <v>971</v>
      </c>
      <c r="C5959" s="1" t="s">
        <v>16424</v>
      </c>
      <c r="D5959" s="1" t="s">
        <v>27</v>
      </c>
      <c r="E5959" s="1" t="s">
        <v>28</v>
      </c>
      <c r="F5959" s="2">
        <v>12000.0</v>
      </c>
      <c r="G5959" s="1" t="s">
        <v>2629</v>
      </c>
      <c r="H5959" s="4">
        <f>IFERROR(__xludf.DUMMYFUNCTION("DATE(INDEX(SPLIT(G5959,""/""),,3),INDEX(SPLIT(G5959,""/""),,2),INDEX(SPLIT(G5959,""/""),,1))"),44651.0)</f>
        <v>44651</v>
      </c>
      <c r="I5959" s="1" t="s">
        <v>42</v>
      </c>
      <c r="J5959" s="4">
        <f>IFERROR(__xludf.DUMMYFUNCTION("DATE(INDEX(SPLIT(I5959,""/""),,3),INDEX(SPLIT(I5959,""/""),,2),INDEX(SPLIT(I5959,""/""),,1))"),44926.0)</f>
        <v>44926</v>
      </c>
      <c r="L5959" s="1">
        <v>0.0</v>
      </c>
      <c r="M5959" s="1" t="s">
        <v>11254</v>
      </c>
      <c r="N5959" s="1"/>
      <c r="O5959" s="1" t="s">
        <v>30</v>
      </c>
      <c r="P5959" s="1" t="s">
        <v>31</v>
      </c>
      <c r="Q5959" s="1" t="s">
        <v>228</v>
      </c>
      <c r="R5959" s="1" t="s">
        <v>228</v>
      </c>
      <c r="S5959" s="1" t="s">
        <v>229</v>
      </c>
      <c r="T5959" s="1" t="s">
        <v>513</v>
      </c>
      <c r="U5959" s="1">
        <v>1.00602248E8</v>
      </c>
      <c r="X5959" s="1" t="s">
        <v>74</v>
      </c>
      <c r="Y5959" s="1" t="s">
        <v>12640</v>
      </c>
      <c r="Z5959" s="1" t="s">
        <v>37</v>
      </c>
    </row>
    <row r="5960" hidden="1">
      <c r="A5960" s="1" t="s">
        <v>16425</v>
      </c>
      <c r="B5960" s="1" t="s">
        <v>16426</v>
      </c>
      <c r="C5960" s="1" t="s">
        <v>16427</v>
      </c>
      <c r="D5960" s="1" t="s">
        <v>27</v>
      </c>
      <c r="E5960" s="1" t="s">
        <v>28</v>
      </c>
      <c r="F5960" s="2">
        <v>12000.0</v>
      </c>
      <c r="G5960" s="4">
        <v>44478.0</v>
      </c>
      <c r="H5960" s="4">
        <f>IFERROR(__xludf.DUMMYFUNCTION("DATE(INDEX(SPLIT(G5960,""/""),,3),INDEX(SPLIT(G5960,""/""),,2),INDEX(SPLIT(G5960,""/""),,1))"),44449.0)</f>
        <v>44449</v>
      </c>
      <c r="I5960" s="1" t="s">
        <v>203</v>
      </c>
      <c r="J5960" s="4">
        <f>IFERROR(__xludf.DUMMYFUNCTION("DATE(INDEX(SPLIT(I5960,""/""),,3),INDEX(SPLIT(I5960,""/""),,2),INDEX(SPLIT(I5960,""/""),,1))"),44925.0)</f>
        <v>44925</v>
      </c>
      <c r="L5960" s="1">
        <v>0.0</v>
      </c>
      <c r="M5960" s="1" t="s">
        <v>12039</v>
      </c>
      <c r="N5960" s="1"/>
      <c r="O5960" s="1" t="s">
        <v>30</v>
      </c>
      <c r="P5960" s="1" t="s">
        <v>31</v>
      </c>
      <c r="Q5960" s="1" t="s">
        <v>228</v>
      </c>
      <c r="R5960" s="1" t="s">
        <v>228</v>
      </c>
      <c r="S5960" s="1" t="s">
        <v>229</v>
      </c>
      <c r="T5960" s="1" t="s">
        <v>513</v>
      </c>
      <c r="U5960" s="1">
        <v>1.00612509E8</v>
      </c>
      <c r="X5960" s="1" t="s">
        <v>98</v>
      </c>
      <c r="Y5960" s="1" t="s">
        <v>12637</v>
      </c>
      <c r="Z5960" s="1" t="s">
        <v>37</v>
      </c>
    </row>
    <row r="5961" hidden="1">
      <c r="A5961" s="1" t="s">
        <v>16428</v>
      </c>
      <c r="B5961" s="1" t="s">
        <v>16275</v>
      </c>
      <c r="C5961" s="1" t="s">
        <v>16429</v>
      </c>
      <c r="D5961" s="1" t="s">
        <v>78</v>
      </c>
      <c r="E5961" s="1" t="s">
        <v>28</v>
      </c>
      <c r="F5961" s="2">
        <v>11000.0</v>
      </c>
      <c r="G5961" s="1" t="s">
        <v>2309</v>
      </c>
      <c r="H5961" s="4">
        <f>IFERROR(__xludf.DUMMYFUNCTION("DATE(INDEX(SPLIT(G5961,""/""),,3),INDEX(SPLIT(G5961,""/""),,2),INDEX(SPLIT(G5961,""/""),,1))"),44672.0)</f>
        <v>44672</v>
      </c>
      <c r="I5961" s="1" t="s">
        <v>109</v>
      </c>
      <c r="J5961" s="4">
        <f>IFERROR(__xludf.DUMMYFUNCTION("DATE(INDEX(SPLIT(I5961,""/""),,3),INDEX(SPLIT(I5961,""/""),,2),INDEX(SPLIT(I5961,""/""),,1))"),44834.0)</f>
        <v>44834</v>
      </c>
      <c r="L5961" s="1">
        <v>0.0</v>
      </c>
      <c r="M5961" s="1" t="s">
        <v>11254</v>
      </c>
      <c r="N5961" s="1"/>
      <c r="O5961" s="1" t="s">
        <v>30</v>
      </c>
      <c r="P5961" s="1" t="s">
        <v>31</v>
      </c>
      <c r="Q5961" s="1" t="s">
        <v>228</v>
      </c>
      <c r="R5961" s="1" t="s">
        <v>228</v>
      </c>
      <c r="S5961" s="1" t="s">
        <v>229</v>
      </c>
      <c r="T5961" s="1" t="s">
        <v>513</v>
      </c>
      <c r="U5961" s="1">
        <v>1.00602248E8</v>
      </c>
      <c r="X5961" s="1" t="s">
        <v>63</v>
      </c>
      <c r="Y5961" s="1" t="s">
        <v>16430</v>
      </c>
      <c r="Z5961" s="1" t="s">
        <v>37</v>
      </c>
    </row>
    <row r="5962" hidden="1">
      <c r="A5962" s="1" t="s">
        <v>16431</v>
      </c>
      <c r="B5962" s="1" t="s">
        <v>16432</v>
      </c>
      <c r="C5962" s="1" t="s">
        <v>16433</v>
      </c>
      <c r="D5962" s="1" t="s">
        <v>122</v>
      </c>
      <c r="E5962" s="1" t="s">
        <v>28</v>
      </c>
      <c r="F5962" s="2">
        <v>11000.0</v>
      </c>
      <c r="G5962" s="1" t="s">
        <v>1058</v>
      </c>
      <c r="H5962" s="4">
        <f>IFERROR(__xludf.DUMMYFUNCTION("DATE(INDEX(SPLIT(G5962,""/""),,3),INDEX(SPLIT(G5962,""/""),,2),INDEX(SPLIT(G5962,""/""),,1))"),44733.0)</f>
        <v>44733</v>
      </c>
      <c r="I5962" s="4">
        <v>44903.0</v>
      </c>
      <c r="J5962" s="4">
        <f>IFERROR(__xludf.DUMMYFUNCTION("DATE(INDEX(SPLIT(I5962,""/""),,3),INDEX(SPLIT(I5962,""/""),,2),INDEX(SPLIT(I5962,""/""),,1))"),44785.0)</f>
        <v>44785</v>
      </c>
      <c r="L5962" s="1">
        <v>0.0</v>
      </c>
      <c r="M5962" s="1" t="s">
        <v>10627</v>
      </c>
      <c r="N5962" s="1"/>
      <c r="O5962" s="1" t="s">
        <v>30</v>
      </c>
      <c r="P5962" s="1" t="s">
        <v>31</v>
      </c>
      <c r="Q5962" s="1" t="s">
        <v>228</v>
      </c>
      <c r="R5962" s="1" t="s">
        <v>228</v>
      </c>
      <c r="S5962" s="1" t="s">
        <v>229</v>
      </c>
      <c r="T5962" s="1" t="s">
        <v>513</v>
      </c>
      <c r="U5962" s="1">
        <v>1.00614969E8</v>
      </c>
      <c r="Y5962" s="1" t="s">
        <v>12700</v>
      </c>
      <c r="Z5962" s="1" t="s">
        <v>37</v>
      </c>
    </row>
    <row r="5963">
      <c r="A5963" s="1" t="s">
        <v>16434</v>
      </c>
      <c r="B5963" s="1" t="s">
        <v>16435</v>
      </c>
      <c r="C5963" s="1" t="s">
        <v>16436</v>
      </c>
      <c r="D5963" s="1" t="s">
        <v>27</v>
      </c>
      <c r="E5963" s="1" t="s">
        <v>28</v>
      </c>
      <c r="F5963" s="2">
        <v>10375.0</v>
      </c>
      <c r="G5963" s="4">
        <v>44599.0</v>
      </c>
      <c r="H5963" s="4">
        <f>IFERROR(__xludf.DUMMYFUNCTION("DATE(INDEX(SPLIT(G5963,""/""),,3),INDEX(SPLIT(G5963,""/""),,2),INDEX(SPLIT(G5963,""/""),,1))"),44744.0)</f>
        <v>44744</v>
      </c>
      <c r="I5963" s="1" t="s">
        <v>414</v>
      </c>
      <c r="J5963" s="4">
        <f>IFERROR(__xludf.DUMMYFUNCTION("DATE(INDEX(SPLIT(I5963,""/""),,3),INDEX(SPLIT(I5963,""/""),,2),INDEX(SPLIT(I5963,""/""),,1))"),44772.0)</f>
        <v>44772</v>
      </c>
      <c r="L5963" s="1">
        <v>0.0</v>
      </c>
      <c r="M5963" s="1" t="s">
        <v>11254</v>
      </c>
      <c r="N5963" s="1"/>
      <c r="O5963" s="1" t="s">
        <v>30</v>
      </c>
      <c r="P5963" s="1" t="s">
        <v>31</v>
      </c>
      <c r="Q5963" s="1" t="s">
        <v>228</v>
      </c>
      <c r="R5963" s="1" t="s">
        <v>228</v>
      </c>
      <c r="S5963" s="1" t="s">
        <v>229</v>
      </c>
      <c r="U5963" s="1">
        <v>1.00602248E8</v>
      </c>
      <c r="X5963" s="1" t="s">
        <v>117</v>
      </c>
      <c r="Y5963" s="1" t="s">
        <v>14932</v>
      </c>
      <c r="Z5963" s="1" t="s">
        <v>37</v>
      </c>
    </row>
    <row r="5964" hidden="1">
      <c r="A5964" s="1" t="s">
        <v>16437</v>
      </c>
      <c r="B5964" s="1" t="s">
        <v>2174</v>
      </c>
      <c r="C5964" s="1" t="s">
        <v>16438</v>
      </c>
      <c r="D5964" s="1" t="s">
        <v>78</v>
      </c>
      <c r="E5964" s="1" t="s">
        <v>28</v>
      </c>
      <c r="F5964" s="2">
        <v>10000.0</v>
      </c>
      <c r="G5964" s="4">
        <v>43651.0</v>
      </c>
      <c r="H5964" s="4">
        <f>IFERROR(__xludf.DUMMYFUNCTION("DATE(INDEX(SPLIT(G5964,""/""),,3),INDEX(SPLIT(G5964,""/""),,2),INDEX(SPLIT(G5964,""/""),,1))"),43592.0)</f>
        <v>43592</v>
      </c>
      <c r="I5964" s="1" t="s">
        <v>786</v>
      </c>
      <c r="J5964" s="4">
        <f>IFERROR(__xludf.DUMMYFUNCTION("DATE(INDEX(SPLIT(I5964,""/""),,3),INDEX(SPLIT(I5964,""/""),,2),INDEX(SPLIT(I5964,""/""),,1))"),44915.0)</f>
        <v>44915</v>
      </c>
      <c r="L5964" s="1">
        <v>0.0</v>
      </c>
      <c r="M5964" s="1" t="s">
        <v>2277</v>
      </c>
      <c r="N5964" s="1"/>
      <c r="O5964" s="1" t="s">
        <v>30</v>
      </c>
      <c r="P5964" s="1" t="s">
        <v>31</v>
      </c>
      <c r="Q5964" s="1" t="s">
        <v>71</v>
      </c>
      <c r="R5964" s="1" t="s">
        <v>71</v>
      </c>
      <c r="S5964" s="1" t="s">
        <v>72</v>
      </c>
      <c r="T5964" s="1" t="s">
        <v>16439</v>
      </c>
      <c r="U5964" s="1">
        <v>1.00619607E8</v>
      </c>
      <c r="X5964" s="1" t="s">
        <v>2028</v>
      </c>
      <c r="Y5964" s="1" t="s">
        <v>16440</v>
      </c>
      <c r="Z5964" s="1" t="s">
        <v>37</v>
      </c>
    </row>
    <row r="5965">
      <c r="A5965" s="1" t="s">
        <v>16441</v>
      </c>
      <c r="B5965" s="1" t="s">
        <v>1748</v>
      </c>
      <c r="C5965" s="1" t="s">
        <v>16442</v>
      </c>
      <c r="D5965" s="1" t="s">
        <v>27</v>
      </c>
      <c r="E5965" s="1" t="s">
        <v>28</v>
      </c>
      <c r="F5965" s="2">
        <v>10000.0</v>
      </c>
      <c r="G5965" s="1" t="s">
        <v>682</v>
      </c>
      <c r="H5965" s="4">
        <f>IFERROR(__xludf.DUMMYFUNCTION("DATE(INDEX(SPLIT(G5965,""/""),,3),INDEX(SPLIT(G5965,""/""),,2),INDEX(SPLIT(G5965,""/""),,1))"),44406.0)</f>
        <v>44406</v>
      </c>
      <c r="I5965" s="1" t="s">
        <v>472</v>
      </c>
      <c r="J5965" s="4">
        <f>IFERROR(__xludf.DUMMYFUNCTION("DATE(INDEX(SPLIT(I5965,""/""),,3),INDEX(SPLIT(I5965,""/""),,2),INDEX(SPLIT(I5965,""/""),,1))"),44760.0)</f>
        <v>44760</v>
      </c>
      <c r="L5965" s="1">
        <v>0.0</v>
      </c>
      <c r="M5965" s="1" t="s">
        <v>4022</v>
      </c>
      <c r="N5965" s="1"/>
      <c r="O5965" s="1" t="s">
        <v>30</v>
      </c>
      <c r="P5965" s="1" t="s">
        <v>31</v>
      </c>
      <c r="Q5965" s="1" t="s">
        <v>235</v>
      </c>
      <c r="R5965" s="1" t="s">
        <v>235</v>
      </c>
      <c r="S5965" s="1" t="s">
        <v>236</v>
      </c>
      <c r="T5965" s="1" t="s">
        <v>753</v>
      </c>
      <c r="U5965" s="1">
        <v>1.00648421E8</v>
      </c>
      <c r="X5965" s="1" t="s">
        <v>88</v>
      </c>
      <c r="Y5965" s="1" t="s">
        <v>11019</v>
      </c>
      <c r="Z5965" s="1" t="s">
        <v>37</v>
      </c>
    </row>
    <row r="5966" hidden="1">
      <c r="A5966" s="1" t="s">
        <v>16443</v>
      </c>
      <c r="B5966" s="1" t="s">
        <v>16444</v>
      </c>
      <c r="C5966" s="1" t="s">
        <v>16445</v>
      </c>
      <c r="D5966" s="1" t="s">
        <v>122</v>
      </c>
      <c r="E5966" s="1" t="s">
        <v>28</v>
      </c>
      <c r="F5966" s="2">
        <v>10000.0</v>
      </c>
      <c r="G5966" s="4">
        <v>44565.0</v>
      </c>
      <c r="H5966" s="4">
        <f>IFERROR(__xludf.DUMMYFUNCTION("DATE(INDEX(SPLIT(G5966,""/""),,3),INDEX(SPLIT(G5966,""/""),,2),INDEX(SPLIT(G5966,""/""),,1))"),44652.0)</f>
        <v>44652</v>
      </c>
      <c r="I5966" s="1" t="s">
        <v>109</v>
      </c>
      <c r="J5966" s="4">
        <f>IFERROR(__xludf.DUMMYFUNCTION("DATE(INDEX(SPLIT(I5966,""/""),,3),INDEX(SPLIT(I5966,""/""),,2),INDEX(SPLIT(I5966,""/""),,1))"),44834.0)</f>
        <v>44834</v>
      </c>
      <c r="L5966" s="1">
        <v>0.0</v>
      </c>
      <c r="M5966" s="1" t="s">
        <v>11254</v>
      </c>
      <c r="N5966" s="1"/>
      <c r="O5966" s="1" t="s">
        <v>30</v>
      </c>
      <c r="P5966" s="1" t="s">
        <v>31</v>
      </c>
      <c r="Q5966" s="1" t="s">
        <v>228</v>
      </c>
      <c r="R5966" s="1" t="s">
        <v>228</v>
      </c>
      <c r="S5966" s="1" t="s">
        <v>229</v>
      </c>
      <c r="T5966" s="1" t="s">
        <v>513</v>
      </c>
      <c r="U5966" s="1">
        <v>1.00602248E8</v>
      </c>
      <c r="X5966" s="1" t="s">
        <v>2028</v>
      </c>
      <c r="Y5966" s="1" t="s">
        <v>16446</v>
      </c>
      <c r="Z5966" s="1" t="s">
        <v>37</v>
      </c>
    </row>
    <row r="5967" hidden="1">
      <c r="A5967" s="1" t="s">
        <v>16447</v>
      </c>
      <c r="B5967" s="1" t="s">
        <v>1257</v>
      </c>
      <c r="C5967" s="1" t="s">
        <v>16448</v>
      </c>
      <c r="D5967" s="1" t="s">
        <v>27</v>
      </c>
      <c r="E5967" s="1" t="s">
        <v>28</v>
      </c>
      <c r="F5967" s="2">
        <v>10000.0</v>
      </c>
      <c r="G5967" s="1" t="s">
        <v>4288</v>
      </c>
      <c r="H5967" s="4">
        <f>IFERROR(__xludf.DUMMYFUNCTION("DATE(INDEX(SPLIT(G5967,""/""),,3),INDEX(SPLIT(G5967,""/""),,2),INDEX(SPLIT(G5967,""/""),,1))"),44254.0)</f>
        <v>44254</v>
      </c>
      <c r="I5967" s="1" t="s">
        <v>42</v>
      </c>
      <c r="J5967" s="4">
        <f>IFERROR(__xludf.DUMMYFUNCTION("DATE(INDEX(SPLIT(I5967,""/""),,3),INDEX(SPLIT(I5967,""/""),,2),INDEX(SPLIT(I5967,""/""),,1))"),44926.0)</f>
        <v>44926</v>
      </c>
      <c r="L5967" s="1">
        <v>0.0</v>
      </c>
      <c r="M5967" s="1" t="s">
        <v>11254</v>
      </c>
      <c r="N5967" s="1"/>
      <c r="O5967" s="1" t="s">
        <v>30</v>
      </c>
      <c r="P5967" s="1" t="s">
        <v>31</v>
      </c>
      <c r="Q5967" s="1" t="s">
        <v>228</v>
      </c>
      <c r="R5967" s="1" t="s">
        <v>228</v>
      </c>
      <c r="S5967" s="1" t="s">
        <v>229</v>
      </c>
      <c r="T5967" s="1" t="s">
        <v>513</v>
      </c>
      <c r="U5967" s="1">
        <v>1.00602248E8</v>
      </c>
      <c r="X5967" s="1" t="s">
        <v>81</v>
      </c>
      <c r="Y5967" s="1" t="s">
        <v>13638</v>
      </c>
      <c r="Z5967" s="1" t="s">
        <v>37</v>
      </c>
    </row>
    <row r="5968" hidden="1">
      <c r="A5968" s="1" t="s">
        <v>16449</v>
      </c>
      <c r="B5968" s="1" t="s">
        <v>4361</v>
      </c>
      <c r="C5968" s="1" t="s">
        <v>16450</v>
      </c>
      <c r="D5968" s="1" t="s">
        <v>27</v>
      </c>
      <c r="E5968" s="1" t="s">
        <v>28</v>
      </c>
      <c r="F5968" s="2">
        <v>10000.0</v>
      </c>
      <c r="G5968" s="1" t="s">
        <v>1190</v>
      </c>
      <c r="H5968" s="4">
        <f>IFERROR(__xludf.DUMMYFUNCTION("DATE(INDEX(SPLIT(G5968,""/""),,3),INDEX(SPLIT(G5968,""/""),,2),INDEX(SPLIT(G5968,""/""),,1))"),44397.0)</f>
        <v>44397</v>
      </c>
      <c r="I5968" s="1" t="s">
        <v>130</v>
      </c>
      <c r="J5968" s="4">
        <f>IFERROR(__xludf.DUMMYFUNCTION("DATE(INDEX(SPLIT(I5968,""/""),,3),INDEX(SPLIT(I5968,""/""),,2),INDEX(SPLIT(I5968,""/""),,1))"),44804.0)</f>
        <v>44804</v>
      </c>
      <c r="L5968" s="1">
        <v>0.0</v>
      </c>
      <c r="M5968" s="1" t="s">
        <v>8315</v>
      </c>
      <c r="N5968" s="1"/>
      <c r="O5968" s="1" t="s">
        <v>30</v>
      </c>
      <c r="P5968" s="1" t="s">
        <v>31</v>
      </c>
      <c r="Q5968" s="1" t="s">
        <v>95</v>
      </c>
      <c r="R5968" s="1" t="s">
        <v>95</v>
      </c>
      <c r="S5968" s="1" t="s">
        <v>96</v>
      </c>
      <c r="T5968" s="1" t="s">
        <v>111</v>
      </c>
      <c r="U5968" s="1">
        <v>1.00625107E8</v>
      </c>
      <c r="X5968" s="1" t="s">
        <v>63</v>
      </c>
      <c r="Y5968" s="1" t="s">
        <v>985</v>
      </c>
      <c r="Z5968" s="1" t="s">
        <v>206</v>
      </c>
    </row>
    <row r="5969">
      <c r="A5969" s="1" t="s">
        <v>16451</v>
      </c>
      <c r="B5969" s="1" t="s">
        <v>16452</v>
      </c>
      <c r="C5969" s="1" t="s">
        <v>16453</v>
      </c>
      <c r="D5969" s="1" t="s">
        <v>27</v>
      </c>
      <c r="E5969" s="1" t="s">
        <v>28</v>
      </c>
      <c r="F5969" s="2">
        <v>10000.0</v>
      </c>
      <c r="G5969" s="1" t="s">
        <v>16454</v>
      </c>
      <c r="H5969" s="4">
        <f>IFERROR(__xludf.DUMMYFUNCTION("DATE(INDEX(SPLIT(G5969,""/""),,3),INDEX(SPLIT(G5969,""/""),,2),INDEX(SPLIT(G5969,""/""),,1))"),43372.0)</f>
        <v>43372</v>
      </c>
      <c r="I5969" s="1" t="s">
        <v>226</v>
      </c>
      <c r="J5969" s="4">
        <f>IFERROR(__xludf.DUMMYFUNCTION("DATE(INDEX(SPLIT(I5969,""/""),,3),INDEX(SPLIT(I5969,""/""),,2),INDEX(SPLIT(I5969,""/""),,1))"),44771.0)</f>
        <v>44771</v>
      </c>
      <c r="L5969" s="1">
        <v>0.0</v>
      </c>
      <c r="M5969" s="1" t="s">
        <v>2696</v>
      </c>
      <c r="N5969" s="1"/>
      <c r="O5969" s="1" t="s">
        <v>30</v>
      </c>
      <c r="P5969" s="1" t="s">
        <v>31</v>
      </c>
      <c r="Q5969" s="1" t="s">
        <v>157</v>
      </c>
      <c r="R5969" s="1" t="s">
        <v>157</v>
      </c>
      <c r="S5969" s="1" t="s">
        <v>158</v>
      </c>
      <c r="T5969" s="1" t="s">
        <v>402</v>
      </c>
      <c r="U5969" s="1">
        <v>1.00611351E8</v>
      </c>
      <c r="X5969" s="1" t="s">
        <v>98</v>
      </c>
      <c r="Y5969" s="1" t="s">
        <v>3016</v>
      </c>
      <c r="Z5969" s="1" t="s">
        <v>37</v>
      </c>
    </row>
    <row r="5970" hidden="1">
      <c r="A5970" s="1" t="s">
        <v>16455</v>
      </c>
      <c r="B5970" s="1" t="s">
        <v>13864</v>
      </c>
      <c r="C5970" s="1" t="s">
        <v>16456</v>
      </c>
      <c r="D5970" s="1" t="s">
        <v>78</v>
      </c>
      <c r="E5970" s="1" t="s">
        <v>28</v>
      </c>
      <c r="F5970" s="2">
        <v>10000.0</v>
      </c>
      <c r="G5970" s="1" t="s">
        <v>4294</v>
      </c>
      <c r="H5970" s="4">
        <f>IFERROR(__xludf.DUMMYFUNCTION("DATE(INDEX(SPLIT(G5970,""/""),,3),INDEX(SPLIT(G5970,""/""),,2),INDEX(SPLIT(G5970,""/""),,1))"),44133.0)</f>
        <v>44133</v>
      </c>
      <c r="I5970" s="1" t="s">
        <v>203</v>
      </c>
      <c r="J5970" s="4">
        <f>IFERROR(__xludf.DUMMYFUNCTION("DATE(INDEX(SPLIT(I5970,""/""),,3),INDEX(SPLIT(I5970,""/""),,2),INDEX(SPLIT(I5970,""/""),,1))"),44925.0)</f>
        <v>44925</v>
      </c>
      <c r="L5970" s="1">
        <v>0.0</v>
      </c>
      <c r="M5970" s="1" t="s">
        <v>16457</v>
      </c>
      <c r="N5970" s="1"/>
      <c r="O5970" s="1" t="s">
        <v>30</v>
      </c>
      <c r="P5970" s="1" t="s">
        <v>31</v>
      </c>
      <c r="Q5970" s="1" t="s">
        <v>1320</v>
      </c>
      <c r="R5970" s="1" t="s">
        <v>1320</v>
      </c>
      <c r="S5970" s="1" t="s">
        <v>54</v>
      </c>
      <c r="U5970" s="1">
        <v>1.0059329E8</v>
      </c>
      <c r="X5970" s="1" t="s">
        <v>125</v>
      </c>
      <c r="Y5970" s="1" t="s">
        <v>16457</v>
      </c>
      <c r="Z5970" s="1" t="s">
        <v>527</v>
      </c>
    </row>
    <row r="5971" hidden="1">
      <c r="A5971" s="1" t="s">
        <v>16458</v>
      </c>
      <c r="B5971" s="1" t="s">
        <v>13770</v>
      </c>
      <c r="C5971" s="1" t="s">
        <v>16459</v>
      </c>
      <c r="D5971" s="1" t="s">
        <v>27</v>
      </c>
      <c r="E5971" s="1" t="s">
        <v>28</v>
      </c>
      <c r="F5971" s="2">
        <v>10000.0</v>
      </c>
      <c r="G5971" s="1" t="s">
        <v>365</v>
      </c>
      <c r="H5971" s="4">
        <f>IFERROR(__xludf.DUMMYFUNCTION("DATE(INDEX(SPLIT(G5971,""/""),,3),INDEX(SPLIT(G5971,""/""),,2),INDEX(SPLIT(G5971,""/""),,1))"),44431.0)</f>
        <v>44431</v>
      </c>
      <c r="I5971" s="1" t="s">
        <v>42</v>
      </c>
      <c r="J5971" s="4">
        <f>IFERROR(__xludf.DUMMYFUNCTION("DATE(INDEX(SPLIT(I5971,""/""),,3),INDEX(SPLIT(I5971,""/""),,2),INDEX(SPLIT(I5971,""/""),,1))"),44926.0)</f>
        <v>44926</v>
      </c>
      <c r="L5971" s="1">
        <v>0.0</v>
      </c>
      <c r="M5971" s="1" t="s">
        <v>11387</v>
      </c>
      <c r="N5971" s="1"/>
      <c r="O5971" s="1" t="s">
        <v>30</v>
      </c>
      <c r="P5971" s="1" t="s">
        <v>31</v>
      </c>
      <c r="Q5971" s="1" t="s">
        <v>228</v>
      </c>
      <c r="R5971" s="1" t="s">
        <v>228</v>
      </c>
      <c r="S5971" s="1" t="s">
        <v>229</v>
      </c>
      <c r="U5971" s="1">
        <v>1.00646528E8</v>
      </c>
      <c r="X5971" s="1" t="s">
        <v>63</v>
      </c>
      <c r="Y5971" s="1" t="s">
        <v>1746</v>
      </c>
      <c r="Z5971" s="1" t="s">
        <v>527</v>
      </c>
    </row>
    <row r="5972">
      <c r="A5972" s="1" t="s">
        <v>16460</v>
      </c>
      <c r="B5972" s="1" t="s">
        <v>16461</v>
      </c>
      <c r="C5972" s="1" t="s">
        <v>12707</v>
      </c>
      <c r="D5972" s="1" t="s">
        <v>122</v>
      </c>
      <c r="E5972" s="1" t="s">
        <v>28</v>
      </c>
      <c r="F5972" s="2">
        <v>10000.0</v>
      </c>
      <c r="G5972" s="4">
        <v>44748.0</v>
      </c>
      <c r="H5972" s="4">
        <f>IFERROR(__xludf.DUMMYFUNCTION("DATE(INDEX(SPLIT(G5972,""/""),,3),INDEX(SPLIT(G5972,""/""),,2),INDEX(SPLIT(G5972,""/""),,1))"),44719.0)</f>
        <v>44719</v>
      </c>
      <c r="I5972" s="4">
        <v>44840.0</v>
      </c>
      <c r="J5972" s="4">
        <f>IFERROR(__xludf.DUMMYFUNCTION("DATE(INDEX(SPLIT(I5972,""/""),,3),INDEX(SPLIT(I5972,""/""),,2),INDEX(SPLIT(I5972,""/""),,1))"),44722.0)</f>
        <v>44722</v>
      </c>
      <c r="L5972" s="1">
        <v>0.0</v>
      </c>
      <c r="M5972" s="1" t="s">
        <v>6045</v>
      </c>
      <c r="N5972" s="1"/>
      <c r="O5972" s="1" t="s">
        <v>30</v>
      </c>
      <c r="P5972" s="1" t="s">
        <v>31</v>
      </c>
      <c r="Q5972" s="1" t="s">
        <v>228</v>
      </c>
      <c r="R5972" s="1" t="s">
        <v>228</v>
      </c>
      <c r="S5972" s="1" t="s">
        <v>229</v>
      </c>
      <c r="T5972" s="1" t="s">
        <v>513</v>
      </c>
      <c r="U5972" s="1">
        <v>1.00652479E8</v>
      </c>
      <c r="X5972" s="1" t="s">
        <v>254</v>
      </c>
      <c r="Y5972" s="1" t="s">
        <v>11668</v>
      </c>
      <c r="Z5972" s="1" t="s">
        <v>37</v>
      </c>
    </row>
    <row r="5973" hidden="1">
      <c r="A5973" s="1" t="s">
        <v>16462</v>
      </c>
      <c r="B5973" s="1" t="s">
        <v>8073</v>
      </c>
      <c r="C5973" s="1" t="s">
        <v>16463</v>
      </c>
      <c r="D5973" s="1" t="s">
        <v>78</v>
      </c>
      <c r="E5973" s="1" t="s">
        <v>28</v>
      </c>
      <c r="F5973" s="2">
        <v>10000.0</v>
      </c>
      <c r="G5973" s="4">
        <v>44326.0</v>
      </c>
      <c r="H5973" s="4">
        <f>IFERROR(__xludf.DUMMYFUNCTION("DATE(INDEX(SPLIT(G5973,""/""),,3),INDEX(SPLIT(G5973,""/""),,2),INDEX(SPLIT(G5973,""/""),,1))"),44474.0)</f>
        <v>44474</v>
      </c>
      <c r="I5973" s="1" t="s">
        <v>109</v>
      </c>
      <c r="J5973" s="4">
        <f>IFERROR(__xludf.DUMMYFUNCTION("DATE(INDEX(SPLIT(I5973,""/""),,3),INDEX(SPLIT(I5973,""/""),,2),INDEX(SPLIT(I5973,""/""),,1))"),44834.0)</f>
        <v>44834</v>
      </c>
      <c r="L5973" s="1">
        <v>0.0</v>
      </c>
      <c r="M5973" s="1" t="s">
        <v>11254</v>
      </c>
      <c r="N5973" s="1"/>
      <c r="O5973" s="1" t="s">
        <v>30</v>
      </c>
      <c r="P5973" s="1" t="s">
        <v>31</v>
      </c>
      <c r="Q5973" s="1" t="s">
        <v>228</v>
      </c>
      <c r="R5973" s="1" t="s">
        <v>228</v>
      </c>
      <c r="S5973" s="1" t="s">
        <v>229</v>
      </c>
      <c r="T5973" s="1" t="s">
        <v>513</v>
      </c>
      <c r="U5973" s="1">
        <v>1.00602248E8</v>
      </c>
      <c r="X5973" s="1" t="s">
        <v>74</v>
      </c>
      <c r="Y5973" s="1" t="s">
        <v>12637</v>
      </c>
      <c r="Z5973" s="1" t="s">
        <v>37</v>
      </c>
    </row>
    <row r="5974" hidden="1">
      <c r="A5974" s="1" t="s">
        <v>16464</v>
      </c>
      <c r="B5974" s="1" t="s">
        <v>10513</v>
      </c>
      <c r="C5974" s="1" t="s">
        <v>16465</v>
      </c>
      <c r="D5974" s="1" t="s">
        <v>27</v>
      </c>
      <c r="E5974" s="1" t="s">
        <v>28</v>
      </c>
      <c r="F5974" s="2">
        <v>10000.0</v>
      </c>
      <c r="G5974" s="1" t="s">
        <v>1806</v>
      </c>
      <c r="H5974" s="4">
        <f>IFERROR(__xludf.DUMMYFUNCTION("DATE(INDEX(SPLIT(G5974,""/""),,3),INDEX(SPLIT(G5974,""/""),,2),INDEX(SPLIT(G5974,""/""),,1))"),44694.0)</f>
        <v>44694</v>
      </c>
      <c r="I5974" s="1" t="s">
        <v>130</v>
      </c>
      <c r="J5974" s="4">
        <f>IFERROR(__xludf.DUMMYFUNCTION("DATE(INDEX(SPLIT(I5974,""/""),,3),INDEX(SPLIT(I5974,""/""),,2),INDEX(SPLIT(I5974,""/""),,1))"),44804.0)</f>
        <v>44804</v>
      </c>
      <c r="L5974" s="1">
        <v>0.0</v>
      </c>
      <c r="M5974" s="1" t="s">
        <v>16466</v>
      </c>
      <c r="N5974" s="1"/>
      <c r="O5974" s="1" t="s">
        <v>30</v>
      </c>
      <c r="P5974" s="1" t="s">
        <v>31</v>
      </c>
      <c r="Q5974" s="1" t="s">
        <v>228</v>
      </c>
      <c r="R5974" s="1" t="s">
        <v>228</v>
      </c>
      <c r="S5974" s="1" t="s">
        <v>229</v>
      </c>
      <c r="U5974" s="1">
        <v>1.00691676E8</v>
      </c>
      <c r="X5974" s="1" t="s">
        <v>781</v>
      </c>
      <c r="Y5974" s="1" t="s">
        <v>4289</v>
      </c>
      <c r="Z5974" s="1" t="s">
        <v>1783</v>
      </c>
    </row>
    <row r="5975" hidden="1">
      <c r="A5975" s="1" t="s">
        <v>16467</v>
      </c>
      <c r="B5975" s="1" t="s">
        <v>4055</v>
      </c>
      <c r="C5975" s="1" t="s">
        <v>16468</v>
      </c>
      <c r="D5975" s="1" t="s">
        <v>78</v>
      </c>
      <c r="E5975" s="1" t="s">
        <v>28</v>
      </c>
      <c r="F5975" s="2">
        <v>10000.0</v>
      </c>
      <c r="G5975" s="1" t="s">
        <v>1806</v>
      </c>
      <c r="H5975" s="4">
        <f>IFERROR(__xludf.DUMMYFUNCTION("DATE(INDEX(SPLIT(G5975,""/""),,3),INDEX(SPLIT(G5975,""/""),,2),INDEX(SPLIT(G5975,""/""),,1))"),44694.0)</f>
        <v>44694</v>
      </c>
      <c r="I5975" s="1" t="s">
        <v>130</v>
      </c>
      <c r="J5975" s="4">
        <f>IFERROR(__xludf.DUMMYFUNCTION("DATE(INDEX(SPLIT(I5975,""/""),,3),INDEX(SPLIT(I5975,""/""),,2),INDEX(SPLIT(I5975,""/""),,1))"),44804.0)</f>
        <v>44804</v>
      </c>
      <c r="L5975" s="1">
        <v>0.0</v>
      </c>
      <c r="M5975" s="1" t="s">
        <v>2552</v>
      </c>
      <c r="N5975" s="1"/>
      <c r="O5975" s="1" t="s">
        <v>30</v>
      </c>
      <c r="P5975" s="1" t="s">
        <v>31</v>
      </c>
      <c r="Q5975" s="1" t="s">
        <v>95</v>
      </c>
      <c r="R5975" s="1" t="s">
        <v>95</v>
      </c>
      <c r="S5975" s="1" t="s">
        <v>96</v>
      </c>
      <c r="U5975" s="1">
        <v>1.00628649E8</v>
      </c>
      <c r="X5975" s="1" t="s">
        <v>63</v>
      </c>
      <c r="Y5975" s="1" t="s">
        <v>4289</v>
      </c>
      <c r="Z5975" s="1" t="s">
        <v>527</v>
      </c>
    </row>
    <row r="5976">
      <c r="A5976" s="1" t="s">
        <v>16469</v>
      </c>
      <c r="B5976" s="1" t="s">
        <v>16470</v>
      </c>
      <c r="C5976" s="1" t="s">
        <v>16471</v>
      </c>
      <c r="D5976" s="1" t="s">
        <v>27</v>
      </c>
      <c r="E5976" s="1" t="s">
        <v>28</v>
      </c>
      <c r="F5976" s="2">
        <v>10000.0</v>
      </c>
      <c r="G5976" s="4">
        <v>44599.0</v>
      </c>
      <c r="H5976" s="4">
        <f>IFERROR(__xludf.DUMMYFUNCTION("DATE(INDEX(SPLIT(G5976,""/""),,3),INDEX(SPLIT(G5976,""/""),,2),INDEX(SPLIT(G5976,""/""),,1))"),44744.0)</f>
        <v>44744</v>
      </c>
      <c r="I5976" s="1" t="s">
        <v>414</v>
      </c>
      <c r="J5976" s="4">
        <f>IFERROR(__xludf.DUMMYFUNCTION("DATE(INDEX(SPLIT(I5976,""/""),,3),INDEX(SPLIT(I5976,""/""),,2),INDEX(SPLIT(I5976,""/""),,1))"),44772.0)</f>
        <v>44772</v>
      </c>
      <c r="L5976" s="1">
        <v>0.0</v>
      </c>
      <c r="M5976" s="1" t="s">
        <v>11254</v>
      </c>
      <c r="N5976" s="1"/>
      <c r="O5976" s="1" t="s">
        <v>30</v>
      </c>
      <c r="P5976" s="1" t="s">
        <v>31</v>
      </c>
      <c r="Q5976" s="1" t="s">
        <v>228</v>
      </c>
      <c r="R5976" s="1" t="s">
        <v>228</v>
      </c>
      <c r="S5976" s="1" t="s">
        <v>229</v>
      </c>
      <c r="U5976" s="1">
        <v>1.00602248E8</v>
      </c>
      <c r="X5976" s="1" t="s">
        <v>35</v>
      </c>
      <c r="Y5976" s="1" t="s">
        <v>14932</v>
      </c>
      <c r="Z5976" s="1" t="s">
        <v>37</v>
      </c>
    </row>
    <row r="5977" hidden="1">
      <c r="A5977" s="1" t="s">
        <v>16472</v>
      </c>
      <c r="B5977" s="1" t="s">
        <v>7608</v>
      </c>
      <c r="C5977" s="1" t="s">
        <v>16473</v>
      </c>
      <c r="D5977" s="1" t="s">
        <v>27</v>
      </c>
      <c r="E5977" s="1" t="s">
        <v>28</v>
      </c>
      <c r="F5977" s="2">
        <v>10000.0</v>
      </c>
      <c r="G5977" s="4">
        <v>44385.0</v>
      </c>
      <c r="H5977" s="4">
        <f>IFERROR(__xludf.DUMMYFUNCTION("DATE(INDEX(SPLIT(G5977,""/""),,3),INDEX(SPLIT(G5977,""/""),,2),INDEX(SPLIT(G5977,""/""),,1))"),44415.0)</f>
        <v>44415</v>
      </c>
      <c r="I5977" s="1" t="s">
        <v>7282</v>
      </c>
      <c r="J5977" s="4">
        <f>IFERROR(__xludf.DUMMYFUNCTION("DATE(INDEX(SPLIT(I5977,""/""),,3),INDEX(SPLIT(I5977,""/""),,2),INDEX(SPLIT(I5977,""/""),,1))"),44798.0)</f>
        <v>44798</v>
      </c>
      <c r="L5977" s="1">
        <v>0.0</v>
      </c>
      <c r="M5977" s="1" t="s">
        <v>770</v>
      </c>
      <c r="N5977" s="1"/>
      <c r="O5977" s="1" t="s">
        <v>30</v>
      </c>
      <c r="P5977" s="1" t="s">
        <v>31</v>
      </c>
      <c r="Q5977" s="1" t="s">
        <v>157</v>
      </c>
      <c r="R5977" s="1" t="s">
        <v>157</v>
      </c>
      <c r="S5977" s="1" t="s">
        <v>158</v>
      </c>
      <c r="T5977" s="1" t="s">
        <v>442</v>
      </c>
      <c r="U5977" s="1">
        <v>1.00623421E8</v>
      </c>
      <c r="X5977" s="1" t="s">
        <v>117</v>
      </c>
      <c r="Y5977" s="1" t="s">
        <v>4774</v>
      </c>
      <c r="Z5977" s="1" t="s">
        <v>37</v>
      </c>
    </row>
    <row r="5978" hidden="1">
      <c r="A5978" s="1" t="s">
        <v>16474</v>
      </c>
      <c r="B5978" s="1" t="s">
        <v>7393</v>
      </c>
      <c r="C5978" s="1" t="s">
        <v>16475</v>
      </c>
      <c r="D5978" s="1" t="s">
        <v>78</v>
      </c>
      <c r="E5978" s="1" t="s">
        <v>28</v>
      </c>
      <c r="F5978" s="2">
        <v>10000.0</v>
      </c>
      <c r="G5978" s="4">
        <v>44594.0</v>
      </c>
      <c r="H5978" s="4">
        <f>IFERROR(__xludf.DUMMYFUNCTION("DATE(INDEX(SPLIT(G5978,""/""),,3),INDEX(SPLIT(G5978,""/""),,2),INDEX(SPLIT(G5978,""/""),,1))"),44594.0)</f>
        <v>44594</v>
      </c>
      <c r="I5978" s="1" t="s">
        <v>281</v>
      </c>
      <c r="J5978" s="4">
        <f>IFERROR(__xludf.DUMMYFUNCTION("DATE(INDEX(SPLIT(I5978,""/""),,3),INDEX(SPLIT(I5978,""/""),,2),INDEX(SPLIT(I5978,""/""),,1))"),44865.0)</f>
        <v>44865</v>
      </c>
      <c r="L5978" s="1">
        <v>0.0</v>
      </c>
      <c r="M5978" s="1" t="s">
        <v>2623</v>
      </c>
      <c r="N5978" s="1"/>
      <c r="O5978" s="1" t="s">
        <v>30</v>
      </c>
      <c r="P5978" s="1" t="s">
        <v>31</v>
      </c>
      <c r="Q5978" s="1" t="s">
        <v>71</v>
      </c>
      <c r="R5978" s="1" t="s">
        <v>71</v>
      </c>
      <c r="S5978" s="1" t="s">
        <v>72</v>
      </c>
      <c r="T5978" s="1" t="s">
        <v>14457</v>
      </c>
      <c r="U5978" s="1">
        <v>1.00618842E8</v>
      </c>
      <c r="X5978" s="1" t="s">
        <v>74</v>
      </c>
      <c r="Y5978" s="1" t="s">
        <v>8809</v>
      </c>
      <c r="Z5978" s="1" t="s">
        <v>37</v>
      </c>
    </row>
    <row r="5979" hidden="1">
      <c r="A5979" s="1" t="s">
        <v>16476</v>
      </c>
      <c r="B5979" s="1" t="s">
        <v>1042</v>
      </c>
      <c r="C5979" s="1" t="s">
        <v>16477</v>
      </c>
      <c r="D5979" s="1" t="s">
        <v>122</v>
      </c>
      <c r="E5979" s="1" t="s">
        <v>28</v>
      </c>
      <c r="F5979" s="2">
        <v>10000.0</v>
      </c>
      <c r="G5979" s="1" t="s">
        <v>154</v>
      </c>
      <c r="H5979" s="4">
        <f>IFERROR(__xludf.DUMMYFUNCTION("DATE(INDEX(SPLIT(G5979,""/""),,3),INDEX(SPLIT(G5979,""/""),,2),INDEX(SPLIT(G5979,""/""),,1))"),44670.0)</f>
        <v>44670</v>
      </c>
      <c r="I5979" s="1" t="s">
        <v>281</v>
      </c>
      <c r="J5979" s="4">
        <f>IFERROR(__xludf.DUMMYFUNCTION("DATE(INDEX(SPLIT(I5979,""/""),,3),INDEX(SPLIT(I5979,""/""),,2),INDEX(SPLIT(I5979,""/""),,1))"),44865.0)</f>
        <v>44865</v>
      </c>
      <c r="L5979" s="1">
        <v>0.0</v>
      </c>
      <c r="M5979" s="1" t="s">
        <v>16478</v>
      </c>
      <c r="N5979" s="1"/>
      <c r="O5979" s="1" t="s">
        <v>30</v>
      </c>
      <c r="P5979" s="1" t="s">
        <v>31</v>
      </c>
      <c r="Q5979" s="1" t="s">
        <v>235</v>
      </c>
      <c r="R5979" s="1" t="s">
        <v>235</v>
      </c>
      <c r="S5979" s="1" t="s">
        <v>236</v>
      </c>
      <c r="T5979" s="1" t="s">
        <v>4650</v>
      </c>
      <c r="U5979" s="1">
        <v>1.00661023E8</v>
      </c>
      <c r="X5979" s="1" t="s">
        <v>88</v>
      </c>
      <c r="Y5979" s="1" t="s">
        <v>13472</v>
      </c>
      <c r="Z5979" s="1" t="s">
        <v>37</v>
      </c>
    </row>
    <row r="5980" hidden="1">
      <c r="A5980" s="1" t="s">
        <v>16479</v>
      </c>
      <c r="B5980" s="1" t="s">
        <v>6131</v>
      </c>
      <c r="C5980" s="1" t="s">
        <v>16480</v>
      </c>
      <c r="D5980" s="1" t="s">
        <v>122</v>
      </c>
      <c r="E5980" s="1" t="s">
        <v>28</v>
      </c>
      <c r="F5980" s="2">
        <v>10000.0</v>
      </c>
      <c r="G5980" s="4">
        <v>44654.0</v>
      </c>
      <c r="H5980" s="4">
        <f>IFERROR(__xludf.DUMMYFUNCTION("DATE(INDEX(SPLIT(G5980,""/""),,3),INDEX(SPLIT(G5980,""/""),,2),INDEX(SPLIT(G5980,""/""),,1))"),44624.0)</f>
        <v>44624</v>
      </c>
      <c r="I5980" s="1" t="s">
        <v>109</v>
      </c>
      <c r="J5980" s="4">
        <f>IFERROR(__xludf.DUMMYFUNCTION("DATE(INDEX(SPLIT(I5980,""/""),,3),INDEX(SPLIT(I5980,""/""),,2),INDEX(SPLIT(I5980,""/""),,1))"),44834.0)</f>
        <v>44834</v>
      </c>
      <c r="L5980" s="1">
        <v>0.0</v>
      </c>
      <c r="M5980" s="1" t="s">
        <v>11254</v>
      </c>
      <c r="N5980" s="1"/>
      <c r="O5980" s="1" t="s">
        <v>30</v>
      </c>
      <c r="P5980" s="1" t="s">
        <v>31</v>
      </c>
      <c r="Q5980" s="1" t="s">
        <v>228</v>
      </c>
      <c r="R5980" s="1" t="s">
        <v>228</v>
      </c>
      <c r="S5980" s="1" t="s">
        <v>229</v>
      </c>
      <c r="T5980" s="1" t="s">
        <v>513</v>
      </c>
      <c r="U5980" s="1">
        <v>1.00602248E8</v>
      </c>
      <c r="X5980" s="1" t="s">
        <v>375</v>
      </c>
      <c r="Y5980" s="1" t="s">
        <v>12637</v>
      </c>
      <c r="Z5980" s="1" t="s">
        <v>37</v>
      </c>
    </row>
    <row r="5981" hidden="1">
      <c r="A5981" s="1" t="s">
        <v>16481</v>
      </c>
      <c r="B5981" s="1" t="s">
        <v>9331</v>
      </c>
      <c r="C5981" s="1" t="s">
        <v>16482</v>
      </c>
      <c r="D5981" s="1" t="s">
        <v>78</v>
      </c>
      <c r="E5981" s="1" t="s">
        <v>28</v>
      </c>
      <c r="F5981" s="2">
        <v>10000.0</v>
      </c>
      <c r="G5981" s="4">
        <v>44443.0</v>
      </c>
      <c r="H5981" s="4">
        <f>IFERROR(__xludf.DUMMYFUNCTION("DATE(INDEX(SPLIT(G5981,""/""),,3),INDEX(SPLIT(G5981,""/""),,2),INDEX(SPLIT(G5981,""/""),,1))"),44295.0)</f>
        <v>44295</v>
      </c>
      <c r="I5981" s="1" t="s">
        <v>425</v>
      </c>
      <c r="J5981" s="4">
        <f>IFERROR(__xludf.DUMMYFUNCTION("DATE(INDEX(SPLIT(I5981,""/""),,3),INDEX(SPLIT(I5981,""/""),,2),INDEX(SPLIT(I5981,""/""),,1))"),44911.0)</f>
        <v>44911</v>
      </c>
      <c r="L5981" s="1">
        <v>0.0</v>
      </c>
      <c r="M5981" s="1" t="s">
        <v>1110</v>
      </c>
      <c r="N5981" s="1"/>
      <c r="O5981" s="1" t="s">
        <v>30</v>
      </c>
      <c r="P5981" s="1" t="s">
        <v>31</v>
      </c>
      <c r="Q5981" s="1" t="s">
        <v>53</v>
      </c>
      <c r="R5981" s="1" t="s">
        <v>53</v>
      </c>
      <c r="S5981" s="1" t="s">
        <v>54</v>
      </c>
      <c r="U5981" s="1">
        <v>1.00653785E8</v>
      </c>
      <c r="X5981" s="1" t="s">
        <v>35</v>
      </c>
      <c r="Y5981" s="1" t="s">
        <v>6304</v>
      </c>
      <c r="Z5981" s="1" t="s">
        <v>37</v>
      </c>
    </row>
    <row r="5982">
      <c r="A5982" s="1" t="s">
        <v>16483</v>
      </c>
      <c r="B5982" s="1" t="s">
        <v>5311</v>
      </c>
      <c r="C5982" s="1" t="s">
        <v>16484</v>
      </c>
      <c r="D5982" s="1" t="s">
        <v>68</v>
      </c>
      <c r="E5982" s="1" t="s">
        <v>28</v>
      </c>
      <c r="F5982" s="2">
        <v>10000.0</v>
      </c>
      <c r="G5982" s="1" t="s">
        <v>1674</v>
      </c>
      <c r="H5982" s="4">
        <f>IFERROR(__xludf.DUMMYFUNCTION("DATE(INDEX(SPLIT(G5982,""/""),,3),INDEX(SPLIT(G5982,""/""),,2),INDEX(SPLIT(G5982,""/""),,1))"),44617.0)</f>
        <v>44617</v>
      </c>
      <c r="I5982" s="1" t="s">
        <v>1244</v>
      </c>
      <c r="J5982" s="4">
        <f>IFERROR(__xludf.DUMMYFUNCTION("DATE(INDEX(SPLIT(I5982,""/""),,3),INDEX(SPLIT(I5982,""/""),,2),INDEX(SPLIT(I5982,""/""),,1))"),44742.0)</f>
        <v>44742</v>
      </c>
      <c r="L5982" s="1">
        <v>0.0</v>
      </c>
      <c r="M5982" s="1" t="s">
        <v>3350</v>
      </c>
      <c r="N5982" s="1"/>
      <c r="O5982" s="1" t="s">
        <v>30</v>
      </c>
      <c r="P5982" s="1" t="s">
        <v>31</v>
      </c>
      <c r="Q5982" s="1" t="s">
        <v>228</v>
      </c>
      <c r="R5982" s="1" t="s">
        <v>228</v>
      </c>
      <c r="S5982" s="1" t="s">
        <v>229</v>
      </c>
      <c r="T5982" s="1" t="s">
        <v>513</v>
      </c>
      <c r="U5982" s="1">
        <v>1.00638965E8</v>
      </c>
      <c r="X5982" s="1" t="s">
        <v>312</v>
      </c>
      <c r="Y5982" s="1" t="s">
        <v>3350</v>
      </c>
      <c r="Z5982" s="1" t="s">
        <v>206</v>
      </c>
    </row>
    <row r="5983">
      <c r="A5983" s="1" t="s">
        <v>16485</v>
      </c>
      <c r="B5983" s="1" t="s">
        <v>6990</v>
      </c>
      <c r="C5983" s="1" t="s">
        <v>16486</v>
      </c>
      <c r="D5983" s="1" t="s">
        <v>27</v>
      </c>
      <c r="E5983" s="1" t="s">
        <v>28</v>
      </c>
      <c r="F5983" s="2">
        <v>10000.0</v>
      </c>
      <c r="G5983" s="1" t="s">
        <v>14113</v>
      </c>
      <c r="H5983" s="4">
        <f>IFERROR(__xludf.DUMMYFUNCTION("DATE(INDEX(SPLIT(G5983,""/""),,3),INDEX(SPLIT(G5983,""/""),,2),INDEX(SPLIT(G5983,""/""),,1))"),43939.0)</f>
        <v>43939</v>
      </c>
      <c r="I5983" s="1" t="s">
        <v>1438</v>
      </c>
      <c r="J5983" s="4">
        <f>IFERROR(__xludf.DUMMYFUNCTION("DATE(INDEX(SPLIT(I5983,""/""),,3),INDEX(SPLIT(I5983,""/""),,2),INDEX(SPLIT(I5983,""/""),,1))"),44708.0)</f>
        <v>44708</v>
      </c>
      <c r="L5983" s="1">
        <v>0.0</v>
      </c>
      <c r="M5983" s="1" t="s">
        <v>1398</v>
      </c>
      <c r="N5983" s="1"/>
      <c r="O5983" s="1" t="s">
        <v>30</v>
      </c>
      <c r="P5983" s="1" t="s">
        <v>31</v>
      </c>
      <c r="Q5983" s="1" t="s">
        <v>95</v>
      </c>
      <c r="R5983" s="1" t="s">
        <v>95</v>
      </c>
      <c r="S5983" s="1" t="s">
        <v>96</v>
      </c>
      <c r="T5983" s="1" t="s">
        <v>111</v>
      </c>
      <c r="U5983" s="1">
        <v>1.0061941E8</v>
      </c>
      <c r="X5983" s="1" t="s">
        <v>63</v>
      </c>
      <c r="Y5983" s="1" t="s">
        <v>16487</v>
      </c>
      <c r="Z5983" s="1" t="s">
        <v>37</v>
      </c>
    </row>
    <row r="5984">
      <c r="A5984" s="1" t="s">
        <v>16488</v>
      </c>
      <c r="B5984" s="1" t="s">
        <v>16489</v>
      </c>
      <c r="C5984" s="1" t="s">
        <v>16490</v>
      </c>
      <c r="D5984" s="1" t="s">
        <v>122</v>
      </c>
      <c r="E5984" s="1" t="s">
        <v>28</v>
      </c>
      <c r="F5984" s="2">
        <v>10000.0</v>
      </c>
      <c r="G5984" s="4">
        <v>44625.0</v>
      </c>
      <c r="H5984" s="4">
        <f>IFERROR(__xludf.DUMMYFUNCTION("DATE(INDEX(SPLIT(G5984,""/""),,3),INDEX(SPLIT(G5984,""/""),,2),INDEX(SPLIT(G5984,""/""),,1))"),44684.0)</f>
        <v>44684</v>
      </c>
      <c r="I5984" s="1" t="s">
        <v>1442</v>
      </c>
      <c r="J5984" s="4">
        <f>IFERROR(__xludf.DUMMYFUNCTION("DATE(INDEX(SPLIT(I5984,""/""),,3),INDEX(SPLIT(I5984,""/""),,2),INDEX(SPLIT(I5984,""/""),,1))"),44727.0)</f>
        <v>44727</v>
      </c>
      <c r="L5984" s="1">
        <v>0.0</v>
      </c>
      <c r="M5984" s="1" t="s">
        <v>3948</v>
      </c>
      <c r="N5984" s="1"/>
      <c r="O5984" s="1" t="s">
        <v>30</v>
      </c>
      <c r="P5984" s="1" t="s">
        <v>31</v>
      </c>
      <c r="Q5984" s="1" t="s">
        <v>228</v>
      </c>
      <c r="R5984" s="1" t="s">
        <v>228</v>
      </c>
      <c r="S5984" s="1" t="s">
        <v>229</v>
      </c>
      <c r="T5984" s="1" t="s">
        <v>513</v>
      </c>
      <c r="U5984" s="1">
        <v>1.0066189E8</v>
      </c>
      <c r="X5984" s="1" t="s">
        <v>490</v>
      </c>
      <c r="Y5984" s="1" t="s">
        <v>11181</v>
      </c>
      <c r="Z5984" s="1" t="s">
        <v>37</v>
      </c>
    </row>
    <row r="5985" hidden="1">
      <c r="A5985" s="1" t="s">
        <v>16491</v>
      </c>
      <c r="B5985" s="1" t="s">
        <v>15183</v>
      </c>
      <c r="C5985" s="1" t="s">
        <v>16492</v>
      </c>
      <c r="D5985" s="1" t="s">
        <v>27</v>
      </c>
      <c r="E5985" s="1" t="s">
        <v>28</v>
      </c>
      <c r="F5985" s="2">
        <v>10000.0</v>
      </c>
      <c r="G5985" s="4">
        <v>44743.0</v>
      </c>
      <c r="H5985" s="4">
        <f>IFERROR(__xludf.DUMMYFUNCTION("DATE(INDEX(SPLIT(G5985,""/""),,3),INDEX(SPLIT(G5985,""/""),,2),INDEX(SPLIT(G5985,""/""),,1))"),44568.0)</f>
        <v>44568</v>
      </c>
      <c r="I5985" s="1" t="s">
        <v>360</v>
      </c>
      <c r="J5985" s="4">
        <f>IFERROR(__xludf.DUMMYFUNCTION("DATE(INDEX(SPLIT(I5985,""/""),,3),INDEX(SPLIT(I5985,""/""),,2),INDEX(SPLIT(I5985,""/""),,1))"),44895.0)</f>
        <v>44895</v>
      </c>
      <c r="L5985" s="1">
        <v>0.0</v>
      </c>
      <c r="M5985" s="1" t="s">
        <v>11254</v>
      </c>
      <c r="N5985" s="1"/>
      <c r="O5985" s="1" t="s">
        <v>30</v>
      </c>
      <c r="P5985" s="1" t="s">
        <v>31</v>
      </c>
      <c r="Q5985" s="1" t="s">
        <v>228</v>
      </c>
      <c r="R5985" s="1" t="s">
        <v>228</v>
      </c>
      <c r="S5985" s="1" t="s">
        <v>229</v>
      </c>
      <c r="T5985" s="1" t="s">
        <v>513</v>
      </c>
      <c r="U5985" s="1">
        <v>1.00602248E8</v>
      </c>
      <c r="X5985" s="1" t="s">
        <v>74</v>
      </c>
      <c r="Y5985" s="1" t="s">
        <v>13638</v>
      </c>
      <c r="Z5985" s="1" t="s">
        <v>37</v>
      </c>
    </row>
    <row r="5986" hidden="1">
      <c r="A5986" s="1" t="s">
        <v>16493</v>
      </c>
      <c r="B5986" s="1" t="s">
        <v>6001</v>
      </c>
      <c r="C5986" s="1" t="s">
        <v>16494</v>
      </c>
      <c r="D5986" s="1" t="s">
        <v>122</v>
      </c>
      <c r="E5986" s="1" t="s">
        <v>28</v>
      </c>
      <c r="F5986" s="2">
        <v>10000.0</v>
      </c>
      <c r="G5986" s="4">
        <v>44257.0</v>
      </c>
      <c r="H5986" s="4">
        <f>IFERROR(__xludf.DUMMYFUNCTION("DATE(INDEX(SPLIT(G5986,""/""),,3),INDEX(SPLIT(G5986,""/""),,2),INDEX(SPLIT(G5986,""/""),,1))"),44230.0)</f>
        <v>44230</v>
      </c>
      <c r="I5986" s="1" t="s">
        <v>109</v>
      </c>
      <c r="J5986" s="4">
        <f>IFERROR(__xludf.DUMMYFUNCTION("DATE(INDEX(SPLIT(I5986,""/""),,3),INDEX(SPLIT(I5986,""/""),,2),INDEX(SPLIT(I5986,""/""),,1))"),44834.0)</f>
        <v>44834</v>
      </c>
      <c r="L5986" s="1">
        <v>0.0</v>
      </c>
      <c r="M5986" s="1" t="s">
        <v>5525</v>
      </c>
      <c r="N5986" s="1"/>
      <c r="O5986" s="1" t="s">
        <v>30</v>
      </c>
      <c r="P5986" s="1" t="s">
        <v>31</v>
      </c>
      <c r="Q5986" s="1" t="s">
        <v>157</v>
      </c>
      <c r="R5986" s="1" t="s">
        <v>157</v>
      </c>
      <c r="S5986" s="1" t="s">
        <v>158</v>
      </c>
      <c r="T5986" s="1" t="s">
        <v>1349</v>
      </c>
      <c r="U5986" s="1">
        <v>1.00609393E8</v>
      </c>
      <c r="X5986" s="1" t="s">
        <v>88</v>
      </c>
      <c r="Y5986" s="1" t="s">
        <v>13472</v>
      </c>
      <c r="Z5986" s="1" t="s">
        <v>37</v>
      </c>
    </row>
    <row r="5987" hidden="1">
      <c r="A5987" s="1" t="s">
        <v>16495</v>
      </c>
      <c r="B5987" s="1" t="s">
        <v>10295</v>
      </c>
      <c r="C5987" s="1" t="s">
        <v>16496</v>
      </c>
      <c r="D5987" s="1" t="s">
        <v>27</v>
      </c>
      <c r="E5987" s="1" t="s">
        <v>28</v>
      </c>
      <c r="F5987" s="2">
        <v>10000.0</v>
      </c>
      <c r="G5987" s="1" t="s">
        <v>9603</v>
      </c>
      <c r="H5987" s="4">
        <f>IFERROR(__xludf.DUMMYFUNCTION("DATE(INDEX(SPLIT(G5987,""/""),,3),INDEX(SPLIT(G5987,""/""),,2),INDEX(SPLIT(G5987,""/""),,1))"),44033.0)</f>
        <v>44033</v>
      </c>
      <c r="I5987" s="1" t="s">
        <v>130</v>
      </c>
      <c r="J5987" s="4">
        <f>IFERROR(__xludf.DUMMYFUNCTION("DATE(INDEX(SPLIT(I5987,""/""),,3),INDEX(SPLIT(I5987,""/""),,2),INDEX(SPLIT(I5987,""/""),,1))"),44804.0)</f>
        <v>44804</v>
      </c>
      <c r="L5987" s="1">
        <v>0.0</v>
      </c>
      <c r="M5987" s="1" t="s">
        <v>587</v>
      </c>
      <c r="N5987" s="1"/>
      <c r="O5987" s="1" t="s">
        <v>30</v>
      </c>
      <c r="P5987" s="1" t="s">
        <v>31</v>
      </c>
      <c r="Q5987" s="1" t="s">
        <v>157</v>
      </c>
      <c r="R5987" s="1" t="s">
        <v>157</v>
      </c>
      <c r="S5987" s="1" t="s">
        <v>158</v>
      </c>
      <c r="T5987" s="1" t="s">
        <v>442</v>
      </c>
      <c r="U5987" s="1">
        <v>1.00700761E8</v>
      </c>
      <c r="X5987" s="1" t="s">
        <v>125</v>
      </c>
      <c r="Y5987" s="1" t="s">
        <v>1566</v>
      </c>
      <c r="Z5987" s="1" t="s">
        <v>37</v>
      </c>
    </row>
    <row r="5988">
      <c r="A5988" s="1" t="s">
        <v>16497</v>
      </c>
      <c r="B5988" s="1" t="s">
        <v>16498</v>
      </c>
      <c r="C5988" s="1" t="s">
        <v>16499</v>
      </c>
      <c r="D5988" s="1" t="s">
        <v>27</v>
      </c>
      <c r="E5988" s="1" t="s">
        <v>28</v>
      </c>
      <c r="F5988" s="2">
        <v>9716.66</v>
      </c>
      <c r="G5988" s="4">
        <v>44599.0</v>
      </c>
      <c r="H5988" s="4">
        <f>IFERROR(__xludf.DUMMYFUNCTION("DATE(INDEX(SPLIT(G5988,""/""),,3),INDEX(SPLIT(G5988,""/""),,2),INDEX(SPLIT(G5988,""/""),,1))"),44744.0)</f>
        <v>44744</v>
      </c>
      <c r="I5988" s="1" t="s">
        <v>226</v>
      </c>
      <c r="J5988" s="4">
        <f>IFERROR(__xludf.DUMMYFUNCTION("DATE(INDEX(SPLIT(I5988,""/""),,3),INDEX(SPLIT(I5988,""/""),,2),INDEX(SPLIT(I5988,""/""),,1))"),44771.0)</f>
        <v>44771</v>
      </c>
      <c r="L5988" s="1">
        <v>0.0</v>
      </c>
      <c r="M5988" s="1" t="s">
        <v>12039</v>
      </c>
      <c r="N5988" s="1"/>
      <c r="O5988" s="1" t="s">
        <v>30</v>
      </c>
      <c r="P5988" s="1" t="s">
        <v>31</v>
      </c>
      <c r="Q5988" s="1" t="s">
        <v>228</v>
      </c>
      <c r="R5988" s="1" t="s">
        <v>228</v>
      </c>
      <c r="S5988" s="1" t="s">
        <v>229</v>
      </c>
      <c r="U5988" s="1">
        <v>1.00612509E8</v>
      </c>
      <c r="X5988" s="1" t="s">
        <v>74</v>
      </c>
      <c r="Y5988" s="1" t="s">
        <v>15486</v>
      </c>
      <c r="Z5988" s="1" t="s">
        <v>37</v>
      </c>
    </row>
    <row r="5989" hidden="1">
      <c r="A5989" s="1" t="s">
        <v>16500</v>
      </c>
      <c r="B5989" s="1" t="s">
        <v>16501</v>
      </c>
      <c r="C5989" s="1" t="s">
        <v>16502</v>
      </c>
      <c r="D5989" s="1" t="s">
        <v>122</v>
      </c>
      <c r="E5989" s="1" t="s">
        <v>28</v>
      </c>
      <c r="F5989" s="2">
        <v>9500.0</v>
      </c>
      <c r="G5989" s="1" t="s">
        <v>298</v>
      </c>
      <c r="H5989" s="4">
        <f>IFERROR(__xludf.DUMMYFUNCTION("DATE(INDEX(SPLIT(G5989,""/""),,3),INDEX(SPLIT(G5989,""/""),,2),INDEX(SPLIT(G5989,""/""),,1))"),44762.0)</f>
        <v>44762</v>
      </c>
      <c r="I5989" s="1" t="s">
        <v>130</v>
      </c>
      <c r="J5989" s="4">
        <f>IFERROR(__xludf.DUMMYFUNCTION("DATE(INDEX(SPLIT(I5989,""/""),,3),INDEX(SPLIT(I5989,""/""),,2),INDEX(SPLIT(I5989,""/""),,1))"),44804.0)</f>
        <v>44804</v>
      </c>
      <c r="L5989" s="1">
        <v>0.0</v>
      </c>
      <c r="M5989" s="1" t="s">
        <v>11254</v>
      </c>
      <c r="N5989" s="1"/>
      <c r="O5989" s="1" t="s">
        <v>30</v>
      </c>
      <c r="P5989" s="1" t="s">
        <v>31</v>
      </c>
      <c r="Q5989" s="1" t="s">
        <v>228</v>
      </c>
      <c r="R5989" s="1" t="s">
        <v>228</v>
      </c>
      <c r="S5989" s="1" t="s">
        <v>229</v>
      </c>
      <c r="T5989" s="1" t="s">
        <v>14928</v>
      </c>
      <c r="U5989" s="1">
        <v>1.00602248E8</v>
      </c>
      <c r="Y5989" s="1" t="s">
        <v>13638</v>
      </c>
      <c r="Z5989" s="1" t="s">
        <v>37</v>
      </c>
    </row>
    <row r="5990">
      <c r="A5990" s="1" t="s">
        <v>16503</v>
      </c>
      <c r="B5990" s="1" t="s">
        <v>16504</v>
      </c>
      <c r="C5990" s="1" t="s">
        <v>16505</v>
      </c>
      <c r="D5990" s="1" t="s">
        <v>27</v>
      </c>
      <c r="E5990" s="1" t="s">
        <v>28</v>
      </c>
      <c r="F5990" s="2">
        <v>9000.0</v>
      </c>
      <c r="G5990" s="4">
        <v>44599.0</v>
      </c>
      <c r="H5990" s="4">
        <f>IFERROR(__xludf.DUMMYFUNCTION("DATE(INDEX(SPLIT(G5990,""/""),,3),INDEX(SPLIT(G5990,""/""),,2),INDEX(SPLIT(G5990,""/""),,1))"),44744.0)</f>
        <v>44744</v>
      </c>
      <c r="I5990" s="1" t="s">
        <v>414</v>
      </c>
      <c r="J5990" s="4">
        <f>IFERROR(__xludf.DUMMYFUNCTION("DATE(INDEX(SPLIT(I5990,""/""),,3),INDEX(SPLIT(I5990,""/""),,2),INDEX(SPLIT(I5990,""/""),,1))"),44772.0)</f>
        <v>44772</v>
      </c>
      <c r="L5990" s="1">
        <v>0.0</v>
      </c>
      <c r="M5990" s="1" t="s">
        <v>12039</v>
      </c>
      <c r="N5990" s="1"/>
      <c r="O5990" s="1" t="s">
        <v>30</v>
      </c>
      <c r="P5990" s="1" t="s">
        <v>31</v>
      </c>
      <c r="Q5990" s="1" t="s">
        <v>228</v>
      </c>
      <c r="R5990" s="1" t="s">
        <v>228</v>
      </c>
      <c r="S5990" s="1" t="s">
        <v>229</v>
      </c>
      <c r="T5990" s="1" t="s">
        <v>513</v>
      </c>
      <c r="U5990" s="1">
        <v>1.00612509E8</v>
      </c>
      <c r="X5990" s="1" t="s">
        <v>74</v>
      </c>
      <c r="Y5990" s="1" t="s">
        <v>14932</v>
      </c>
      <c r="Z5990" s="1" t="s">
        <v>37</v>
      </c>
    </row>
    <row r="5991">
      <c r="A5991" s="1" t="s">
        <v>16506</v>
      </c>
      <c r="B5991" s="1" t="s">
        <v>16507</v>
      </c>
      <c r="C5991" s="1" t="s">
        <v>16508</v>
      </c>
      <c r="D5991" s="1" t="s">
        <v>27</v>
      </c>
      <c r="E5991" s="1" t="s">
        <v>28</v>
      </c>
      <c r="F5991" s="2">
        <v>8300.0</v>
      </c>
      <c r="G5991" s="4">
        <v>44599.0</v>
      </c>
      <c r="H5991" s="4">
        <f>IFERROR(__xludf.DUMMYFUNCTION("DATE(INDEX(SPLIT(G5991,""/""),,3),INDEX(SPLIT(G5991,""/""),,2),INDEX(SPLIT(G5991,""/""),,1))"),44744.0)</f>
        <v>44744</v>
      </c>
      <c r="I5991" s="1" t="s">
        <v>414</v>
      </c>
      <c r="J5991" s="4">
        <f>IFERROR(__xludf.DUMMYFUNCTION("DATE(INDEX(SPLIT(I5991,""/""),,3),INDEX(SPLIT(I5991,""/""),,2),INDEX(SPLIT(I5991,""/""),,1))"),44772.0)</f>
        <v>44772</v>
      </c>
      <c r="L5991" s="1">
        <v>0.0</v>
      </c>
      <c r="M5991" s="1" t="s">
        <v>11254</v>
      </c>
      <c r="N5991" s="1"/>
      <c r="O5991" s="1" t="s">
        <v>30</v>
      </c>
      <c r="P5991" s="1" t="s">
        <v>31</v>
      </c>
      <c r="Q5991" s="1" t="s">
        <v>228</v>
      </c>
      <c r="R5991" s="1" t="s">
        <v>228</v>
      </c>
      <c r="S5991" s="1" t="s">
        <v>229</v>
      </c>
      <c r="T5991" s="1" t="s">
        <v>513</v>
      </c>
      <c r="U5991" s="1">
        <v>1.00602248E8</v>
      </c>
      <c r="X5991" s="1" t="s">
        <v>74</v>
      </c>
      <c r="Y5991" s="1" t="s">
        <v>14932</v>
      </c>
      <c r="Z5991" s="1" t="s">
        <v>37</v>
      </c>
    </row>
    <row r="5992">
      <c r="A5992" s="1" t="s">
        <v>16509</v>
      </c>
      <c r="B5992" s="1" t="s">
        <v>16507</v>
      </c>
      <c r="C5992" s="1" t="s">
        <v>16510</v>
      </c>
      <c r="D5992" s="1" t="s">
        <v>68</v>
      </c>
      <c r="E5992" s="1" t="s">
        <v>28</v>
      </c>
      <c r="F5992" s="2">
        <v>8000.0</v>
      </c>
      <c r="G5992" s="1" t="s">
        <v>935</v>
      </c>
      <c r="H5992" s="4">
        <f>IFERROR(__xludf.DUMMYFUNCTION("DATE(INDEX(SPLIT(G5992,""/""),,3),INDEX(SPLIT(G5992,""/""),,2),INDEX(SPLIT(G5992,""/""),,1))"),44764.0)</f>
        <v>44764</v>
      </c>
      <c r="I5992" s="1" t="s">
        <v>226</v>
      </c>
      <c r="J5992" s="4">
        <f>IFERROR(__xludf.DUMMYFUNCTION("DATE(INDEX(SPLIT(I5992,""/""),,3),INDEX(SPLIT(I5992,""/""),,2),INDEX(SPLIT(I5992,""/""),,1))"),44771.0)</f>
        <v>44771</v>
      </c>
      <c r="L5992" s="1">
        <v>0.0</v>
      </c>
      <c r="M5992" s="1" t="s">
        <v>11254</v>
      </c>
      <c r="N5992" s="1"/>
      <c r="O5992" s="1" t="s">
        <v>30</v>
      </c>
      <c r="P5992" s="1" t="s">
        <v>31</v>
      </c>
      <c r="Q5992" s="1" t="s">
        <v>228</v>
      </c>
      <c r="R5992" s="1" t="s">
        <v>228</v>
      </c>
      <c r="S5992" s="1" t="s">
        <v>229</v>
      </c>
      <c r="T5992" s="1" t="s">
        <v>513</v>
      </c>
      <c r="U5992" s="1">
        <v>1.00602248E8</v>
      </c>
      <c r="X5992" s="1" t="s">
        <v>74</v>
      </c>
      <c r="Y5992" s="1" t="s">
        <v>16430</v>
      </c>
      <c r="Z5992" s="1" t="s">
        <v>37</v>
      </c>
    </row>
    <row r="5993" hidden="1">
      <c r="A5993" s="1" t="s">
        <v>16511</v>
      </c>
      <c r="B5993" s="1" t="s">
        <v>16512</v>
      </c>
      <c r="C5993" s="1" t="s">
        <v>16513</v>
      </c>
      <c r="D5993" s="1" t="s">
        <v>78</v>
      </c>
      <c r="E5993" s="1" t="s">
        <v>28</v>
      </c>
      <c r="F5993" s="2">
        <v>7000.0</v>
      </c>
      <c r="G5993" s="4">
        <v>44743.0</v>
      </c>
      <c r="H5993" s="4">
        <f>IFERROR(__xludf.DUMMYFUNCTION("DATE(INDEX(SPLIT(G5993,""/""),,3),INDEX(SPLIT(G5993,""/""),,2),INDEX(SPLIT(G5993,""/""),,1))"),44568.0)</f>
        <v>44568</v>
      </c>
      <c r="I5993" s="1" t="s">
        <v>109</v>
      </c>
      <c r="J5993" s="4">
        <f>IFERROR(__xludf.DUMMYFUNCTION("DATE(INDEX(SPLIT(I5993,""/""),,3),INDEX(SPLIT(I5993,""/""),,2),INDEX(SPLIT(I5993,""/""),,1))"),44834.0)</f>
        <v>44834</v>
      </c>
      <c r="L5993" s="1">
        <v>0.0</v>
      </c>
      <c r="M5993" s="1" t="s">
        <v>11254</v>
      </c>
      <c r="N5993" s="1"/>
      <c r="O5993" s="1" t="s">
        <v>30</v>
      </c>
      <c r="P5993" s="1" t="s">
        <v>31</v>
      </c>
      <c r="Q5993" s="1" t="s">
        <v>228</v>
      </c>
      <c r="R5993" s="1" t="s">
        <v>228</v>
      </c>
      <c r="S5993" s="1" t="s">
        <v>229</v>
      </c>
      <c r="T5993" s="1" t="s">
        <v>513</v>
      </c>
      <c r="U5993" s="1">
        <v>1.00602248E8</v>
      </c>
      <c r="X5993" s="1" t="s">
        <v>289</v>
      </c>
      <c r="Y5993" s="1" t="s">
        <v>13638</v>
      </c>
      <c r="Z5993" s="1" t="s">
        <v>37</v>
      </c>
    </row>
    <row r="5994" hidden="1">
      <c r="A5994" s="1" t="s">
        <v>16514</v>
      </c>
      <c r="B5994" s="1" t="s">
        <v>16515</v>
      </c>
      <c r="C5994" s="1" t="s">
        <v>16516</v>
      </c>
      <c r="D5994" s="1" t="s">
        <v>27</v>
      </c>
      <c r="E5994" s="1" t="s">
        <v>28</v>
      </c>
      <c r="F5994" s="2">
        <v>7000.0</v>
      </c>
      <c r="G5994" s="1" t="s">
        <v>359</v>
      </c>
      <c r="H5994" s="4">
        <f>IFERROR(__xludf.DUMMYFUNCTION("DATE(INDEX(SPLIT(G5994,""/""),,3),INDEX(SPLIT(G5994,""/""),,2),INDEX(SPLIT(G5994,""/""),,1))"),44740.0)</f>
        <v>44740</v>
      </c>
      <c r="I5994" s="1" t="s">
        <v>1097</v>
      </c>
      <c r="J5994" s="4">
        <f>IFERROR(__xludf.DUMMYFUNCTION("DATE(INDEX(SPLIT(I5994,""/""),,3),INDEX(SPLIT(I5994,""/""),,2),INDEX(SPLIT(I5994,""/""),,1))"),45107.0)</f>
        <v>45107</v>
      </c>
      <c r="L5994" s="1">
        <v>0.0</v>
      </c>
      <c r="M5994" s="1" t="s">
        <v>11254</v>
      </c>
      <c r="N5994" s="1"/>
      <c r="O5994" s="1" t="s">
        <v>30</v>
      </c>
      <c r="P5994" s="1" t="s">
        <v>31</v>
      </c>
      <c r="Q5994" s="1" t="s">
        <v>228</v>
      </c>
      <c r="R5994" s="1" t="s">
        <v>228</v>
      </c>
      <c r="S5994" s="1" t="s">
        <v>229</v>
      </c>
      <c r="T5994" s="1" t="s">
        <v>513</v>
      </c>
      <c r="U5994" s="1">
        <v>1.00602248E8</v>
      </c>
      <c r="X5994" s="1" t="s">
        <v>410</v>
      </c>
      <c r="Y5994" s="1" t="s">
        <v>13944</v>
      </c>
      <c r="Z5994" s="1" t="s">
        <v>37</v>
      </c>
    </row>
    <row r="5995" hidden="1">
      <c r="A5995" s="1" t="s">
        <v>16517</v>
      </c>
      <c r="B5995" s="1" t="s">
        <v>16518</v>
      </c>
      <c r="C5995" s="1" t="s">
        <v>16519</v>
      </c>
      <c r="D5995" s="1" t="s">
        <v>27</v>
      </c>
      <c r="E5995" s="1" t="s">
        <v>28</v>
      </c>
      <c r="F5995" s="2">
        <v>7000.0</v>
      </c>
      <c r="G5995" s="1" t="s">
        <v>9261</v>
      </c>
      <c r="H5995" s="4">
        <f>IFERROR(__xludf.DUMMYFUNCTION("DATE(INDEX(SPLIT(G5995,""/""),,3),INDEX(SPLIT(G5995,""/""),,2),INDEX(SPLIT(G5995,""/""),,1))"),43789.0)</f>
        <v>43789</v>
      </c>
      <c r="I5995" s="1" t="s">
        <v>42</v>
      </c>
      <c r="J5995" s="4">
        <f>IFERROR(__xludf.DUMMYFUNCTION("DATE(INDEX(SPLIT(I5995,""/""),,3),INDEX(SPLIT(I5995,""/""),,2),INDEX(SPLIT(I5995,""/""),,1))"),44926.0)</f>
        <v>44926</v>
      </c>
      <c r="K5995" s="1" t="s">
        <v>16520</v>
      </c>
      <c r="L5995" s="1">
        <v>0.0</v>
      </c>
      <c r="M5995" s="1" t="s">
        <v>11254</v>
      </c>
      <c r="N5995" s="1"/>
      <c r="O5995" s="1" t="s">
        <v>30</v>
      </c>
      <c r="P5995" s="1" t="s">
        <v>31</v>
      </c>
      <c r="Q5995" s="1" t="s">
        <v>228</v>
      </c>
      <c r="R5995" s="1" t="s">
        <v>228</v>
      </c>
      <c r="S5995" s="1" t="s">
        <v>229</v>
      </c>
      <c r="T5995" s="1" t="s">
        <v>513</v>
      </c>
      <c r="U5995" s="1">
        <v>1.00602248E8</v>
      </c>
      <c r="X5995" s="1" t="s">
        <v>46</v>
      </c>
      <c r="Y5995" s="1" t="s">
        <v>13638</v>
      </c>
      <c r="Z5995" s="1" t="s">
        <v>37</v>
      </c>
    </row>
    <row r="5996" hidden="1">
      <c r="A5996" s="1" t="s">
        <v>16521</v>
      </c>
      <c r="B5996" s="1" t="s">
        <v>16522</v>
      </c>
      <c r="C5996" s="1" t="s">
        <v>16523</v>
      </c>
      <c r="D5996" s="1" t="s">
        <v>27</v>
      </c>
      <c r="E5996" s="1" t="s">
        <v>28</v>
      </c>
      <c r="F5996" s="2">
        <v>7000.0</v>
      </c>
      <c r="G5996" s="4">
        <v>44355.0</v>
      </c>
      <c r="H5996" s="4">
        <f>IFERROR(__xludf.DUMMYFUNCTION("DATE(INDEX(SPLIT(G5996,""/""),,3),INDEX(SPLIT(G5996,""/""),,2),INDEX(SPLIT(G5996,""/""),,1))"),44414.0)</f>
        <v>44414</v>
      </c>
      <c r="I5996" s="1" t="s">
        <v>42</v>
      </c>
      <c r="J5996" s="4">
        <f>IFERROR(__xludf.DUMMYFUNCTION("DATE(INDEX(SPLIT(I5996,""/""),,3),INDEX(SPLIT(I5996,""/""),,2),INDEX(SPLIT(I5996,""/""),,1))"),44926.0)</f>
        <v>44926</v>
      </c>
      <c r="L5996" s="1">
        <v>0.0</v>
      </c>
      <c r="M5996" s="1" t="s">
        <v>11254</v>
      </c>
      <c r="N5996" s="1"/>
      <c r="O5996" s="1" t="s">
        <v>30</v>
      </c>
      <c r="P5996" s="1" t="s">
        <v>31</v>
      </c>
      <c r="Q5996" s="1" t="s">
        <v>228</v>
      </c>
      <c r="R5996" s="1" t="s">
        <v>228</v>
      </c>
      <c r="S5996" s="1" t="s">
        <v>229</v>
      </c>
      <c r="U5996" s="1">
        <v>1.00602248E8</v>
      </c>
      <c r="X5996" s="1" t="s">
        <v>117</v>
      </c>
      <c r="Y5996" s="1" t="s">
        <v>13638</v>
      </c>
      <c r="Z5996" s="1" t="s">
        <v>37</v>
      </c>
    </row>
    <row r="5997" hidden="1">
      <c r="A5997" s="1" t="s">
        <v>16524</v>
      </c>
      <c r="B5997" s="1" t="s">
        <v>16525</v>
      </c>
      <c r="C5997" s="1" t="s">
        <v>16526</v>
      </c>
      <c r="D5997" s="1" t="s">
        <v>27</v>
      </c>
      <c r="E5997" s="1" t="s">
        <v>28</v>
      </c>
      <c r="F5997" s="2">
        <v>7000.0</v>
      </c>
      <c r="G5997" s="4">
        <v>44263.0</v>
      </c>
      <c r="H5997" s="4">
        <f>IFERROR(__xludf.DUMMYFUNCTION("DATE(INDEX(SPLIT(G5997,""/""),,3),INDEX(SPLIT(G5997,""/""),,2),INDEX(SPLIT(G5997,""/""),,1))"),44411.0)</f>
        <v>44411</v>
      </c>
      <c r="I5997" s="1" t="s">
        <v>42</v>
      </c>
      <c r="J5997" s="4">
        <f>IFERROR(__xludf.DUMMYFUNCTION("DATE(INDEX(SPLIT(I5997,""/""),,3),INDEX(SPLIT(I5997,""/""),,2),INDEX(SPLIT(I5997,""/""),,1))"),44926.0)</f>
        <v>44926</v>
      </c>
      <c r="L5997" s="1">
        <v>0.0</v>
      </c>
      <c r="M5997" s="1" t="s">
        <v>11254</v>
      </c>
      <c r="N5997" s="1"/>
      <c r="O5997" s="1" t="s">
        <v>30</v>
      </c>
      <c r="P5997" s="1" t="s">
        <v>31</v>
      </c>
      <c r="Q5997" s="1" t="s">
        <v>228</v>
      </c>
      <c r="R5997" s="1" t="s">
        <v>228</v>
      </c>
      <c r="S5997" s="1" t="s">
        <v>229</v>
      </c>
      <c r="U5997" s="1">
        <v>1.00602248E8</v>
      </c>
      <c r="X5997" s="1" t="s">
        <v>410</v>
      </c>
      <c r="Y5997" s="1" t="s">
        <v>13638</v>
      </c>
      <c r="Z5997" s="1" t="s">
        <v>37</v>
      </c>
    </row>
    <row r="5998" hidden="1">
      <c r="A5998" s="1" t="s">
        <v>16527</v>
      </c>
      <c r="B5998" s="1" t="s">
        <v>1108</v>
      </c>
      <c r="C5998" s="1" t="s">
        <v>16528</v>
      </c>
      <c r="D5998" s="1" t="s">
        <v>27</v>
      </c>
      <c r="E5998" s="1" t="s">
        <v>28</v>
      </c>
      <c r="F5998" s="2">
        <v>7000.0</v>
      </c>
      <c r="G5998" s="4">
        <v>44599.0</v>
      </c>
      <c r="H5998" s="4">
        <f>IFERROR(__xludf.DUMMYFUNCTION("DATE(INDEX(SPLIT(G5998,""/""),,3),INDEX(SPLIT(G5998,""/""),,2),INDEX(SPLIT(G5998,""/""),,1))"),44744.0)</f>
        <v>44744</v>
      </c>
      <c r="I5998" s="1" t="s">
        <v>1097</v>
      </c>
      <c r="J5998" s="4">
        <f>IFERROR(__xludf.DUMMYFUNCTION("DATE(INDEX(SPLIT(I5998,""/""),,3),INDEX(SPLIT(I5998,""/""),,2),INDEX(SPLIT(I5998,""/""),,1))"),45107.0)</f>
        <v>45107</v>
      </c>
      <c r="L5998" s="1">
        <v>0.0</v>
      </c>
      <c r="M5998" s="1" t="s">
        <v>11254</v>
      </c>
      <c r="N5998" s="1"/>
      <c r="O5998" s="1" t="s">
        <v>30</v>
      </c>
      <c r="P5998" s="1" t="s">
        <v>31</v>
      </c>
      <c r="Q5998" s="1" t="s">
        <v>228</v>
      </c>
      <c r="R5998" s="1" t="s">
        <v>228</v>
      </c>
      <c r="S5998" s="1" t="s">
        <v>229</v>
      </c>
      <c r="U5998" s="1">
        <v>1.00602248E8</v>
      </c>
      <c r="X5998" s="1" t="s">
        <v>289</v>
      </c>
      <c r="Y5998" s="1" t="s">
        <v>12640</v>
      </c>
      <c r="Z5998" s="1" t="s">
        <v>37</v>
      </c>
    </row>
    <row r="5999" hidden="1">
      <c r="A5999" s="1" t="s">
        <v>16529</v>
      </c>
      <c r="B5999" s="1" t="s">
        <v>10781</v>
      </c>
      <c r="C5999" s="1" t="s">
        <v>16530</v>
      </c>
      <c r="D5999" s="1" t="s">
        <v>27</v>
      </c>
      <c r="E5999" s="1" t="s">
        <v>28</v>
      </c>
      <c r="F5999" s="2">
        <v>7000.0</v>
      </c>
      <c r="G5999" s="4">
        <v>44599.0</v>
      </c>
      <c r="H5999" s="4">
        <f>IFERROR(__xludf.DUMMYFUNCTION("DATE(INDEX(SPLIT(G5999,""/""),,3),INDEX(SPLIT(G5999,""/""),,2),INDEX(SPLIT(G5999,""/""),,1))"),44744.0)</f>
        <v>44744</v>
      </c>
      <c r="I5999" s="1" t="s">
        <v>1097</v>
      </c>
      <c r="J5999" s="4">
        <f>IFERROR(__xludf.DUMMYFUNCTION("DATE(INDEX(SPLIT(I5999,""/""),,3),INDEX(SPLIT(I5999,""/""),,2),INDEX(SPLIT(I5999,""/""),,1))"),45107.0)</f>
        <v>45107</v>
      </c>
      <c r="L5999" s="1">
        <v>0.0</v>
      </c>
      <c r="M5999" s="1" t="s">
        <v>11254</v>
      </c>
      <c r="N5999" s="1"/>
      <c r="O5999" s="1" t="s">
        <v>30</v>
      </c>
      <c r="P5999" s="1" t="s">
        <v>31</v>
      </c>
      <c r="Q5999" s="1" t="s">
        <v>228</v>
      </c>
      <c r="R5999" s="1" t="s">
        <v>228</v>
      </c>
      <c r="S5999" s="1" t="s">
        <v>229</v>
      </c>
      <c r="T5999" s="1" t="s">
        <v>513</v>
      </c>
      <c r="U5999" s="1">
        <v>1.00602248E8</v>
      </c>
      <c r="X5999" s="1" t="s">
        <v>410</v>
      </c>
      <c r="Y5999" s="1" t="s">
        <v>12640</v>
      </c>
      <c r="Z5999" s="1" t="s">
        <v>37</v>
      </c>
    </row>
    <row r="6000" hidden="1">
      <c r="A6000" s="1" t="s">
        <v>16531</v>
      </c>
      <c r="B6000" s="1" t="s">
        <v>16532</v>
      </c>
      <c r="C6000" s="1" t="s">
        <v>16533</v>
      </c>
      <c r="D6000" s="1" t="s">
        <v>27</v>
      </c>
      <c r="E6000" s="1" t="s">
        <v>28</v>
      </c>
      <c r="F6000" s="2">
        <v>7000.0</v>
      </c>
      <c r="G6000" s="1" t="s">
        <v>14524</v>
      </c>
      <c r="H6000" s="4">
        <f>IFERROR(__xludf.DUMMYFUNCTION("DATE(INDEX(SPLIT(G6000,""/""),,3),INDEX(SPLIT(G6000,""/""),,2),INDEX(SPLIT(G6000,""/""),,1))"),44181.0)</f>
        <v>44181</v>
      </c>
      <c r="I6000" s="1" t="s">
        <v>42</v>
      </c>
      <c r="J6000" s="4">
        <f>IFERROR(__xludf.DUMMYFUNCTION("DATE(INDEX(SPLIT(I6000,""/""),,3),INDEX(SPLIT(I6000,""/""),,2),INDEX(SPLIT(I6000,""/""),,1))"),44926.0)</f>
        <v>44926</v>
      </c>
      <c r="L6000" s="1">
        <v>0.0</v>
      </c>
      <c r="M6000" s="1" t="s">
        <v>11254</v>
      </c>
      <c r="N6000" s="1"/>
      <c r="O6000" s="1" t="s">
        <v>30</v>
      </c>
      <c r="P6000" s="1" t="s">
        <v>31</v>
      </c>
      <c r="Q6000" s="1" t="s">
        <v>228</v>
      </c>
      <c r="R6000" s="1" t="s">
        <v>228</v>
      </c>
      <c r="S6000" s="1" t="s">
        <v>229</v>
      </c>
      <c r="U6000" s="1">
        <v>1.00602248E8</v>
      </c>
      <c r="X6000" s="1" t="s">
        <v>289</v>
      </c>
      <c r="Y6000" s="1" t="s">
        <v>13638</v>
      </c>
      <c r="Z6000" s="1" t="s">
        <v>37</v>
      </c>
    </row>
    <row r="6001" hidden="1">
      <c r="A6001" s="1" t="s">
        <v>16534</v>
      </c>
      <c r="B6001" s="1" t="s">
        <v>1629</v>
      </c>
      <c r="C6001" s="1" t="s">
        <v>16535</v>
      </c>
      <c r="D6001" s="1" t="s">
        <v>27</v>
      </c>
      <c r="E6001" s="1" t="s">
        <v>28</v>
      </c>
      <c r="F6001" s="2">
        <v>7000.0</v>
      </c>
      <c r="G6001" s="4">
        <v>44568.0</v>
      </c>
      <c r="H6001" s="4">
        <f>IFERROR(__xludf.DUMMYFUNCTION("DATE(INDEX(SPLIT(G6001,""/""),,3),INDEX(SPLIT(G6001,""/""),,2),INDEX(SPLIT(G6001,""/""),,1))"),44743.0)</f>
        <v>44743</v>
      </c>
      <c r="I6001" s="1" t="s">
        <v>1097</v>
      </c>
      <c r="J6001" s="4">
        <f>IFERROR(__xludf.DUMMYFUNCTION("DATE(INDEX(SPLIT(I6001,""/""),,3),INDEX(SPLIT(I6001,""/""),,2),INDEX(SPLIT(I6001,""/""),,1))"),45107.0)</f>
        <v>45107</v>
      </c>
      <c r="L6001" s="1">
        <v>0.0</v>
      </c>
      <c r="M6001" s="1" t="s">
        <v>11254</v>
      </c>
      <c r="N6001" s="1"/>
      <c r="O6001" s="1" t="s">
        <v>30</v>
      </c>
      <c r="P6001" s="1" t="s">
        <v>31</v>
      </c>
      <c r="Q6001" s="1" t="s">
        <v>228</v>
      </c>
      <c r="R6001" s="1" t="s">
        <v>228</v>
      </c>
      <c r="S6001" s="1" t="s">
        <v>229</v>
      </c>
      <c r="T6001" s="1" t="s">
        <v>513</v>
      </c>
      <c r="U6001" s="1">
        <v>1.00602248E8</v>
      </c>
      <c r="X6001" s="1" t="s">
        <v>289</v>
      </c>
      <c r="Y6001" s="1" t="s">
        <v>14932</v>
      </c>
      <c r="Z6001" s="1" t="s">
        <v>37</v>
      </c>
    </row>
    <row r="6002" hidden="1">
      <c r="A6002" s="1" t="s">
        <v>16536</v>
      </c>
      <c r="B6002" s="1" t="s">
        <v>16537</v>
      </c>
      <c r="C6002" s="1" t="s">
        <v>16538</v>
      </c>
      <c r="D6002" s="1" t="s">
        <v>27</v>
      </c>
      <c r="E6002" s="1" t="s">
        <v>28</v>
      </c>
      <c r="F6002" s="2">
        <v>7000.0</v>
      </c>
      <c r="G6002" s="4">
        <v>44568.0</v>
      </c>
      <c r="H6002" s="4">
        <f>IFERROR(__xludf.DUMMYFUNCTION("DATE(INDEX(SPLIT(G6002,""/""),,3),INDEX(SPLIT(G6002,""/""),,2),INDEX(SPLIT(G6002,""/""),,1))"),44743.0)</f>
        <v>44743</v>
      </c>
      <c r="I6002" s="1" t="s">
        <v>1097</v>
      </c>
      <c r="J6002" s="4">
        <f>IFERROR(__xludf.DUMMYFUNCTION("DATE(INDEX(SPLIT(I6002,""/""),,3),INDEX(SPLIT(I6002,""/""),,2),INDEX(SPLIT(I6002,""/""),,1))"),45107.0)</f>
        <v>45107</v>
      </c>
      <c r="L6002" s="1">
        <v>0.0</v>
      </c>
      <c r="M6002" s="1" t="s">
        <v>11254</v>
      </c>
      <c r="N6002" s="1"/>
      <c r="O6002" s="1" t="s">
        <v>30</v>
      </c>
      <c r="P6002" s="1" t="s">
        <v>31</v>
      </c>
      <c r="Q6002" s="1" t="s">
        <v>228</v>
      </c>
      <c r="R6002" s="1" t="s">
        <v>228</v>
      </c>
      <c r="S6002" s="1" t="s">
        <v>229</v>
      </c>
      <c r="T6002" s="1" t="s">
        <v>513</v>
      </c>
      <c r="U6002" s="1">
        <v>1.00602248E8</v>
      </c>
      <c r="X6002" s="1" t="s">
        <v>98</v>
      </c>
      <c r="Y6002" s="1" t="s">
        <v>12640</v>
      </c>
      <c r="Z6002" s="1" t="s">
        <v>37</v>
      </c>
    </row>
    <row r="6003" hidden="1">
      <c r="A6003" s="1" t="s">
        <v>16539</v>
      </c>
      <c r="B6003" s="1" t="s">
        <v>509</v>
      </c>
      <c r="C6003" s="1" t="s">
        <v>16540</v>
      </c>
      <c r="D6003" s="1" t="s">
        <v>27</v>
      </c>
      <c r="E6003" s="1" t="s">
        <v>28</v>
      </c>
      <c r="F6003" s="2">
        <v>7000.0</v>
      </c>
      <c r="G6003" s="4">
        <v>44568.0</v>
      </c>
      <c r="H6003" s="4">
        <f>IFERROR(__xludf.DUMMYFUNCTION("DATE(INDEX(SPLIT(G6003,""/""),,3),INDEX(SPLIT(G6003,""/""),,2),INDEX(SPLIT(G6003,""/""),,1))"),44743.0)</f>
        <v>44743</v>
      </c>
      <c r="I6003" s="1" t="s">
        <v>1097</v>
      </c>
      <c r="J6003" s="4">
        <f>IFERROR(__xludf.DUMMYFUNCTION("DATE(INDEX(SPLIT(I6003,""/""),,3),INDEX(SPLIT(I6003,""/""),,2),INDEX(SPLIT(I6003,""/""),,1))"),45107.0)</f>
        <v>45107</v>
      </c>
      <c r="L6003" s="1">
        <v>0.0</v>
      </c>
      <c r="M6003" s="1" t="s">
        <v>11254</v>
      </c>
      <c r="N6003" s="1"/>
      <c r="O6003" s="1" t="s">
        <v>30</v>
      </c>
      <c r="P6003" s="1" t="s">
        <v>31</v>
      </c>
      <c r="Q6003" s="1" t="s">
        <v>228</v>
      </c>
      <c r="R6003" s="1" t="s">
        <v>228</v>
      </c>
      <c r="S6003" s="1" t="s">
        <v>229</v>
      </c>
      <c r="T6003" s="1" t="s">
        <v>513</v>
      </c>
      <c r="U6003" s="1">
        <v>1.00602248E8</v>
      </c>
      <c r="X6003" s="1" t="s">
        <v>410</v>
      </c>
      <c r="Y6003" s="1" t="s">
        <v>12640</v>
      </c>
      <c r="Z6003" s="1" t="s">
        <v>37</v>
      </c>
    </row>
    <row r="6004" hidden="1">
      <c r="A6004" s="1" t="s">
        <v>16541</v>
      </c>
      <c r="B6004" s="1" t="s">
        <v>16542</v>
      </c>
      <c r="C6004" s="1" t="s">
        <v>16543</v>
      </c>
      <c r="D6004" s="1" t="s">
        <v>78</v>
      </c>
      <c r="E6004" s="1" t="s">
        <v>28</v>
      </c>
      <c r="F6004" s="2">
        <v>7000.0</v>
      </c>
      <c r="G6004" s="4">
        <v>44296.0</v>
      </c>
      <c r="H6004" s="4">
        <f>IFERROR(__xludf.DUMMYFUNCTION("DATE(INDEX(SPLIT(G6004,""/""),,3),INDEX(SPLIT(G6004,""/""),,2),INDEX(SPLIT(G6004,""/""),,1))"),44473.0)</f>
        <v>44473</v>
      </c>
      <c r="I6004" s="1" t="s">
        <v>109</v>
      </c>
      <c r="J6004" s="4">
        <f>IFERROR(__xludf.DUMMYFUNCTION("DATE(INDEX(SPLIT(I6004,""/""),,3),INDEX(SPLIT(I6004,""/""),,2),INDEX(SPLIT(I6004,""/""),,1))"),44834.0)</f>
        <v>44834</v>
      </c>
      <c r="L6004" s="1">
        <v>0.0</v>
      </c>
      <c r="M6004" s="1" t="s">
        <v>11254</v>
      </c>
      <c r="N6004" s="1"/>
      <c r="O6004" s="1" t="s">
        <v>30</v>
      </c>
      <c r="P6004" s="1" t="s">
        <v>31</v>
      </c>
      <c r="Q6004" s="1" t="s">
        <v>228</v>
      </c>
      <c r="R6004" s="1" t="s">
        <v>228</v>
      </c>
      <c r="S6004" s="1" t="s">
        <v>229</v>
      </c>
      <c r="T6004" s="1" t="s">
        <v>513</v>
      </c>
      <c r="U6004" s="1">
        <v>1.00602248E8</v>
      </c>
      <c r="X6004" s="1" t="s">
        <v>98</v>
      </c>
      <c r="Y6004" s="1" t="s">
        <v>12637</v>
      </c>
      <c r="Z6004" s="1" t="s">
        <v>37</v>
      </c>
    </row>
    <row r="6005" hidden="1">
      <c r="A6005" s="1" t="s">
        <v>16544</v>
      </c>
      <c r="B6005" s="1" t="s">
        <v>1629</v>
      </c>
      <c r="C6005" s="1" t="s">
        <v>16545</v>
      </c>
      <c r="D6005" s="1" t="s">
        <v>27</v>
      </c>
      <c r="E6005" s="1" t="s">
        <v>28</v>
      </c>
      <c r="F6005" s="2">
        <v>7000.0</v>
      </c>
      <c r="G6005" s="4">
        <v>44713.0</v>
      </c>
      <c r="H6005" s="4">
        <f>IFERROR(__xludf.DUMMYFUNCTION("DATE(INDEX(SPLIT(G6005,""/""),,3),INDEX(SPLIT(G6005,""/""),,2),INDEX(SPLIT(G6005,""/""),,1))"),44567.0)</f>
        <v>44567</v>
      </c>
      <c r="I6005" s="1" t="s">
        <v>1097</v>
      </c>
      <c r="J6005" s="4">
        <f>IFERROR(__xludf.DUMMYFUNCTION("DATE(INDEX(SPLIT(I6005,""/""),,3),INDEX(SPLIT(I6005,""/""),,2),INDEX(SPLIT(I6005,""/""),,1))"),45107.0)</f>
        <v>45107</v>
      </c>
      <c r="L6005" s="1">
        <v>0.0</v>
      </c>
      <c r="M6005" s="1" t="s">
        <v>11254</v>
      </c>
      <c r="N6005" s="1"/>
      <c r="O6005" s="1" t="s">
        <v>30</v>
      </c>
      <c r="P6005" s="1" t="s">
        <v>31</v>
      </c>
      <c r="Q6005" s="1" t="s">
        <v>228</v>
      </c>
      <c r="R6005" s="1" t="s">
        <v>228</v>
      </c>
      <c r="S6005" s="1" t="s">
        <v>229</v>
      </c>
      <c r="T6005" s="1" t="s">
        <v>513</v>
      </c>
      <c r="U6005" s="1">
        <v>1.00602248E8</v>
      </c>
      <c r="X6005" s="1" t="s">
        <v>63</v>
      </c>
      <c r="Y6005" s="1" t="s">
        <v>12637</v>
      </c>
      <c r="Z6005" s="1" t="s">
        <v>37</v>
      </c>
    </row>
    <row r="6006" hidden="1">
      <c r="A6006" s="1" t="s">
        <v>16546</v>
      </c>
      <c r="B6006" s="1" t="s">
        <v>16547</v>
      </c>
      <c r="C6006" s="1" t="s">
        <v>16548</v>
      </c>
      <c r="D6006" s="1" t="s">
        <v>122</v>
      </c>
      <c r="E6006" s="1" t="s">
        <v>28</v>
      </c>
      <c r="F6006" s="2">
        <v>7000.0</v>
      </c>
      <c r="G6006" s="1" t="s">
        <v>779</v>
      </c>
      <c r="H6006" s="4">
        <f>IFERROR(__xludf.DUMMYFUNCTION("DATE(INDEX(SPLIT(G6006,""/""),,3),INDEX(SPLIT(G6006,""/""),,2),INDEX(SPLIT(G6006,""/""),,1))"),44734.0)</f>
        <v>44734</v>
      </c>
      <c r="I6006" s="1" t="s">
        <v>130</v>
      </c>
      <c r="J6006" s="4">
        <f>IFERROR(__xludf.DUMMYFUNCTION("DATE(INDEX(SPLIT(I6006,""/""),,3),INDEX(SPLIT(I6006,""/""),,2),INDEX(SPLIT(I6006,""/""),,1))"),44804.0)</f>
        <v>44804</v>
      </c>
      <c r="L6006" s="1">
        <v>0.0</v>
      </c>
      <c r="M6006" s="1" t="s">
        <v>4534</v>
      </c>
      <c r="N6006" s="1"/>
      <c r="O6006" s="1" t="s">
        <v>30</v>
      </c>
      <c r="P6006" s="1" t="s">
        <v>31</v>
      </c>
      <c r="Q6006" s="1" t="s">
        <v>228</v>
      </c>
      <c r="R6006" s="1" t="s">
        <v>228</v>
      </c>
      <c r="S6006" s="1" t="s">
        <v>229</v>
      </c>
      <c r="T6006" s="1" t="s">
        <v>513</v>
      </c>
      <c r="U6006" s="1">
        <v>1.0065605E8</v>
      </c>
      <c r="X6006" s="1" t="s">
        <v>2769</v>
      </c>
      <c r="Y6006" s="1" t="s">
        <v>4534</v>
      </c>
      <c r="Z6006" s="1" t="s">
        <v>37</v>
      </c>
    </row>
    <row r="6007" hidden="1">
      <c r="A6007" s="1" t="s">
        <v>16549</v>
      </c>
      <c r="B6007" s="1" t="s">
        <v>16550</v>
      </c>
      <c r="C6007" s="1" t="s">
        <v>16551</v>
      </c>
      <c r="D6007" s="1" t="s">
        <v>27</v>
      </c>
      <c r="E6007" s="1" t="s">
        <v>28</v>
      </c>
      <c r="F6007" s="2">
        <v>7000.0</v>
      </c>
      <c r="G6007" s="1" t="s">
        <v>779</v>
      </c>
      <c r="H6007" s="4">
        <f>IFERROR(__xludf.DUMMYFUNCTION("DATE(INDEX(SPLIT(G6007,""/""),,3),INDEX(SPLIT(G6007,""/""),,2),INDEX(SPLIT(G6007,""/""),,1))"),44734.0)</f>
        <v>44734</v>
      </c>
      <c r="I6007" s="1" t="s">
        <v>1097</v>
      </c>
      <c r="J6007" s="4">
        <f>IFERROR(__xludf.DUMMYFUNCTION("DATE(INDEX(SPLIT(I6007,""/""),,3),INDEX(SPLIT(I6007,""/""),,2),INDEX(SPLIT(I6007,""/""),,1))"),45107.0)</f>
        <v>45107</v>
      </c>
      <c r="L6007" s="1">
        <v>0.0</v>
      </c>
      <c r="M6007" s="1" t="s">
        <v>11254</v>
      </c>
      <c r="N6007" s="1"/>
      <c r="O6007" s="1" t="s">
        <v>30</v>
      </c>
      <c r="P6007" s="1" t="s">
        <v>31</v>
      </c>
      <c r="Q6007" s="1" t="s">
        <v>228</v>
      </c>
      <c r="R6007" s="1" t="s">
        <v>228</v>
      </c>
      <c r="S6007" s="1" t="s">
        <v>229</v>
      </c>
      <c r="T6007" s="1" t="s">
        <v>513</v>
      </c>
      <c r="U6007" s="1">
        <v>1.00602248E8</v>
      </c>
      <c r="X6007" s="1" t="s">
        <v>98</v>
      </c>
      <c r="Y6007" s="1" t="s">
        <v>13944</v>
      </c>
      <c r="Z6007" s="1" t="s">
        <v>37</v>
      </c>
    </row>
    <row r="6008" hidden="1">
      <c r="A6008" s="1" t="s">
        <v>16552</v>
      </c>
      <c r="B6008" s="1" t="s">
        <v>1126</v>
      </c>
      <c r="C6008" s="1" t="s">
        <v>14870</v>
      </c>
      <c r="D6008" s="1" t="s">
        <v>27</v>
      </c>
      <c r="E6008" s="1" t="s">
        <v>28</v>
      </c>
      <c r="F6008" s="2">
        <v>6947.66</v>
      </c>
      <c r="G6008" s="4">
        <v>44867.0</v>
      </c>
      <c r="H6008" s="4">
        <f>IFERROR(__xludf.DUMMYFUNCTION("DATE(INDEX(SPLIT(G6008,""/""),,3),INDEX(SPLIT(G6008,""/""),,2),INDEX(SPLIT(G6008,""/""),,1))"),44603.0)</f>
        <v>44603</v>
      </c>
      <c r="I6008" s="1" t="s">
        <v>1495</v>
      </c>
      <c r="J6008" s="4">
        <f>IFERROR(__xludf.DUMMYFUNCTION("DATE(INDEX(SPLIT(I6008,""/""),,3),INDEX(SPLIT(I6008,""/""),,2),INDEX(SPLIT(I6008,""/""),,1))"),44864.0)</f>
        <v>44864</v>
      </c>
      <c r="L6008" s="1">
        <v>0.0</v>
      </c>
      <c r="M6008" s="1" t="s">
        <v>6055</v>
      </c>
      <c r="N6008" s="1"/>
      <c r="O6008" s="1" t="s">
        <v>30</v>
      </c>
      <c r="P6008" s="1" t="s">
        <v>31</v>
      </c>
      <c r="Q6008" s="1" t="s">
        <v>1320</v>
      </c>
      <c r="R6008" s="1" t="s">
        <v>1320</v>
      </c>
      <c r="S6008" s="1" t="s">
        <v>54</v>
      </c>
      <c r="U6008" s="1">
        <v>1.00591095E8</v>
      </c>
      <c r="X6008" s="1" t="s">
        <v>125</v>
      </c>
      <c r="Y6008" s="1" t="s">
        <v>8054</v>
      </c>
      <c r="Z6008" s="1" t="s">
        <v>37</v>
      </c>
    </row>
    <row r="6009" hidden="1">
      <c r="A6009" s="1" t="s">
        <v>16553</v>
      </c>
      <c r="B6009" s="1" t="s">
        <v>16554</v>
      </c>
      <c r="C6009" s="1" t="s">
        <v>16555</v>
      </c>
      <c r="D6009" s="1" t="s">
        <v>27</v>
      </c>
      <c r="E6009" s="1" t="s">
        <v>28</v>
      </c>
      <c r="F6009" s="2">
        <v>6667.0</v>
      </c>
      <c r="G6009" s="4">
        <v>44599.0</v>
      </c>
      <c r="H6009" s="4">
        <f>IFERROR(__xludf.DUMMYFUNCTION("DATE(INDEX(SPLIT(G6009,""/""),,3),INDEX(SPLIT(G6009,""/""),,2),INDEX(SPLIT(G6009,""/""),,1))"),44744.0)</f>
        <v>44744</v>
      </c>
      <c r="I6009" s="1" t="s">
        <v>203</v>
      </c>
      <c r="J6009" s="4">
        <f>IFERROR(__xludf.DUMMYFUNCTION("DATE(INDEX(SPLIT(I6009,""/""),,3),INDEX(SPLIT(I6009,""/""),,2),INDEX(SPLIT(I6009,""/""),,1))"),44925.0)</f>
        <v>44925</v>
      </c>
      <c r="L6009" s="1">
        <v>0.0</v>
      </c>
      <c r="M6009" s="1" t="s">
        <v>11254</v>
      </c>
      <c r="N6009" s="1"/>
      <c r="O6009" s="1" t="s">
        <v>30</v>
      </c>
      <c r="P6009" s="1" t="s">
        <v>31</v>
      </c>
      <c r="Q6009" s="1" t="s">
        <v>228</v>
      </c>
      <c r="R6009" s="1" t="s">
        <v>228</v>
      </c>
      <c r="S6009" s="1" t="s">
        <v>229</v>
      </c>
      <c r="T6009" s="1" t="s">
        <v>513</v>
      </c>
      <c r="U6009" s="1">
        <v>1.00602248E8</v>
      </c>
      <c r="X6009" s="1" t="s">
        <v>410</v>
      </c>
      <c r="Y6009" s="1" t="s">
        <v>14932</v>
      </c>
      <c r="Z6009" s="1" t="s">
        <v>37</v>
      </c>
    </row>
    <row r="6010">
      <c r="A6010" s="1" t="s">
        <v>16556</v>
      </c>
      <c r="B6010" s="1" t="s">
        <v>16557</v>
      </c>
      <c r="C6010" s="1" t="s">
        <v>16558</v>
      </c>
      <c r="D6010" s="1" t="s">
        <v>122</v>
      </c>
      <c r="E6010" s="1" t="s">
        <v>28</v>
      </c>
      <c r="F6010" s="2">
        <v>6500.0</v>
      </c>
      <c r="G6010" s="4">
        <v>44450.0</v>
      </c>
      <c r="H6010" s="4">
        <f>IFERROR(__xludf.DUMMYFUNCTION("DATE(INDEX(SPLIT(G6010,""/""),,3),INDEX(SPLIT(G6010,""/""),,2),INDEX(SPLIT(G6010,""/""),,1))"),44509.0)</f>
        <v>44509</v>
      </c>
      <c r="I6010" s="1" t="s">
        <v>69</v>
      </c>
      <c r="J6010" s="4">
        <f>IFERROR(__xludf.DUMMYFUNCTION("DATE(INDEX(SPLIT(I6010,""/""),,3),INDEX(SPLIT(I6010,""/""),,2),INDEX(SPLIT(I6010,""/""),,1))"),44773.0)</f>
        <v>44773</v>
      </c>
      <c r="L6010" s="1">
        <v>0.0</v>
      </c>
      <c r="M6010" s="1" t="s">
        <v>10697</v>
      </c>
      <c r="N6010" s="1"/>
      <c r="O6010" s="1" t="s">
        <v>30</v>
      </c>
      <c r="P6010" s="1" t="s">
        <v>31</v>
      </c>
      <c r="Q6010" s="1" t="s">
        <v>228</v>
      </c>
      <c r="R6010" s="1" t="s">
        <v>228</v>
      </c>
      <c r="S6010" s="1" t="s">
        <v>229</v>
      </c>
      <c r="T6010" s="1" t="s">
        <v>513</v>
      </c>
      <c r="U6010" s="1">
        <v>1.00612201E8</v>
      </c>
      <c r="X6010" s="1" t="s">
        <v>375</v>
      </c>
      <c r="Y6010" s="1" t="s">
        <v>16559</v>
      </c>
      <c r="Z6010" s="1" t="s">
        <v>37</v>
      </c>
    </row>
    <row r="6011" hidden="1">
      <c r="A6011" s="1" t="s">
        <v>16560</v>
      </c>
      <c r="B6011" s="1" t="s">
        <v>9099</v>
      </c>
      <c r="C6011" s="1" t="s">
        <v>16561</v>
      </c>
      <c r="D6011" s="1" t="s">
        <v>27</v>
      </c>
      <c r="E6011" s="1" t="s">
        <v>28</v>
      </c>
      <c r="F6011" s="2">
        <v>6300.0</v>
      </c>
      <c r="G6011" s="4">
        <v>44599.0</v>
      </c>
      <c r="H6011" s="4">
        <f>IFERROR(__xludf.DUMMYFUNCTION("DATE(INDEX(SPLIT(G6011,""/""),,3),INDEX(SPLIT(G6011,""/""),,2),INDEX(SPLIT(G6011,""/""),,1))"),44744.0)</f>
        <v>44744</v>
      </c>
      <c r="I6011" s="1" t="s">
        <v>203</v>
      </c>
      <c r="J6011" s="4">
        <f>IFERROR(__xludf.DUMMYFUNCTION("DATE(INDEX(SPLIT(I6011,""/""),,3),INDEX(SPLIT(I6011,""/""),,2),INDEX(SPLIT(I6011,""/""),,1))"),44925.0)</f>
        <v>44925</v>
      </c>
      <c r="L6011" s="1">
        <v>0.0</v>
      </c>
      <c r="M6011" s="1" t="s">
        <v>11254</v>
      </c>
      <c r="N6011" s="1"/>
      <c r="O6011" s="1" t="s">
        <v>30</v>
      </c>
      <c r="P6011" s="1" t="s">
        <v>31</v>
      </c>
      <c r="Q6011" s="1" t="s">
        <v>228</v>
      </c>
      <c r="R6011" s="1" t="s">
        <v>228</v>
      </c>
      <c r="S6011" s="1" t="s">
        <v>229</v>
      </c>
      <c r="T6011" s="1" t="s">
        <v>513</v>
      </c>
      <c r="U6011" s="1">
        <v>1.00602248E8</v>
      </c>
      <c r="X6011" s="1" t="s">
        <v>410</v>
      </c>
      <c r="Y6011" s="1" t="s">
        <v>14932</v>
      </c>
      <c r="Z6011" s="1" t="s">
        <v>37</v>
      </c>
    </row>
    <row r="6012" hidden="1">
      <c r="A6012" s="1" t="s">
        <v>16562</v>
      </c>
      <c r="B6012" s="1" t="s">
        <v>3399</v>
      </c>
      <c r="C6012" s="1" t="s">
        <v>16563</v>
      </c>
      <c r="D6012" s="1" t="s">
        <v>122</v>
      </c>
      <c r="E6012" s="1" t="s">
        <v>28</v>
      </c>
      <c r="F6012" s="2">
        <v>6000.0</v>
      </c>
      <c r="G6012" s="1" t="s">
        <v>1521</v>
      </c>
      <c r="H6012" s="4">
        <f>IFERROR(__xludf.DUMMYFUNCTION("DATE(INDEX(SPLIT(G6012,""/""),,3),INDEX(SPLIT(G6012,""/""),,2),INDEX(SPLIT(G6012,""/""),,1))"),44756.0)</f>
        <v>44756</v>
      </c>
      <c r="I6012" s="1" t="s">
        <v>130</v>
      </c>
      <c r="J6012" s="4">
        <f>IFERROR(__xludf.DUMMYFUNCTION("DATE(INDEX(SPLIT(I6012,""/""),,3),INDEX(SPLIT(I6012,""/""),,2),INDEX(SPLIT(I6012,""/""),,1))"),44804.0)</f>
        <v>44804</v>
      </c>
      <c r="L6012" s="1">
        <v>0.0</v>
      </c>
      <c r="M6012" s="1" t="s">
        <v>16564</v>
      </c>
      <c r="N6012" s="1"/>
      <c r="O6012" s="1" t="s">
        <v>30</v>
      </c>
      <c r="P6012" s="1" t="s">
        <v>31</v>
      </c>
      <c r="Q6012" s="1" t="s">
        <v>32</v>
      </c>
      <c r="R6012" s="1" t="s">
        <v>32</v>
      </c>
      <c r="S6012" s="1" t="s">
        <v>33</v>
      </c>
      <c r="T6012" s="1" t="s">
        <v>267</v>
      </c>
      <c r="U6012" s="1">
        <v>1.00589281E8</v>
      </c>
      <c r="X6012" s="1" t="s">
        <v>63</v>
      </c>
      <c r="Y6012" s="1" t="s">
        <v>16565</v>
      </c>
      <c r="Z6012" s="1" t="s">
        <v>527</v>
      </c>
    </row>
    <row r="6013" hidden="1">
      <c r="A6013" s="1" t="s">
        <v>16566</v>
      </c>
      <c r="B6013" s="1" t="s">
        <v>16567</v>
      </c>
      <c r="C6013" s="1" t="s">
        <v>16568</v>
      </c>
      <c r="D6013" s="1" t="s">
        <v>27</v>
      </c>
      <c r="E6013" s="1" t="s">
        <v>28</v>
      </c>
      <c r="F6013" s="2">
        <v>5600.0</v>
      </c>
      <c r="G6013" s="4">
        <v>44599.0</v>
      </c>
      <c r="H6013" s="4">
        <f>IFERROR(__xludf.DUMMYFUNCTION("DATE(INDEX(SPLIT(G6013,""/""),,3),INDEX(SPLIT(G6013,""/""),,2),INDEX(SPLIT(G6013,""/""),,1))"),44744.0)</f>
        <v>44744</v>
      </c>
      <c r="I6013" s="1" t="s">
        <v>1097</v>
      </c>
      <c r="J6013" s="4">
        <f>IFERROR(__xludf.DUMMYFUNCTION("DATE(INDEX(SPLIT(I6013,""/""),,3),INDEX(SPLIT(I6013,""/""),,2),INDEX(SPLIT(I6013,""/""),,1))"),45107.0)</f>
        <v>45107</v>
      </c>
      <c r="L6013" s="1">
        <v>0.0</v>
      </c>
      <c r="M6013" s="1" t="s">
        <v>12039</v>
      </c>
      <c r="N6013" s="1"/>
      <c r="O6013" s="1" t="s">
        <v>30</v>
      </c>
      <c r="P6013" s="1" t="s">
        <v>31</v>
      </c>
      <c r="Q6013" s="1" t="s">
        <v>228</v>
      </c>
      <c r="R6013" s="1" t="s">
        <v>228</v>
      </c>
      <c r="S6013" s="1" t="s">
        <v>229</v>
      </c>
      <c r="T6013" s="1" t="s">
        <v>513</v>
      </c>
      <c r="U6013" s="1">
        <v>1.00612509E8</v>
      </c>
      <c r="X6013" s="1" t="s">
        <v>289</v>
      </c>
      <c r="Y6013" s="1" t="s">
        <v>12640</v>
      </c>
      <c r="Z6013" s="1" t="s">
        <v>37</v>
      </c>
    </row>
    <row r="6014" hidden="1">
      <c r="A6014" s="1" t="s">
        <v>16569</v>
      </c>
      <c r="B6014" s="1" t="s">
        <v>16570</v>
      </c>
      <c r="C6014" s="1" t="s">
        <v>16571</v>
      </c>
      <c r="D6014" s="1" t="s">
        <v>27</v>
      </c>
      <c r="E6014" s="1" t="s">
        <v>28</v>
      </c>
      <c r="F6014" s="2">
        <v>5600.0</v>
      </c>
      <c r="G6014" s="4">
        <v>44599.0</v>
      </c>
      <c r="H6014" s="4">
        <f>IFERROR(__xludf.DUMMYFUNCTION("DATE(INDEX(SPLIT(G6014,""/""),,3),INDEX(SPLIT(G6014,""/""),,2),INDEX(SPLIT(G6014,""/""),,1))"),44744.0)</f>
        <v>44744</v>
      </c>
      <c r="I6014" s="1" t="s">
        <v>1097</v>
      </c>
      <c r="J6014" s="4">
        <f>IFERROR(__xludf.DUMMYFUNCTION("DATE(INDEX(SPLIT(I6014,""/""),,3),INDEX(SPLIT(I6014,""/""),,2),INDEX(SPLIT(I6014,""/""),,1))"),45107.0)</f>
        <v>45107</v>
      </c>
      <c r="L6014" s="1">
        <v>0.0</v>
      </c>
      <c r="M6014" s="1" t="s">
        <v>12039</v>
      </c>
      <c r="N6014" s="1"/>
      <c r="O6014" s="1" t="s">
        <v>30</v>
      </c>
      <c r="P6014" s="1" t="s">
        <v>31</v>
      </c>
      <c r="Q6014" s="1" t="s">
        <v>228</v>
      </c>
      <c r="R6014" s="1" t="s">
        <v>228</v>
      </c>
      <c r="S6014" s="1" t="s">
        <v>229</v>
      </c>
      <c r="T6014" s="1" t="s">
        <v>513</v>
      </c>
      <c r="U6014" s="1">
        <v>1.00612509E8</v>
      </c>
      <c r="X6014" s="1" t="s">
        <v>289</v>
      </c>
      <c r="Y6014" s="1" t="s">
        <v>12640</v>
      </c>
      <c r="Z6014" s="1" t="s">
        <v>37</v>
      </c>
    </row>
    <row r="6015" hidden="1">
      <c r="A6015" s="1" t="s">
        <v>16572</v>
      </c>
      <c r="B6015" s="1" t="s">
        <v>16573</v>
      </c>
      <c r="C6015" s="1" t="s">
        <v>16574</v>
      </c>
      <c r="D6015" s="1" t="s">
        <v>27</v>
      </c>
      <c r="E6015" s="1" t="s">
        <v>28</v>
      </c>
      <c r="F6015" s="2">
        <v>5600.0</v>
      </c>
      <c r="G6015" s="4">
        <v>44599.0</v>
      </c>
      <c r="H6015" s="4">
        <f>IFERROR(__xludf.DUMMYFUNCTION("DATE(INDEX(SPLIT(G6015,""/""),,3),INDEX(SPLIT(G6015,""/""),,2),INDEX(SPLIT(G6015,""/""),,1))"),44744.0)</f>
        <v>44744</v>
      </c>
      <c r="I6015" s="1" t="s">
        <v>1097</v>
      </c>
      <c r="J6015" s="4">
        <f>IFERROR(__xludf.DUMMYFUNCTION("DATE(INDEX(SPLIT(I6015,""/""),,3),INDEX(SPLIT(I6015,""/""),,2),INDEX(SPLIT(I6015,""/""),,1))"),45107.0)</f>
        <v>45107</v>
      </c>
      <c r="L6015" s="1">
        <v>0.0</v>
      </c>
      <c r="M6015" s="1" t="s">
        <v>12039</v>
      </c>
      <c r="N6015" s="1"/>
      <c r="O6015" s="1" t="s">
        <v>30</v>
      </c>
      <c r="P6015" s="1" t="s">
        <v>31</v>
      </c>
      <c r="Q6015" s="1" t="s">
        <v>228</v>
      </c>
      <c r="R6015" s="1" t="s">
        <v>228</v>
      </c>
      <c r="S6015" s="1" t="s">
        <v>229</v>
      </c>
      <c r="T6015" s="1" t="s">
        <v>513</v>
      </c>
      <c r="U6015" s="1">
        <v>1.00612509E8</v>
      </c>
      <c r="X6015" s="1" t="s">
        <v>289</v>
      </c>
      <c r="Y6015" s="1" t="s">
        <v>12640</v>
      </c>
      <c r="Z6015" s="1" t="s">
        <v>37</v>
      </c>
    </row>
    <row r="6016" hidden="1">
      <c r="A6016" s="1" t="s">
        <v>16575</v>
      </c>
      <c r="B6016" s="1" t="s">
        <v>16576</v>
      </c>
      <c r="C6016" s="1" t="s">
        <v>16577</v>
      </c>
      <c r="D6016" s="1" t="s">
        <v>27</v>
      </c>
      <c r="E6016" s="1" t="s">
        <v>28</v>
      </c>
      <c r="F6016" s="2">
        <v>5600.0</v>
      </c>
      <c r="G6016" s="4">
        <v>44599.0</v>
      </c>
      <c r="H6016" s="4">
        <f>IFERROR(__xludf.DUMMYFUNCTION("DATE(INDEX(SPLIT(G6016,""/""),,3),INDEX(SPLIT(G6016,""/""),,2),INDEX(SPLIT(G6016,""/""),,1))"),44744.0)</f>
        <v>44744</v>
      </c>
      <c r="I6016" s="1" t="s">
        <v>1097</v>
      </c>
      <c r="J6016" s="4">
        <f>IFERROR(__xludf.DUMMYFUNCTION("DATE(INDEX(SPLIT(I6016,""/""),,3),INDEX(SPLIT(I6016,""/""),,2),INDEX(SPLIT(I6016,""/""),,1))"),45107.0)</f>
        <v>45107</v>
      </c>
      <c r="L6016" s="1">
        <v>0.0</v>
      </c>
      <c r="M6016" s="1" t="s">
        <v>12039</v>
      </c>
      <c r="N6016" s="1"/>
      <c r="O6016" s="1" t="s">
        <v>30</v>
      </c>
      <c r="P6016" s="1" t="s">
        <v>31</v>
      </c>
      <c r="Q6016" s="1" t="s">
        <v>228</v>
      </c>
      <c r="R6016" s="1" t="s">
        <v>228</v>
      </c>
      <c r="S6016" s="1" t="s">
        <v>229</v>
      </c>
      <c r="U6016" s="1">
        <v>1.00612509E8</v>
      </c>
      <c r="X6016" s="1" t="s">
        <v>289</v>
      </c>
      <c r="Y6016" s="1" t="s">
        <v>12640</v>
      </c>
      <c r="Z6016" s="1" t="s">
        <v>37</v>
      </c>
    </row>
    <row r="6017" hidden="1">
      <c r="A6017" s="1" t="s">
        <v>16578</v>
      </c>
      <c r="B6017" s="1" t="s">
        <v>16579</v>
      </c>
      <c r="C6017" s="1" t="s">
        <v>16580</v>
      </c>
      <c r="D6017" s="1" t="s">
        <v>27</v>
      </c>
      <c r="E6017" s="1" t="s">
        <v>28</v>
      </c>
      <c r="F6017" s="2">
        <v>5600.0</v>
      </c>
      <c r="G6017" s="4">
        <v>44599.0</v>
      </c>
      <c r="H6017" s="4">
        <f>IFERROR(__xludf.DUMMYFUNCTION("DATE(INDEX(SPLIT(G6017,""/""),,3),INDEX(SPLIT(G6017,""/""),,2),INDEX(SPLIT(G6017,""/""),,1))"),44744.0)</f>
        <v>44744</v>
      </c>
      <c r="I6017" s="1" t="s">
        <v>1097</v>
      </c>
      <c r="J6017" s="4">
        <f>IFERROR(__xludf.DUMMYFUNCTION("DATE(INDEX(SPLIT(I6017,""/""),,3),INDEX(SPLIT(I6017,""/""),,2),INDEX(SPLIT(I6017,""/""),,1))"),45107.0)</f>
        <v>45107</v>
      </c>
      <c r="L6017" s="1">
        <v>0.0</v>
      </c>
      <c r="M6017" s="1" t="s">
        <v>12039</v>
      </c>
      <c r="N6017" s="1"/>
      <c r="O6017" s="1" t="s">
        <v>30</v>
      </c>
      <c r="P6017" s="1" t="s">
        <v>31</v>
      </c>
      <c r="Q6017" s="1" t="s">
        <v>228</v>
      </c>
      <c r="R6017" s="1" t="s">
        <v>228</v>
      </c>
      <c r="S6017" s="1" t="s">
        <v>229</v>
      </c>
      <c r="U6017" s="1">
        <v>1.00612509E8</v>
      </c>
      <c r="X6017" s="1" t="s">
        <v>289</v>
      </c>
      <c r="Y6017" s="1" t="s">
        <v>12640</v>
      </c>
      <c r="Z6017" s="1" t="s">
        <v>37</v>
      </c>
    </row>
    <row r="6018" hidden="1">
      <c r="A6018" s="1" t="s">
        <v>16581</v>
      </c>
      <c r="B6018" s="1" t="s">
        <v>16582</v>
      </c>
      <c r="C6018" s="1" t="s">
        <v>16583</v>
      </c>
      <c r="D6018" s="1" t="s">
        <v>27</v>
      </c>
      <c r="E6018" s="1" t="s">
        <v>28</v>
      </c>
      <c r="F6018" s="2">
        <v>5600.0</v>
      </c>
      <c r="G6018" s="4">
        <v>44568.0</v>
      </c>
      <c r="H6018" s="4">
        <f>IFERROR(__xludf.DUMMYFUNCTION("DATE(INDEX(SPLIT(G6018,""/""),,3),INDEX(SPLIT(G6018,""/""),,2),INDEX(SPLIT(G6018,""/""),,1))"),44743.0)</f>
        <v>44743</v>
      </c>
      <c r="I6018" s="1" t="s">
        <v>1097</v>
      </c>
      <c r="J6018" s="4">
        <f>IFERROR(__xludf.DUMMYFUNCTION("DATE(INDEX(SPLIT(I6018,""/""),,3),INDEX(SPLIT(I6018,""/""),,2),INDEX(SPLIT(I6018,""/""),,1))"),45107.0)</f>
        <v>45107</v>
      </c>
      <c r="L6018" s="1">
        <v>0.0</v>
      </c>
      <c r="M6018" s="1" t="s">
        <v>12039</v>
      </c>
      <c r="N6018" s="1"/>
      <c r="O6018" s="1" t="s">
        <v>30</v>
      </c>
      <c r="P6018" s="1" t="s">
        <v>31</v>
      </c>
      <c r="Q6018" s="1" t="s">
        <v>228</v>
      </c>
      <c r="R6018" s="1" t="s">
        <v>228</v>
      </c>
      <c r="S6018" s="1" t="s">
        <v>229</v>
      </c>
      <c r="T6018" s="1" t="s">
        <v>513</v>
      </c>
      <c r="U6018" s="1">
        <v>1.00612509E8</v>
      </c>
      <c r="X6018" s="1" t="s">
        <v>289</v>
      </c>
      <c r="Y6018" s="1" t="s">
        <v>12640</v>
      </c>
      <c r="Z6018" s="1" t="s">
        <v>37</v>
      </c>
    </row>
    <row r="6019" hidden="1">
      <c r="A6019" s="1" t="s">
        <v>16584</v>
      </c>
      <c r="B6019" s="1" t="s">
        <v>16585</v>
      </c>
      <c r="C6019" s="1" t="s">
        <v>16586</v>
      </c>
      <c r="D6019" s="1" t="s">
        <v>27</v>
      </c>
      <c r="E6019" s="1" t="s">
        <v>28</v>
      </c>
      <c r="F6019" s="2">
        <v>5600.0</v>
      </c>
      <c r="G6019" s="4">
        <v>44568.0</v>
      </c>
      <c r="H6019" s="4">
        <f>IFERROR(__xludf.DUMMYFUNCTION("DATE(INDEX(SPLIT(G6019,""/""),,3),INDEX(SPLIT(G6019,""/""),,2),INDEX(SPLIT(G6019,""/""),,1))"),44743.0)</f>
        <v>44743</v>
      </c>
      <c r="I6019" s="1" t="s">
        <v>1097</v>
      </c>
      <c r="J6019" s="4">
        <f>IFERROR(__xludf.DUMMYFUNCTION("DATE(INDEX(SPLIT(I6019,""/""),,3),INDEX(SPLIT(I6019,""/""),,2),INDEX(SPLIT(I6019,""/""),,1))"),45107.0)</f>
        <v>45107</v>
      </c>
      <c r="L6019" s="1">
        <v>0.0</v>
      </c>
      <c r="M6019" s="1" t="s">
        <v>12039</v>
      </c>
      <c r="N6019" s="1"/>
      <c r="O6019" s="1" t="s">
        <v>30</v>
      </c>
      <c r="P6019" s="1" t="s">
        <v>31</v>
      </c>
      <c r="Q6019" s="1" t="s">
        <v>228</v>
      </c>
      <c r="R6019" s="1" t="s">
        <v>228</v>
      </c>
      <c r="S6019" s="1" t="s">
        <v>229</v>
      </c>
      <c r="T6019" s="1" t="s">
        <v>513</v>
      </c>
      <c r="U6019" s="1">
        <v>1.00612509E8</v>
      </c>
      <c r="X6019" s="1" t="s">
        <v>289</v>
      </c>
      <c r="Y6019" s="1" t="s">
        <v>12640</v>
      </c>
      <c r="Z6019" s="1" t="s">
        <v>37</v>
      </c>
    </row>
    <row r="6020" hidden="1">
      <c r="A6020" s="1" t="s">
        <v>16587</v>
      </c>
      <c r="B6020" s="1" t="s">
        <v>16588</v>
      </c>
      <c r="C6020" s="1" t="s">
        <v>16589</v>
      </c>
      <c r="D6020" s="1" t="s">
        <v>27</v>
      </c>
      <c r="E6020" s="1" t="s">
        <v>28</v>
      </c>
      <c r="F6020" s="2">
        <v>5600.0</v>
      </c>
      <c r="G6020" s="4">
        <v>44568.0</v>
      </c>
      <c r="H6020" s="4">
        <f>IFERROR(__xludf.DUMMYFUNCTION("DATE(INDEX(SPLIT(G6020,""/""),,3),INDEX(SPLIT(G6020,""/""),,2),INDEX(SPLIT(G6020,""/""),,1))"),44743.0)</f>
        <v>44743</v>
      </c>
      <c r="I6020" s="1" t="s">
        <v>1097</v>
      </c>
      <c r="J6020" s="4">
        <f>IFERROR(__xludf.DUMMYFUNCTION("DATE(INDEX(SPLIT(I6020,""/""),,3),INDEX(SPLIT(I6020,""/""),,2),INDEX(SPLIT(I6020,""/""),,1))"),45107.0)</f>
        <v>45107</v>
      </c>
      <c r="L6020" s="1">
        <v>0.0</v>
      </c>
      <c r="M6020" s="1" t="s">
        <v>12039</v>
      </c>
      <c r="N6020" s="1"/>
      <c r="O6020" s="1" t="s">
        <v>30</v>
      </c>
      <c r="P6020" s="1" t="s">
        <v>31</v>
      </c>
      <c r="Q6020" s="1" t="s">
        <v>228</v>
      </c>
      <c r="R6020" s="1" t="s">
        <v>228</v>
      </c>
      <c r="S6020" s="1" t="s">
        <v>229</v>
      </c>
      <c r="T6020" s="1" t="s">
        <v>513</v>
      </c>
      <c r="U6020" s="1">
        <v>1.00612509E8</v>
      </c>
      <c r="X6020" s="1" t="s">
        <v>289</v>
      </c>
      <c r="Y6020" s="1" t="s">
        <v>12640</v>
      </c>
      <c r="Z6020" s="1" t="s">
        <v>37</v>
      </c>
    </row>
    <row r="6021" hidden="1">
      <c r="A6021" s="1" t="s">
        <v>16590</v>
      </c>
      <c r="B6021" s="1" t="s">
        <v>16591</v>
      </c>
      <c r="C6021" s="1" t="s">
        <v>16592</v>
      </c>
      <c r="D6021" s="1" t="s">
        <v>27</v>
      </c>
      <c r="E6021" s="1" t="s">
        <v>28</v>
      </c>
      <c r="F6021" s="2">
        <v>5600.0</v>
      </c>
      <c r="G6021" s="4">
        <v>44568.0</v>
      </c>
      <c r="H6021" s="4">
        <f>IFERROR(__xludf.DUMMYFUNCTION("DATE(INDEX(SPLIT(G6021,""/""),,3),INDEX(SPLIT(G6021,""/""),,2),INDEX(SPLIT(G6021,""/""),,1))"),44743.0)</f>
        <v>44743</v>
      </c>
      <c r="I6021" s="1" t="s">
        <v>1097</v>
      </c>
      <c r="J6021" s="4">
        <f>IFERROR(__xludf.DUMMYFUNCTION("DATE(INDEX(SPLIT(I6021,""/""),,3),INDEX(SPLIT(I6021,""/""),,2),INDEX(SPLIT(I6021,""/""),,1))"),45107.0)</f>
        <v>45107</v>
      </c>
      <c r="L6021" s="1">
        <v>0.0</v>
      </c>
      <c r="M6021" s="1" t="s">
        <v>12039</v>
      </c>
      <c r="N6021" s="1"/>
      <c r="O6021" s="1" t="s">
        <v>30</v>
      </c>
      <c r="P6021" s="1" t="s">
        <v>31</v>
      </c>
      <c r="Q6021" s="1" t="s">
        <v>228</v>
      </c>
      <c r="R6021" s="1" t="s">
        <v>228</v>
      </c>
      <c r="S6021" s="1" t="s">
        <v>229</v>
      </c>
      <c r="T6021" s="1" t="s">
        <v>513</v>
      </c>
      <c r="U6021" s="1">
        <v>1.00612509E8</v>
      </c>
      <c r="X6021" s="1" t="s">
        <v>289</v>
      </c>
      <c r="Y6021" s="1" t="s">
        <v>12640</v>
      </c>
      <c r="Z6021" s="1" t="s">
        <v>37</v>
      </c>
    </row>
    <row r="6022" hidden="1">
      <c r="A6022" s="1" t="s">
        <v>16593</v>
      </c>
      <c r="B6022" s="1" t="s">
        <v>16594</v>
      </c>
      <c r="C6022" s="1" t="s">
        <v>16595</v>
      </c>
      <c r="D6022" s="1" t="s">
        <v>27</v>
      </c>
      <c r="E6022" s="1" t="s">
        <v>28</v>
      </c>
      <c r="F6022" s="2">
        <v>5600.0</v>
      </c>
      <c r="G6022" s="4">
        <v>44568.0</v>
      </c>
      <c r="H6022" s="4">
        <f>IFERROR(__xludf.DUMMYFUNCTION("DATE(INDEX(SPLIT(G6022,""/""),,3),INDEX(SPLIT(G6022,""/""),,2),INDEX(SPLIT(G6022,""/""),,1))"),44743.0)</f>
        <v>44743</v>
      </c>
      <c r="I6022" s="1" t="s">
        <v>1097</v>
      </c>
      <c r="J6022" s="4">
        <f>IFERROR(__xludf.DUMMYFUNCTION("DATE(INDEX(SPLIT(I6022,""/""),,3),INDEX(SPLIT(I6022,""/""),,2),INDEX(SPLIT(I6022,""/""),,1))"),45107.0)</f>
        <v>45107</v>
      </c>
      <c r="L6022" s="1">
        <v>0.0</v>
      </c>
      <c r="M6022" s="1" t="s">
        <v>12039</v>
      </c>
      <c r="N6022" s="1"/>
      <c r="O6022" s="1" t="s">
        <v>30</v>
      </c>
      <c r="P6022" s="1" t="s">
        <v>31</v>
      </c>
      <c r="Q6022" s="1" t="s">
        <v>228</v>
      </c>
      <c r="R6022" s="1" t="s">
        <v>228</v>
      </c>
      <c r="S6022" s="1" t="s">
        <v>229</v>
      </c>
      <c r="T6022" s="1" t="s">
        <v>513</v>
      </c>
      <c r="U6022" s="1">
        <v>1.00612509E8</v>
      </c>
      <c r="X6022" s="1" t="s">
        <v>289</v>
      </c>
      <c r="Y6022" s="1" t="s">
        <v>12640</v>
      </c>
      <c r="Z6022" s="1" t="s">
        <v>37</v>
      </c>
    </row>
    <row r="6023" hidden="1">
      <c r="A6023" s="1" t="s">
        <v>16596</v>
      </c>
      <c r="B6023" s="1" t="s">
        <v>16597</v>
      </c>
      <c r="C6023" s="1" t="s">
        <v>16598</v>
      </c>
      <c r="D6023" s="1" t="s">
        <v>27</v>
      </c>
      <c r="E6023" s="1" t="s">
        <v>28</v>
      </c>
      <c r="F6023" s="2">
        <v>5600.0</v>
      </c>
      <c r="G6023" s="4">
        <v>44568.0</v>
      </c>
      <c r="H6023" s="4">
        <f>IFERROR(__xludf.DUMMYFUNCTION("DATE(INDEX(SPLIT(G6023,""/""),,3),INDEX(SPLIT(G6023,""/""),,2),INDEX(SPLIT(G6023,""/""),,1))"),44743.0)</f>
        <v>44743</v>
      </c>
      <c r="I6023" s="1" t="s">
        <v>1097</v>
      </c>
      <c r="J6023" s="4">
        <f>IFERROR(__xludf.DUMMYFUNCTION("DATE(INDEX(SPLIT(I6023,""/""),,3),INDEX(SPLIT(I6023,""/""),,2),INDEX(SPLIT(I6023,""/""),,1))"),45107.0)</f>
        <v>45107</v>
      </c>
      <c r="L6023" s="1">
        <v>0.0</v>
      </c>
      <c r="M6023" s="1" t="s">
        <v>12039</v>
      </c>
      <c r="N6023" s="1"/>
      <c r="O6023" s="1" t="s">
        <v>30</v>
      </c>
      <c r="P6023" s="1" t="s">
        <v>31</v>
      </c>
      <c r="Q6023" s="1" t="s">
        <v>228</v>
      </c>
      <c r="R6023" s="1" t="s">
        <v>228</v>
      </c>
      <c r="S6023" s="1" t="s">
        <v>229</v>
      </c>
      <c r="T6023" s="1" t="s">
        <v>513</v>
      </c>
      <c r="U6023" s="1">
        <v>1.00612509E8</v>
      </c>
      <c r="X6023" s="1" t="s">
        <v>289</v>
      </c>
      <c r="Y6023" s="1" t="s">
        <v>12640</v>
      </c>
      <c r="Z6023" s="1" t="s">
        <v>37</v>
      </c>
    </row>
    <row r="6024" hidden="1">
      <c r="A6024" s="1" t="s">
        <v>16599</v>
      </c>
      <c r="B6024" s="1" t="s">
        <v>16600</v>
      </c>
      <c r="C6024" s="1" t="s">
        <v>16601</v>
      </c>
      <c r="D6024" s="1" t="s">
        <v>27</v>
      </c>
      <c r="E6024" s="1" t="s">
        <v>28</v>
      </c>
      <c r="F6024" s="2">
        <v>5600.0</v>
      </c>
      <c r="G6024" s="1" t="s">
        <v>779</v>
      </c>
      <c r="H6024" s="4">
        <f>IFERROR(__xludf.DUMMYFUNCTION("DATE(INDEX(SPLIT(G6024,""/""),,3),INDEX(SPLIT(G6024,""/""),,2),INDEX(SPLIT(G6024,""/""),,1))"),44734.0)</f>
        <v>44734</v>
      </c>
      <c r="I6024" s="1" t="s">
        <v>1097</v>
      </c>
      <c r="J6024" s="4">
        <f>IFERROR(__xludf.DUMMYFUNCTION("DATE(INDEX(SPLIT(I6024,""/""),,3),INDEX(SPLIT(I6024,""/""),,2),INDEX(SPLIT(I6024,""/""),,1))"),45107.0)</f>
        <v>45107</v>
      </c>
      <c r="L6024" s="1">
        <v>0.0</v>
      </c>
      <c r="M6024" s="1" t="s">
        <v>12039</v>
      </c>
      <c r="N6024" s="1"/>
      <c r="O6024" s="1" t="s">
        <v>30</v>
      </c>
      <c r="P6024" s="1" t="s">
        <v>31</v>
      </c>
      <c r="Q6024" s="1" t="s">
        <v>228</v>
      </c>
      <c r="R6024" s="1" t="s">
        <v>228</v>
      </c>
      <c r="S6024" s="1" t="s">
        <v>229</v>
      </c>
      <c r="T6024" s="1" t="s">
        <v>513</v>
      </c>
      <c r="U6024" s="1">
        <v>1.00612509E8</v>
      </c>
      <c r="X6024" s="1" t="s">
        <v>289</v>
      </c>
      <c r="Y6024" s="1" t="s">
        <v>13944</v>
      </c>
      <c r="Z6024" s="1" t="s">
        <v>37</v>
      </c>
    </row>
    <row r="6025" hidden="1">
      <c r="A6025" s="1" t="s">
        <v>16602</v>
      </c>
      <c r="B6025" s="1" t="s">
        <v>16603</v>
      </c>
      <c r="C6025" s="1" t="s">
        <v>16604</v>
      </c>
      <c r="D6025" s="1" t="s">
        <v>27</v>
      </c>
      <c r="E6025" s="1" t="s">
        <v>28</v>
      </c>
      <c r="F6025" s="2">
        <v>5600.0</v>
      </c>
      <c r="G6025" s="1" t="s">
        <v>359</v>
      </c>
      <c r="H6025" s="4">
        <f>IFERROR(__xludf.DUMMYFUNCTION("DATE(INDEX(SPLIT(G6025,""/""),,3),INDEX(SPLIT(G6025,""/""),,2),INDEX(SPLIT(G6025,""/""),,1))"),44740.0)</f>
        <v>44740</v>
      </c>
      <c r="I6025" s="1" t="s">
        <v>1097</v>
      </c>
      <c r="J6025" s="4">
        <f>IFERROR(__xludf.DUMMYFUNCTION("DATE(INDEX(SPLIT(I6025,""/""),,3),INDEX(SPLIT(I6025,""/""),,2),INDEX(SPLIT(I6025,""/""),,1))"),45107.0)</f>
        <v>45107</v>
      </c>
      <c r="L6025" s="1">
        <v>0.0</v>
      </c>
      <c r="M6025" s="1" t="s">
        <v>12039</v>
      </c>
      <c r="N6025" s="1"/>
      <c r="O6025" s="1" t="s">
        <v>30</v>
      </c>
      <c r="P6025" s="1" t="s">
        <v>31</v>
      </c>
      <c r="Q6025" s="1" t="s">
        <v>228</v>
      </c>
      <c r="R6025" s="1" t="s">
        <v>228</v>
      </c>
      <c r="S6025" s="1" t="s">
        <v>229</v>
      </c>
      <c r="T6025" s="1" t="s">
        <v>513</v>
      </c>
      <c r="U6025" s="1">
        <v>1.00612509E8</v>
      </c>
      <c r="X6025" s="1" t="s">
        <v>289</v>
      </c>
      <c r="Y6025" s="1" t="s">
        <v>13944</v>
      </c>
      <c r="Z6025" s="1" t="s">
        <v>37</v>
      </c>
    </row>
    <row r="6026" hidden="1">
      <c r="A6026" s="1" t="s">
        <v>16605</v>
      </c>
      <c r="B6026" s="1" t="s">
        <v>16606</v>
      </c>
      <c r="C6026" s="1" t="s">
        <v>16607</v>
      </c>
      <c r="D6026" s="1" t="s">
        <v>27</v>
      </c>
      <c r="E6026" s="1" t="s">
        <v>28</v>
      </c>
      <c r="F6026" s="2">
        <v>5600.0</v>
      </c>
      <c r="G6026" s="1" t="s">
        <v>185</v>
      </c>
      <c r="H6026" s="4">
        <f>IFERROR(__xludf.DUMMYFUNCTION("DATE(INDEX(SPLIT(G6026,""/""),,3),INDEX(SPLIT(G6026,""/""),,2),INDEX(SPLIT(G6026,""/""),,1))"),44741.0)</f>
        <v>44741</v>
      </c>
      <c r="I6026" s="1" t="s">
        <v>1097</v>
      </c>
      <c r="J6026" s="4">
        <f>IFERROR(__xludf.DUMMYFUNCTION("DATE(INDEX(SPLIT(I6026,""/""),,3),INDEX(SPLIT(I6026,""/""),,2),INDEX(SPLIT(I6026,""/""),,1))"),45107.0)</f>
        <v>45107</v>
      </c>
      <c r="L6026" s="1">
        <v>0.0</v>
      </c>
      <c r="M6026" s="1" t="s">
        <v>12039</v>
      </c>
      <c r="N6026" s="1"/>
      <c r="O6026" s="1" t="s">
        <v>30</v>
      </c>
      <c r="P6026" s="1" t="s">
        <v>31</v>
      </c>
      <c r="Q6026" s="1" t="s">
        <v>228</v>
      </c>
      <c r="R6026" s="1" t="s">
        <v>228</v>
      </c>
      <c r="S6026" s="1" t="s">
        <v>229</v>
      </c>
      <c r="T6026" s="1" t="s">
        <v>513</v>
      </c>
      <c r="U6026" s="1">
        <v>1.00612509E8</v>
      </c>
      <c r="X6026" s="1" t="s">
        <v>289</v>
      </c>
      <c r="Y6026" s="1" t="s">
        <v>13944</v>
      </c>
      <c r="Z6026" s="1" t="s">
        <v>37</v>
      </c>
    </row>
    <row r="6027" hidden="1">
      <c r="A6027" s="1" t="s">
        <v>16608</v>
      </c>
      <c r="B6027" s="1" t="s">
        <v>16609</v>
      </c>
      <c r="C6027" s="1" t="s">
        <v>16610</v>
      </c>
      <c r="D6027" s="1" t="s">
        <v>27</v>
      </c>
      <c r="E6027" s="1" t="s">
        <v>28</v>
      </c>
      <c r="F6027" s="2">
        <v>5000.0</v>
      </c>
      <c r="G6027" s="1" t="s">
        <v>1259</v>
      </c>
      <c r="H6027" s="4">
        <f>IFERROR(__xludf.DUMMYFUNCTION("DATE(INDEX(SPLIT(G6027,""/""),,3),INDEX(SPLIT(G6027,""/""),,2),INDEX(SPLIT(G6027,""/""),,1))"),44763.0)</f>
        <v>44763</v>
      </c>
      <c r="I6027" s="4">
        <v>44689.0</v>
      </c>
      <c r="J6027" s="4">
        <f>IFERROR(__xludf.DUMMYFUNCTION("DATE(INDEX(SPLIT(I6027,""/""),,3),INDEX(SPLIT(I6027,""/""),,2),INDEX(SPLIT(I6027,""/""),,1))"),44778.0)</f>
        <v>44778</v>
      </c>
      <c r="L6027" s="1">
        <v>0.0</v>
      </c>
      <c r="M6027" s="1" t="s">
        <v>8081</v>
      </c>
      <c r="N6027" s="1"/>
      <c r="O6027" s="1" t="s">
        <v>30</v>
      </c>
      <c r="P6027" s="1" t="s">
        <v>31</v>
      </c>
      <c r="Q6027" s="1" t="s">
        <v>228</v>
      </c>
      <c r="R6027" s="1" t="s">
        <v>228</v>
      </c>
      <c r="S6027" s="1" t="s">
        <v>229</v>
      </c>
      <c r="U6027" s="1">
        <v>1.01154613E8</v>
      </c>
      <c r="X6027" s="1" t="s">
        <v>490</v>
      </c>
      <c r="Y6027" s="1" t="s">
        <v>14131</v>
      </c>
      <c r="Z6027" s="1" t="s">
        <v>37</v>
      </c>
    </row>
    <row r="6028">
      <c r="A6028" s="1" t="s">
        <v>16611</v>
      </c>
      <c r="B6028" s="1" t="s">
        <v>1025</v>
      </c>
      <c r="C6028" s="1" t="s">
        <v>16612</v>
      </c>
      <c r="D6028" s="1" t="s">
        <v>122</v>
      </c>
      <c r="E6028" s="1" t="s">
        <v>28</v>
      </c>
      <c r="F6028" s="2">
        <v>5000.0</v>
      </c>
      <c r="G6028" s="4">
        <v>44568.0</v>
      </c>
      <c r="H6028" s="4">
        <f>IFERROR(__xludf.DUMMYFUNCTION("DATE(INDEX(SPLIT(G6028,""/""),,3),INDEX(SPLIT(G6028,""/""),,2),INDEX(SPLIT(G6028,""/""),,1))"),44743.0)</f>
        <v>44743</v>
      </c>
      <c r="I6028" s="4">
        <v>44780.0</v>
      </c>
      <c r="J6028" s="4">
        <f>IFERROR(__xludf.DUMMYFUNCTION("DATE(INDEX(SPLIT(I6028,""/""),,3),INDEX(SPLIT(I6028,""/""),,2),INDEX(SPLIT(I6028,""/""),,1))"),44750.0)</f>
        <v>44750</v>
      </c>
      <c r="L6028" s="1">
        <v>0.0</v>
      </c>
      <c r="M6028" s="1" t="s">
        <v>303</v>
      </c>
      <c r="N6028" s="1"/>
      <c r="O6028" s="1" t="s">
        <v>30</v>
      </c>
      <c r="P6028" s="1" t="s">
        <v>31</v>
      </c>
      <c r="Q6028" s="1" t="s">
        <v>95</v>
      </c>
      <c r="R6028" s="1" t="s">
        <v>95</v>
      </c>
      <c r="S6028" s="1" t="s">
        <v>96</v>
      </c>
      <c r="T6028" s="1" t="s">
        <v>489</v>
      </c>
      <c r="U6028" s="1">
        <v>1.00623914E8</v>
      </c>
      <c r="X6028" s="1" t="s">
        <v>74</v>
      </c>
      <c r="Y6028" s="1" t="s">
        <v>8720</v>
      </c>
      <c r="Z6028" s="1" t="s">
        <v>37</v>
      </c>
    </row>
    <row r="6029" hidden="1">
      <c r="A6029" s="1" t="s">
        <v>16613</v>
      </c>
      <c r="B6029" s="1" t="s">
        <v>16614</v>
      </c>
      <c r="C6029" s="1" t="s">
        <v>16615</v>
      </c>
      <c r="D6029" s="1" t="s">
        <v>122</v>
      </c>
      <c r="E6029" s="1" t="s">
        <v>28</v>
      </c>
      <c r="F6029" s="2">
        <v>5000.0</v>
      </c>
      <c r="G6029" s="1" t="s">
        <v>2324</v>
      </c>
      <c r="H6029" s="4">
        <f>IFERROR(__xludf.DUMMYFUNCTION("DATE(INDEX(SPLIT(G6029,""/""),,3),INDEX(SPLIT(G6029,""/""),,2),INDEX(SPLIT(G6029,""/""),,1))"),44705.0)</f>
        <v>44705</v>
      </c>
      <c r="I6029" s="1" t="s">
        <v>42</v>
      </c>
      <c r="J6029" s="4">
        <f>IFERROR(__xludf.DUMMYFUNCTION("DATE(INDEX(SPLIT(I6029,""/""),,3),INDEX(SPLIT(I6029,""/""),,2),INDEX(SPLIT(I6029,""/""),,1))"),44926.0)</f>
        <v>44926</v>
      </c>
      <c r="L6029" s="1">
        <v>0.0</v>
      </c>
      <c r="M6029" s="1" t="s">
        <v>11254</v>
      </c>
      <c r="N6029" s="1"/>
      <c r="O6029" s="1" t="s">
        <v>30</v>
      </c>
      <c r="P6029" s="1" t="s">
        <v>31</v>
      </c>
      <c r="Q6029" s="1" t="s">
        <v>228</v>
      </c>
      <c r="R6029" s="1" t="s">
        <v>228</v>
      </c>
      <c r="S6029" s="1" t="s">
        <v>229</v>
      </c>
      <c r="T6029" s="1" t="s">
        <v>513</v>
      </c>
      <c r="U6029" s="1">
        <v>1.00602248E8</v>
      </c>
      <c r="Y6029" s="1" t="s">
        <v>5688</v>
      </c>
      <c r="Z6029" s="1" t="s">
        <v>37</v>
      </c>
    </row>
    <row r="6030">
      <c r="A6030" s="1" t="s">
        <v>16616</v>
      </c>
      <c r="B6030" s="1" t="s">
        <v>3014</v>
      </c>
      <c r="C6030" s="1" t="s">
        <v>16617</v>
      </c>
      <c r="D6030" s="1" t="s">
        <v>78</v>
      </c>
      <c r="E6030" s="1" t="s">
        <v>28</v>
      </c>
      <c r="F6030" s="2">
        <v>5000.0</v>
      </c>
      <c r="G6030" s="4">
        <v>44288.0</v>
      </c>
      <c r="H6030" s="4">
        <f>IFERROR(__xludf.DUMMYFUNCTION("DATE(INDEX(SPLIT(G6030,""/""),,3),INDEX(SPLIT(G6030,""/""),,2),INDEX(SPLIT(G6030,""/""),,1))"),44231.0)</f>
        <v>44231</v>
      </c>
      <c r="I6030" s="1" t="s">
        <v>226</v>
      </c>
      <c r="J6030" s="4">
        <f>IFERROR(__xludf.DUMMYFUNCTION("DATE(INDEX(SPLIT(I6030,""/""),,3),INDEX(SPLIT(I6030,""/""),,2),INDEX(SPLIT(I6030,""/""),,1))"),44771.0)</f>
        <v>44771</v>
      </c>
      <c r="L6030" s="1">
        <v>0.0</v>
      </c>
      <c r="M6030" s="1" t="s">
        <v>2696</v>
      </c>
      <c r="N6030" s="1"/>
      <c r="O6030" s="1" t="s">
        <v>30</v>
      </c>
      <c r="P6030" s="1" t="s">
        <v>31</v>
      </c>
      <c r="Q6030" s="1" t="s">
        <v>157</v>
      </c>
      <c r="R6030" s="1" t="s">
        <v>157</v>
      </c>
      <c r="S6030" s="1" t="s">
        <v>158</v>
      </c>
      <c r="T6030" s="1" t="s">
        <v>402</v>
      </c>
      <c r="U6030" s="1">
        <v>1.00611351E8</v>
      </c>
      <c r="X6030" s="1" t="s">
        <v>781</v>
      </c>
      <c r="Y6030" s="1" t="s">
        <v>3016</v>
      </c>
      <c r="Z6030" s="1" t="s">
        <v>37</v>
      </c>
    </row>
    <row r="6031" hidden="1">
      <c r="A6031" s="1" t="s">
        <v>16618</v>
      </c>
      <c r="B6031" s="1" t="s">
        <v>16619</v>
      </c>
      <c r="C6031" s="1" t="s">
        <v>16620</v>
      </c>
      <c r="D6031" s="1" t="s">
        <v>78</v>
      </c>
      <c r="E6031" s="1" t="s">
        <v>28</v>
      </c>
      <c r="F6031" s="2">
        <v>5000.0</v>
      </c>
      <c r="G6031" s="1" t="s">
        <v>50</v>
      </c>
      <c r="H6031" s="4">
        <f>IFERROR(__xludf.DUMMYFUNCTION("DATE(INDEX(SPLIT(G6031,""/""),,3),INDEX(SPLIT(G6031,""/""),,2),INDEX(SPLIT(G6031,""/""),,1))"),44547.0)</f>
        <v>44547</v>
      </c>
      <c r="I6031" s="1" t="s">
        <v>2227</v>
      </c>
      <c r="J6031" s="4">
        <f>IFERROR(__xludf.DUMMYFUNCTION("DATE(INDEX(SPLIT(I6031,""/""),,3),INDEX(SPLIT(I6031,""/""),,2),INDEX(SPLIT(I6031,""/""),,1))"),44912.0)</f>
        <v>44912</v>
      </c>
      <c r="L6031" s="1">
        <v>0.0</v>
      </c>
      <c r="M6031" s="1" t="s">
        <v>10358</v>
      </c>
      <c r="N6031" s="1"/>
      <c r="O6031" s="1" t="s">
        <v>30</v>
      </c>
      <c r="P6031" s="1" t="s">
        <v>31</v>
      </c>
      <c r="Q6031" s="1" t="s">
        <v>71</v>
      </c>
      <c r="R6031" s="1" t="s">
        <v>71</v>
      </c>
      <c r="S6031" s="1" t="s">
        <v>72</v>
      </c>
      <c r="U6031" s="1">
        <v>1.00894269E8</v>
      </c>
      <c r="V6031" s="1" t="s">
        <v>16620</v>
      </c>
      <c r="W6031" s="1" t="s">
        <v>2556</v>
      </c>
      <c r="X6031" s="1" t="s">
        <v>74</v>
      </c>
      <c r="Y6031" s="1" t="s">
        <v>2058</v>
      </c>
      <c r="Z6031" s="1" t="s">
        <v>527</v>
      </c>
    </row>
    <row r="6032" hidden="1">
      <c r="A6032" s="1" t="s">
        <v>16621</v>
      </c>
      <c r="B6032" s="1" t="s">
        <v>2538</v>
      </c>
      <c r="C6032" s="1" t="s">
        <v>16622</v>
      </c>
      <c r="D6032" s="1" t="s">
        <v>78</v>
      </c>
      <c r="E6032" s="1" t="s">
        <v>28</v>
      </c>
      <c r="F6032" s="2">
        <v>5000.0</v>
      </c>
      <c r="G6032" s="4">
        <v>44297.0</v>
      </c>
      <c r="H6032" s="4">
        <f>IFERROR(__xludf.DUMMYFUNCTION("DATE(INDEX(SPLIT(G6032,""/""),,3),INDEX(SPLIT(G6032,""/""),,2),INDEX(SPLIT(G6032,""/""),,1))"),44504.0)</f>
        <v>44504</v>
      </c>
      <c r="I6032" s="1" t="s">
        <v>109</v>
      </c>
      <c r="J6032" s="4">
        <f>IFERROR(__xludf.DUMMYFUNCTION("DATE(INDEX(SPLIT(I6032,""/""),,3),INDEX(SPLIT(I6032,""/""),,2),INDEX(SPLIT(I6032,""/""),,1))"),44834.0)</f>
        <v>44834</v>
      </c>
      <c r="L6032" s="1">
        <v>0.0</v>
      </c>
      <c r="M6032" s="1" t="s">
        <v>1828</v>
      </c>
      <c r="N6032" s="1"/>
      <c r="O6032" s="1" t="s">
        <v>30</v>
      </c>
      <c r="P6032" s="1" t="s">
        <v>31</v>
      </c>
      <c r="Q6032" s="1" t="s">
        <v>235</v>
      </c>
      <c r="R6032" s="1" t="s">
        <v>235</v>
      </c>
      <c r="S6032" s="1" t="s">
        <v>236</v>
      </c>
      <c r="T6032" s="1" t="s">
        <v>1349</v>
      </c>
      <c r="U6032" s="1">
        <v>1.00593918E8</v>
      </c>
      <c r="X6032" s="1" t="s">
        <v>375</v>
      </c>
      <c r="Y6032" s="1" t="s">
        <v>1533</v>
      </c>
      <c r="Z6032" s="1" t="s">
        <v>37</v>
      </c>
    </row>
    <row r="6033">
      <c r="A6033" s="1" t="s">
        <v>16623</v>
      </c>
      <c r="B6033" s="1" t="s">
        <v>1070</v>
      </c>
      <c r="C6033" s="1" t="s">
        <v>16624</v>
      </c>
      <c r="D6033" s="1" t="s">
        <v>68</v>
      </c>
      <c r="E6033" s="1" t="s">
        <v>28</v>
      </c>
      <c r="F6033" s="2">
        <v>4500.0</v>
      </c>
      <c r="G6033" s="1" t="s">
        <v>3295</v>
      </c>
      <c r="H6033" s="4">
        <f>IFERROR(__xludf.DUMMYFUNCTION("DATE(INDEX(SPLIT(G6033,""/""),,3),INDEX(SPLIT(G6033,""/""),,2),INDEX(SPLIT(G6033,""/""),,1))"),44575.0)</f>
        <v>44575</v>
      </c>
      <c r="I6033" s="1" t="s">
        <v>69</v>
      </c>
      <c r="J6033" s="4">
        <f>IFERROR(__xludf.DUMMYFUNCTION("DATE(INDEX(SPLIT(I6033,""/""),,3),INDEX(SPLIT(I6033,""/""),,2),INDEX(SPLIT(I6033,""/""),,1))"),44773.0)</f>
        <v>44773</v>
      </c>
      <c r="L6033" s="1">
        <v>0.0</v>
      </c>
      <c r="M6033" s="1" t="s">
        <v>11254</v>
      </c>
      <c r="N6033" s="1"/>
      <c r="O6033" s="1" t="s">
        <v>30</v>
      </c>
      <c r="P6033" s="1" t="s">
        <v>31</v>
      </c>
      <c r="Q6033" s="1" t="s">
        <v>228</v>
      </c>
      <c r="R6033" s="1" t="s">
        <v>228</v>
      </c>
      <c r="S6033" s="1" t="s">
        <v>229</v>
      </c>
      <c r="T6033" s="1" t="s">
        <v>513</v>
      </c>
      <c r="U6033" s="1">
        <v>1.00602248E8</v>
      </c>
      <c r="X6033" s="1" t="s">
        <v>305</v>
      </c>
      <c r="Y6033" s="1" t="s">
        <v>16430</v>
      </c>
      <c r="Z6033" s="1" t="s">
        <v>37</v>
      </c>
    </row>
    <row r="6034">
      <c r="A6034" s="1" t="s">
        <v>16625</v>
      </c>
      <c r="B6034" s="1" t="s">
        <v>6964</v>
      </c>
      <c r="C6034" s="1" t="s">
        <v>16626</v>
      </c>
      <c r="D6034" s="1" t="s">
        <v>27</v>
      </c>
      <c r="E6034" s="1" t="s">
        <v>28</v>
      </c>
      <c r="F6034" s="2">
        <v>4500.0</v>
      </c>
      <c r="G6034" s="1" t="s">
        <v>1058</v>
      </c>
      <c r="H6034" s="4">
        <f>IFERROR(__xludf.DUMMYFUNCTION("DATE(INDEX(SPLIT(G6034,""/""),,3),INDEX(SPLIT(G6034,""/""),,2),INDEX(SPLIT(G6034,""/""),,1))"),44733.0)</f>
        <v>44733</v>
      </c>
      <c r="I6034" s="1" t="s">
        <v>429</v>
      </c>
      <c r="J6034" s="4">
        <f>IFERROR(__xludf.DUMMYFUNCTION("DATE(INDEX(SPLIT(I6034,""/""),,3),INDEX(SPLIT(I6034,""/""),,2),INDEX(SPLIT(I6034,""/""),,1))"),44739.0)</f>
        <v>44739</v>
      </c>
      <c r="L6034" s="1">
        <v>0.0</v>
      </c>
      <c r="M6034" s="1" t="s">
        <v>2546</v>
      </c>
      <c r="N6034" s="1"/>
      <c r="O6034" s="1" t="s">
        <v>30</v>
      </c>
      <c r="P6034" s="1" t="s">
        <v>31</v>
      </c>
      <c r="Q6034" s="1" t="s">
        <v>228</v>
      </c>
      <c r="R6034" s="1" t="s">
        <v>228</v>
      </c>
      <c r="S6034" s="1" t="s">
        <v>229</v>
      </c>
      <c r="T6034" s="1" t="s">
        <v>640</v>
      </c>
      <c r="U6034" s="1">
        <v>1.00892076E8</v>
      </c>
      <c r="V6034" s="1" t="s">
        <v>16627</v>
      </c>
      <c r="W6034" s="1" t="s">
        <v>45</v>
      </c>
      <c r="X6034" s="1" t="s">
        <v>289</v>
      </c>
      <c r="Y6034" s="1" t="s">
        <v>16628</v>
      </c>
      <c r="Z6034" s="1" t="s">
        <v>37</v>
      </c>
    </row>
    <row r="6035">
      <c r="A6035" s="1" t="s">
        <v>16629</v>
      </c>
      <c r="B6035" s="1" t="s">
        <v>16630</v>
      </c>
      <c r="C6035" s="1" t="s">
        <v>16631</v>
      </c>
      <c r="D6035" s="1" t="s">
        <v>122</v>
      </c>
      <c r="E6035" s="1" t="s">
        <v>28</v>
      </c>
      <c r="F6035" s="2">
        <v>4258.0</v>
      </c>
      <c r="G6035" s="1" t="s">
        <v>8711</v>
      </c>
      <c r="H6035" s="4">
        <f>IFERROR(__xludf.DUMMYFUNCTION("DATE(INDEX(SPLIT(G6035,""/""),,3),INDEX(SPLIT(G6035,""/""),,2),INDEX(SPLIT(G6035,""/""),,1))"),43847.0)</f>
        <v>43847</v>
      </c>
      <c r="I6035" s="1" t="s">
        <v>226</v>
      </c>
      <c r="J6035" s="4">
        <f>IFERROR(__xludf.DUMMYFUNCTION("DATE(INDEX(SPLIT(I6035,""/""),,3),INDEX(SPLIT(I6035,""/""),,2),INDEX(SPLIT(I6035,""/""),,1))"),44771.0)</f>
        <v>44771</v>
      </c>
      <c r="L6035" s="1">
        <v>0.0</v>
      </c>
      <c r="M6035" s="1" t="s">
        <v>2696</v>
      </c>
      <c r="N6035" s="1"/>
      <c r="O6035" s="1" t="s">
        <v>30</v>
      </c>
      <c r="P6035" s="1" t="s">
        <v>31</v>
      </c>
      <c r="Q6035" s="1" t="s">
        <v>157</v>
      </c>
      <c r="R6035" s="1" t="s">
        <v>157</v>
      </c>
      <c r="S6035" s="1" t="s">
        <v>158</v>
      </c>
      <c r="T6035" s="1" t="s">
        <v>8712</v>
      </c>
      <c r="U6035" s="1">
        <v>1.00611351E8</v>
      </c>
      <c r="X6035" s="1" t="s">
        <v>1182</v>
      </c>
      <c r="Y6035" s="1" t="s">
        <v>3016</v>
      </c>
      <c r="Z6035" s="1" t="s">
        <v>37</v>
      </c>
    </row>
    <row r="6036" hidden="1">
      <c r="A6036" s="1" t="s">
        <v>16632</v>
      </c>
      <c r="B6036" s="1" t="s">
        <v>16633</v>
      </c>
      <c r="C6036" s="1" t="s">
        <v>16634</v>
      </c>
      <c r="D6036" s="1" t="s">
        <v>27</v>
      </c>
      <c r="E6036" s="1" t="s">
        <v>28</v>
      </c>
      <c r="F6036" s="2">
        <v>3800.0</v>
      </c>
      <c r="G6036" s="4">
        <v>44599.0</v>
      </c>
      <c r="H6036" s="4">
        <f>IFERROR(__xludf.DUMMYFUNCTION("DATE(INDEX(SPLIT(G6036,""/""),,3),INDEX(SPLIT(G6036,""/""),,2),INDEX(SPLIT(G6036,""/""),,1))"),44744.0)</f>
        <v>44744</v>
      </c>
      <c r="I6036" s="1" t="s">
        <v>1097</v>
      </c>
      <c r="J6036" s="4">
        <f>IFERROR(__xludf.DUMMYFUNCTION("DATE(INDEX(SPLIT(I6036,""/""),,3),INDEX(SPLIT(I6036,""/""),,2),INDEX(SPLIT(I6036,""/""),,1))"),45107.0)</f>
        <v>45107</v>
      </c>
      <c r="L6036" s="1">
        <v>0.0</v>
      </c>
      <c r="M6036" s="1" t="s">
        <v>12039</v>
      </c>
      <c r="N6036" s="1"/>
      <c r="O6036" s="1" t="s">
        <v>30</v>
      </c>
      <c r="P6036" s="1" t="s">
        <v>31</v>
      </c>
      <c r="Q6036" s="1" t="s">
        <v>228</v>
      </c>
      <c r="R6036" s="1" t="s">
        <v>228</v>
      </c>
      <c r="S6036" s="1" t="s">
        <v>229</v>
      </c>
      <c r="T6036" s="1" t="s">
        <v>513</v>
      </c>
      <c r="U6036" s="1">
        <v>1.00612509E8</v>
      </c>
      <c r="X6036" s="1" t="s">
        <v>375</v>
      </c>
      <c r="Y6036" s="1" t="s">
        <v>12640</v>
      </c>
      <c r="Z6036" s="1" t="s">
        <v>37</v>
      </c>
    </row>
    <row r="6037" hidden="1">
      <c r="A6037" s="1" t="s">
        <v>16635</v>
      </c>
      <c r="B6037" s="1" t="s">
        <v>16636</v>
      </c>
      <c r="C6037" s="1" t="s">
        <v>16637</v>
      </c>
      <c r="D6037" s="1" t="s">
        <v>27</v>
      </c>
      <c r="E6037" s="1" t="s">
        <v>28</v>
      </c>
      <c r="F6037" s="2">
        <v>3800.0</v>
      </c>
      <c r="G6037" s="4">
        <v>44599.0</v>
      </c>
      <c r="H6037" s="4">
        <f>IFERROR(__xludf.DUMMYFUNCTION("DATE(INDEX(SPLIT(G6037,""/""),,3),INDEX(SPLIT(G6037,""/""),,2),INDEX(SPLIT(G6037,""/""),,1))"),44744.0)</f>
        <v>44744</v>
      </c>
      <c r="I6037" s="1" t="s">
        <v>1097</v>
      </c>
      <c r="J6037" s="4">
        <f>IFERROR(__xludf.DUMMYFUNCTION("DATE(INDEX(SPLIT(I6037,""/""),,3),INDEX(SPLIT(I6037,""/""),,2),INDEX(SPLIT(I6037,""/""),,1))"),45107.0)</f>
        <v>45107</v>
      </c>
      <c r="L6037" s="1">
        <v>0.0</v>
      </c>
      <c r="M6037" s="1" t="s">
        <v>12039</v>
      </c>
      <c r="N6037" s="1"/>
      <c r="O6037" s="1" t="s">
        <v>30</v>
      </c>
      <c r="P6037" s="1" t="s">
        <v>31</v>
      </c>
      <c r="Q6037" s="1" t="s">
        <v>228</v>
      </c>
      <c r="R6037" s="1" t="s">
        <v>228</v>
      </c>
      <c r="S6037" s="1" t="s">
        <v>229</v>
      </c>
      <c r="T6037" s="1" t="s">
        <v>513</v>
      </c>
      <c r="U6037" s="1">
        <v>1.00612509E8</v>
      </c>
      <c r="X6037" s="1" t="s">
        <v>289</v>
      </c>
      <c r="Y6037" s="1" t="s">
        <v>12640</v>
      </c>
      <c r="Z6037" s="1" t="s">
        <v>37</v>
      </c>
    </row>
    <row r="6038" hidden="1">
      <c r="A6038" s="1" t="s">
        <v>16638</v>
      </c>
      <c r="B6038" s="1" t="s">
        <v>16639</v>
      </c>
      <c r="C6038" s="1" t="s">
        <v>16640</v>
      </c>
      <c r="D6038" s="1" t="s">
        <v>27</v>
      </c>
      <c r="E6038" s="1" t="s">
        <v>28</v>
      </c>
      <c r="F6038" s="2">
        <v>3800.0</v>
      </c>
      <c r="G6038" s="4">
        <v>44296.0</v>
      </c>
      <c r="H6038" s="4">
        <f>IFERROR(__xludf.DUMMYFUNCTION("DATE(INDEX(SPLIT(G6038,""/""),,3),INDEX(SPLIT(G6038,""/""),,2),INDEX(SPLIT(G6038,""/""),,1))"),44473.0)</f>
        <v>44473</v>
      </c>
      <c r="I6038" s="1" t="s">
        <v>42</v>
      </c>
      <c r="J6038" s="4">
        <f>IFERROR(__xludf.DUMMYFUNCTION("DATE(INDEX(SPLIT(I6038,""/""),,3),INDEX(SPLIT(I6038,""/""),,2),INDEX(SPLIT(I6038,""/""),,1))"),44926.0)</f>
        <v>44926</v>
      </c>
      <c r="L6038" s="1">
        <v>0.0</v>
      </c>
      <c r="M6038" s="1" t="s">
        <v>12039</v>
      </c>
      <c r="N6038" s="1"/>
      <c r="O6038" s="1" t="s">
        <v>30</v>
      </c>
      <c r="P6038" s="1" t="s">
        <v>31</v>
      </c>
      <c r="Q6038" s="1" t="s">
        <v>228</v>
      </c>
      <c r="R6038" s="1" t="s">
        <v>228</v>
      </c>
      <c r="S6038" s="1" t="s">
        <v>229</v>
      </c>
      <c r="T6038" s="1" t="s">
        <v>513</v>
      </c>
      <c r="U6038" s="1">
        <v>1.00612509E8</v>
      </c>
      <c r="X6038" s="1" t="s">
        <v>289</v>
      </c>
      <c r="Y6038" s="1" t="s">
        <v>12637</v>
      </c>
      <c r="Z6038" s="1" t="s">
        <v>37</v>
      </c>
    </row>
    <row r="6039" hidden="1">
      <c r="A6039" s="1" t="s">
        <v>16641</v>
      </c>
      <c r="B6039" s="1" t="s">
        <v>7733</v>
      </c>
      <c r="C6039" s="1" t="s">
        <v>16642</v>
      </c>
      <c r="D6039" s="1" t="s">
        <v>27</v>
      </c>
      <c r="E6039" s="1" t="s">
        <v>28</v>
      </c>
      <c r="F6039" s="2">
        <v>3800.0</v>
      </c>
      <c r="G6039" s="1" t="s">
        <v>16643</v>
      </c>
      <c r="H6039" s="4">
        <f>IFERROR(__xludf.DUMMYFUNCTION("DATE(INDEX(SPLIT(G6039,""/""),,3),INDEX(SPLIT(G6039,""/""),,2),INDEX(SPLIT(G6039,""/""),,1))"),44153.0)</f>
        <v>44153</v>
      </c>
      <c r="I6039" s="1" t="s">
        <v>42</v>
      </c>
      <c r="J6039" s="4">
        <f>IFERROR(__xludf.DUMMYFUNCTION("DATE(INDEX(SPLIT(I6039,""/""),,3),INDEX(SPLIT(I6039,""/""),,2),INDEX(SPLIT(I6039,""/""),,1))"),44926.0)</f>
        <v>44926</v>
      </c>
      <c r="L6039" s="1">
        <v>0.0</v>
      </c>
      <c r="M6039" s="1" t="s">
        <v>12039</v>
      </c>
      <c r="N6039" s="1"/>
      <c r="O6039" s="1" t="s">
        <v>30</v>
      </c>
      <c r="P6039" s="1" t="s">
        <v>31</v>
      </c>
      <c r="Q6039" s="1" t="s">
        <v>228</v>
      </c>
      <c r="R6039" s="1" t="s">
        <v>228</v>
      </c>
      <c r="S6039" s="1" t="s">
        <v>229</v>
      </c>
      <c r="T6039" s="1" t="s">
        <v>513</v>
      </c>
      <c r="U6039" s="1">
        <v>1.00612509E8</v>
      </c>
      <c r="X6039" s="1" t="s">
        <v>289</v>
      </c>
      <c r="Y6039" s="1" t="s">
        <v>13638</v>
      </c>
      <c r="Z6039" s="1" t="s">
        <v>37</v>
      </c>
    </row>
    <row r="6040" hidden="1">
      <c r="A6040" s="1" t="s">
        <v>16644</v>
      </c>
      <c r="B6040" s="1" t="s">
        <v>16645</v>
      </c>
      <c r="C6040" s="1" t="s">
        <v>16646</v>
      </c>
      <c r="D6040" s="1" t="s">
        <v>27</v>
      </c>
      <c r="E6040" s="1" t="s">
        <v>28</v>
      </c>
      <c r="F6040" s="2">
        <v>3800.0</v>
      </c>
      <c r="G6040" s="4">
        <v>44568.0</v>
      </c>
      <c r="H6040" s="4">
        <f>IFERROR(__xludf.DUMMYFUNCTION("DATE(INDEX(SPLIT(G6040,""/""),,3),INDEX(SPLIT(G6040,""/""),,2),INDEX(SPLIT(G6040,""/""),,1))"),44743.0)</f>
        <v>44743</v>
      </c>
      <c r="I6040" s="1" t="s">
        <v>1097</v>
      </c>
      <c r="J6040" s="4">
        <f>IFERROR(__xludf.DUMMYFUNCTION("DATE(INDEX(SPLIT(I6040,""/""),,3),INDEX(SPLIT(I6040,""/""),,2),INDEX(SPLIT(I6040,""/""),,1))"),45107.0)</f>
        <v>45107</v>
      </c>
      <c r="L6040" s="1">
        <v>0.0</v>
      </c>
      <c r="M6040" s="1" t="s">
        <v>12039</v>
      </c>
      <c r="N6040" s="1"/>
      <c r="O6040" s="1" t="s">
        <v>30</v>
      </c>
      <c r="P6040" s="1" t="s">
        <v>31</v>
      </c>
      <c r="Q6040" s="1" t="s">
        <v>228</v>
      </c>
      <c r="R6040" s="1" t="s">
        <v>228</v>
      </c>
      <c r="S6040" s="1" t="s">
        <v>229</v>
      </c>
      <c r="T6040" s="1" t="s">
        <v>513</v>
      </c>
      <c r="U6040" s="1">
        <v>1.00612509E8</v>
      </c>
      <c r="X6040" s="1" t="s">
        <v>289</v>
      </c>
      <c r="Y6040" s="1" t="s">
        <v>12640</v>
      </c>
      <c r="Z6040" s="1" t="s">
        <v>37</v>
      </c>
    </row>
    <row r="6041" hidden="1">
      <c r="A6041" s="1" t="s">
        <v>16647</v>
      </c>
      <c r="B6041" s="1" t="s">
        <v>16648</v>
      </c>
      <c r="C6041" s="1" t="s">
        <v>16649</v>
      </c>
      <c r="D6041" s="1" t="s">
        <v>27</v>
      </c>
      <c r="E6041" s="1" t="s">
        <v>28</v>
      </c>
      <c r="F6041" s="2">
        <v>3800.0</v>
      </c>
      <c r="G6041" s="4">
        <v>44568.0</v>
      </c>
      <c r="H6041" s="4">
        <f>IFERROR(__xludf.DUMMYFUNCTION("DATE(INDEX(SPLIT(G6041,""/""),,3),INDEX(SPLIT(G6041,""/""),,2),INDEX(SPLIT(G6041,""/""),,1))"),44743.0)</f>
        <v>44743</v>
      </c>
      <c r="I6041" s="1" t="s">
        <v>1097</v>
      </c>
      <c r="J6041" s="4">
        <f>IFERROR(__xludf.DUMMYFUNCTION("DATE(INDEX(SPLIT(I6041,""/""),,3),INDEX(SPLIT(I6041,""/""),,2),INDEX(SPLIT(I6041,""/""),,1))"),45107.0)</f>
        <v>45107</v>
      </c>
      <c r="L6041" s="1">
        <v>0.0</v>
      </c>
      <c r="M6041" s="1" t="s">
        <v>12039</v>
      </c>
      <c r="N6041" s="1"/>
      <c r="O6041" s="1" t="s">
        <v>30</v>
      </c>
      <c r="P6041" s="1" t="s">
        <v>31</v>
      </c>
      <c r="Q6041" s="1" t="s">
        <v>228</v>
      </c>
      <c r="R6041" s="1" t="s">
        <v>228</v>
      </c>
      <c r="S6041" s="1" t="s">
        <v>229</v>
      </c>
      <c r="T6041" s="1" t="s">
        <v>513</v>
      </c>
      <c r="U6041" s="1">
        <v>1.00612509E8</v>
      </c>
      <c r="X6041" s="1" t="s">
        <v>289</v>
      </c>
      <c r="Y6041" s="1" t="s">
        <v>12640</v>
      </c>
      <c r="Z6041" s="1" t="s">
        <v>37</v>
      </c>
    </row>
    <row r="6042" hidden="1">
      <c r="A6042" s="1" t="s">
        <v>16650</v>
      </c>
      <c r="B6042" s="1" t="s">
        <v>16651</v>
      </c>
      <c r="C6042" s="1" t="s">
        <v>16652</v>
      </c>
      <c r="D6042" s="1" t="s">
        <v>27</v>
      </c>
      <c r="E6042" s="1" t="s">
        <v>28</v>
      </c>
      <c r="F6042" s="2">
        <v>3800.0</v>
      </c>
      <c r="G6042" s="4">
        <v>44298.0</v>
      </c>
      <c r="H6042" s="4">
        <f>IFERROR(__xludf.DUMMYFUNCTION("DATE(INDEX(SPLIT(G6042,""/""),,3),INDEX(SPLIT(G6042,""/""),,2),INDEX(SPLIT(G6042,""/""),,1))"),44534.0)</f>
        <v>44534</v>
      </c>
      <c r="I6042" s="1" t="s">
        <v>42</v>
      </c>
      <c r="J6042" s="4">
        <f>IFERROR(__xludf.DUMMYFUNCTION("DATE(INDEX(SPLIT(I6042,""/""),,3),INDEX(SPLIT(I6042,""/""),,2),INDEX(SPLIT(I6042,""/""),,1))"),44926.0)</f>
        <v>44926</v>
      </c>
      <c r="L6042" s="1">
        <v>0.0</v>
      </c>
      <c r="M6042" s="1" t="s">
        <v>12039</v>
      </c>
      <c r="N6042" s="1"/>
      <c r="O6042" s="1" t="s">
        <v>30</v>
      </c>
      <c r="P6042" s="1" t="s">
        <v>31</v>
      </c>
      <c r="Q6042" s="1" t="s">
        <v>228</v>
      </c>
      <c r="R6042" s="1" t="s">
        <v>228</v>
      </c>
      <c r="S6042" s="1" t="s">
        <v>229</v>
      </c>
      <c r="T6042" s="1" t="s">
        <v>513</v>
      </c>
      <c r="U6042" s="1">
        <v>1.00612509E8</v>
      </c>
      <c r="X6042" s="1" t="s">
        <v>289</v>
      </c>
      <c r="Y6042" s="1" t="s">
        <v>12637</v>
      </c>
      <c r="Z6042" s="1" t="s">
        <v>37</v>
      </c>
    </row>
    <row r="6043" hidden="1">
      <c r="A6043" s="1" t="s">
        <v>16653</v>
      </c>
      <c r="B6043" s="1" t="s">
        <v>9566</v>
      </c>
      <c r="C6043" s="1" t="s">
        <v>16654</v>
      </c>
      <c r="D6043" s="1" t="s">
        <v>27</v>
      </c>
      <c r="E6043" s="1" t="s">
        <v>28</v>
      </c>
      <c r="F6043" s="2">
        <v>3800.0</v>
      </c>
      <c r="G6043" s="4">
        <v>44568.0</v>
      </c>
      <c r="H6043" s="4">
        <f>IFERROR(__xludf.DUMMYFUNCTION("DATE(INDEX(SPLIT(G6043,""/""),,3),INDEX(SPLIT(G6043,""/""),,2),INDEX(SPLIT(G6043,""/""),,1))"),44743.0)</f>
        <v>44743</v>
      </c>
      <c r="I6043" s="1" t="s">
        <v>1097</v>
      </c>
      <c r="J6043" s="4">
        <f>IFERROR(__xludf.DUMMYFUNCTION("DATE(INDEX(SPLIT(I6043,""/""),,3),INDEX(SPLIT(I6043,""/""),,2),INDEX(SPLIT(I6043,""/""),,1))"),45107.0)</f>
        <v>45107</v>
      </c>
      <c r="L6043" s="1">
        <v>0.0</v>
      </c>
      <c r="M6043" s="1" t="s">
        <v>12039</v>
      </c>
      <c r="N6043" s="1"/>
      <c r="O6043" s="1" t="s">
        <v>30</v>
      </c>
      <c r="P6043" s="1" t="s">
        <v>31</v>
      </c>
      <c r="Q6043" s="1" t="s">
        <v>228</v>
      </c>
      <c r="R6043" s="1" t="s">
        <v>228</v>
      </c>
      <c r="S6043" s="1" t="s">
        <v>229</v>
      </c>
      <c r="T6043" s="1" t="s">
        <v>513</v>
      </c>
      <c r="U6043" s="1">
        <v>1.00612509E8</v>
      </c>
      <c r="X6043" s="1" t="s">
        <v>289</v>
      </c>
      <c r="Y6043" s="1" t="s">
        <v>12640</v>
      </c>
      <c r="Z6043" s="1" t="s">
        <v>37</v>
      </c>
    </row>
    <row r="6044" hidden="1">
      <c r="A6044" s="1" t="s">
        <v>16655</v>
      </c>
      <c r="B6044" s="1" t="s">
        <v>16656</v>
      </c>
      <c r="C6044" s="1" t="s">
        <v>16657</v>
      </c>
      <c r="D6044" s="1" t="s">
        <v>27</v>
      </c>
      <c r="E6044" s="1" t="s">
        <v>28</v>
      </c>
      <c r="F6044" s="2">
        <v>3800.0</v>
      </c>
      <c r="G6044" s="1" t="s">
        <v>1598</v>
      </c>
      <c r="H6044" s="4">
        <f>IFERROR(__xludf.DUMMYFUNCTION("DATE(INDEX(SPLIT(G6044,""/""),,3),INDEX(SPLIT(G6044,""/""),,2),INDEX(SPLIT(G6044,""/""),,1))"),44461.0)</f>
        <v>44461</v>
      </c>
      <c r="I6044" s="1" t="s">
        <v>109</v>
      </c>
      <c r="J6044" s="4">
        <f>IFERROR(__xludf.DUMMYFUNCTION("DATE(INDEX(SPLIT(I6044,""/""),,3),INDEX(SPLIT(I6044,""/""),,2),INDEX(SPLIT(I6044,""/""),,1))"),44834.0)</f>
        <v>44834</v>
      </c>
      <c r="L6044" s="1">
        <v>0.0</v>
      </c>
      <c r="M6044" s="1" t="s">
        <v>12039</v>
      </c>
      <c r="N6044" s="1"/>
      <c r="O6044" s="1" t="s">
        <v>30</v>
      </c>
      <c r="P6044" s="1" t="s">
        <v>31</v>
      </c>
      <c r="Q6044" s="1" t="s">
        <v>228</v>
      </c>
      <c r="R6044" s="1" t="s">
        <v>228</v>
      </c>
      <c r="S6044" s="1" t="s">
        <v>229</v>
      </c>
      <c r="T6044" s="1" t="s">
        <v>513</v>
      </c>
      <c r="U6044" s="1">
        <v>1.00612509E8</v>
      </c>
      <c r="X6044" s="1" t="s">
        <v>289</v>
      </c>
      <c r="Y6044" s="1" t="s">
        <v>12637</v>
      </c>
      <c r="Z6044" s="1" t="s">
        <v>37</v>
      </c>
    </row>
    <row r="6045" hidden="1">
      <c r="A6045" s="1" t="s">
        <v>16658</v>
      </c>
      <c r="B6045" s="1" t="s">
        <v>16659</v>
      </c>
      <c r="C6045" s="1" t="s">
        <v>16660</v>
      </c>
      <c r="D6045" s="1" t="s">
        <v>27</v>
      </c>
      <c r="E6045" s="1" t="s">
        <v>28</v>
      </c>
      <c r="F6045" s="2">
        <v>3000.0</v>
      </c>
      <c r="G6045" s="4">
        <v>44599.0</v>
      </c>
      <c r="H6045" s="4">
        <f>IFERROR(__xludf.DUMMYFUNCTION("DATE(INDEX(SPLIT(G6045,""/""),,3),INDEX(SPLIT(G6045,""/""),,2),INDEX(SPLIT(G6045,""/""),,1))"),44744.0)</f>
        <v>44744</v>
      </c>
      <c r="I6045" s="1" t="s">
        <v>1097</v>
      </c>
      <c r="J6045" s="4">
        <f>IFERROR(__xludf.DUMMYFUNCTION("DATE(INDEX(SPLIT(I6045,""/""),,3),INDEX(SPLIT(I6045,""/""),,2),INDEX(SPLIT(I6045,""/""),,1))"),45107.0)</f>
        <v>45107</v>
      </c>
      <c r="L6045" s="1">
        <v>0.0</v>
      </c>
      <c r="M6045" s="1" t="s">
        <v>12039</v>
      </c>
      <c r="N6045" s="1"/>
      <c r="O6045" s="1" t="s">
        <v>30</v>
      </c>
      <c r="P6045" s="1" t="s">
        <v>31</v>
      </c>
      <c r="Q6045" s="1" t="s">
        <v>228</v>
      </c>
      <c r="R6045" s="1" t="s">
        <v>228</v>
      </c>
      <c r="S6045" s="1" t="s">
        <v>229</v>
      </c>
      <c r="U6045" s="1">
        <v>1.00612509E8</v>
      </c>
      <c r="X6045" s="1" t="s">
        <v>74</v>
      </c>
      <c r="Y6045" s="1" t="s">
        <v>12640</v>
      </c>
      <c r="Z6045" s="1" t="s">
        <v>37</v>
      </c>
    </row>
    <row r="6046" hidden="1">
      <c r="A6046" s="1" t="s">
        <v>16661</v>
      </c>
      <c r="B6046" s="1" t="s">
        <v>16662</v>
      </c>
      <c r="C6046" s="1" t="s">
        <v>16663</v>
      </c>
      <c r="D6046" s="1" t="s">
        <v>27</v>
      </c>
      <c r="E6046" s="1" t="s">
        <v>28</v>
      </c>
      <c r="F6046" s="2">
        <v>3000.0</v>
      </c>
      <c r="G6046" s="4">
        <v>44599.0</v>
      </c>
      <c r="H6046" s="4">
        <f>IFERROR(__xludf.DUMMYFUNCTION("DATE(INDEX(SPLIT(G6046,""/""),,3),INDEX(SPLIT(G6046,""/""),,2),INDEX(SPLIT(G6046,""/""),,1))"),44744.0)</f>
        <v>44744</v>
      </c>
      <c r="I6046" s="1" t="s">
        <v>1097</v>
      </c>
      <c r="J6046" s="4">
        <f>IFERROR(__xludf.DUMMYFUNCTION("DATE(INDEX(SPLIT(I6046,""/""),,3),INDEX(SPLIT(I6046,""/""),,2),INDEX(SPLIT(I6046,""/""),,1))"),45107.0)</f>
        <v>45107</v>
      </c>
      <c r="L6046" s="1">
        <v>0.0</v>
      </c>
      <c r="M6046" s="1" t="s">
        <v>12039</v>
      </c>
      <c r="N6046" s="1"/>
      <c r="O6046" s="1" t="s">
        <v>30</v>
      </c>
      <c r="P6046" s="1" t="s">
        <v>31</v>
      </c>
      <c r="Q6046" s="1" t="s">
        <v>228</v>
      </c>
      <c r="R6046" s="1" t="s">
        <v>228</v>
      </c>
      <c r="S6046" s="1" t="s">
        <v>229</v>
      </c>
      <c r="T6046" s="1" t="s">
        <v>513</v>
      </c>
      <c r="U6046" s="1">
        <v>1.00612509E8</v>
      </c>
      <c r="X6046" s="1" t="s">
        <v>74</v>
      </c>
      <c r="Y6046" s="1" t="s">
        <v>12640</v>
      </c>
      <c r="Z6046" s="1" t="s">
        <v>37</v>
      </c>
    </row>
    <row r="6047" hidden="1">
      <c r="A6047" s="1" t="s">
        <v>16664</v>
      </c>
      <c r="B6047" s="1" t="s">
        <v>16665</v>
      </c>
      <c r="C6047" s="1" t="s">
        <v>16666</v>
      </c>
      <c r="D6047" s="1" t="s">
        <v>27</v>
      </c>
      <c r="E6047" s="1" t="s">
        <v>28</v>
      </c>
      <c r="F6047" s="2">
        <v>3000.0</v>
      </c>
      <c r="G6047" s="1" t="s">
        <v>359</v>
      </c>
      <c r="H6047" s="4">
        <f>IFERROR(__xludf.DUMMYFUNCTION("DATE(INDEX(SPLIT(G6047,""/""),,3),INDEX(SPLIT(G6047,""/""),,2),INDEX(SPLIT(G6047,""/""),,1))"),44740.0)</f>
        <v>44740</v>
      </c>
      <c r="I6047" s="1" t="s">
        <v>1097</v>
      </c>
      <c r="J6047" s="4">
        <f>IFERROR(__xludf.DUMMYFUNCTION("DATE(INDEX(SPLIT(I6047,""/""),,3),INDEX(SPLIT(I6047,""/""),,2),INDEX(SPLIT(I6047,""/""),,1))"),45107.0)</f>
        <v>45107</v>
      </c>
      <c r="L6047" s="1">
        <v>0.0</v>
      </c>
      <c r="M6047" s="1" t="s">
        <v>12039</v>
      </c>
      <c r="N6047" s="1"/>
      <c r="O6047" s="1" t="s">
        <v>30</v>
      </c>
      <c r="P6047" s="1" t="s">
        <v>31</v>
      </c>
      <c r="Q6047" s="1" t="s">
        <v>228</v>
      </c>
      <c r="R6047" s="1" t="s">
        <v>228</v>
      </c>
      <c r="S6047" s="1" t="s">
        <v>229</v>
      </c>
      <c r="T6047" s="1" t="s">
        <v>15694</v>
      </c>
      <c r="U6047" s="1">
        <v>1.00612509E8</v>
      </c>
      <c r="X6047" s="1" t="s">
        <v>74</v>
      </c>
      <c r="Y6047" s="1" t="s">
        <v>13944</v>
      </c>
      <c r="Z6047" s="1" t="s">
        <v>37</v>
      </c>
    </row>
    <row r="6048" hidden="1">
      <c r="A6048" s="1" t="s">
        <v>16667</v>
      </c>
      <c r="B6048" s="1" t="s">
        <v>16668</v>
      </c>
      <c r="C6048" s="1" t="s">
        <v>16669</v>
      </c>
      <c r="D6048" s="1" t="s">
        <v>27</v>
      </c>
      <c r="E6048" s="1" t="s">
        <v>28</v>
      </c>
      <c r="F6048" s="2">
        <v>2500.0</v>
      </c>
      <c r="G6048" s="4">
        <v>44568.0</v>
      </c>
      <c r="H6048" s="4">
        <f>IFERROR(__xludf.DUMMYFUNCTION("DATE(INDEX(SPLIT(G6048,""/""),,3),INDEX(SPLIT(G6048,""/""),,2),INDEX(SPLIT(G6048,""/""),,1))"),44743.0)</f>
        <v>44743</v>
      </c>
      <c r="I6048" s="1" t="s">
        <v>1097</v>
      </c>
      <c r="J6048" s="4">
        <f>IFERROR(__xludf.DUMMYFUNCTION("DATE(INDEX(SPLIT(I6048,""/""),,3),INDEX(SPLIT(I6048,""/""),,2),INDEX(SPLIT(I6048,""/""),,1))"),45107.0)</f>
        <v>45107</v>
      </c>
      <c r="L6048" s="1">
        <v>0.0</v>
      </c>
      <c r="M6048" s="1" t="s">
        <v>11254</v>
      </c>
      <c r="N6048" s="1"/>
      <c r="O6048" s="1" t="s">
        <v>30</v>
      </c>
      <c r="P6048" s="1" t="s">
        <v>31</v>
      </c>
      <c r="Q6048" s="1" t="s">
        <v>228</v>
      </c>
      <c r="R6048" s="1" t="s">
        <v>228</v>
      </c>
      <c r="S6048" s="1" t="s">
        <v>229</v>
      </c>
      <c r="T6048" s="1" t="s">
        <v>513</v>
      </c>
      <c r="U6048" s="1">
        <v>1.00602248E8</v>
      </c>
      <c r="X6048" s="1" t="s">
        <v>289</v>
      </c>
      <c r="Y6048" s="1" t="s">
        <v>14932</v>
      </c>
      <c r="Z6048" s="1" t="s">
        <v>37</v>
      </c>
    </row>
    <row r="6049" hidden="1">
      <c r="A6049" s="1" t="s">
        <v>16670</v>
      </c>
      <c r="B6049" s="1" t="s">
        <v>16671</v>
      </c>
      <c r="C6049" s="1" t="s">
        <v>16672</v>
      </c>
      <c r="D6049" s="1" t="s">
        <v>122</v>
      </c>
      <c r="E6049" s="1" t="s">
        <v>28</v>
      </c>
      <c r="F6049" s="2">
        <v>2315.89</v>
      </c>
      <c r="G6049" s="4">
        <v>44625.0</v>
      </c>
      <c r="H6049" s="4">
        <f>IFERROR(__xludf.DUMMYFUNCTION("DATE(INDEX(SPLIT(G6049,""/""),,3),INDEX(SPLIT(G6049,""/""),,2),INDEX(SPLIT(G6049,""/""),,1))"),44684.0)</f>
        <v>44684</v>
      </c>
      <c r="I6049" s="4">
        <v>44601.0</v>
      </c>
      <c r="J6049" s="4">
        <f>IFERROR(__xludf.DUMMYFUNCTION("DATE(INDEX(SPLIT(I6049,""/""),,3),INDEX(SPLIT(I6049,""/""),,2),INDEX(SPLIT(I6049,""/""),,1))"),44806.0)</f>
        <v>44806</v>
      </c>
      <c r="L6049" s="1">
        <v>0.0</v>
      </c>
      <c r="M6049" s="1" t="s">
        <v>6055</v>
      </c>
      <c r="N6049" s="1"/>
      <c r="O6049" s="1" t="s">
        <v>30</v>
      </c>
      <c r="P6049" s="1" t="s">
        <v>31</v>
      </c>
      <c r="Q6049" s="1" t="s">
        <v>1320</v>
      </c>
      <c r="R6049" s="1" t="s">
        <v>1320</v>
      </c>
      <c r="S6049" s="1" t="s">
        <v>54</v>
      </c>
      <c r="U6049" s="1">
        <v>1.00591095E8</v>
      </c>
      <c r="Y6049" s="1" t="s">
        <v>8054</v>
      </c>
      <c r="Z6049" s="1" t="s">
        <v>37</v>
      </c>
    </row>
    <row r="6050">
      <c r="A6050" s="1" t="s">
        <v>16673</v>
      </c>
      <c r="B6050" s="1" t="s">
        <v>16674</v>
      </c>
      <c r="C6050" s="1" t="s">
        <v>12944</v>
      </c>
      <c r="D6050" s="1" t="s">
        <v>27</v>
      </c>
      <c r="E6050" s="1" t="s">
        <v>28</v>
      </c>
      <c r="F6050" s="2">
        <v>2000.0</v>
      </c>
      <c r="G6050" s="1" t="s">
        <v>1767</v>
      </c>
      <c r="H6050" s="4">
        <f>IFERROR(__xludf.DUMMYFUNCTION("DATE(INDEX(SPLIT(G6050,""/""),,3),INDEX(SPLIT(G6050,""/""),,2),INDEX(SPLIT(G6050,""/""),,1))"),44698.0)</f>
        <v>44698</v>
      </c>
      <c r="I6050" s="1" t="s">
        <v>1442</v>
      </c>
      <c r="J6050" s="4">
        <f>IFERROR(__xludf.DUMMYFUNCTION("DATE(INDEX(SPLIT(I6050,""/""),,3),INDEX(SPLIT(I6050,""/""),,2),INDEX(SPLIT(I6050,""/""),,1))"),44727.0)</f>
        <v>44727</v>
      </c>
      <c r="L6050" s="1">
        <v>0.0</v>
      </c>
      <c r="M6050" s="1" t="s">
        <v>7089</v>
      </c>
      <c r="N6050" s="1"/>
      <c r="O6050" s="1" t="s">
        <v>30</v>
      </c>
      <c r="P6050" s="1" t="s">
        <v>31</v>
      </c>
      <c r="Q6050" s="1" t="s">
        <v>228</v>
      </c>
      <c r="R6050" s="1" t="s">
        <v>228</v>
      </c>
      <c r="S6050" s="1" t="s">
        <v>229</v>
      </c>
      <c r="U6050" s="1">
        <v>1.0064028E8</v>
      </c>
      <c r="X6050" s="1" t="s">
        <v>117</v>
      </c>
      <c r="Y6050" s="1" t="s">
        <v>16675</v>
      </c>
      <c r="Z6050" s="1" t="s">
        <v>527</v>
      </c>
    </row>
    <row r="6051">
      <c r="A6051" s="1" t="s">
        <v>16676</v>
      </c>
      <c r="B6051" s="1" t="s">
        <v>16677</v>
      </c>
      <c r="C6051" s="1" t="s">
        <v>16678</v>
      </c>
      <c r="D6051" s="1" t="s">
        <v>27</v>
      </c>
      <c r="E6051" s="1" t="s">
        <v>28</v>
      </c>
      <c r="F6051" s="2">
        <v>1500.0</v>
      </c>
      <c r="G6051" s="4">
        <v>44716.0</v>
      </c>
      <c r="H6051" s="4">
        <f>IFERROR(__xludf.DUMMYFUNCTION("DATE(INDEX(SPLIT(G6051,""/""),,3),INDEX(SPLIT(G6051,""/""),,2),INDEX(SPLIT(G6051,""/""),,1))"),44657.0)</f>
        <v>44657</v>
      </c>
      <c r="I6051" s="1" t="s">
        <v>1244</v>
      </c>
      <c r="J6051" s="4">
        <f>IFERROR(__xludf.DUMMYFUNCTION("DATE(INDEX(SPLIT(I6051,""/""),,3),INDEX(SPLIT(I6051,""/""),,2),INDEX(SPLIT(I6051,""/""),,1))"),44742.0)</f>
        <v>44742</v>
      </c>
      <c r="L6051" s="1">
        <v>0.0</v>
      </c>
      <c r="M6051" s="1" t="s">
        <v>12039</v>
      </c>
      <c r="N6051" s="1"/>
      <c r="O6051" s="1" t="s">
        <v>30</v>
      </c>
      <c r="P6051" s="1" t="s">
        <v>31</v>
      </c>
      <c r="Q6051" s="1" t="s">
        <v>228</v>
      </c>
      <c r="R6051" s="1" t="s">
        <v>228</v>
      </c>
      <c r="S6051" s="1" t="s">
        <v>229</v>
      </c>
      <c r="T6051" s="1" t="s">
        <v>513</v>
      </c>
      <c r="U6051" s="1">
        <v>1.00612509E8</v>
      </c>
      <c r="X6051" s="1" t="s">
        <v>74</v>
      </c>
      <c r="Y6051" s="1" t="s">
        <v>12637</v>
      </c>
      <c r="Z6051" s="1" t="s">
        <v>37</v>
      </c>
    </row>
    <row r="6052">
      <c r="A6052" s="1" t="s">
        <v>16679</v>
      </c>
      <c r="B6052" s="1" t="s">
        <v>16680</v>
      </c>
      <c r="C6052" s="1" t="s">
        <v>16681</v>
      </c>
      <c r="D6052" s="1" t="s">
        <v>68</v>
      </c>
      <c r="E6052" s="1" t="s">
        <v>28</v>
      </c>
      <c r="F6052" s="2">
        <v>1500.0</v>
      </c>
      <c r="G6052" s="1" t="s">
        <v>343</v>
      </c>
      <c r="H6052" s="4">
        <f>IFERROR(__xludf.DUMMYFUNCTION("DATE(INDEX(SPLIT(G6052,""/""),,3),INDEX(SPLIT(G6052,""/""),,2),INDEX(SPLIT(G6052,""/""),,1))"),44761.0)</f>
        <v>44761</v>
      </c>
      <c r="I6052" s="1" t="s">
        <v>226</v>
      </c>
      <c r="J6052" s="4">
        <f>IFERROR(__xludf.DUMMYFUNCTION("DATE(INDEX(SPLIT(I6052,""/""),,3),INDEX(SPLIT(I6052,""/""),,2),INDEX(SPLIT(I6052,""/""),,1))"),44771.0)</f>
        <v>44771</v>
      </c>
      <c r="L6052" s="1">
        <v>0.0</v>
      </c>
      <c r="M6052" s="1" t="s">
        <v>1685</v>
      </c>
      <c r="N6052" s="1"/>
      <c r="O6052" s="1" t="s">
        <v>30</v>
      </c>
      <c r="P6052" s="1" t="s">
        <v>31</v>
      </c>
      <c r="Q6052" s="1" t="s">
        <v>228</v>
      </c>
      <c r="R6052" s="1" t="s">
        <v>228</v>
      </c>
      <c r="S6052" s="1" t="s">
        <v>229</v>
      </c>
      <c r="U6052" s="1">
        <v>1.00612055E8</v>
      </c>
      <c r="X6052" s="1" t="s">
        <v>74</v>
      </c>
      <c r="Y6052" s="1" t="s">
        <v>15486</v>
      </c>
      <c r="Z6052" s="1" t="s">
        <v>37</v>
      </c>
    </row>
    <row r="6053" hidden="1">
      <c r="A6053" s="1" t="s">
        <v>16682</v>
      </c>
      <c r="B6053" s="1" t="s">
        <v>16683</v>
      </c>
      <c r="C6053" s="1" t="s">
        <v>16684</v>
      </c>
      <c r="D6053" s="1" t="s">
        <v>27</v>
      </c>
      <c r="E6053" s="1" t="s">
        <v>28</v>
      </c>
      <c r="F6053" s="2">
        <v>1500.0</v>
      </c>
      <c r="G6053" s="4">
        <v>44599.0</v>
      </c>
      <c r="H6053" s="4">
        <f>IFERROR(__xludf.DUMMYFUNCTION("DATE(INDEX(SPLIT(G6053,""/""),,3),INDEX(SPLIT(G6053,""/""),,2),INDEX(SPLIT(G6053,""/""),,1))"),44744.0)</f>
        <v>44744</v>
      </c>
      <c r="I6053" s="1" t="s">
        <v>1097</v>
      </c>
      <c r="J6053" s="4">
        <f>IFERROR(__xludf.DUMMYFUNCTION("DATE(INDEX(SPLIT(I6053,""/""),,3),INDEX(SPLIT(I6053,""/""),,2),INDEX(SPLIT(I6053,""/""),,1))"),45107.0)</f>
        <v>45107</v>
      </c>
      <c r="L6053" s="1">
        <v>0.0</v>
      </c>
      <c r="M6053" s="1" t="s">
        <v>12039</v>
      </c>
      <c r="N6053" s="1"/>
      <c r="O6053" s="1" t="s">
        <v>30</v>
      </c>
      <c r="P6053" s="1" t="s">
        <v>31</v>
      </c>
      <c r="Q6053" s="1" t="s">
        <v>228</v>
      </c>
      <c r="R6053" s="1" t="s">
        <v>228</v>
      </c>
      <c r="S6053" s="1" t="s">
        <v>229</v>
      </c>
      <c r="T6053" s="1" t="s">
        <v>513</v>
      </c>
      <c r="U6053" s="1">
        <v>1.00612509E8</v>
      </c>
      <c r="X6053" s="1" t="s">
        <v>74</v>
      </c>
      <c r="Y6053" s="1" t="s">
        <v>12640</v>
      </c>
      <c r="Z6053" s="1" t="s">
        <v>37</v>
      </c>
    </row>
    <row r="6054" hidden="1">
      <c r="A6054" s="1" t="s">
        <v>16685</v>
      </c>
      <c r="B6054" s="1" t="s">
        <v>16686</v>
      </c>
      <c r="C6054" s="1" t="s">
        <v>16687</v>
      </c>
      <c r="D6054" s="1" t="s">
        <v>27</v>
      </c>
      <c r="E6054" s="1" t="s">
        <v>28</v>
      </c>
      <c r="F6054" s="2">
        <v>1500.0</v>
      </c>
      <c r="G6054" s="4">
        <v>44599.0</v>
      </c>
      <c r="H6054" s="4">
        <f>IFERROR(__xludf.DUMMYFUNCTION("DATE(INDEX(SPLIT(G6054,""/""),,3),INDEX(SPLIT(G6054,""/""),,2),INDEX(SPLIT(G6054,""/""),,1))"),44744.0)</f>
        <v>44744</v>
      </c>
      <c r="I6054" s="1" t="s">
        <v>1097</v>
      </c>
      <c r="J6054" s="4">
        <f>IFERROR(__xludf.DUMMYFUNCTION("DATE(INDEX(SPLIT(I6054,""/""),,3),INDEX(SPLIT(I6054,""/""),,2),INDEX(SPLIT(I6054,""/""),,1))"),45107.0)</f>
        <v>45107</v>
      </c>
      <c r="L6054" s="1">
        <v>0.0</v>
      </c>
      <c r="M6054" s="1" t="s">
        <v>12039</v>
      </c>
      <c r="N6054" s="1"/>
      <c r="O6054" s="1" t="s">
        <v>30</v>
      </c>
      <c r="P6054" s="1" t="s">
        <v>31</v>
      </c>
      <c r="Q6054" s="1" t="s">
        <v>228</v>
      </c>
      <c r="R6054" s="1" t="s">
        <v>228</v>
      </c>
      <c r="S6054" s="1" t="s">
        <v>229</v>
      </c>
      <c r="T6054" s="1" t="s">
        <v>513</v>
      </c>
      <c r="U6054" s="1">
        <v>1.00612509E8</v>
      </c>
      <c r="X6054" s="1" t="s">
        <v>74</v>
      </c>
      <c r="Y6054" s="1" t="s">
        <v>12640</v>
      </c>
      <c r="Z6054" s="1" t="s">
        <v>37</v>
      </c>
    </row>
    <row r="6055" hidden="1">
      <c r="A6055" s="1" t="s">
        <v>16688</v>
      </c>
      <c r="B6055" s="1" t="s">
        <v>16689</v>
      </c>
      <c r="C6055" s="1" t="s">
        <v>16690</v>
      </c>
      <c r="D6055" s="1" t="s">
        <v>27</v>
      </c>
      <c r="E6055" s="1" t="s">
        <v>28</v>
      </c>
      <c r="F6055" s="2">
        <v>1500.0</v>
      </c>
      <c r="G6055" s="4">
        <v>44599.0</v>
      </c>
      <c r="H6055" s="4">
        <f>IFERROR(__xludf.DUMMYFUNCTION("DATE(INDEX(SPLIT(G6055,""/""),,3),INDEX(SPLIT(G6055,""/""),,2),INDEX(SPLIT(G6055,""/""),,1))"),44744.0)</f>
        <v>44744</v>
      </c>
      <c r="I6055" s="1" t="s">
        <v>1097</v>
      </c>
      <c r="J6055" s="4">
        <f>IFERROR(__xludf.DUMMYFUNCTION("DATE(INDEX(SPLIT(I6055,""/""),,3),INDEX(SPLIT(I6055,""/""),,2),INDEX(SPLIT(I6055,""/""),,1))"),45107.0)</f>
        <v>45107</v>
      </c>
      <c r="L6055" s="1">
        <v>0.0</v>
      </c>
      <c r="M6055" s="1" t="s">
        <v>12039</v>
      </c>
      <c r="N6055" s="1"/>
      <c r="O6055" s="1" t="s">
        <v>30</v>
      </c>
      <c r="P6055" s="1" t="s">
        <v>31</v>
      </c>
      <c r="Q6055" s="1" t="s">
        <v>228</v>
      </c>
      <c r="R6055" s="1" t="s">
        <v>228</v>
      </c>
      <c r="S6055" s="1" t="s">
        <v>229</v>
      </c>
      <c r="U6055" s="1">
        <v>1.00612509E8</v>
      </c>
      <c r="X6055" s="1" t="s">
        <v>74</v>
      </c>
      <c r="Y6055" s="1" t="s">
        <v>12640</v>
      </c>
      <c r="Z6055" s="1" t="s">
        <v>37</v>
      </c>
    </row>
    <row r="6056" hidden="1">
      <c r="A6056" s="1" t="s">
        <v>16691</v>
      </c>
      <c r="B6056" s="1" t="s">
        <v>16692</v>
      </c>
      <c r="C6056" s="1" t="s">
        <v>16693</v>
      </c>
      <c r="D6056" s="1" t="s">
        <v>27</v>
      </c>
      <c r="E6056" s="1" t="s">
        <v>28</v>
      </c>
      <c r="F6056" s="2">
        <v>1500.0</v>
      </c>
      <c r="G6056" s="4">
        <v>44599.0</v>
      </c>
      <c r="H6056" s="4">
        <f>IFERROR(__xludf.DUMMYFUNCTION("DATE(INDEX(SPLIT(G6056,""/""),,3),INDEX(SPLIT(G6056,""/""),,2),INDEX(SPLIT(G6056,""/""),,1))"),44744.0)</f>
        <v>44744</v>
      </c>
      <c r="I6056" s="1" t="s">
        <v>1097</v>
      </c>
      <c r="J6056" s="4">
        <f>IFERROR(__xludf.DUMMYFUNCTION("DATE(INDEX(SPLIT(I6056,""/""),,3),INDEX(SPLIT(I6056,""/""),,2),INDEX(SPLIT(I6056,""/""),,1))"),45107.0)</f>
        <v>45107</v>
      </c>
      <c r="L6056" s="1">
        <v>0.0</v>
      </c>
      <c r="M6056" s="1" t="s">
        <v>12039</v>
      </c>
      <c r="N6056" s="1"/>
      <c r="O6056" s="1" t="s">
        <v>30</v>
      </c>
      <c r="P6056" s="1" t="s">
        <v>31</v>
      </c>
      <c r="Q6056" s="1" t="s">
        <v>228</v>
      </c>
      <c r="R6056" s="1" t="s">
        <v>228</v>
      </c>
      <c r="S6056" s="1" t="s">
        <v>229</v>
      </c>
      <c r="T6056" s="1" t="s">
        <v>513</v>
      </c>
      <c r="U6056" s="1">
        <v>1.00612509E8</v>
      </c>
      <c r="X6056" s="1" t="s">
        <v>74</v>
      </c>
      <c r="Y6056" s="1" t="s">
        <v>12640</v>
      </c>
      <c r="Z6056" s="1" t="s">
        <v>37</v>
      </c>
    </row>
    <row r="6057" hidden="1">
      <c r="A6057" s="1" t="s">
        <v>16694</v>
      </c>
      <c r="B6057" s="1" t="s">
        <v>16695</v>
      </c>
      <c r="C6057" s="1" t="s">
        <v>16696</v>
      </c>
      <c r="D6057" s="1" t="s">
        <v>27</v>
      </c>
      <c r="E6057" s="1" t="s">
        <v>28</v>
      </c>
      <c r="F6057" s="2">
        <v>1500.0</v>
      </c>
      <c r="G6057" s="4">
        <v>44599.0</v>
      </c>
      <c r="H6057" s="4">
        <f>IFERROR(__xludf.DUMMYFUNCTION("DATE(INDEX(SPLIT(G6057,""/""),,3),INDEX(SPLIT(G6057,""/""),,2),INDEX(SPLIT(G6057,""/""),,1))"),44744.0)</f>
        <v>44744</v>
      </c>
      <c r="I6057" s="1" t="s">
        <v>1097</v>
      </c>
      <c r="J6057" s="4">
        <f>IFERROR(__xludf.DUMMYFUNCTION("DATE(INDEX(SPLIT(I6057,""/""),,3),INDEX(SPLIT(I6057,""/""),,2),INDEX(SPLIT(I6057,""/""),,1))"),45107.0)</f>
        <v>45107</v>
      </c>
      <c r="L6057" s="1">
        <v>0.0</v>
      </c>
      <c r="M6057" s="1" t="s">
        <v>12039</v>
      </c>
      <c r="N6057" s="1"/>
      <c r="O6057" s="1" t="s">
        <v>30</v>
      </c>
      <c r="P6057" s="1" t="s">
        <v>31</v>
      </c>
      <c r="Q6057" s="1" t="s">
        <v>228</v>
      </c>
      <c r="R6057" s="1" t="s">
        <v>228</v>
      </c>
      <c r="S6057" s="1" t="s">
        <v>229</v>
      </c>
      <c r="U6057" s="1">
        <v>1.00612509E8</v>
      </c>
      <c r="X6057" s="1" t="s">
        <v>74</v>
      </c>
      <c r="Y6057" s="1" t="s">
        <v>12640</v>
      </c>
      <c r="Z6057" s="1" t="s">
        <v>37</v>
      </c>
    </row>
    <row r="6058" hidden="1">
      <c r="A6058" s="1" t="s">
        <v>16697</v>
      </c>
      <c r="B6058" s="1" t="s">
        <v>16698</v>
      </c>
      <c r="C6058" s="1" t="s">
        <v>16699</v>
      </c>
      <c r="D6058" s="1" t="s">
        <v>27</v>
      </c>
      <c r="E6058" s="1" t="s">
        <v>28</v>
      </c>
      <c r="F6058" s="2">
        <v>1500.0</v>
      </c>
      <c r="G6058" s="4">
        <v>44599.0</v>
      </c>
      <c r="H6058" s="4">
        <f>IFERROR(__xludf.DUMMYFUNCTION("DATE(INDEX(SPLIT(G6058,""/""),,3),INDEX(SPLIT(G6058,""/""),,2),INDEX(SPLIT(G6058,""/""),,1))"),44744.0)</f>
        <v>44744</v>
      </c>
      <c r="I6058" s="1" t="s">
        <v>1097</v>
      </c>
      <c r="J6058" s="4">
        <f>IFERROR(__xludf.DUMMYFUNCTION("DATE(INDEX(SPLIT(I6058,""/""),,3),INDEX(SPLIT(I6058,""/""),,2),INDEX(SPLIT(I6058,""/""),,1))"),45107.0)</f>
        <v>45107</v>
      </c>
      <c r="L6058" s="1">
        <v>0.0</v>
      </c>
      <c r="M6058" s="1" t="s">
        <v>12039</v>
      </c>
      <c r="N6058" s="1"/>
      <c r="O6058" s="1" t="s">
        <v>30</v>
      </c>
      <c r="P6058" s="1" t="s">
        <v>31</v>
      </c>
      <c r="Q6058" s="1" t="s">
        <v>228</v>
      </c>
      <c r="R6058" s="1" t="s">
        <v>228</v>
      </c>
      <c r="S6058" s="1" t="s">
        <v>229</v>
      </c>
      <c r="T6058" s="1" t="s">
        <v>513</v>
      </c>
      <c r="U6058" s="1">
        <v>1.00612509E8</v>
      </c>
      <c r="X6058" s="1" t="s">
        <v>74</v>
      </c>
      <c r="Y6058" s="1" t="s">
        <v>12640</v>
      </c>
      <c r="Z6058" s="1" t="s">
        <v>37</v>
      </c>
    </row>
    <row r="6059" hidden="1">
      <c r="A6059" s="1" t="s">
        <v>16700</v>
      </c>
      <c r="B6059" s="1" t="s">
        <v>16701</v>
      </c>
      <c r="C6059" s="1" t="s">
        <v>16702</v>
      </c>
      <c r="D6059" s="1" t="s">
        <v>27</v>
      </c>
      <c r="E6059" s="1" t="s">
        <v>28</v>
      </c>
      <c r="F6059" s="2">
        <v>1500.0</v>
      </c>
      <c r="G6059" s="4">
        <v>44599.0</v>
      </c>
      <c r="H6059" s="4">
        <f>IFERROR(__xludf.DUMMYFUNCTION("DATE(INDEX(SPLIT(G6059,""/""),,3),INDEX(SPLIT(G6059,""/""),,2),INDEX(SPLIT(G6059,""/""),,1))"),44744.0)</f>
        <v>44744</v>
      </c>
      <c r="I6059" s="1" t="s">
        <v>1097</v>
      </c>
      <c r="J6059" s="4">
        <f>IFERROR(__xludf.DUMMYFUNCTION("DATE(INDEX(SPLIT(I6059,""/""),,3),INDEX(SPLIT(I6059,""/""),,2),INDEX(SPLIT(I6059,""/""),,1))"),45107.0)</f>
        <v>45107</v>
      </c>
      <c r="L6059" s="1">
        <v>0.0</v>
      </c>
      <c r="M6059" s="1" t="s">
        <v>12039</v>
      </c>
      <c r="N6059" s="1"/>
      <c r="O6059" s="1" t="s">
        <v>30</v>
      </c>
      <c r="P6059" s="1" t="s">
        <v>31</v>
      </c>
      <c r="Q6059" s="1" t="s">
        <v>228</v>
      </c>
      <c r="R6059" s="1" t="s">
        <v>228</v>
      </c>
      <c r="S6059" s="1" t="s">
        <v>229</v>
      </c>
      <c r="T6059" s="1" t="s">
        <v>513</v>
      </c>
      <c r="U6059" s="1">
        <v>1.00612509E8</v>
      </c>
      <c r="X6059" s="1" t="s">
        <v>74</v>
      </c>
      <c r="Y6059" s="1" t="s">
        <v>12640</v>
      </c>
      <c r="Z6059" s="1" t="s">
        <v>37</v>
      </c>
    </row>
    <row r="6060" hidden="1">
      <c r="A6060" s="1" t="s">
        <v>16703</v>
      </c>
      <c r="B6060" s="1" t="s">
        <v>16704</v>
      </c>
      <c r="C6060" s="1" t="s">
        <v>16705</v>
      </c>
      <c r="D6060" s="1" t="s">
        <v>27</v>
      </c>
      <c r="E6060" s="1" t="s">
        <v>28</v>
      </c>
      <c r="F6060" s="2">
        <v>1500.0</v>
      </c>
      <c r="G6060" s="4">
        <v>44599.0</v>
      </c>
      <c r="H6060" s="4">
        <f>IFERROR(__xludf.DUMMYFUNCTION("DATE(INDEX(SPLIT(G6060,""/""),,3),INDEX(SPLIT(G6060,""/""),,2),INDEX(SPLIT(G6060,""/""),,1))"),44744.0)</f>
        <v>44744</v>
      </c>
      <c r="I6060" s="1" t="s">
        <v>1097</v>
      </c>
      <c r="J6060" s="4">
        <f>IFERROR(__xludf.DUMMYFUNCTION("DATE(INDEX(SPLIT(I6060,""/""),,3),INDEX(SPLIT(I6060,""/""),,2),INDEX(SPLIT(I6060,""/""),,1))"),45107.0)</f>
        <v>45107</v>
      </c>
      <c r="L6060" s="1">
        <v>0.0</v>
      </c>
      <c r="M6060" s="1" t="s">
        <v>12039</v>
      </c>
      <c r="N6060" s="1"/>
      <c r="O6060" s="1" t="s">
        <v>30</v>
      </c>
      <c r="P6060" s="1" t="s">
        <v>31</v>
      </c>
      <c r="Q6060" s="1" t="s">
        <v>228</v>
      </c>
      <c r="R6060" s="1" t="s">
        <v>228</v>
      </c>
      <c r="S6060" s="1" t="s">
        <v>229</v>
      </c>
      <c r="T6060" s="1" t="s">
        <v>513</v>
      </c>
      <c r="U6060" s="1">
        <v>1.00612509E8</v>
      </c>
      <c r="X6060" s="1" t="s">
        <v>74</v>
      </c>
      <c r="Y6060" s="1" t="s">
        <v>12640</v>
      </c>
      <c r="Z6060" s="1" t="s">
        <v>37</v>
      </c>
    </row>
    <row r="6061" hidden="1">
      <c r="A6061" s="1" t="s">
        <v>16706</v>
      </c>
      <c r="B6061" s="1" t="s">
        <v>16707</v>
      </c>
      <c r="C6061" s="1" t="s">
        <v>16708</v>
      </c>
      <c r="D6061" s="1" t="s">
        <v>27</v>
      </c>
      <c r="E6061" s="1" t="s">
        <v>28</v>
      </c>
      <c r="F6061" s="2">
        <v>1500.0</v>
      </c>
      <c r="G6061" s="4">
        <v>44599.0</v>
      </c>
      <c r="H6061" s="4">
        <f>IFERROR(__xludf.DUMMYFUNCTION("DATE(INDEX(SPLIT(G6061,""/""),,3),INDEX(SPLIT(G6061,""/""),,2),INDEX(SPLIT(G6061,""/""),,1))"),44744.0)</f>
        <v>44744</v>
      </c>
      <c r="I6061" s="1" t="s">
        <v>1097</v>
      </c>
      <c r="J6061" s="4">
        <f>IFERROR(__xludf.DUMMYFUNCTION("DATE(INDEX(SPLIT(I6061,""/""),,3),INDEX(SPLIT(I6061,""/""),,2),INDEX(SPLIT(I6061,""/""),,1))"),45107.0)</f>
        <v>45107</v>
      </c>
      <c r="L6061" s="1">
        <v>0.0</v>
      </c>
      <c r="M6061" s="1" t="s">
        <v>12039</v>
      </c>
      <c r="N6061" s="1"/>
      <c r="O6061" s="1" t="s">
        <v>30</v>
      </c>
      <c r="P6061" s="1" t="s">
        <v>31</v>
      </c>
      <c r="Q6061" s="1" t="s">
        <v>228</v>
      </c>
      <c r="R6061" s="1" t="s">
        <v>228</v>
      </c>
      <c r="S6061" s="1" t="s">
        <v>229</v>
      </c>
      <c r="T6061" s="1" t="s">
        <v>513</v>
      </c>
      <c r="U6061" s="1">
        <v>1.00612509E8</v>
      </c>
      <c r="X6061" s="1" t="s">
        <v>98</v>
      </c>
      <c r="Y6061" s="1" t="s">
        <v>12640</v>
      </c>
      <c r="Z6061" s="1" t="s">
        <v>37</v>
      </c>
    </row>
    <row r="6062" hidden="1">
      <c r="A6062" s="1" t="s">
        <v>16709</v>
      </c>
      <c r="B6062" s="1" t="s">
        <v>16710</v>
      </c>
      <c r="C6062" s="1" t="s">
        <v>16711</v>
      </c>
      <c r="D6062" s="1" t="s">
        <v>27</v>
      </c>
      <c r="E6062" s="1" t="s">
        <v>28</v>
      </c>
      <c r="F6062" s="2">
        <v>1500.0</v>
      </c>
      <c r="G6062" s="4">
        <v>44599.0</v>
      </c>
      <c r="H6062" s="4">
        <f>IFERROR(__xludf.DUMMYFUNCTION("DATE(INDEX(SPLIT(G6062,""/""),,3),INDEX(SPLIT(G6062,""/""),,2),INDEX(SPLIT(G6062,""/""),,1))"),44744.0)</f>
        <v>44744</v>
      </c>
      <c r="I6062" s="1" t="s">
        <v>1097</v>
      </c>
      <c r="J6062" s="4">
        <f>IFERROR(__xludf.DUMMYFUNCTION("DATE(INDEX(SPLIT(I6062,""/""),,3),INDEX(SPLIT(I6062,""/""),,2),INDEX(SPLIT(I6062,""/""),,1))"),45107.0)</f>
        <v>45107</v>
      </c>
      <c r="L6062" s="1">
        <v>0.0</v>
      </c>
      <c r="M6062" s="1" t="s">
        <v>12039</v>
      </c>
      <c r="N6062" s="1"/>
      <c r="O6062" s="1" t="s">
        <v>30</v>
      </c>
      <c r="P6062" s="1" t="s">
        <v>31</v>
      </c>
      <c r="Q6062" s="1" t="s">
        <v>228</v>
      </c>
      <c r="R6062" s="1" t="s">
        <v>228</v>
      </c>
      <c r="S6062" s="1" t="s">
        <v>229</v>
      </c>
      <c r="T6062" s="1" t="s">
        <v>513</v>
      </c>
      <c r="U6062" s="1">
        <v>1.00612509E8</v>
      </c>
      <c r="X6062" s="1" t="s">
        <v>74</v>
      </c>
      <c r="Y6062" s="1" t="s">
        <v>12640</v>
      </c>
      <c r="Z6062" s="1" t="s">
        <v>37</v>
      </c>
    </row>
    <row r="6063" hidden="1">
      <c r="A6063" s="1" t="s">
        <v>16712</v>
      </c>
      <c r="B6063" s="1" t="s">
        <v>16713</v>
      </c>
      <c r="C6063" s="1" t="s">
        <v>16714</v>
      </c>
      <c r="D6063" s="1" t="s">
        <v>27</v>
      </c>
      <c r="E6063" s="1" t="s">
        <v>28</v>
      </c>
      <c r="F6063" s="2">
        <v>1500.0</v>
      </c>
      <c r="G6063" s="4">
        <v>44599.0</v>
      </c>
      <c r="H6063" s="4">
        <f>IFERROR(__xludf.DUMMYFUNCTION("DATE(INDEX(SPLIT(G6063,""/""),,3),INDEX(SPLIT(G6063,""/""),,2),INDEX(SPLIT(G6063,""/""),,1))"),44744.0)</f>
        <v>44744</v>
      </c>
      <c r="I6063" s="1" t="s">
        <v>1097</v>
      </c>
      <c r="J6063" s="4">
        <f>IFERROR(__xludf.DUMMYFUNCTION("DATE(INDEX(SPLIT(I6063,""/""),,3),INDEX(SPLIT(I6063,""/""),,2),INDEX(SPLIT(I6063,""/""),,1))"),45107.0)</f>
        <v>45107</v>
      </c>
      <c r="L6063" s="1">
        <v>0.0</v>
      </c>
      <c r="M6063" s="1" t="s">
        <v>12039</v>
      </c>
      <c r="N6063" s="1"/>
      <c r="O6063" s="1" t="s">
        <v>30</v>
      </c>
      <c r="P6063" s="1" t="s">
        <v>31</v>
      </c>
      <c r="Q6063" s="1" t="s">
        <v>228</v>
      </c>
      <c r="R6063" s="1" t="s">
        <v>228</v>
      </c>
      <c r="S6063" s="1" t="s">
        <v>229</v>
      </c>
      <c r="T6063" s="1" t="s">
        <v>513</v>
      </c>
      <c r="U6063" s="1">
        <v>1.00612509E8</v>
      </c>
      <c r="X6063" s="1" t="s">
        <v>74</v>
      </c>
      <c r="Y6063" s="1" t="s">
        <v>12640</v>
      </c>
      <c r="Z6063" s="1" t="s">
        <v>37</v>
      </c>
    </row>
    <row r="6064" hidden="1">
      <c r="A6064" s="1" t="s">
        <v>16715</v>
      </c>
      <c r="B6064" s="1" t="s">
        <v>16716</v>
      </c>
      <c r="C6064" s="1" t="s">
        <v>16717</v>
      </c>
      <c r="D6064" s="1" t="s">
        <v>27</v>
      </c>
      <c r="E6064" s="1" t="s">
        <v>28</v>
      </c>
      <c r="F6064" s="2">
        <v>1500.0</v>
      </c>
      <c r="G6064" s="4">
        <v>44599.0</v>
      </c>
      <c r="H6064" s="4">
        <f>IFERROR(__xludf.DUMMYFUNCTION("DATE(INDEX(SPLIT(G6064,""/""),,3),INDEX(SPLIT(G6064,""/""),,2),INDEX(SPLIT(G6064,""/""),,1))"),44744.0)</f>
        <v>44744</v>
      </c>
      <c r="I6064" s="1" t="s">
        <v>1097</v>
      </c>
      <c r="J6064" s="4">
        <f>IFERROR(__xludf.DUMMYFUNCTION("DATE(INDEX(SPLIT(I6064,""/""),,3),INDEX(SPLIT(I6064,""/""),,2),INDEX(SPLIT(I6064,""/""),,1))"),45107.0)</f>
        <v>45107</v>
      </c>
      <c r="L6064" s="1">
        <v>0.0</v>
      </c>
      <c r="M6064" s="1" t="s">
        <v>12039</v>
      </c>
      <c r="N6064" s="1"/>
      <c r="O6064" s="1" t="s">
        <v>30</v>
      </c>
      <c r="P6064" s="1" t="s">
        <v>31</v>
      </c>
      <c r="Q6064" s="1" t="s">
        <v>228</v>
      </c>
      <c r="R6064" s="1" t="s">
        <v>228</v>
      </c>
      <c r="S6064" s="1" t="s">
        <v>229</v>
      </c>
      <c r="T6064" s="1" t="s">
        <v>513</v>
      </c>
      <c r="U6064" s="1">
        <v>1.00612509E8</v>
      </c>
      <c r="Y6064" s="1" t="s">
        <v>12640</v>
      </c>
      <c r="Z6064" s="1" t="s">
        <v>37</v>
      </c>
    </row>
    <row r="6065" hidden="1">
      <c r="A6065" s="1" t="s">
        <v>16718</v>
      </c>
      <c r="B6065" s="1" t="s">
        <v>16719</v>
      </c>
      <c r="C6065" s="1" t="s">
        <v>16720</v>
      </c>
      <c r="D6065" s="1" t="s">
        <v>27</v>
      </c>
      <c r="E6065" s="1" t="s">
        <v>28</v>
      </c>
      <c r="F6065" s="2">
        <v>1500.0</v>
      </c>
      <c r="G6065" s="4">
        <v>44599.0</v>
      </c>
      <c r="H6065" s="4">
        <f>IFERROR(__xludf.DUMMYFUNCTION("DATE(INDEX(SPLIT(G6065,""/""),,3),INDEX(SPLIT(G6065,""/""),,2),INDEX(SPLIT(G6065,""/""),,1))"),44744.0)</f>
        <v>44744</v>
      </c>
      <c r="I6065" s="1" t="s">
        <v>1097</v>
      </c>
      <c r="J6065" s="4">
        <f>IFERROR(__xludf.DUMMYFUNCTION("DATE(INDEX(SPLIT(I6065,""/""),,3),INDEX(SPLIT(I6065,""/""),,2),INDEX(SPLIT(I6065,""/""),,1))"),45107.0)</f>
        <v>45107</v>
      </c>
      <c r="L6065" s="1">
        <v>0.0</v>
      </c>
      <c r="M6065" s="1" t="s">
        <v>12039</v>
      </c>
      <c r="N6065" s="1"/>
      <c r="O6065" s="1" t="s">
        <v>30</v>
      </c>
      <c r="P6065" s="1" t="s">
        <v>31</v>
      </c>
      <c r="Q6065" s="1" t="s">
        <v>228</v>
      </c>
      <c r="R6065" s="1" t="s">
        <v>228</v>
      </c>
      <c r="S6065" s="1" t="s">
        <v>229</v>
      </c>
      <c r="T6065" s="1" t="s">
        <v>513</v>
      </c>
      <c r="U6065" s="1">
        <v>1.00612509E8</v>
      </c>
      <c r="X6065" s="1" t="s">
        <v>74</v>
      </c>
      <c r="Y6065" s="1" t="s">
        <v>12640</v>
      </c>
      <c r="Z6065" s="1" t="s">
        <v>37</v>
      </c>
    </row>
    <row r="6066" hidden="1">
      <c r="A6066" s="1" t="s">
        <v>16721</v>
      </c>
      <c r="B6066" s="1" t="s">
        <v>16722</v>
      </c>
      <c r="C6066" s="1" t="s">
        <v>16723</v>
      </c>
      <c r="D6066" s="1" t="s">
        <v>27</v>
      </c>
      <c r="E6066" s="1" t="s">
        <v>28</v>
      </c>
      <c r="F6066" s="2">
        <v>1500.0</v>
      </c>
      <c r="G6066" s="4">
        <v>44599.0</v>
      </c>
      <c r="H6066" s="4">
        <f>IFERROR(__xludf.DUMMYFUNCTION("DATE(INDEX(SPLIT(G6066,""/""),,3),INDEX(SPLIT(G6066,""/""),,2),INDEX(SPLIT(G6066,""/""),,1))"),44744.0)</f>
        <v>44744</v>
      </c>
      <c r="I6066" s="1" t="s">
        <v>1097</v>
      </c>
      <c r="J6066" s="4">
        <f>IFERROR(__xludf.DUMMYFUNCTION("DATE(INDEX(SPLIT(I6066,""/""),,3),INDEX(SPLIT(I6066,""/""),,2),INDEX(SPLIT(I6066,""/""),,1))"),45107.0)</f>
        <v>45107</v>
      </c>
      <c r="L6066" s="1">
        <v>0.0</v>
      </c>
      <c r="M6066" s="1" t="s">
        <v>12039</v>
      </c>
      <c r="N6066" s="1"/>
      <c r="O6066" s="1" t="s">
        <v>30</v>
      </c>
      <c r="P6066" s="1" t="s">
        <v>31</v>
      </c>
      <c r="Q6066" s="1" t="s">
        <v>228</v>
      </c>
      <c r="R6066" s="1" t="s">
        <v>228</v>
      </c>
      <c r="S6066" s="1" t="s">
        <v>229</v>
      </c>
      <c r="T6066" s="1" t="s">
        <v>513</v>
      </c>
      <c r="U6066" s="1">
        <v>1.00612509E8</v>
      </c>
      <c r="X6066" s="1" t="s">
        <v>74</v>
      </c>
      <c r="Y6066" s="1" t="s">
        <v>12640</v>
      </c>
      <c r="Z6066" s="1" t="s">
        <v>37</v>
      </c>
    </row>
    <row r="6067" hidden="1">
      <c r="A6067" s="1" t="s">
        <v>16724</v>
      </c>
      <c r="B6067" s="1" t="s">
        <v>16719</v>
      </c>
      <c r="C6067" s="1" t="s">
        <v>16725</v>
      </c>
      <c r="D6067" s="1" t="s">
        <v>27</v>
      </c>
      <c r="E6067" s="1" t="s">
        <v>28</v>
      </c>
      <c r="F6067" s="2">
        <v>1500.0</v>
      </c>
      <c r="G6067" s="4">
        <v>44599.0</v>
      </c>
      <c r="H6067" s="4">
        <f>IFERROR(__xludf.DUMMYFUNCTION("DATE(INDEX(SPLIT(G6067,""/""),,3),INDEX(SPLIT(G6067,""/""),,2),INDEX(SPLIT(G6067,""/""),,1))"),44744.0)</f>
        <v>44744</v>
      </c>
      <c r="I6067" s="1" t="s">
        <v>1097</v>
      </c>
      <c r="J6067" s="4">
        <f>IFERROR(__xludf.DUMMYFUNCTION("DATE(INDEX(SPLIT(I6067,""/""),,3),INDEX(SPLIT(I6067,""/""),,2),INDEX(SPLIT(I6067,""/""),,1))"),45107.0)</f>
        <v>45107</v>
      </c>
      <c r="L6067" s="1">
        <v>0.0</v>
      </c>
      <c r="M6067" s="1" t="s">
        <v>12039</v>
      </c>
      <c r="N6067" s="1"/>
      <c r="O6067" s="1" t="s">
        <v>30</v>
      </c>
      <c r="P6067" s="1" t="s">
        <v>31</v>
      </c>
      <c r="Q6067" s="1" t="s">
        <v>228</v>
      </c>
      <c r="R6067" s="1" t="s">
        <v>228</v>
      </c>
      <c r="S6067" s="1" t="s">
        <v>229</v>
      </c>
      <c r="T6067" s="1" t="s">
        <v>513</v>
      </c>
      <c r="U6067" s="1">
        <v>1.00612509E8</v>
      </c>
      <c r="X6067" s="1" t="s">
        <v>74</v>
      </c>
      <c r="Y6067" s="1" t="s">
        <v>12640</v>
      </c>
      <c r="Z6067" s="1" t="s">
        <v>37</v>
      </c>
    </row>
    <row r="6068" hidden="1">
      <c r="A6068" s="1" t="s">
        <v>16726</v>
      </c>
      <c r="B6068" s="1" t="s">
        <v>16727</v>
      </c>
      <c r="C6068" s="1" t="s">
        <v>16728</v>
      </c>
      <c r="D6068" s="1" t="s">
        <v>27</v>
      </c>
      <c r="E6068" s="1" t="s">
        <v>28</v>
      </c>
      <c r="F6068" s="2">
        <v>1500.0</v>
      </c>
      <c r="G6068" s="4">
        <v>44599.0</v>
      </c>
      <c r="H6068" s="4">
        <f>IFERROR(__xludf.DUMMYFUNCTION("DATE(INDEX(SPLIT(G6068,""/""),,3),INDEX(SPLIT(G6068,""/""),,2),INDEX(SPLIT(G6068,""/""),,1))"),44744.0)</f>
        <v>44744</v>
      </c>
      <c r="I6068" s="1" t="s">
        <v>1097</v>
      </c>
      <c r="J6068" s="4">
        <f>IFERROR(__xludf.DUMMYFUNCTION("DATE(INDEX(SPLIT(I6068,""/""),,3),INDEX(SPLIT(I6068,""/""),,2),INDEX(SPLIT(I6068,""/""),,1))"),45107.0)</f>
        <v>45107</v>
      </c>
      <c r="L6068" s="1">
        <v>0.0</v>
      </c>
      <c r="M6068" s="1" t="s">
        <v>12039</v>
      </c>
      <c r="N6068" s="1"/>
      <c r="O6068" s="1" t="s">
        <v>30</v>
      </c>
      <c r="P6068" s="1" t="s">
        <v>31</v>
      </c>
      <c r="Q6068" s="1" t="s">
        <v>228</v>
      </c>
      <c r="R6068" s="1" t="s">
        <v>228</v>
      </c>
      <c r="S6068" s="1" t="s">
        <v>229</v>
      </c>
      <c r="T6068" s="1" t="s">
        <v>15694</v>
      </c>
      <c r="U6068" s="1">
        <v>1.00612509E8</v>
      </c>
      <c r="X6068" s="1" t="s">
        <v>74</v>
      </c>
      <c r="Y6068" s="1" t="s">
        <v>12640</v>
      </c>
      <c r="Z6068" s="1" t="s">
        <v>37</v>
      </c>
    </row>
    <row r="6069" hidden="1">
      <c r="A6069" s="1" t="s">
        <v>16729</v>
      </c>
      <c r="B6069" s="1" t="s">
        <v>12729</v>
      </c>
      <c r="C6069" s="1" t="s">
        <v>16730</v>
      </c>
      <c r="D6069" s="1" t="s">
        <v>27</v>
      </c>
      <c r="E6069" s="1" t="s">
        <v>28</v>
      </c>
      <c r="F6069" s="2">
        <v>1500.0</v>
      </c>
      <c r="G6069" s="4">
        <v>44568.0</v>
      </c>
      <c r="H6069" s="4">
        <f>IFERROR(__xludf.DUMMYFUNCTION("DATE(INDEX(SPLIT(G6069,""/""),,3),INDEX(SPLIT(G6069,""/""),,2),INDEX(SPLIT(G6069,""/""),,1))"),44743.0)</f>
        <v>44743</v>
      </c>
      <c r="I6069" s="1" t="s">
        <v>1097</v>
      </c>
      <c r="J6069" s="4">
        <f>IFERROR(__xludf.DUMMYFUNCTION("DATE(INDEX(SPLIT(I6069,""/""),,3),INDEX(SPLIT(I6069,""/""),,2),INDEX(SPLIT(I6069,""/""),,1))"),45107.0)</f>
        <v>45107</v>
      </c>
      <c r="L6069" s="1">
        <v>0.0</v>
      </c>
      <c r="M6069" s="1" t="s">
        <v>12039</v>
      </c>
      <c r="N6069" s="1"/>
      <c r="O6069" s="1" t="s">
        <v>30</v>
      </c>
      <c r="P6069" s="1" t="s">
        <v>31</v>
      </c>
      <c r="Q6069" s="1" t="s">
        <v>228</v>
      </c>
      <c r="R6069" s="1" t="s">
        <v>228</v>
      </c>
      <c r="S6069" s="1" t="s">
        <v>229</v>
      </c>
      <c r="T6069" s="1" t="s">
        <v>513</v>
      </c>
      <c r="U6069" s="1">
        <v>1.00612509E8</v>
      </c>
      <c r="X6069" s="1" t="s">
        <v>74</v>
      </c>
      <c r="Y6069" s="1" t="s">
        <v>12640</v>
      </c>
      <c r="Z6069" s="1" t="s">
        <v>37</v>
      </c>
    </row>
    <row r="6070" hidden="1">
      <c r="A6070" s="1" t="s">
        <v>16731</v>
      </c>
      <c r="B6070" s="1" t="s">
        <v>16732</v>
      </c>
      <c r="C6070" s="1" t="s">
        <v>16733</v>
      </c>
      <c r="D6070" s="1" t="s">
        <v>27</v>
      </c>
      <c r="E6070" s="1" t="s">
        <v>28</v>
      </c>
      <c r="F6070" s="2">
        <v>1500.0</v>
      </c>
      <c r="G6070" s="4">
        <v>44568.0</v>
      </c>
      <c r="H6070" s="4">
        <f>IFERROR(__xludf.DUMMYFUNCTION("DATE(INDEX(SPLIT(G6070,""/""),,3),INDEX(SPLIT(G6070,""/""),,2),INDEX(SPLIT(G6070,""/""),,1))"),44743.0)</f>
        <v>44743</v>
      </c>
      <c r="I6070" s="1" t="s">
        <v>1097</v>
      </c>
      <c r="J6070" s="4">
        <f>IFERROR(__xludf.DUMMYFUNCTION("DATE(INDEX(SPLIT(I6070,""/""),,3),INDEX(SPLIT(I6070,""/""),,2),INDEX(SPLIT(I6070,""/""),,1))"),45107.0)</f>
        <v>45107</v>
      </c>
      <c r="L6070" s="1">
        <v>0.0</v>
      </c>
      <c r="M6070" s="1" t="s">
        <v>12039</v>
      </c>
      <c r="N6070" s="1"/>
      <c r="O6070" s="1" t="s">
        <v>30</v>
      </c>
      <c r="P6070" s="1" t="s">
        <v>31</v>
      </c>
      <c r="Q6070" s="1" t="s">
        <v>228</v>
      </c>
      <c r="R6070" s="1" t="s">
        <v>228</v>
      </c>
      <c r="S6070" s="1" t="s">
        <v>229</v>
      </c>
      <c r="T6070" s="1" t="s">
        <v>513</v>
      </c>
      <c r="U6070" s="1">
        <v>1.00612509E8</v>
      </c>
      <c r="X6070" s="1" t="s">
        <v>74</v>
      </c>
      <c r="Y6070" s="1" t="s">
        <v>12640</v>
      </c>
      <c r="Z6070" s="1" t="s">
        <v>37</v>
      </c>
    </row>
    <row r="6071" hidden="1">
      <c r="A6071" s="1" t="s">
        <v>16734</v>
      </c>
      <c r="B6071" s="1" t="s">
        <v>16735</v>
      </c>
      <c r="C6071" s="1" t="s">
        <v>16736</v>
      </c>
      <c r="D6071" s="1" t="s">
        <v>27</v>
      </c>
      <c r="E6071" s="1" t="s">
        <v>28</v>
      </c>
      <c r="F6071" s="2">
        <v>1500.0</v>
      </c>
      <c r="G6071" s="4">
        <v>44568.0</v>
      </c>
      <c r="H6071" s="4">
        <f>IFERROR(__xludf.DUMMYFUNCTION("DATE(INDEX(SPLIT(G6071,""/""),,3),INDEX(SPLIT(G6071,""/""),,2),INDEX(SPLIT(G6071,""/""),,1))"),44743.0)</f>
        <v>44743</v>
      </c>
      <c r="I6071" s="1" t="s">
        <v>1097</v>
      </c>
      <c r="J6071" s="4">
        <f>IFERROR(__xludf.DUMMYFUNCTION("DATE(INDEX(SPLIT(I6071,""/""),,3),INDEX(SPLIT(I6071,""/""),,2),INDEX(SPLIT(I6071,""/""),,1))"),45107.0)</f>
        <v>45107</v>
      </c>
      <c r="L6071" s="1">
        <v>0.0</v>
      </c>
      <c r="M6071" s="1" t="s">
        <v>12039</v>
      </c>
      <c r="N6071" s="1"/>
      <c r="O6071" s="1" t="s">
        <v>30</v>
      </c>
      <c r="P6071" s="1" t="s">
        <v>31</v>
      </c>
      <c r="Q6071" s="1" t="s">
        <v>228</v>
      </c>
      <c r="R6071" s="1" t="s">
        <v>228</v>
      </c>
      <c r="S6071" s="1" t="s">
        <v>229</v>
      </c>
      <c r="T6071" s="1" t="s">
        <v>513</v>
      </c>
      <c r="U6071" s="1">
        <v>1.00612509E8</v>
      </c>
      <c r="X6071" s="1" t="s">
        <v>74</v>
      </c>
      <c r="Y6071" s="1" t="s">
        <v>12640</v>
      </c>
      <c r="Z6071" s="1" t="s">
        <v>37</v>
      </c>
    </row>
    <row r="6072" hidden="1">
      <c r="A6072" s="1" t="s">
        <v>16737</v>
      </c>
      <c r="B6072" s="1" t="s">
        <v>16738</v>
      </c>
      <c r="C6072" s="1" t="s">
        <v>16739</v>
      </c>
      <c r="D6072" s="1" t="s">
        <v>27</v>
      </c>
      <c r="E6072" s="1" t="s">
        <v>28</v>
      </c>
      <c r="F6072" s="2">
        <v>1500.0</v>
      </c>
      <c r="G6072" s="4">
        <v>44568.0</v>
      </c>
      <c r="H6072" s="4">
        <f>IFERROR(__xludf.DUMMYFUNCTION("DATE(INDEX(SPLIT(G6072,""/""),,3),INDEX(SPLIT(G6072,""/""),,2),INDEX(SPLIT(G6072,""/""),,1))"),44743.0)</f>
        <v>44743</v>
      </c>
      <c r="I6072" s="1" t="s">
        <v>1097</v>
      </c>
      <c r="J6072" s="4">
        <f>IFERROR(__xludf.DUMMYFUNCTION("DATE(INDEX(SPLIT(I6072,""/""),,3),INDEX(SPLIT(I6072,""/""),,2),INDEX(SPLIT(I6072,""/""),,1))"),45107.0)</f>
        <v>45107</v>
      </c>
      <c r="L6072" s="1">
        <v>0.0</v>
      </c>
      <c r="M6072" s="1" t="s">
        <v>12039</v>
      </c>
      <c r="N6072" s="1"/>
      <c r="O6072" s="1" t="s">
        <v>30</v>
      </c>
      <c r="P6072" s="1" t="s">
        <v>31</v>
      </c>
      <c r="Q6072" s="1" t="s">
        <v>228</v>
      </c>
      <c r="R6072" s="1" t="s">
        <v>228</v>
      </c>
      <c r="S6072" s="1" t="s">
        <v>229</v>
      </c>
      <c r="T6072" s="1" t="s">
        <v>513</v>
      </c>
      <c r="U6072" s="1">
        <v>1.00612509E8</v>
      </c>
      <c r="X6072" s="1" t="s">
        <v>74</v>
      </c>
      <c r="Y6072" s="1" t="s">
        <v>12640</v>
      </c>
      <c r="Z6072" s="1" t="s">
        <v>37</v>
      </c>
    </row>
    <row r="6073" hidden="1">
      <c r="A6073" s="1" t="s">
        <v>16740</v>
      </c>
      <c r="B6073" s="1" t="s">
        <v>4582</v>
      </c>
      <c r="C6073" s="1" t="s">
        <v>16741</v>
      </c>
      <c r="D6073" s="1" t="s">
        <v>27</v>
      </c>
      <c r="E6073" s="1" t="s">
        <v>28</v>
      </c>
      <c r="F6073" s="2">
        <v>1500.0</v>
      </c>
      <c r="G6073" s="4">
        <v>44568.0</v>
      </c>
      <c r="H6073" s="4">
        <f>IFERROR(__xludf.DUMMYFUNCTION("DATE(INDEX(SPLIT(G6073,""/""),,3),INDEX(SPLIT(G6073,""/""),,2),INDEX(SPLIT(G6073,""/""),,1))"),44743.0)</f>
        <v>44743</v>
      </c>
      <c r="I6073" s="1" t="s">
        <v>1097</v>
      </c>
      <c r="J6073" s="4">
        <f>IFERROR(__xludf.DUMMYFUNCTION("DATE(INDEX(SPLIT(I6073,""/""),,3),INDEX(SPLIT(I6073,""/""),,2),INDEX(SPLIT(I6073,""/""),,1))"),45107.0)</f>
        <v>45107</v>
      </c>
      <c r="L6073" s="1">
        <v>0.0</v>
      </c>
      <c r="M6073" s="1" t="s">
        <v>12039</v>
      </c>
      <c r="N6073" s="1"/>
      <c r="O6073" s="1" t="s">
        <v>30</v>
      </c>
      <c r="P6073" s="1" t="s">
        <v>31</v>
      </c>
      <c r="Q6073" s="1" t="s">
        <v>228</v>
      </c>
      <c r="R6073" s="1" t="s">
        <v>228</v>
      </c>
      <c r="S6073" s="1" t="s">
        <v>229</v>
      </c>
      <c r="U6073" s="1">
        <v>1.00612509E8</v>
      </c>
      <c r="X6073" s="1" t="s">
        <v>2028</v>
      </c>
      <c r="Y6073" s="1" t="s">
        <v>12640</v>
      </c>
      <c r="Z6073" s="1" t="s">
        <v>37</v>
      </c>
    </row>
    <row r="6074" hidden="1">
      <c r="A6074" s="1" t="s">
        <v>16742</v>
      </c>
      <c r="B6074" s="1" t="s">
        <v>16743</v>
      </c>
      <c r="C6074" s="1" t="s">
        <v>16744</v>
      </c>
      <c r="D6074" s="1" t="s">
        <v>27</v>
      </c>
      <c r="E6074" s="1" t="s">
        <v>28</v>
      </c>
      <c r="F6074" s="2">
        <v>1500.0</v>
      </c>
      <c r="G6074" s="4">
        <v>44568.0</v>
      </c>
      <c r="H6074" s="4">
        <f>IFERROR(__xludf.DUMMYFUNCTION("DATE(INDEX(SPLIT(G6074,""/""),,3),INDEX(SPLIT(G6074,""/""),,2),INDEX(SPLIT(G6074,""/""),,1))"),44743.0)</f>
        <v>44743</v>
      </c>
      <c r="I6074" s="1" t="s">
        <v>1097</v>
      </c>
      <c r="J6074" s="4">
        <f>IFERROR(__xludf.DUMMYFUNCTION("DATE(INDEX(SPLIT(I6074,""/""),,3),INDEX(SPLIT(I6074,""/""),,2),INDEX(SPLIT(I6074,""/""),,1))"),45107.0)</f>
        <v>45107</v>
      </c>
      <c r="L6074" s="1">
        <v>0.0</v>
      </c>
      <c r="M6074" s="1" t="s">
        <v>12039</v>
      </c>
      <c r="N6074" s="1"/>
      <c r="O6074" s="1" t="s">
        <v>30</v>
      </c>
      <c r="P6074" s="1" t="s">
        <v>31</v>
      </c>
      <c r="Q6074" s="1" t="s">
        <v>228</v>
      </c>
      <c r="R6074" s="1" t="s">
        <v>228</v>
      </c>
      <c r="S6074" s="1" t="s">
        <v>229</v>
      </c>
      <c r="T6074" s="1" t="s">
        <v>513</v>
      </c>
      <c r="U6074" s="1">
        <v>1.00612509E8</v>
      </c>
      <c r="X6074" s="1" t="s">
        <v>74</v>
      </c>
      <c r="Y6074" s="1" t="s">
        <v>12640</v>
      </c>
      <c r="Z6074" s="1" t="s">
        <v>37</v>
      </c>
    </row>
    <row r="6075" hidden="1">
      <c r="A6075" s="1" t="s">
        <v>16745</v>
      </c>
      <c r="B6075" s="1" t="s">
        <v>16746</v>
      </c>
      <c r="C6075" s="1" t="s">
        <v>16747</v>
      </c>
      <c r="D6075" s="1" t="s">
        <v>27</v>
      </c>
      <c r="E6075" s="1" t="s">
        <v>28</v>
      </c>
      <c r="F6075" s="2">
        <v>1500.0</v>
      </c>
      <c r="G6075" s="4">
        <v>44568.0</v>
      </c>
      <c r="H6075" s="4">
        <f>IFERROR(__xludf.DUMMYFUNCTION("DATE(INDEX(SPLIT(G6075,""/""),,3),INDEX(SPLIT(G6075,""/""),,2),INDEX(SPLIT(G6075,""/""),,1))"),44743.0)</f>
        <v>44743</v>
      </c>
      <c r="I6075" s="1" t="s">
        <v>1097</v>
      </c>
      <c r="J6075" s="4">
        <f>IFERROR(__xludf.DUMMYFUNCTION("DATE(INDEX(SPLIT(I6075,""/""),,3),INDEX(SPLIT(I6075,""/""),,2),INDEX(SPLIT(I6075,""/""),,1))"),45107.0)</f>
        <v>45107</v>
      </c>
      <c r="L6075" s="1">
        <v>0.0</v>
      </c>
      <c r="M6075" s="1" t="s">
        <v>12039</v>
      </c>
      <c r="N6075" s="1"/>
      <c r="O6075" s="1" t="s">
        <v>30</v>
      </c>
      <c r="P6075" s="1" t="s">
        <v>31</v>
      </c>
      <c r="Q6075" s="1" t="s">
        <v>228</v>
      </c>
      <c r="R6075" s="1" t="s">
        <v>228</v>
      </c>
      <c r="S6075" s="1" t="s">
        <v>229</v>
      </c>
      <c r="T6075" s="1" t="s">
        <v>513</v>
      </c>
      <c r="U6075" s="1">
        <v>1.00612509E8</v>
      </c>
      <c r="X6075" s="1" t="s">
        <v>74</v>
      </c>
      <c r="Y6075" s="1" t="s">
        <v>12640</v>
      </c>
      <c r="Z6075" s="1" t="s">
        <v>37</v>
      </c>
    </row>
    <row r="6076" hidden="1">
      <c r="A6076" s="1" t="s">
        <v>16748</v>
      </c>
      <c r="B6076" s="1" t="s">
        <v>16749</v>
      </c>
      <c r="C6076" s="1" t="s">
        <v>16750</v>
      </c>
      <c r="D6076" s="1" t="s">
        <v>27</v>
      </c>
      <c r="E6076" s="1" t="s">
        <v>28</v>
      </c>
      <c r="F6076" s="2">
        <v>1500.0</v>
      </c>
      <c r="G6076" s="4">
        <v>44568.0</v>
      </c>
      <c r="H6076" s="4">
        <f>IFERROR(__xludf.DUMMYFUNCTION("DATE(INDEX(SPLIT(G6076,""/""),,3),INDEX(SPLIT(G6076,""/""),,2),INDEX(SPLIT(G6076,""/""),,1))"),44743.0)</f>
        <v>44743</v>
      </c>
      <c r="I6076" s="1" t="s">
        <v>1097</v>
      </c>
      <c r="J6076" s="4">
        <f>IFERROR(__xludf.DUMMYFUNCTION("DATE(INDEX(SPLIT(I6076,""/""),,3),INDEX(SPLIT(I6076,""/""),,2),INDEX(SPLIT(I6076,""/""),,1))"),45107.0)</f>
        <v>45107</v>
      </c>
      <c r="L6076" s="1">
        <v>0.0</v>
      </c>
      <c r="M6076" s="1" t="s">
        <v>12039</v>
      </c>
      <c r="N6076" s="1"/>
      <c r="O6076" s="1" t="s">
        <v>30</v>
      </c>
      <c r="P6076" s="1" t="s">
        <v>31</v>
      </c>
      <c r="Q6076" s="1" t="s">
        <v>228</v>
      </c>
      <c r="R6076" s="1" t="s">
        <v>228</v>
      </c>
      <c r="S6076" s="1" t="s">
        <v>229</v>
      </c>
      <c r="T6076" s="1" t="s">
        <v>513</v>
      </c>
      <c r="U6076" s="1">
        <v>1.00612509E8</v>
      </c>
      <c r="X6076" s="1" t="s">
        <v>2769</v>
      </c>
      <c r="Y6076" s="1" t="s">
        <v>12640</v>
      </c>
      <c r="Z6076" s="1" t="s">
        <v>37</v>
      </c>
    </row>
    <row r="6077" hidden="1">
      <c r="A6077" s="1" t="s">
        <v>16751</v>
      </c>
      <c r="B6077" s="1" t="s">
        <v>16752</v>
      </c>
      <c r="C6077" s="1" t="s">
        <v>16753</v>
      </c>
      <c r="D6077" s="1" t="s">
        <v>27</v>
      </c>
      <c r="E6077" s="1" t="s">
        <v>28</v>
      </c>
      <c r="F6077" s="2">
        <v>1500.0</v>
      </c>
      <c r="G6077" s="4">
        <v>44568.0</v>
      </c>
      <c r="H6077" s="4">
        <f>IFERROR(__xludf.DUMMYFUNCTION("DATE(INDEX(SPLIT(G6077,""/""),,3),INDEX(SPLIT(G6077,""/""),,2),INDEX(SPLIT(G6077,""/""),,1))"),44743.0)</f>
        <v>44743</v>
      </c>
      <c r="I6077" s="1" t="s">
        <v>1097</v>
      </c>
      <c r="J6077" s="4">
        <f>IFERROR(__xludf.DUMMYFUNCTION("DATE(INDEX(SPLIT(I6077,""/""),,3),INDEX(SPLIT(I6077,""/""),,2),INDEX(SPLIT(I6077,""/""),,1))"),45107.0)</f>
        <v>45107</v>
      </c>
      <c r="L6077" s="1">
        <v>0.0</v>
      </c>
      <c r="M6077" s="1" t="s">
        <v>12039</v>
      </c>
      <c r="N6077" s="1"/>
      <c r="O6077" s="1" t="s">
        <v>30</v>
      </c>
      <c r="P6077" s="1" t="s">
        <v>31</v>
      </c>
      <c r="Q6077" s="1" t="s">
        <v>228</v>
      </c>
      <c r="R6077" s="1" t="s">
        <v>228</v>
      </c>
      <c r="S6077" s="1" t="s">
        <v>229</v>
      </c>
      <c r="T6077" s="1" t="s">
        <v>513</v>
      </c>
      <c r="U6077" s="1">
        <v>1.00612509E8</v>
      </c>
      <c r="X6077" s="1" t="s">
        <v>74</v>
      </c>
      <c r="Y6077" s="1" t="s">
        <v>12640</v>
      </c>
      <c r="Z6077" s="1" t="s">
        <v>37</v>
      </c>
    </row>
    <row r="6078" hidden="1">
      <c r="A6078" s="1" t="s">
        <v>16754</v>
      </c>
      <c r="B6078" s="1" t="s">
        <v>16755</v>
      </c>
      <c r="C6078" s="1" t="s">
        <v>16756</v>
      </c>
      <c r="D6078" s="1" t="s">
        <v>27</v>
      </c>
      <c r="E6078" s="1" t="s">
        <v>28</v>
      </c>
      <c r="F6078" s="2">
        <v>1500.0</v>
      </c>
      <c r="G6078" s="4">
        <v>44568.0</v>
      </c>
      <c r="H6078" s="4">
        <f>IFERROR(__xludf.DUMMYFUNCTION("DATE(INDEX(SPLIT(G6078,""/""),,3),INDEX(SPLIT(G6078,""/""),,2),INDEX(SPLIT(G6078,""/""),,1))"),44743.0)</f>
        <v>44743</v>
      </c>
      <c r="I6078" s="1" t="s">
        <v>1097</v>
      </c>
      <c r="J6078" s="4">
        <f>IFERROR(__xludf.DUMMYFUNCTION("DATE(INDEX(SPLIT(I6078,""/""),,3),INDEX(SPLIT(I6078,""/""),,2),INDEX(SPLIT(I6078,""/""),,1))"),45107.0)</f>
        <v>45107</v>
      </c>
      <c r="L6078" s="1">
        <v>0.0</v>
      </c>
      <c r="M6078" s="1" t="s">
        <v>12039</v>
      </c>
      <c r="N6078" s="1"/>
      <c r="O6078" s="1" t="s">
        <v>30</v>
      </c>
      <c r="P6078" s="1" t="s">
        <v>31</v>
      </c>
      <c r="Q6078" s="1" t="s">
        <v>228</v>
      </c>
      <c r="R6078" s="1" t="s">
        <v>228</v>
      </c>
      <c r="S6078" s="1" t="s">
        <v>229</v>
      </c>
      <c r="T6078" s="1" t="s">
        <v>513</v>
      </c>
      <c r="U6078" s="1">
        <v>1.00612509E8</v>
      </c>
      <c r="X6078" s="1" t="s">
        <v>74</v>
      </c>
      <c r="Y6078" s="1" t="s">
        <v>12640</v>
      </c>
      <c r="Z6078" s="1" t="s">
        <v>37</v>
      </c>
    </row>
    <row r="6079" hidden="1">
      <c r="A6079" s="1" t="s">
        <v>16757</v>
      </c>
      <c r="B6079" s="1" t="s">
        <v>16758</v>
      </c>
      <c r="C6079" s="1" t="s">
        <v>16759</v>
      </c>
      <c r="D6079" s="1" t="s">
        <v>27</v>
      </c>
      <c r="E6079" s="1" t="s">
        <v>28</v>
      </c>
      <c r="F6079" s="2">
        <v>1500.0</v>
      </c>
      <c r="G6079" s="4">
        <v>44568.0</v>
      </c>
      <c r="H6079" s="4">
        <f>IFERROR(__xludf.DUMMYFUNCTION("DATE(INDEX(SPLIT(G6079,""/""),,3),INDEX(SPLIT(G6079,""/""),,2),INDEX(SPLIT(G6079,""/""),,1))"),44743.0)</f>
        <v>44743</v>
      </c>
      <c r="I6079" s="1" t="s">
        <v>1097</v>
      </c>
      <c r="J6079" s="4">
        <f>IFERROR(__xludf.DUMMYFUNCTION("DATE(INDEX(SPLIT(I6079,""/""),,3),INDEX(SPLIT(I6079,""/""),,2),INDEX(SPLIT(I6079,""/""),,1))"),45107.0)</f>
        <v>45107</v>
      </c>
      <c r="L6079" s="1">
        <v>0.0</v>
      </c>
      <c r="M6079" s="1" t="s">
        <v>12039</v>
      </c>
      <c r="N6079" s="1"/>
      <c r="O6079" s="1" t="s">
        <v>30</v>
      </c>
      <c r="P6079" s="1" t="s">
        <v>31</v>
      </c>
      <c r="Q6079" s="1" t="s">
        <v>228</v>
      </c>
      <c r="R6079" s="1" t="s">
        <v>228</v>
      </c>
      <c r="S6079" s="1" t="s">
        <v>229</v>
      </c>
      <c r="T6079" s="1" t="s">
        <v>513</v>
      </c>
      <c r="U6079" s="1">
        <v>1.00612509E8</v>
      </c>
      <c r="X6079" s="1" t="s">
        <v>74</v>
      </c>
      <c r="Y6079" s="1" t="s">
        <v>12640</v>
      </c>
      <c r="Z6079" s="1" t="s">
        <v>37</v>
      </c>
    </row>
    <row r="6080" hidden="1">
      <c r="A6080" s="1" t="s">
        <v>16760</v>
      </c>
      <c r="B6080" s="1" t="s">
        <v>16761</v>
      </c>
      <c r="C6080" s="1" t="s">
        <v>16762</v>
      </c>
      <c r="D6080" s="1" t="s">
        <v>27</v>
      </c>
      <c r="E6080" s="1" t="s">
        <v>28</v>
      </c>
      <c r="F6080" s="2">
        <v>1500.0</v>
      </c>
      <c r="G6080" s="4">
        <v>44568.0</v>
      </c>
      <c r="H6080" s="4">
        <f>IFERROR(__xludf.DUMMYFUNCTION("DATE(INDEX(SPLIT(G6080,""/""),,3),INDEX(SPLIT(G6080,""/""),,2),INDEX(SPLIT(G6080,""/""),,1))"),44743.0)</f>
        <v>44743</v>
      </c>
      <c r="I6080" s="1" t="s">
        <v>1097</v>
      </c>
      <c r="J6080" s="4">
        <f>IFERROR(__xludf.DUMMYFUNCTION("DATE(INDEX(SPLIT(I6080,""/""),,3),INDEX(SPLIT(I6080,""/""),,2),INDEX(SPLIT(I6080,""/""),,1))"),45107.0)</f>
        <v>45107</v>
      </c>
      <c r="L6080" s="1">
        <v>0.0</v>
      </c>
      <c r="M6080" s="1" t="s">
        <v>12039</v>
      </c>
      <c r="N6080" s="1"/>
      <c r="O6080" s="1" t="s">
        <v>30</v>
      </c>
      <c r="P6080" s="1" t="s">
        <v>31</v>
      </c>
      <c r="Q6080" s="1" t="s">
        <v>228</v>
      </c>
      <c r="R6080" s="1" t="s">
        <v>228</v>
      </c>
      <c r="S6080" s="1" t="s">
        <v>229</v>
      </c>
      <c r="U6080" s="1">
        <v>1.00612509E8</v>
      </c>
      <c r="X6080" s="1" t="s">
        <v>74</v>
      </c>
      <c r="Y6080" s="1" t="s">
        <v>12640</v>
      </c>
      <c r="Z6080" s="1" t="s">
        <v>37</v>
      </c>
    </row>
    <row r="6081" hidden="1">
      <c r="A6081" s="1" t="s">
        <v>16763</v>
      </c>
      <c r="B6081" s="1" t="s">
        <v>16764</v>
      </c>
      <c r="C6081" s="1" t="s">
        <v>16765</v>
      </c>
      <c r="D6081" s="1" t="s">
        <v>27</v>
      </c>
      <c r="E6081" s="1" t="s">
        <v>28</v>
      </c>
      <c r="F6081" s="2">
        <v>1500.0</v>
      </c>
      <c r="G6081" s="1" t="s">
        <v>359</v>
      </c>
      <c r="H6081" s="4">
        <f>IFERROR(__xludf.DUMMYFUNCTION("DATE(INDEX(SPLIT(G6081,""/""),,3),INDEX(SPLIT(G6081,""/""),,2),INDEX(SPLIT(G6081,""/""),,1))"),44740.0)</f>
        <v>44740</v>
      </c>
      <c r="I6081" s="1" t="s">
        <v>1097</v>
      </c>
      <c r="J6081" s="4">
        <f>IFERROR(__xludf.DUMMYFUNCTION("DATE(INDEX(SPLIT(I6081,""/""),,3),INDEX(SPLIT(I6081,""/""),,2),INDEX(SPLIT(I6081,""/""),,1))"),45107.0)</f>
        <v>45107</v>
      </c>
      <c r="L6081" s="1">
        <v>0.0</v>
      </c>
      <c r="M6081" s="1" t="s">
        <v>12039</v>
      </c>
      <c r="N6081" s="1"/>
      <c r="O6081" s="1" t="s">
        <v>30</v>
      </c>
      <c r="P6081" s="1" t="s">
        <v>31</v>
      </c>
      <c r="Q6081" s="1" t="s">
        <v>228</v>
      </c>
      <c r="R6081" s="1" t="s">
        <v>228</v>
      </c>
      <c r="S6081" s="1" t="s">
        <v>229</v>
      </c>
      <c r="T6081" s="1" t="s">
        <v>513</v>
      </c>
      <c r="U6081" s="1">
        <v>1.00612509E8</v>
      </c>
      <c r="X6081" s="1" t="s">
        <v>74</v>
      </c>
      <c r="Y6081" s="1" t="s">
        <v>13944</v>
      </c>
      <c r="Z6081" s="1" t="s">
        <v>37</v>
      </c>
    </row>
    <row r="6082" hidden="1">
      <c r="A6082" s="1" t="s">
        <v>16766</v>
      </c>
      <c r="B6082" s="1" t="s">
        <v>16767</v>
      </c>
      <c r="C6082" s="1" t="s">
        <v>16768</v>
      </c>
      <c r="D6082" s="1" t="s">
        <v>27</v>
      </c>
      <c r="E6082" s="1" t="s">
        <v>28</v>
      </c>
      <c r="F6082" s="2">
        <v>1500.0</v>
      </c>
      <c r="G6082" s="1" t="s">
        <v>185</v>
      </c>
      <c r="H6082" s="4">
        <f>IFERROR(__xludf.DUMMYFUNCTION("DATE(INDEX(SPLIT(G6082,""/""),,3),INDEX(SPLIT(G6082,""/""),,2),INDEX(SPLIT(G6082,""/""),,1))"),44741.0)</f>
        <v>44741</v>
      </c>
      <c r="I6082" s="1" t="s">
        <v>1097</v>
      </c>
      <c r="J6082" s="4">
        <f>IFERROR(__xludf.DUMMYFUNCTION("DATE(INDEX(SPLIT(I6082,""/""),,3),INDEX(SPLIT(I6082,""/""),,2),INDEX(SPLIT(I6082,""/""),,1))"),45107.0)</f>
        <v>45107</v>
      </c>
      <c r="L6082" s="1">
        <v>0.0</v>
      </c>
      <c r="M6082" s="1" t="s">
        <v>11254</v>
      </c>
      <c r="N6082" s="1"/>
      <c r="O6082" s="1" t="s">
        <v>30</v>
      </c>
      <c r="P6082" s="1" t="s">
        <v>31</v>
      </c>
      <c r="Q6082" s="1" t="s">
        <v>228</v>
      </c>
      <c r="R6082" s="1" t="s">
        <v>228</v>
      </c>
      <c r="S6082" s="1" t="s">
        <v>229</v>
      </c>
      <c r="T6082" s="1" t="s">
        <v>513</v>
      </c>
      <c r="U6082" s="1">
        <v>1.00602248E8</v>
      </c>
      <c r="X6082" s="1" t="s">
        <v>74</v>
      </c>
      <c r="Y6082" s="1" t="s">
        <v>13944</v>
      </c>
      <c r="Z6082" s="1" t="s">
        <v>37</v>
      </c>
    </row>
    <row r="6083" hidden="1">
      <c r="A6083" s="1" t="s">
        <v>16769</v>
      </c>
      <c r="B6083" s="1" t="s">
        <v>16770</v>
      </c>
      <c r="C6083" s="1" t="s">
        <v>16771</v>
      </c>
      <c r="D6083" s="1" t="s">
        <v>27</v>
      </c>
      <c r="E6083" s="1" t="s">
        <v>28</v>
      </c>
      <c r="F6083" s="2">
        <v>1500.0</v>
      </c>
      <c r="G6083" s="1" t="s">
        <v>779</v>
      </c>
      <c r="H6083" s="4">
        <f>IFERROR(__xludf.DUMMYFUNCTION("DATE(INDEX(SPLIT(G6083,""/""),,3),INDEX(SPLIT(G6083,""/""),,2),INDEX(SPLIT(G6083,""/""),,1))"),44734.0)</f>
        <v>44734</v>
      </c>
      <c r="I6083" s="1" t="s">
        <v>1097</v>
      </c>
      <c r="J6083" s="4">
        <f>IFERROR(__xludf.DUMMYFUNCTION("DATE(INDEX(SPLIT(I6083,""/""),,3),INDEX(SPLIT(I6083,""/""),,2),INDEX(SPLIT(I6083,""/""),,1))"),45107.0)</f>
        <v>45107</v>
      </c>
      <c r="L6083" s="1">
        <v>0.0</v>
      </c>
      <c r="M6083" s="1" t="s">
        <v>12039</v>
      </c>
      <c r="N6083" s="1"/>
      <c r="O6083" s="1" t="s">
        <v>30</v>
      </c>
      <c r="P6083" s="1" t="s">
        <v>31</v>
      </c>
      <c r="Q6083" s="1" t="s">
        <v>228</v>
      </c>
      <c r="R6083" s="1" t="s">
        <v>228</v>
      </c>
      <c r="S6083" s="1" t="s">
        <v>229</v>
      </c>
      <c r="T6083" s="1" t="s">
        <v>513</v>
      </c>
      <c r="U6083" s="1">
        <v>1.00612509E8</v>
      </c>
      <c r="X6083" s="1" t="s">
        <v>74</v>
      </c>
      <c r="Y6083" s="1" t="s">
        <v>12637</v>
      </c>
      <c r="Z6083" s="1" t="s">
        <v>37</v>
      </c>
    </row>
    <row r="6084" hidden="1">
      <c r="A6084" s="1" t="s">
        <v>16772</v>
      </c>
      <c r="B6084" s="1" t="s">
        <v>16773</v>
      </c>
      <c r="C6084" s="1" t="s">
        <v>16774</v>
      </c>
      <c r="D6084" s="1" t="s">
        <v>27</v>
      </c>
      <c r="E6084" s="1" t="s">
        <v>28</v>
      </c>
      <c r="F6084" s="2">
        <v>1500.0</v>
      </c>
      <c r="G6084" s="1" t="s">
        <v>359</v>
      </c>
      <c r="H6084" s="4">
        <f>IFERROR(__xludf.DUMMYFUNCTION("DATE(INDEX(SPLIT(G6084,""/""),,3),INDEX(SPLIT(G6084,""/""),,2),INDEX(SPLIT(G6084,""/""),,1))"),44740.0)</f>
        <v>44740</v>
      </c>
      <c r="I6084" s="1" t="s">
        <v>1097</v>
      </c>
      <c r="J6084" s="4">
        <f>IFERROR(__xludf.DUMMYFUNCTION("DATE(INDEX(SPLIT(I6084,""/""),,3),INDEX(SPLIT(I6084,""/""),,2),INDEX(SPLIT(I6084,""/""),,1))"),45107.0)</f>
        <v>45107</v>
      </c>
      <c r="L6084" s="1">
        <v>0.0</v>
      </c>
      <c r="M6084" s="1" t="s">
        <v>12039</v>
      </c>
      <c r="N6084" s="1"/>
      <c r="O6084" s="1" t="s">
        <v>30</v>
      </c>
      <c r="P6084" s="1" t="s">
        <v>31</v>
      </c>
      <c r="Q6084" s="1" t="s">
        <v>228</v>
      </c>
      <c r="R6084" s="1" t="s">
        <v>228</v>
      </c>
      <c r="S6084" s="1" t="s">
        <v>229</v>
      </c>
      <c r="T6084" s="1" t="s">
        <v>513</v>
      </c>
      <c r="U6084" s="1">
        <v>1.00612509E8</v>
      </c>
      <c r="X6084" s="1" t="s">
        <v>74</v>
      </c>
      <c r="Y6084" s="1" t="s">
        <v>13944</v>
      </c>
      <c r="Z6084" s="1" t="s">
        <v>37</v>
      </c>
    </row>
    <row r="6085" hidden="1">
      <c r="A6085" s="1" t="s">
        <v>16775</v>
      </c>
      <c r="B6085" s="1" t="s">
        <v>16776</v>
      </c>
      <c r="C6085" s="1" t="s">
        <v>16777</v>
      </c>
      <c r="D6085" s="1" t="s">
        <v>27</v>
      </c>
      <c r="E6085" s="1" t="s">
        <v>28</v>
      </c>
      <c r="F6085" s="2">
        <v>1500.0</v>
      </c>
      <c r="G6085" s="1" t="s">
        <v>359</v>
      </c>
      <c r="H6085" s="4">
        <f>IFERROR(__xludf.DUMMYFUNCTION("DATE(INDEX(SPLIT(G6085,""/""),,3),INDEX(SPLIT(G6085,""/""),,2),INDEX(SPLIT(G6085,""/""),,1))"),44740.0)</f>
        <v>44740</v>
      </c>
      <c r="I6085" s="1" t="s">
        <v>1097</v>
      </c>
      <c r="J6085" s="4">
        <f>IFERROR(__xludf.DUMMYFUNCTION("DATE(INDEX(SPLIT(I6085,""/""),,3),INDEX(SPLIT(I6085,""/""),,2),INDEX(SPLIT(I6085,""/""),,1))"),45107.0)</f>
        <v>45107</v>
      </c>
      <c r="L6085" s="1">
        <v>0.0</v>
      </c>
      <c r="M6085" s="1" t="s">
        <v>12039</v>
      </c>
      <c r="N6085" s="1"/>
      <c r="O6085" s="1" t="s">
        <v>30</v>
      </c>
      <c r="P6085" s="1" t="s">
        <v>31</v>
      </c>
      <c r="Q6085" s="1" t="s">
        <v>228</v>
      </c>
      <c r="R6085" s="1" t="s">
        <v>228</v>
      </c>
      <c r="S6085" s="1" t="s">
        <v>229</v>
      </c>
      <c r="T6085" s="1" t="s">
        <v>513</v>
      </c>
      <c r="U6085" s="1">
        <v>1.00612509E8</v>
      </c>
      <c r="X6085" s="1" t="s">
        <v>74</v>
      </c>
      <c r="Y6085" s="1" t="s">
        <v>13944</v>
      </c>
      <c r="Z6085" s="1" t="s">
        <v>37</v>
      </c>
    </row>
    <row r="6086" hidden="1">
      <c r="A6086" s="1" t="s">
        <v>16778</v>
      </c>
      <c r="B6086" s="1" t="s">
        <v>16779</v>
      </c>
      <c r="C6086" s="1" t="s">
        <v>16780</v>
      </c>
      <c r="D6086" s="1" t="s">
        <v>27</v>
      </c>
      <c r="E6086" s="1" t="s">
        <v>28</v>
      </c>
      <c r="F6086" s="2">
        <v>1500.0</v>
      </c>
      <c r="G6086" s="1" t="s">
        <v>185</v>
      </c>
      <c r="H6086" s="4">
        <f>IFERROR(__xludf.DUMMYFUNCTION("DATE(INDEX(SPLIT(G6086,""/""),,3),INDEX(SPLIT(G6086,""/""),,2),INDEX(SPLIT(G6086,""/""),,1))"),44741.0)</f>
        <v>44741</v>
      </c>
      <c r="I6086" s="1" t="s">
        <v>1097</v>
      </c>
      <c r="J6086" s="4">
        <f>IFERROR(__xludf.DUMMYFUNCTION("DATE(INDEX(SPLIT(I6086,""/""),,3),INDEX(SPLIT(I6086,""/""),,2),INDEX(SPLIT(I6086,""/""),,1))"),45107.0)</f>
        <v>45107</v>
      </c>
      <c r="L6086" s="1">
        <v>0.0</v>
      </c>
      <c r="M6086" s="1" t="s">
        <v>12039</v>
      </c>
      <c r="N6086" s="1"/>
      <c r="O6086" s="1" t="s">
        <v>30</v>
      </c>
      <c r="P6086" s="1" t="s">
        <v>31</v>
      </c>
      <c r="Q6086" s="1" t="s">
        <v>228</v>
      </c>
      <c r="R6086" s="1" t="s">
        <v>228</v>
      </c>
      <c r="S6086" s="1" t="s">
        <v>229</v>
      </c>
      <c r="T6086" s="1" t="s">
        <v>513</v>
      </c>
      <c r="U6086" s="1">
        <v>1.00612509E8</v>
      </c>
      <c r="X6086" s="1" t="s">
        <v>74</v>
      </c>
      <c r="Y6086" s="1" t="s">
        <v>13944</v>
      </c>
      <c r="Z6086" s="1" t="s">
        <v>37</v>
      </c>
    </row>
    <row r="6087" hidden="1">
      <c r="A6087" s="1" t="s">
        <v>16781</v>
      </c>
      <c r="B6087" s="1" t="s">
        <v>16782</v>
      </c>
      <c r="C6087" s="1" t="s">
        <v>16783</v>
      </c>
      <c r="D6087" s="1" t="s">
        <v>27</v>
      </c>
      <c r="E6087" s="1" t="s">
        <v>28</v>
      </c>
      <c r="F6087" s="2">
        <v>1500.0</v>
      </c>
      <c r="G6087" s="1" t="s">
        <v>359</v>
      </c>
      <c r="H6087" s="4">
        <f>IFERROR(__xludf.DUMMYFUNCTION("DATE(INDEX(SPLIT(G6087,""/""),,3),INDEX(SPLIT(G6087,""/""),,2),INDEX(SPLIT(G6087,""/""),,1))"),44740.0)</f>
        <v>44740</v>
      </c>
      <c r="I6087" s="1" t="s">
        <v>1097</v>
      </c>
      <c r="J6087" s="4">
        <f>IFERROR(__xludf.DUMMYFUNCTION("DATE(INDEX(SPLIT(I6087,""/""),,3),INDEX(SPLIT(I6087,""/""),,2),INDEX(SPLIT(I6087,""/""),,1))"),45107.0)</f>
        <v>45107</v>
      </c>
      <c r="L6087" s="1">
        <v>0.0</v>
      </c>
      <c r="M6087" s="1" t="s">
        <v>12039</v>
      </c>
      <c r="N6087" s="1"/>
      <c r="O6087" s="1" t="s">
        <v>30</v>
      </c>
      <c r="P6087" s="1" t="s">
        <v>31</v>
      </c>
      <c r="Q6087" s="1" t="s">
        <v>228</v>
      </c>
      <c r="R6087" s="1" t="s">
        <v>228</v>
      </c>
      <c r="S6087" s="1" t="s">
        <v>229</v>
      </c>
      <c r="U6087" s="1">
        <v>1.00612509E8</v>
      </c>
      <c r="X6087" s="1" t="s">
        <v>74</v>
      </c>
      <c r="Y6087" s="1" t="s">
        <v>13944</v>
      </c>
      <c r="Z6087" s="1" t="s">
        <v>37</v>
      </c>
    </row>
    <row r="6088" hidden="1">
      <c r="A6088" s="1" t="s">
        <v>16784</v>
      </c>
      <c r="B6088" s="1" t="s">
        <v>658</v>
      </c>
      <c r="C6088" s="1" t="s">
        <v>16785</v>
      </c>
      <c r="D6088" s="1" t="s">
        <v>27</v>
      </c>
      <c r="E6088" s="1" t="s">
        <v>28</v>
      </c>
      <c r="F6088" s="2">
        <v>1500.0</v>
      </c>
      <c r="G6088" s="1" t="s">
        <v>359</v>
      </c>
      <c r="H6088" s="4">
        <f>IFERROR(__xludf.DUMMYFUNCTION("DATE(INDEX(SPLIT(G6088,""/""),,3),INDEX(SPLIT(G6088,""/""),,2),INDEX(SPLIT(G6088,""/""),,1))"),44740.0)</f>
        <v>44740</v>
      </c>
      <c r="I6088" s="1" t="s">
        <v>1097</v>
      </c>
      <c r="J6088" s="4">
        <f>IFERROR(__xludf.DUMMYFUNCTION("DATE(INDEX(SPLIT(I6088,""/""),,3),INDEX(SPLIT(I6088,""/""),,2),INDEX(SPLIT(I6088,""/""),,1))"),45107.0)</f>
        <v>45107</v>
      </c>
      <c r="L6088" s="1">
        <v>0.0</v>
      </c>
      <c r="M6088" s="1" t="s">
        <v>11254</v>
      </c>
      <c r="N6088" s="1"/>
      <c r="O6088" s="1" t="s">
        <v>30</v>
      </c>
      <c r="P6088" s="1" t="s">
        <v>31</v>
      </c>
      <c r="Q6088" s="1" t="s">
        <v>228</v>
      </c>
      <c r="R6088" s="1" t="s">
        <v>228</v>
      </c>
      <c r="S6088" s="1" t="s">
        <v>229</v>
      </c>
      <c r="T6088" s="1" t="s">
        <v>15694</v>
      </c>
      <c r="U6088" s="1">
        <v>1.00602248E8</v>
      </c>
      <c r="X6088" s="1" t="s">
        <v>98</v>
      </c>
      <c r="Y6088" s="1" t="s">
        <v>13944</v>
      </c>
      <c r="Z6088" s="1" t="s">
        <v>37</v>
      </c>
    </row>
    <row r="6089" hidden="1">
      <c r="A6089" s="1" t="s">
        <v>16786</v>
      </c>
      <c r="B6089" s="1" t="s">
        <v>16787</v>
      </c>
      <c r="C6089" s="1" t="s">
        <v>16788</v>
      </c>
      <c r="D6089" s="1" t="s">
        <v>27</v>
      </c>
      <c r="E6089" s="1" t="s">
        <v>28</v>
      </c>
      <c r="F6089" s="2">
        <v>1325.03</v>
      </c>
      <c r="G6089" s="1" t="s">
        <v>14886</v>
      </c>
      <c r="H6089" s="4">
        <f>IFERROR(__xludf.DUMMYFUNCTION("DATE(INDEX(SPLIT(G6089,""/""),,3),INDEX(SPLIT(G6089,""/""),,2),INDEX(SPLIT(G6089,""/""),,1))"),44058.0)</f>
        <v>44058</v>
      </c>
      <c r="I6089" s="1" t="s">
        <v>42</v>
      </c>
      <c r="J6089" s="4">
        <f>IFERROR(__xludf.DUMMYFUNCTION("DATE(INDEX(SPLIT(I6089,""/""),,3),INDEX(SPLIT(I6089,""/""),,2),INDEX(SPLIT(I6089,""/""),,1))"),44926.0)</f>
        <v>44926</v>
      </c>
      <c r="L6089" s="1">
        <v>0.0</v>
      </c>
      <c r="M6089" s="1" t="s">
        <v>12039</v>
      </c>
      <c r="N6089" s="1"/>
      <c r="O6089" s="1" t="s">
        <v>30</v>
      </c>
      <c r="P6089" s="1" t="s">
        <v>31</v>
      </c>
      <c r="Q6089" s="1" t="s">
        <v>228</v>
      </c>
      <c r="R6089" s="1" t="s">
        <v>228</v>
      </c>
      <c r="S6089" s="1" t="s">
        <v>229</v>
      </c>
      <c r="T6089" s="1" t="s">
        <v>513</v>
      </c>
      <c r="U6089" s="1">
        <v>1.00612509E8</v>
      </c>
      <c r="X6089" s="1" t="s">
        <v>74</v>
      </c>
      <c r="Y6089" s="1" t="s">
        <v>13638</v>
      </c>
      <c r="Z6089" s="1" t="s">
        <v>37</v>
      </c>
    </row>
    <row r="6090" hidden="1">
      <c r="A6090" s="1" t="s">
        <v>16789</v>
      </c>
      <c r="B6090" s="1" t="s">
        <v>16790</v>
      </c>
      <c r="C6090" s="1" t="s">
        <v>16791</v>
      </c>
      <c r="D6090" s="1" t="s">
        <v>27</v>
      </c>
      <c r="E6090" s="1" t="s">
        <v>28</v>
      </c>
      <c r="F6090" s="2">
        <v>1250.0</v>
      </c>
      <c r="G6090" s="4">
        <v>44568.0</v>
      </c>
      <c r="H6090" s="4">
        <f>IFERROR(__xludf.DUMMYFUNCTION("DATE(INDEX(SPLIT(G6090,""/""),,3),INDEX(SPLIT(G6090,""/""),,2),INDEX(SPLIT(G6090,""/""),,1))"),44743.0)</f>
        <v>44743</v>
      </c>
      <c r="I6090" s="1" t="s">
        <v>1097</v>
      </c>
      <c r="J6090" s="4">
        <f>IFERROR(__xludf.DUMMYFUNCTION("DATE(INDEX(SPLIT(I6090,""/""),,3),INDEX(SPLIT(I6090,""/""),,2),INDEX(SPLIT(I6090,""/""),,1))"),45107.0)</f>
        <v>45107</v>
      </c>
      <c r="L6090" s="1">
        <v>0.0</v>
      </c>
      <c r="M6090" s="1" t="s">
        <v>12039</v>
      </c>
      <c r="N6090" s="1"/>
      <c r="O6090" s="1" t="s">
        <v>30</v>
      </c>
      <c r="P6090" s="1" t="s">
        <v>31</v>
      </c>
      <c r="Q6090" s="1" t="s">
        <v>228</v>
      </c>
      <c r="R6090" s="1" t="s">
        <v>228</v>
      </c>
      <c r="S6090" s="1" t="s">
        <v>229</v>
      </c>
      <c r="T6090" s="1" t="s">
        <v>513</v>
      </c>
      <c r="U6090" s="1">
        <v>1.00612509E8</v>
      </c>
      <c r="X6090" s="1" t="s">
        <v>74</v>
      </c>
      <c r="Y6090" s="1" t="s">
        <v>12640</v>
      </c>
      <c r="Z6090" s="1" t="s">
        <v>37</v>
      </c>
    </row>
    <row r="6091" hidden="1">
      <c r="A6091" s="1" t="s">
        <v>16792</v>
      </c>
      <c r="B6091" s="1" t="s">
        <v>16319</v>
      </c>
      <c r="C6091" s="1" t="s">
        <v>16793</v>
      </c>
      <c r="D6091" s="1" t="s">
        <v>27</v>
      </c>
      <c r="E6091" s="1" t="s">
        <v>28</v>
      </c>
      <c r="F6091" s="2">
        <v>1000.0</v>
      </c>
      <c r="G6091" s="4">
        <v>44202.0</v>
      </c>
      <c r="H6091" s="4">
        <f>IFERROR(__xludf.DUMMYFUNCTION("DATE(INDEX(SPLIT(G6091,""/""),,3),INDEX(SPLIT(G6091,""/""),,2),INDEX(SPLIT(G6091,""/""),,1))"),44348.0)</f>
        <v>44348</v>
      </c>
      <c r="I6091" s="4">
        <v>44661.0</v>
      </c>
      <c r="J6091" s="4">
        <f>IFERROR(__xludf.DUMMYFUNCTION("DATE(INDEX(SPLIT(I6091,""/""),,3),INDEX(SPLIT(I6091,""/""),,2),INDEX(SPLIT(I6091,""/""),,1))"),44838.0)</f>
        <v>44838</v>
      </c>
      <c r="L6091" s="1">
        <v>0.0</v>
      </c>
      <c r="M6091" s="1" t="s">
        <v>770</v>
      </c>
      <c r="N6091" s="1"/>
      <c r="O6091" s="1" t="s">
        <v>30</v>
      </c>
      <c r="P6091" s="1" t="s">
        <v>31</v>
      </c>
      <c r="Q6091" s="1" t="s">
        <v>157</v>
      </c>
      <c r="R6091" s="1" t="s">
        <v>157</v>
      </c>
      <c r="S6091" s="1" t="s">
        <v>158</v>
      </c>
      <c r="T6091" s="1" t="s">
        <v>442</v>
      </c>
      <c r="U6091" s="1">
        <v>1.00623421E8</v>
      </c>
      <c r="X6091" s="1" t="s">
        <v>125</v>
      </c>
      <c r="Y6091" s="1" t="s">
        <v>3676</v>
      </c>
      <c r="Z6091" s="1" t="s">
        <v>37</v>
      </c>
    </row>
    <row r="6092" hidden="1">
      <c r="A6092" s="1" t="s">
        <v>16794</v>
      </c>
      <c r="B6092" s="1" t="s">
        <v>16795</v>
      </c>
      <c r="C6092" s="1" t="s">
        <v>16796</v>
      </c>
      <c r="D6092" s="1" t="s">
        <v>27</v>
      </c>
      <c r="E6092" s="1" t="s">
        <v>28</v>
      </c>
      <c r="F6092" s="2">
        <v>1000.0</v>
      </c>
      <c r="G6092" s="4">
        <v>44202.0</v>
      </c>
      <c r="H6092" s="4">
        <f>IFERROR(__xludf.DUMMYFUNCTION("DATE(INDEX(SPLIT(G6092,""/""),,3),INDEX(SPLIT(G6092,""/""),,2),INDEX(SPLIT(G6092,""/""),,1))"),44348.0)</f>
        <v>44348</v>
      </c>
      <c r="I6092" s="4">
        <v>44661.0</v>
      </c>
      <c r="J6092" s="4">
        <f>IFERROR(__xludf.DUMMYFUNCTION("DATE(INDEX(SPLIT(I6092,""/""),,3),INDEX(SPLIT(I6092,""/""),,2),INDEX(SPLIT(I6092,""/""),,1))"),44838.0)</f>
        <v>44838</v>
      </c>
      <c r="L6092" s="1">
        <v>0.0</v>
      </c>
      <c r="M6092" s="1" t="s">
        <v>770</v>
      </c>
      <c r="N6092" s="1"/>
      <c r="O6092" s="1" t="s">
        <v>30</v>
      </c>
      <c r="P6092" s="1" t="s">
        <v>31</v>
      </c>
      <c r="Q6092" s="1" t="s">
        <v>157</v>
      </c>
      <c r="R6092" s="1" t="s">
        <v>157</v>
      </c>
      <c r="S6092" s="1" t="s">
        <v>158</v>
      </c>
      <c r="T6092" s="1" t="s">
        <v>442</v>
      </c>
      <c r="U6092" s="1">
        <v>1.00623421E8</v>
      </c>
      <c r="X6092" s="1" t="s">
        <v>125</v>
      </c>
      <c r="Y6092" s="1" t="s">
        <v>3676</v>
      </c>
      <c r="Z6092" s="1" t="s">
        <v>37</v>
      </c>
    </row>
    <row r="6093">
      <c r="A6093" s="1" t="s">
        <v>16797</v>
      </c>
      <c r="B6093" s="1" t="s">
        <v>1966</v>
      </c>
      <c r="C6093" s="1" t="s">
        <v>16798</v>
      </c>
      <c r="D6093" s="1" t="s">
        <v>27</v>
      </c>
      <c r="E6093" s="1" t="s">
        <v>28</v>
      </c>
      <c r="F6093" s="2">
        <v>1000.0</v>
      </c>
      <c r="G6093" s="4">
        <v>44202.0</v>
      </c>
      <c r="H6093" s="4">
        <f>IFERROR(__xludf.DUMMYFUNCTION("DATE(INDEX(SPLIT(G6093,""/""),,3),INDEX(SPLIT(G6093,""/""),,2),INDEX(SPLIT(G6093,""/""),,1))"),44348.0)</f>
        <v>44348</v>
      </c>
      <c r="I6093" s="1" t="s">
        <v>233</v>
      </c>
      <c r="J6093" s="4">
        <f>IFERROR(__xludf.DUMMYFUNCTION("DATE(INDEX(SPLIT(I6093,""/""),,3),INDEX(SPLIT(I6093,""/""),,2),INDEX(SPLIT(I6093,""/""),,1))"),44729.0)</f>
        <v>44729</v>
      </c>
      <c r="L6093" s="1">
        <v>0.0</v>
      </c>
      <c r="M6093" s="1" t="s">
        <v>846</v>
      </c>
      <c r="N6093" s="1"/>
      <c r="O6093" s="1" t="s">
        <v>30</v>
      </c>
      <c r="P6093" s="1" t="s">
        <v>31</v>
      </c>
      <c r="Q6093" s="1" t="s">
        <v>157</v>
      </c>
      <c r="R6093" s="1" t="s">
        <v>157</v>
      </c>
      <c r="S6093" s="1" t="s">
        <v>158</v>
      </c>
      <c r="T6093" s="1" t="s">
        <v>442</v>
      </c>
      <c r="U6093" s="1">
        <v>1.00584422E8</v>
      </c>
      <c r="X6093" s="1" t="s">
        <v>125</v>
      </c>
      <c r="Y6093" s="1" t="s">
        <v>3676</v>
      </c>
      <c r="Z6093" s="1" t="s">
        <v>37</v>
      </c>
    </row>
    <row r="6094" hidden="1">
      <c r="A6094" s="1" t="s">
        <v>16799</v>
      </c>
      <c r="B6094" s="1" t="s">
        <v>16800</v>
      </c>
      <c r="C6094" s="1" t="s">
        <v>16801</v>
      </c>
      <c r="D6094" s="1" t="s">
        <v>27</v>
      </c>
      <c r="E6094" s="1" t="s">
        <v>28</v>
      </c>
      <c r="F6094" s="2">
        <v>1000.0</v>
      </c>
      <c r="G6094" s="4">
        <v>44202.0</v>
      </c>
      <c r="H6094" s="4">
        <f>IFERROR(__xludf.DUMMYFUNCTION("DATE(INDEX(SPLIT(G6094,""/""),,3),INDEX(SPLIT(G6094,""/""),,2),INDEX(SPLIT(G6094,""/""),,1))"),44348.0)</f>
        <v>44348</v>
      </c>
      <c r="I6094" s="4">
        <v>44661.0</v>
      </c>
      <c r="J6094" s="4">
        <f>IFERROR(__xludf.DUMMYFUNCTION("DATE(INDEX(SPLIT(I6094,""/""),,3),INDEX(SPLIT(I6094,""/""),,2),INDEX(SPLIT(I6094,""/""),,1))"),44838.0)</f>
        <v>44838</v>
      </c>
      <c r="L6094" s="1">
        <v>0.0</v>
      </c>
      <c r="M6094" s="1" t="s">
        <v>770</v>
      </c>
      <c r="N6094" s="1"/>
      <c r="O6094" s="1" t="s">
        <v>30</v>
      </c>
      <c r="P6094" s="1" t="s">
        <v>31</v>
      </c>
      <c r="Q6094" s="1" t="s">
        <v>157</v>
      </c>
      <c r="R6094" s="1" t="s">
        <v>157</v>
      </c>
      <c r="S6094" s="1" t="s">
        <v>158</v>
      </c>
      <c r="T6094" s="1" t="s">
        <v>442</v>
      </c>
      <c r="U6094" s="1">
        <v>1.00623421E8</v>
      </c>
      <c r="X6094" s="1" t="s">
        <v>125</v>
      </c>
      <c r="Y6094" s="1" t="s">
        <v>3676</v>
      </c>
      <c r="Z6094" s="1" t="s">
        <v>37</v>
      </c>
    </row>
    <row r="6095">
      <c r="A6095" s="1" t="s">
        <v>16802</v>
      </c>
      <c r="B6095" s="1" t="s">
        <v>13282</v>
      </c>
      <c r="C6095" s="1" t="s">
        <v>16803</v>
      </c>
      <c r="D6095" s="1" t="s">
        <v>27</v>
      </c>
      <c r="E6095" s="1" t="s">
        <v>28</v>
      </c>
      <c r="F6095" s="2">
        <v>1000.0</v>
      </c>
      <c r="G6095" s="4">
        <v>44202.0</v>
      </c>
      <c r="H6095" s="4">
        <f>IFERROR(__xludf.DUMMYFUNCTION("DATE(INDEX(SPLIT(G6095,""/""),,3),INDEX(SPLIT(G6095,""/""),,2),INDEX(SPLIT(G6095,""/""),,1))"),44348.0)</f>
        <v>44348</v>
      </c>
      <c r="I6095" s="4">
        <v>44840.0</v>
      </c>
      <c r="J6095" s="4">
        <f>IFERROR(__xludf.DUMMYFUNCTION("DATE(INDEX(SPLIT(I6095,""/""),,3),INDEX(SPLIT(I6095,""/""),,2),INDEX(SPLIT(I6095,""/""),,1))"),44722.0)</f>
        <v>44722</v>
      </c>
      <c r="L6095" s="1">
        <v>0.0</v>
      </c>
      <c r="M6095" s="1" t="s">
        <v>2039</v>
      </c>
      <c r="N6095" s="1"/>
      <c r="O6095" s="1" t="s">
        <v>30</v>
      </c>
      <c r="P6095" s="1" t="s">
        <v>31</v>
      </c>
      <c r="Q6095" s="1" t="s">
        <v>157</v>
      </c>
      <c r="R6095" s="1" t="s">
        <v>157</v>
      </c>
      <c r="S6095" s="1" t="s">
        <v>158</v>
      </c>
      <c r="T6095" s="1" t="s">
        <v>442</v>
      </c>
      <c r="U6095" s="1">
        <v>1.00656722E8</v>
      </c>
      <c r="X6095" s="1" t="s">
        <v>98</v>
      </c>
      <c r="Y6095" s="1" t="s">
        <v>3676</v>
      </c>
      <c r="Z6095" s="1" t="s">
        <v>37</v>
      </c>
    </row>
    <row r="6096">
      <c r="A6096" s="1" t="s">
        <v>16804</v>
      </c>
      <c r="B6096" s="1" t="s">
        <v>1144</v>
      </c>
      <c r="C6096" s="1" t="s">
        <v>16805</v>
      </c>
      <c r="D6096" s="1" t="s">
        <v>27</v>
      </c>
      <c r="E6096" s="1" t="s">
        <v>28</v>
      </c>
      <c r="F6096" s="2">
        <v>1000.0</v>
      </c>
      <c r="G6096" s="4">
        <v>44208.0</v>
      </c>
      <c r="H6096" s="4">
        <f>IFERROR(__xludf.DUMMYFUNCTION("DATE(INDEX(SPLIT(G6096,""/""),,3),INDEX(SPLIT(G6096,""/""),,2),INDEX(SPLIT(G6096,""/""),,1))"),44531.0)</f>
        <v>44531</v>
      </c>
      <c r="I6096" s="1" t="s">
        <v>108</v>
      </c>
      <c r="J6096" s="4">
        <f>IFERROR(__xludf.DUMMYFUNCTION("DATE(INDEX(SPLIT(I6096,""/""),,3),INDEX(SPLIT(I6096,""/""),,2),INDEX(SPLIT(I6096,""/""),,1))"),44725.0)</f>
        <v>44725</v>
      </c>
      <c r="L6096" s="1">
        <v>0.0</v>
      </c>
      <c r="M6096" s="1" t="s">
        <v>1146</v>
      </c>
      <c r="N6096" s="1"/>
      <c r="O6096" s="1" t="s">
        <v>30</v>
      </c>
      <c r="P6096" s="1" t="s">
        <v>31</v>
      </c>
      <c r="Q6096" s="1" t="s">
        <v>228</v>
      </c>
      <c r="R6096" s="1" t="s">
        <v>228</v>
      </c>
      <c r="S6096" s="1" t="s">
        <v>229</v>
      </c>
      <c r="T6096" s="1" t="s">
        <v>505</v>
      </c>
      <c r="U6096" s="1">
        <v>1.0061139E8</v>
      </c>
      <c r="X6096" s="1" t="s">
        <v>63</v>
      </c>
      <c r="Y6096" s="1" t="s">
        <v>1976</v>
      </c>
      <c r="Z6096" s="1" t="s">
        <v>37</v>
      </c>
    </row>
    <row r="6097" hidden="1">
      <c r="A6097" s="1" t="s">
        <v>16806</v>
      </c>
      <c r="B6097" s="1" t="s">
        <v>16710</v>
      </c>
      <c r="C6097" s="1" t="s">
        <v>16807</v>
      </c>
      <c r="D6097" s="1" t="s">
        <v>27</v>
      </c>
      <c r="E6097" s="1" t="s">
        <v>28</v>
      </c>
      <c r="F6097" s="2">
        <v>675.0</v>
      </c>
      <c r="G6097" s="1" t="s">
        <v>14886</v>
      </c>
      <c r="H6097" s="4">
        <f>IFERROR(__xludf.DUMMYFUNCTION("DATE(INDEX(SPLIT(G6097,""/""),,3),INDEX(SPLIT(G6097,""/""),,2),INDEX(SPLIT(G6097,""/""),,1))"),44058.0)</f>
        <v>44058</v>
      </c>
      <c r="I6097" s="1" t="s">
        <v>42</v>
      </c>
      <c r="J6097" s="4">
        <f>IFERROR(__xludf.DUMMYFUNCTION("DATE(INDEX(SPLIT(I6097,""/""),,3),INDEX(SPLIT(I6097,""/""),,2),INDEX(SPLIT(I6097,""/""),,1))"),44926.0)</f>
        <v>44926</v>
      </c>
      <c r="L6097" s="1">
        <v>0.0</v>
      </c>
      <c r="M6097" s="1" t="s">
        <v>12039</v>
      </c>
      <c r="N6097" s="1"/>
      <c r="O6097" s="1" t="s">
        <v>30</v>
      </c>
      <c r="P6097" s="1" t="s">
        <v>31</v>
      </c>
      <c r="Q6097" s="1" t="s">
        <v>228</v>
      </c>
      <c r="R6097" s="1" t="s">
        <v>228</v>
      </c>
      <c r="S6097" s="1" t="s">
        <v>229</v>
      </c>
      <c r="T6097" s="1" t="s">
        <v>513</v>
      </c>
      <c r="U6097" s="1">
        <v>1.00612509E8</v>
      </c>
      <c r="X6097" s="1" t="s">
        <v>74</v>
      </c>
      <c r="Y6097" s="1" t="s">
        <v>13638</v>
      </c>
      <c r="Z6097" s="1" t="s">
        <v>37</v>
      </c>
    </row>
    <row r="6098" hidden="1">
      <c r="A6098" s="1" t="s">
        <v>16808</v>
      </c>
      <c r="B6098" s="1" t="s">
        <v>16809</v>
      </c>
      <c r="C6098" s="1" t="s">
        <v>16810</v>
      </c>
      <c r="D6098" s="1" t="s">
        <v>27</v>
      </c>
      <c r="E6098" s="1" t="s">
        <v>28</v>
      </c>
      <c r="F6098" s="2">
        <v>675.0</v>
      </c>
      <c r="G6098" s="1" t="s">
        <v>14886</v>
      </c>
      <c r="H6098" s="4">
        <f>IFERROR(__xludf.DUMMYFUNCTION("DATE(INDEX(SPLIT(G6098,""/""),,3),INDEX(SPLIT(G6098,""/""),,2),INDEX(SPLIT(G6098,""/""),,1))"),44058.0)</f>
        <v>44058</v>
      </c>
      <c r="I6098" s="1" t="s">
        <v>42</v>
      </c>
      <c r="J6098" s="4">
        <f>IFERROR(__xludf.DUMMYFUNCTION("DATE(INDEX(SPLIT(I6098,""/""),,3),INDEX(SPLIT(I6098,""/""),,2),INDEX(SPLIT(I6098,""/""),,1))"),44926.0)</f>
        <v>44926</v>
      </c>
      <c r="L6098" s="1">
        <v>0.0</v>
      </c>
      <c r="M6098" s="1" t="s">
        <v>12039</v>
      </c>
      <c r="N6098" s="1"/>
      <c r="O6098" s="1" t="s">
        <v>30</v>
      </c>
      <c r="P6098" s="1" t="s">
        <v>31</v>
      </c>
      <c r="Q6098" s="1" t="s">
        <v>228</v>
      </c>
      <c r="R6098" s="1" t="s">
        <v>228</v>
      </c>
      <c r="S6098" s="1" t="s">
        <v>229</v>
      </c>
      <c r="T6098" s="1" t="s">
        <v>513</v>
      </c>
      <c r="U6098" s="1">
        <v>1.00612509E8</v>
      </c>
      <c r="X6098" s="1" t="s">
        <v>74</v>
      </c>
      <c r="Y6098" s="1" t="s">
        <v>13638</v>
      </c>
      <c r="Z6098" s="1" t="s">
        <v>37</v>
      </c>
    </row>
    <row r="6099" hidden="1">
      <c r="A6099" s="1" t="s">
        <v>16811</v>
      </c>
      <c r="B6099" s="1" t="s">
        <v>16812</v>
      </c>
      <c r="C6099" s="1" t="s">
        <v>16813</v>
      </c>
      <c r="D6099" s="1" t="s">
        <v>27</v>
      </c>
      <c r="E6099" s="1" t="s">
        <v>28</v>
      </c>
      <c r="F6099" s="2">
        <v>650.84</v>
      </c>
      <c r="G6099" s="1" t="s">
        <v>14886</v>
      </c>
      <c r="H6099" s="4">
        <f>IFERROR(__xludf.DUMMYFUNCTION("DATE(INDEX(SPLIT(G6099,""/""),,3),INDEX(SPLIT(G6099,""/""),,2),INDEX(SPLIT(G6099,""/""),,1))"),44058.0)</f>
        <v>44058</v>
      </c>
      <c r="I6099" s="1" t="s">
        <v>42</v>
      </c>
      <c r="J6099" s="4">
        <f>IFERROR(__xludf.DUMMYFUNCTION("DATE(INDEX(SPLIT(I6099,""/""),,3),INDEX(SPLIT(I6099,""/""),,2),INDEX(SPLIT(I6099,""/""),,1))"),44926.0)</f>
        <v>44926</v>
      </c>
      <c r="L6099" s="1">
        <v>0.0</v>
      </c>
      <c r="M6099" s="1" t="s">
        <v>12039</v>
      </c>
      <c r="N6099" s="1"/>
      <c r="O6099" s="1" t="s">
        <v>30</v>
      </c>
      <c r="P6099" s="1" t="s">
        <v>31</v>
      </c>
      <c r="Q6099" s="1" t="s">
        <v>228</v>
      </c>
      <c r="R6099" s="1" t="s">
        <v>228</v>
      </c>
      <c r="S6099" s="1" t="s">
        <v>229</v>
      </c>
      <c r="T6099" s="1" t="s">
        <v>513</v>
      </c>
      <c r="U6099" s="1">
        <v>1.00612509E8</v>
      </c>
      <c r="X6099" s="1" t="s">
        <v>74</v>
      </c>
      <c r="Y6099" s="1" t="s">
        <v>13638</v>
      </c>
      <c r="Z6099" s="1" t="s">
        <v>37</v>
      </c>
    </row>
    <row r="6100" hidden="1">
      <c r="A6100" s="1" t="s">
        <v>16814</v>
      </c>
      <c r="B6100" s="1" t="s">
        <v>16815</v>
      </c>
      <c r="C6100" s="1" t="s">
        <v>16816</v>
      </c>
      <c r="D6100" s="1" t="s">
        <v>27</v>
      </c>
      <c r="E6100" s="1" t="s">
        <v>28</v>
      </c>
      <c r="F6100" s="2">
        <v>573.75</v>
      </c>
      <c r="G6100" s="1" t="s">
        <v>5872</v>
      </c>
      <c r="H6100" s="4">
        <f>IFERROR(__xludf.DUMMYFUNCTION("DATE(INDEX(SPLIT(G6100,""/""),,3),INDEX(SPLIT(G6100,""/""),,2),INDEX(SPLIT(G6100,""/""),,1))"),44057.0)</f>
        <v>44057</v>
      </c>
      <c r="I6100" s="1" t="s">
        <v>42</v>
      </c>
      <c r="J6100" s="4">
        <f>IFERROR(__xludf.DUMMYFUNCTION("DATE(INDEX(SPLIT(I6100,""/""),,3),INDEX(SPLIT(I6100,""/""),,2),INDEX(SPLIT(I6100,""/""),,1))"),44926.0)</f>
        <v>44926</v>
      </c>
      <c r="L6100" s="1">
        <v>0.0</v>
      </c>
      <c r="M6100" s="1" t="s">
        <v>12039</v>
      </c>
      <c r="N6100" s="1"/>
      <c r="O6100" s="1" t="s">
        <v>30</v>
      </c>
      <c r="P6100" s="1" t="s">
        <v>31</v>
      </c>
      <c r="Q6100" s="1" t="s">
        <v>228</v>
      </c>
      <c r="R6100" s="1" t="s">
        <v>228</v>
      </c>
      <c r="S6100" s="1" t="s">
        <v>229</v>
      </c>
      <c r="T6100" s="1" t="s">
        <v>513</v>
      </c>
      <c r="U6100" s="1">
        <v>1.00612509E8</v>
      </c>
      <c r="X6100" s="1" t="s">
        <v>74</v>
      </c>
      <c r="Y6100" s="1" t="s">
        <v>13638</v>
      </c>
      <c r="Z6100" s="1" t="s">
        <v>37</v>
      </c>
    </row>
    <row r="6101" hidden="1">
      <c r="A6101" s="1" t="s">
        <v>16817</v>
      </c>
      <c r="B6101" s="1" t="s">
        <v>16818</v>
      </c>
      <c r="C6101" s="1" t="s">
        <v>16819</v>
      </c>
      <c r="D6101" s="1" t="s">
        <v>27</v>
      </c>
      <c r="E6101" s="1" t="s">
        <v>28</v>
      </c>
      <c r="F6101" s="2">
        <v>573.75</v>
      </c>
      <c r="G6101" s="1" t="s">
        <v>14886</v>
      </c>
      <c r="H6101" s="4">
        <f>IFERROR(__xludf.DUMMYFUNCTION("DATE(INDEX(SPLIT(G6101,""/""),,3),INDEX(SPLIT(G6101,""/""),,2),INDEX(SPLIT(G6101,""/""),,1))"),44058.0)</f>
        <v>44058</v>
      </c>
      <c r="I6101" s="1" t="s">
        <v>42</v>
      </c>
      <c r="J6101" s="4">
        <f>IFERROR(__xludf.DUMMYFUNCTION("DATE(INDEX(SPLIT(I6101,""/""),,3),INDEX(SPLIT(I6101,""/""),,2),INDEX(SPLIT(I6101,""/""),,1))"),44926.0)</f>
        <v>44926</v>
      </c>
      <c r="L6101" s="1">
        <v>0.0</v>
      </c>
      <c r="M6101" s="1" t="s">
        <v>11254</v>
      </c>
      <c r="N6101" s="1"/>
      <c r="O6101" s="1" t="s">
        <v>30</v>
      </c>
      <c r="P6101" s="1" t="s">
        <v>31</v>
      </c>
      <c r="Q6101" s="1" t="s">
        <v>228</v>
      </c>
      <c r="R6101" s="1" t="s">
        <v>228</v>
      </c>
      <c r="S6101" s="1" t="s">
        <v>229</v>
      </c>
      <c r="T6101" s="1" t="s">
        <v>513</v>
      </c>
      <c r="U6101" s="1">
        <v>1.00602248E8</v>
      </c>
      <c r="X6101" s="1" t="s">
        <v>74</v>
      </c>
      <c r="Y6101" s="1" t="s">
        <v>12637</v>
      </c>
      <c r="Z6101" s="1" t="s">
        <v>37</v>
      </c>
    </row>
    <row r="6102" hidden="1">
      <c r="A6102" s="1" t="s">
        <v>16820</v>
      </c>
      <c r="B6102" s="1" t="s">
        <v>16821</v>
      </c>
      <c r="C6102" s="1" t="s">
        <v>16822</v>
      </c>
      <c r="D6102" s="1" t="s">
        <v>27</v>
      </c>
      <c r="E6102" s="1" t="s">
        <v>28</v>
      </c>
      <c r="F6102" s="2">
        <v>573.75</v>
      </c>
      <c r="G6102" s="1" t="s">
        <v>14886</v>
      </c>
      <c r="H6102" s="4">
        <f>IFERROR(__xludf.DUMMYFUNCTION("DATE(INDEX(SPLIT(G6102,""/""),,3),INDEX(SPLIT(G6102,""/""),,2),INDEX(SPLIT(G6102,""/""),,1))"),44058.0)</f>
        <v>44058</v>
      </c>
      <c r="I6102" s="1" t="s">
        <v>109</v>
      </c>
      <c r="J6102" s="4">
        <f>IFERROR(__xludf.DUMMYFUNCTION("DATE(INDEX(SPLIT(I6102,""/""),,3),INDEX(SPLIT(I6102,""/""),,2),INDEX(SPLIT(I6102,""/""),,1))"),44834.0)</f>
        <v>44834</v>
      </c>
      <c r="L6102" s="1">
        <v>0.0</v>
      </c>
      <c r="M6102" s="1" t="s">
        <v>11254</v>
      </c>
      <c r="N6102" s="1"/>
      <c r="O6102" s="1" t="s">
        <v>30</v>
      </c>
      <c r="P6102" s="1" t="s">
        <v>31</v>
      </c>
      <c r="Q6102" s="1" t="s">
        <v>228</v>
      </c>
      <c r="R6102" s="1" t="s">
        <v>228</v>
      </c>
      <c r="S6102" s="1" t="s">
        <v>229</v>
      </c>
      <c r="T6102" s="1" t="s">
        <v>513</v>
      </c>
      <c r="U6102" s="1">
        <v>1.00602248E8</v>
      </c>
      <c r="X6102" s="1" t="s">
        <v>74</v>
      </c>
      <c r="Y6102" s="1" t="s">
        <v>15486</v>
      </c>
      <c r="Z6102" s="1" t="s">
        <v>37</v>
      </c>
    </row>
    <row r="6103" hidden="1">
      <c r="A6103" s="1" t="s">
        <v>16823</v>
      </c>
      <c r="B6103" s="1" t="s">
        <v>16824</v>
      </c>
      <c r="C6103" s="1" t="s">
        <v>16825</v>
      </c>
      <c r="D6103" s="1" t="s">
        <v>78</v>
      </c>
      <c r="E6103" s="1" t="s">
        <v>28</v>
      </c>
      <c r="F6103" s="2">
        <v>200.0</v>
      </c>
      <c r="G6103" s="1" t="s">
        <v>934</v>
      </c>
      <c r="H6103" s="4">
        <f>IFERROR(__xludf.DUMMYFUNCTION("DATE(INDEX(SPLIT(G6103,""/""),,3),INDEX(SPLIT(G6103,""/""),,2),INDEX(SPLIT(G6103,""/""),,1))"),44681.0)</f>
        <v>44681</v>
      </c>
      <c r="I6103" s="1" t="s">
        <v>130</v>
      </c>
      <c r="J6103" s="4">
        <f>IFERROR(__xludf.DUMMYFUNCTION("DATE(INDEX(SPLIT(I6103,""/""),,3),INDEX(SPLIT(I6103,""/""),,2),INDEX(SPLIT(I6103,""/""),,1))"),44804.0)</f>
        <v>44804</v>
      </c>
      <c r="L6103" s="1">
        <v>0.0</v>
      </c>
      <c r="M6103" s="1" t="s">
        <v>5588</v>
      </c>
      <c r="N6103" s="1"/>
      <c r="O6103" s="1" t="s">
        <v>30</v>
      </c>
      <c r="P6103" s="1" t="s">
        <v>31</v>
      </c>
      <c r="Q6103" s="1" t="s">
        <v>1320</v>
      </c>
      <c r="R6103" s="1" t="s">
        <v>1320</v>
      </c>
      <c r="S6103" s="1" t="s">
        <v>54</v>
      </c>
      <c r="U6103" s="1">
        <v>1.00625588E8</v>
      </c>
      <c r="X6103" s="1" t="s">
        <v>46</v>
      </c>
      <c r="Y6103" s="1" t="s">
        <v>5589</v>
      </c>
      <c r="Z6103" s="1" t="s">
        <v>37</v>
      </c>
    </row>
    <row r="6104" hidden="1">
      <c r="A6104" s="1" t="s">
        <v>16826</v>
      </c>
      <c r="B6104" s="1" t="s">
        <v>16827</v>
      </c>
      <c r="C6104" s="1" t="s">
        <v>16828</v>
      </c>
      <c r="D6104" s="1" t="s">
        <v>27</v>
      </c>
      <c r="E6104" s="1" t="s">
        <v>28</v>
      </c>
      <c r="F6104" s="2">
        <v>100.0</v>
      </c>
      <c r="G6104" s="1" t="s">
        <v>1740</v>
      </c>
      <c r="H6104" s="4">
        <f>IFERROR(__xludf.DUMMYFUNCTION("DATE(INDEX(SPLIT(G6104,""/""),,3),INDEX(SPLIT(G6104,""/""),,2),INDEX(SPLIT(G6104,""/""),,1))"),44456.0)</f>
        <v>44456</v>
      </c>
      <c r="I6104" s="1" t="s">
        <v>10026</v>
      </c>
      <c r="J6104" s="4">
        <f>IFERROR(__xludf.DUMMYFUNCTION("DATE(INDEX(SPLIT(I6104,""/""),,3),INDEX(SPLIT(I6104,""/""),,2),INDEX(SPLIT(I6104,""/""),,1))"),44790.0)</f>
        <v>44790</v>
      </c>
      <c r="L6104" s="1">
        <v>0.0</v>
      </c>
      <c r="M6104" s="1" t="s">
        <v>577</v>
      </c>
      <c r="N6104" s="1"/>
      <c r="O6104" s="1" t="s">
        <v>30</v>
      </c>
      <c r="P6104" s="1" t="s">
        <v>31</v>
      </c>
      <c r="Q6104" s="1" t="s">
        <v>53</v>
      </c>
      <c r="R6104" s="1" t="s">
        <v>53</v>
      </c>
      <c r="S6104" s="1" t="s">
        <v>54</v>
      </c>
      <c r="U6104" s="1">
        <v>1.00579505E8</v>
      </c>
      <c r="X6104" s="1" t="s">
        <v>63</v>
      </c>
      <c r="Y6104" s="1" t="s">
        <v>2437</v>
      </c>
      <c r="Z6104" s="1" t="s">
        <v>37</v>
      </c>
    </row>
    <row r="6105" hidden="1">
      <c r="A6105" s="1" t="s">
        <v>16829</v>
      </c>
      <c r="B6105" s="1" t="s">
        <v>11610</v>
      </c>
      <c r="C6105" s="1" t="s">
        <v>16830</v>
      </c>
      <c r="D6105" s="1" t="s">
        <v>27</v>
      </c>
      <c r="E6105" s="1" t="s">
        <v>28</v>
      </c>
      <c r="F6105" s="2">
        <v>100.0</v>
      </c>
      <c r="G6105" s="1" t="s">
        <v>343</v>
      </c>
      <c r="H6105" s="4">
        <f>IFERROR(__xludf.DUMMYFUNCTION("DATE(INDEX(SPLIT(G6105,""/""),,3),INDEX(SPLIT(G6105,""/""),,2),INDEX(SPLIT(G6105,""/""),,1))"),44761.0)</f>
        <v>44761</v>
      </c>
      <c r="I6105" s="4">
        <v>44571.0</v>
      </c>
      <c r="J6105" s="4">
        <f>IFERROR(__xludf.DUMMYFUNCTION("DATE(INDEX(SPLIT(I6105,""/""),,3),INDEX(SPLIT(I6105,""/""),,2),INDEX(SPLIT(I6105,""/""),,1))"),44835.0)</f>
        <v>44835</v>
      </c>
      <c r="L6105" s="1">
        <v>0.0</v>
      </c>
      <c r="M6105" s="1" t="s">
        <v>936</v>
      </c>
      <c r="N6105" s="1"/>
      <c r="O6105" s="1" t="s">
        <v>30</v>
      </c>
      <c r="P6105" s="1" t="s">
        <v>31</v>
      </c>
      <c r="Q6105" s="1" t="s">
        <v>71</v>
      </c>
      <c r="R6105" s="1" t="s">
        <v>71</v>
      </c>
      <c r="S6105" s="1" t="s">
        <v>72</v>
      </c>
      <c r="U6105" s="1">
        <v>1.00941744E8</v>
      </c>
      <c r="X6105" s="1" t="s">
        <v>74</v>
      </c>
      <c r="Y6105" s="1" t="s">
        <v>2437</v>
      </c>
      <c r="Z6105" s="1" t="s">
        <v>37</v>
      </c>
    </row>
    <row r="6106" hidden="1">
      <c r="A6106" s="1" t="s">
        <v>16831</v>
      </c>
      <c r="B6106" s="1" t="s">
        <v>16832</v>
      </c>
      <c r="C6106" s="1" t="s">
        <v>16833</v>
      </c>
      <c r="D6106" s="1" t="s">
        <v>78</v>
      </c>
      <c r="E6106" s="1" t="s">
        <v>28</v>
      </c>
      <c r="F6106" s="2">
        <v>100.0</v>
      </c>
      <c r="G6106" s="1" t="s">
        <v>4294</v>
      </c>
      <c r="H6106" s="4">
        <f>IFERROR(__xludf.DUMMYFUNCTION("DATE(INDEX(SPLIT(G6106,""/""),,3),INDEX(SPLIT(G6106,""/""),,2),INDEX(SPLIT(G6106,""/""),,1))"),44133.0)</f>
        <v>44133</v>
      </c>
      <c r="I6106" s="4">
        <v>44573.0</v>
      </c>
      <c r="J6106" s="4">
        <f>IFERROR(__xludf.DUMMYFUNCTION("DATE(INDEX(SPLIT(I6106,""/""),,3),INDEX(SPLIT(I6106,""/""),,2),INDEX(SPLIT(I6106,""/""),,1))"),44896.0)</f>
        <v>44896</v>
      </c>
      <c r="L6106" s="1">
        <v>0.0</v>
      </c>
      <c r="M6106" s="1" t="s">
        <v>406</v>
      </c>
      <c r="N6106" s="1"/>
      <c r="O6106" s="1" t="s">
        <v>30</v>
      </c>
      <c r="P6106" s="1" t="s">
        <v>31</v>
      </c>
      <c r="Q6106" s="1" t="s">
        <v>32</v>
      </c>
      <c r="R6106" s="1" t="s">
        <v>32</v>
      </c>
      <c r="S6106" s="1" t="s">
        <v>33</v>
      </c>
      <c r="T6106" s="1" t="s">
        <v>402</v>
      </c>
      <c r="U6106" s="1">
        <v>1.00642129E8</v>
      </c>
      <c r="X6106" s="1" t="s">
        <v>190</v>
      </c>
      <c r="Y6106" s="1" t="s">
        <v>16834</v>
      </c>
      <c r="Z6106" s="1" t="s">
        <v>37</v>
      </c>
    </row>
    <row r="6107">
      <c r="A6107" s="1" t="s">
        <v>16835</v>
      </c>
      <c r="B6107" s="1" t="s">
        <v>25</v>
      </c>
      <c r="C6107" s="1" t="s">
        <v>16836</v>
      </c>
      <c r="D6107" s="1" t="s">
        <v>78</v>
      </c>
      <c r="E6107" s="1" t="s">
        <v>28</v>
      </c>
      <c r="F6107" s="2">
        <v>3.0</v>
      </c>
      <c r="G6107" s="1" t="s">
        <v>503</v>
      </c>
      <c r="H6107" s="4">
        <f>IFERROR(__xludf.DUMMYFUNCTION("DATE(INDEX(SPLIT(G6107,""/""),,3),INDEX(SPLIT(G6107,""/""),,2),INDEX(SPLIT(G6107,""/""),,1))"),44736.0)</f>
        <v>44736</v>
      </c>
      <c r="I6107" s="1" t="s">
        <v>226</v>
      </c>
      <c r="J6107" s="4">
        <f>IFERROR(__xludf.DUMMYFUNCTION("DATE(INDEX(SPLIT(I6107,""/""),,3),INDEX(SPLIT(I6107,""/""),,2),INDEX(SPLIT(I6107,""/""),,1))"),44771.0)</f>
        <v>44771</v>
      </c>
      <c r="L6107" s="1">
        <v>0.0</v>
      </c>
      <c r="M6107" s="1" t="s">
        <v>29</v>
      </c>
      <c r="N6107" s="1"/>
      <c r="O6107" s="1" t="s">
        <v>30</v>
      </c>
      <c r="P6107" s="1" t="s">
        <v>31</v>
      </c>
      <c r="Q6107" s="1" t="s">
        <v>32</v>
      </c>
      <c r="R6107" s="1" t="s">
        <v>32</v>
      </c>
      <c r="S6107" s="1" t="s">
        <v>33</v>
      </c>
      <c r="T6107" s="1" t="s">
        <v>34</v>
      </c>
      <c r="U6107" s="1">
        <v>1.00660652E8</v>
      </c>
      <c r="W6107" s="1" t="s">
        <v>56</v>
      </c>
      <c r="X6107" s="1" t="s">
        <v>35</v>
      </c>
      <c r="Y6107" s="1" t="s">
        <v>29</v>
      </c>
      <c r="Z6107" s="1" t="s">
        <v>37</v>
      </c>
    </row>
    <row r="6108" hidden="1">
      <c r="A6108" s="1" t="s">
        <v>16837</v>
      </c>
      <c r="B6108" s="1" t="s">
        <v>509</v>
      </c>
      <c r="C6108" s="1" t="s">
        <v>16838</v>
      </c>
      <c r="D6108" s="1" t="s">
        <v>27</v>
      </c>
      <c r="E6108" s="1" t="s">
        <v>28</v>
      </c>
      <c r="F6108" s="2">
        <v>2.0</v>
      </c>
      <c r="G6108" s="1" t="s">
        <v>3849</v>
      </c>
      <c r="H6108" s="4">
        <f>IFERROR(__xludf.DUMMYFUNCTION("DATE(INDEX(SPLIT(G6108,""/""),,3),INDEX(SPLIT(G6108,""/""),,2),INDEX(SPLIT(G6108,""/""),,1))"),44551.0)</f>
        <v>44551</v>
      </c>
      <c r="I6108" s="1" t="s">
        <v>42</v>
      </c>
      <c r="J6108" s="4">
        <f>IFERROR(__xludf.DUMMYFUNCTION("DATE(INDEX(SPLIT(I6108,""/""),,3),INDEX(SPLIT(I6108,""/""),,2),INDEX(SPLIT(I6108,""/""),,1))"),44926.0)</f>
        <v>44926</v>
      </c>
      <c r="L6108" s="1">
        <v>0.0</v>
      </c>
      <c r="M6108" s="1" t="s">
        <v>3990</v>
      </c>
      <c r="N6108" s="1"/>
      <c r="O6108" s="1" t="s">
        <v>30</v>
      </c>
      <c r="P6108" s="1" t="s">
        <v>31</v>
      </c>
      <c r="Q6108" s="1" t="s">
        <v>95</v>
      </c>
      <c r="R6108" s="1" t="s">
        <v>95</v>
      </c>
      <c r="S6108" s="1" t="s">
        <v>96</v>
      </c>
      <c r="U6108" s="1">
        <v>1.00618416E8</v>
      </c>
      <c r="X6108" s="1" t="s">
        <v>410</v>
      </c>
      <c r="Y6108" s="1" t="s">
        <v>3990</v>
      </c>
      <c r="Z6108" s="1" t="s">
        <v>527</v>
      </c>
    </row>
    <row r="6109" hidden="1">
      <c r="A6109" s="1" t="s">
        <v>16839</v>
      </c>
      <c r="B6109" s="1" t="s">
        <v>509</v>
      </c>
      <c r="C6109" s="1" t="s">
        <v>16840</v>
      </c>
      <c r="D6109" s="1" t="s">
        <v>27</v>
      </c>
      <c r="E6109" s="1" t="s">
        <v>28</v>
      </c>
      <c r="F6109" s="2">
        <v>2.0</v>
      </c>
      <c r="G6109" s="1" t="s">
        <v>3849</v>
      </c>
      <c r="H6109" s="4">
        <f>IFERROR(__xludf.DUMMYFUNCTION("DATE(INDEX(SPLIT(G6109,""/""),,3),INDEX(SPLIT(G6109,""/""),,2),INDEX(SPLIT(G6109,""/""),,1))"),44551.0)</f>
        <v>44551</v>
      </c>
      <c r="I6109" s="1" t="s">
        <v>42</v>
      </c>
      <c r="J6109" s="4">
        <f>IFERROR(__xludf.DUMMYFUNCTION("DATE(INDEX(SPLIT(I6109,""/""),,3),INDEX(SPLIT(I6109,""/""),,2),INDEX(SPLIT(I6109,""/""),,1))"),44926.0)</f>
        <v>44926</v>
      </c>
      <c r="L6109" s="1">
        <v>0.0</v>
      </c>
      <c r="M6109" s="1" t="s">
        <v>3990</v>
      </c>
      <c r="N6109" s="1"/>
      <c r="O6109" s="1" t="s">
        <v>30</v>
      </c>
      <c r="P6109" s="1" t="s">
        <v>31</v>
      </c>
      <c r="Q6109" s="1" t="s">
        <v>95</v>
      </c>
      <c r="R6109" s="1" t="s">
        <v>95</v>
      </c>
      <c r="S6109" s="1" t="s">
        <v>96</v>
      </c>
      <c r="U6109" s="1">
        <v>1.00618416E8</v>
      </c>
      <c r="X6109" s="1" t="s">
        <v>410</v>
      </c>
      <c r="Y6109" s="1" t="s">
        <v>3990</v>
      </c>
      <c r="Z6109" s="1" t="s">
        <v>527</v>
      </c>
    </row>
    <row r="6110" hidden="1">
      <c r="A6110" s="1" t="s">
        <v>16841</v>
      </c>
      <c r="B6110" s="1" t="s">
        <v>509</v>
      </c>
      <c r="C6110" s="1" t="s">
        <v>16842</v>
      </c>
      <c r="D6110" s="1" t="s">
        <v>27</v>
      </c>
      <c r="E6110" s="1" t="s">
        <v>28</v>
      </c>
      <c r="F6110" s="2">
        <v>2.0</v>
      </c>
      <c r="G6110" s="1" t="s">
        <v>3849</v>
      </c>
      <c r="H6110" s="4">
        <f>IFERROR(__xludf.DUMMYFUNCTION("DATE(INDEX(SPLIT(G6110,""/""),,3),INDEX(SPLIT(G6110,""/""),,2),INDEX(SPLIT(G6110,""/""),,1))"),44551.0)</f>
        <v>44551</v>
      </c>
      <c r="I6110" s="1" t="s">
        <v>42</v>
      </c>
      <c r="J6110" s="4">
        <f>IFERROR(__xludf.DUMMYFUNCTION("DATE(INDEX(SPLIT(I6110,""/""),,3),INDEX(SPLIT(I6110,""/""),,2),INDEX(SPLIT(I6110,""/""),,1))"),44926.0)</f>
        <v>44926</v>
      </c>
      <c r="L6110" s="1">
        <v>0.0</v>
      </c>
      <c r="M6110" s="1" t="s">
        <v>3990</v>
      </c>
      <c r="N6110" s="1"/>
      <c r="O6110" s="1" t="s">
        <v>30</v>
      </c>
      <c r="P6110" s="1" t="s">
        <v>31</v>
      </c>
      <c r="Q6110" s="1" t="s">
        <v>95</v>
      </c>
      <c r="R6110" s="1" t="s">
        <v>95</v>
      </c>
      <c r="S6110" s="1" t="s">
        <v>96</v>
      </c>
      <c r="U6110" s="1">
        <v>1.00618416E8</v>
      </c>
      <c r="X6110" s="1" t="s">
        <v>410</v>
      </c>
      <c r="Y6110" s="1" t="s">
        <v>3990</v>
      </c>
      <c r="Z6110" s="1" t="s">
        <v>527</v>
      </c>
    </row>
    <row r="6111">
      <c r="A6111" s="1" t="s">
        <v>16843</v>
      </c>
      <c r="B6111" s="1" t="s">
        <v>25</v>
      </c>
      <c r="C6111" s="1" t="s">
        <v>16844</v>
      </c>
      <c r="D6111" s="1" t="s">
        <v>27</v>
      </c>
      <c r="E6111" s="1" t="s">
        <v>28</v>
      </c>
      <c r="F6111" s="2">
        <v>2.0</v>
      </c>
      <c r="G6111" s="1" t="s">
        <v>503</v>
      </c>
      <c r="H6111" s="4">
        <f>IFERROR(__xludf.DUMMYFUNCTION("DATE(INDEX(SPLIT(G6111,""/""),,3),INDEX(SPLIT(G6111,""/""),,2),INDEX(SPLIT(G6111,""/""),,1))"),44736.0)</f>
        <v>44736</v>
      </c>
      <c r="I6111" s="1" t="s">
        <v>226</v>
      </c>
      <c r="J6111" s="4">
        <f>IFERROR(__xludf.DUMMYFUNCTION("DATE(INDEX(SPLIT(I6111,""/""),,3),INDEX(SPLIT(I6111,""/""),,2),INDEX(SPLIT(I6111,""/""),,1))"),44771.0)</f>
        <v>44771</v>
      </c>
      <c r="L6111" s="1">
        <v>0.0</v>
      </c>
      <c r="M6111" s="1" t="s">
        <v>243</v>
      </c>
      <c r="N6111" s="1"/>
      <c r="O6111" s="1" t="s">
        <v>30</v>
      </c>
      <c r="P6111" s="1" t="s">
        <v>31</v>
      </c>
      <c r="Q6111" s="1" t="s">
        <v>32</v>
      </c>
      <c r="R6111" s="1" t="s">
        <v>32</v>
      </c>
      <c r="S6111" s="1" t="s">
        <v>33</v>
      </c>
      <c r="T6111" s="1" t="s">
        <v>103</v>
      </c>
      <c r="U6111" s="1">
        <v>1.00651722E8</v>
      </c>
      <c r="V6111" s="1" t="s">
        <v>16836</v>
      </c>
      <c r="W6111" s="1" t="s">
        <v>199</v>
      </c>
      <c r="X6111" s="1" t="s">
        <v>35</v>
      </c>
      <c r="Y6111" s="1" t="s">
        <v>29</v>
      </c>
      <c r="Z6111" s="1" t="s">
        <v>37</v>
      </c>
    </row>
    <row r="6112">
      <c r="A6112" s="1" t="s">
        <v>16845</v>
      </c>
      <c r="B6112" s="1" t="s">
        <v>66</v>
      </c>
      <c r="C6112" s="1" t="s">
        <v>16846</v>
      </c>
      <c r="D6112" s="1" t="s">
        <v>78</v>
      </c>
      <c r="E6112" s="1" t="s">
        <v>28</v>
      </c>
      <c r="F6112" s="2">
        <v>1.0</v>
      </c>
      <c r="G6112" s="4">
        <v>44840.0</v>
      </c>
      <c r="H6112" s="4">
        <f>IFERROR(__xludf.DUMMYFUNCTION("DATE(INDEX(SPLIT(G6112,""/""),,3),INDEX(SPLIT(G6112,""/""),,2),INDEX(SPLIT(G6112,""/""),,1))"),44722.0)</f>
        <v>44722</v>
      </c>
      <c r="I6112" s="1" t="s">
        <v>226</v>
      </c>
      <c r="J6112" s="4">
        <f>IFERROR(__xludf.DUMMYFUNCTION("DATE(INDEX(SPLIT(I6112,""/""),,3),INDEX(SPLIT(I6112,""/""),,2),INDEX(SPLIT(I6112,""/""),,1))"),44771.0)</f>
        <v>44771</v>
      </c>
      <c r="L6112" s="1">
        <v>0.0</v>
      </c>
      <c r="M6112" s="1" t="s">
        <v>1685</v>
      </c>
      <c r="N6112" s="1"/>
      <c r="O6112" s="1" t="s">
        <v>30</v>
      </c>
      <c r="P6112" s="1" t="s">
        <v>31</v>
      </c>
      <c r="Q6112" s="1" t="s">
        <v>228</v>
      </c>
      <c r="R6112" s="1" t="s">
        <v>228</v>
      </c>
      <c r="S6112" s="1" t="s">
        <v>229</v>
      </c>
      <c r="T6112" s="1" t="s">
        <v>513</v>
      </c>
      <c r="U6112" s="1">
        <v>1.00612055E8</v>
      </c>
      <c r="X6112" s="1" t="s">
        <v>74</v>
      </c>
      <c r="Y6112" s="1" t="s">
        <v>1686</v>
      </c>
      <c r="Z6112" s="1" t="s">
        <v>37</v>
      </c>
    </row>
    <row r="6113">
      <c r="A6113" s="1" t="s">
        <v>16847</v>
      </c>
      <c r="B6113" s="1" t="s">
        <v>6308</v>
      </c>
      <c r="C6113" s="1" t="s">
        <v>16848</v>
      </c>
      <c r="D6113" s="1" t="s">
        <v>78</v>
      </c>
      <c r="E6113" s="1" t="s">
        <v>28</v>
      </c>
      <c r="F6113" s="2">
        <v>1.0</v>
      </c>
      <c r="G6113" s="1" t="s">
        <v>2455</v>
      </c>
      <c r="H6113" s="4">
        <f>IFERROR(__xludf.DUMMYFUNCTION("DATE(INDEX(SPLIT(G6113,""/""),,3),INDEX(SPLIT(G6113,""/""),,2),INDEX(SPLIT(G6113,""/""),,1))"),44606.0)</f>
        <v>44606</v>
      </c>
      <c r="I6113" s="1" t="s">
        <v>1244</v>
      </c>
      <c r="J6113" s="4">
        <f>IFERROR(__xludf.DUMMYFUNCTION("DATE(INDEX(SPLIT(I6113,""/""),,3),INDEX(SPLIT(I6113,""/""),,2),INDEX(SPLIT(I6113,""/""),,1))"),44742.0)</f>
        <v>44742</v>
      </c>
      <c r="L6113" s="1">
        <v>0.0</v>
      </c>
      <c r="M6113" s="1" t="s">
        <v>196</v>
      </c>
      <c r="N6113" s="1"/>
      <c r="O6113" s="1" t="s">
        <v>30</v>
      </c>
      <c r="P6113" s="1" t="s">
        <v>31</v>
      </c>
      <c r="Q6113" s="1" t="s">
        <v>53</v>
      </c>
      <c r="R6113" s="1" t="s">
        <v>53</v>
      </c>
      <c r="S6113" s="1" t="s">
        <v>54</v>
      </c>
      <c r="T6113" s="1" t="s">
        <v>197</v>
      </c>
      <c r="U6113" s="1">
        <v>1.00589741E8</v>
      </c>
      <c r="X6113" s="1" t="s">
        <v>63</v>
      </c>
      <c r="Y6113" s="1" t="s">
        <v>6272</v>
      </c>
      <c r="Z6113" s="1" t="s">
        <v>37</v>
      </c>
    </row>
    <row r="6114" hidden="1">
      <c r="A6114" s="1" t="s">
        <v>16849</v>
      </c>
      <c r="B6114" s="1" t="s">
        <v>6293</v>
      </c>
      <c r="C6114" s="1" t="s">
        <v>16850</v>
      </c>
      <c r="D6114" s="1" t="s">
        <v>27</v>
      </c>
      <c r="E6114" s="1" t="s">
        <v>28</v>
      </c>
      <c r="F6114" s="2">
        <v>1.0</v>
      </c>
      <c r="G6114" s="1" t="s">
        <v>2455</v>
      </c>
      <c r="H6114" s="4">
        <f>IFERROR(__xludf.DUMMYFUNCTION("DATE(INDEX(SPLIT(G6114,""/""),,3),INDEX(SPLIT(G6114,""/""),,2),INDEX(SPLIT(G6114,""/""),,1))"),44606.0)</f>
        <v>44606</v>
      </c>
      <c r="I6114" s="1" t="s">
        <v>85</v>
      </c>
      <c r="J6114" s="4">
        <f>IFERROR(__xludf.DUMMYFUNCTION("DATE(INDEX(SPLIT(I6114,""/""),,3),INDEX(SPLIT(I6114,""/""),,2),INDEX(SPLIT(I6114,""/""),,1))"),44799.0)</f>
        <v>44799</v>
      </c>
      <c r="L6114" s="1">
        <v>0.0</v>
      </c>
      <c r="M6114" s="1" t="s">
        <v>1833</v>
      </c>
      <c r="N6114" s="1"/>
      <c r="O6114" s="1" t="s">
        <v>30</v>
      </c>
      <c r="P6114" s="1" t="s">
        <v>31</v>
      </c>
      <c r="Q6114" s="1" t="s">
        <v>53</v>
      </c>
      <c r="R6114" s="1" t="s">
        <v>53</v>
      </c>
      <c r="S6114" s="1" t="s">
        <v>54</v>
      </c>
      <c r="T6114" s="1" t="s">
        <v>634</v>
      </c>
      <c r="U6114" s="1">
        <v>1.0105484E8</v>
      </c>
      <c r="X6114" s="1" t="s">
        <v>490</v>
      </c>
      <c r="Y6114" s="1" t="s">
        <v>6272</v>
      </c>
      <c r="Z6114" s="1" t="s">
        <v>37</v>
      </c>
    </row>
    <row r="6115">
      <c r="A6115" s="1" t="s">
        <v>16851</v>
      </c>
      <c r="B6115" s="1" t="s">
        <v>1831</v>
      </c>
      <c r="C6115" s="1" t="s">
        <v>16852</v>
      </c>
      <c r="D6115" s="1" t="s">
        <v>27</v>
      </c>
      <c r="E6115" s="1" t="s">
        <v>28</v>
      </c>
      <c r="F6115" s="2">
        <v>1.0</v>
      </c>
      <c r="G6115" s="1" t="s">
        <v>2455</v>
      </c>
      <c r="H6115" s="4">
        <f>IFERROR(__xludf.DUMMYFUNCTION("DATE(INDEX(SPLIT(G6115,""/""),,3),INDEX(SPLIT(G6115,""/""),,2),INDEX(SPLIT(G6115,""/""),,1))"),44606.0)</f>
        <v>44606</v>
      </c>
      <c r="I6115" s="1" t="s">
        <v>1244</v>
      </c>
      <c r="J6115" s="4">
        <f>IFERROR(__xludf.DUMMYFUNCTION("DATE(INDEX(SPLIT(I6115,""/""),,3),INDEX(SPLIT(I6115,""/""),,2),INDEX(SPLIT(I6115,""/""),,1))"),44742.0)</f>
        <v>44742</v>
      </c>
      <c r="L6115" s="1">
        <v>0.0</v>
      </c>
      <c r="M6115" s="1" t="s">
        <v>819</v>
      </c>
      <c r="N6115" s="1"/>
      <c r="O6115" s="1" t="s">
        <v>30</v>
      </c>
      <c r="P6115" s="1" t="s">
        <v>31</v>
      </c>
      <c r="Q6115" s="1" t="s">
        <v>53</v>
      </c>
      <c r="R6115" s="1" t="s">
        <v>53</v>
      </c>
      <c r="S6115" s="1" t="s">
        <v>54</v>
      </c>
      <c r="T6115" s="1" t="s">
        <v>634</v>
      </c>
      <c r="U6115" s="1">
        <v>1.00661738E8</v>
      </c>
      <c r="X6115" s="1" t="s">
        <v>490</v>
      </c>
      <c r="Y6115" s="1" t="s">
        <v>6272</v>
      </c>
      <c r="Z6115" s="1" t="s">
        <v>37</v>
      </c>
    </row>
    <row r="6116">
      <c r="A6116" s="1" t="s">
        <v>16853</v>
      </c>
      <c r="B6116" s="1" t="s">
        <v>2598</v>
      </c>
      <c r="C6116" s="1" t="s">
        <v>16854</v>
      </c>
      <c r="D6116" s="1" t="s">
        <v>27</v>
      </c>
      <c r="E6116" s="1" t="s">
        <v>28</v>
      </c>
      <c r="F6116" s="2">
        <v>1.0</v>
      </c>
      <c r="G6116" s="1" t="s">
        <v>2455</v>
      </c>
      <c r="H6116" s="4">
        <f>IFERROR(__xludf.DUMMYFUNCTION("DATE(INDEX(SPLIT(G6116,""/""),,3),INDEX(SPLIT(G6116,""/""),,2),INDEX(SPLIT(G6116,""/""),,1))"),44606.0)</f>
        <v>44606</v>
      </c>
      <c r="I6116" s="1" t="s">
        <v>1244</v>
      </c>
      <c r="J6116" s="4">
        <f>IFERROR(__xludf.DUMMYFUNCTION("DATE(INDEX(SPLIT(I6116,""/""),,3),INDEX(SPLIT(I6116,""/""),,2),INDEX(SPLIT(I6116,""/""),,1))"),44742.0)</f>
        <v>44742</v>
      </c>
      <c r="L6116" s="1">
        <v>0.0</v>
      </c>
      <c r="M6116" s="1" t="s">
        <v>6527</v>
      </c>
      <c r="N6116" s="1"/>
      <c r="O6116" s="1" t="s">
        <v>30</v>
      </c>
      <c r="P6116" s="1" t="s">
        <v>31</v>
      </c>
      <c r="Q6116" s="1" t="s">
        <v>53</v>
      </c>
      <c r="R6116" s="1" t="s">
        <v>53</v>
      </c>
      <c r="S6116" s="1" t="s">
        <v>54</v>
      </c>
      <c r="T6116" s="1" t="s">
        <v>2372</v>
      </c>
      <c r="U6116" s="1">
        <v>1.00983419E8</v>
      </c>
      <c r="X6116" s="1" t="s">
        <v>239</v>
      </c>
      <c r="Y6116" s="1" t="s">
        <v>6272</v>
      </c>
      <c r="Z6116" s="1" t="s">
        <v>37</v>
      </c>
    </row>
    <row r="6117">
      <c r="A6117" s="1" t="s">
        <v>16855</v>
      </c>
      <c r="B6117" s="1" t="s">
        <v>16856</v>
      </c>
      <c r="C6117" s="1" t="s">
        <v>16857</v>
      </c>
      <c r="D6117" s="1" t="s">
        <v>27</v>
      </c>
      <c r="E6117" s="1" t="s">
        <v>28</v>
      </c>
      <c r="F6117" s="2">
        <v>1.0</v>
      </c>
      <c r="G6117" s="1" t="s">
        <v>2455</v>
      </c>
      <c r="H6117" s="4">
        <f>IFERROR(__xludf.DUMMYFUNCTION("DATE(INDEX(SPLIT(G6117,""/""),,3),INDEX(SPLIT(G6117,""/""),,2),INDEX(SPLIT(G6117,""/""),,1))"),44606.0)</f>
        <v>44606</v>
      </c>
      <c r="I6117" s="1" t="s">
        <v>1244</v>
      </c>
      <c r="J6117" s="4">
        <f>IFERROR(__xludf.DUMMYFUNCTION("DATE(INDEX(SPLIT(I6117,""/""),,3),INDEX(SPLIT(I6117,""/""),,2),INDEX(SPLIT(I6117,""/""),,1))"),44742.0)</f>
        <v>44742</v>
      </c>
      <c r="L6117" s="1">
        <v>0.0</v>
      </c>
      <c r="M6117" s="1" t="s">
        <v>124</v>
      </c>
      <c r="N6117" s="1"/>
      <c r="O6117" s="1" t="s">
        <v>30</v>
      </c>
      <c r="P6117" s="1" t="s">
        <v>31</v>
      </c>
      <c r="Q6117" s="1" t="s">
        <v>53</v>
      </c>
      <c r="R6117" s="1" t="s">
        <v>53</v>
      </c>
      <c r="S6117" s="1" t="s">
        <v>54</v>
      </c>
      <c r="U6117" s="1">
        <v>1.00651441E8</v>
      </c>
      <c r="X6117" s="1" t="s">
        <v>98</v>
      </c>
      <c r="Y6117" s="1" t="s">
        <v>6272</v>
      </c>
      <c r="Z6117" s="1" t="s">
        <v>37</v>
      </c>
    </row>
    <row r="6118">
      <c r="A6118" s="1" t="s">
        <v>16858</v>
      </c>
      <c r="B6118" s="1" t="s">
        <v>1454</v>
      </c>
      <c r="C6118" s="1" t="s">
        <v>16859</v>
      </c>
      <c r="D6118" s="1" t="s">
        <v>27</v>
      </c>
      <c r="E6118" s="1" t="s">
        <v>28</v>
      </c>
      <c r="F6118" s="2">
        <v>1.0</v>
      </c>
      <c r="G6118" s="1" t="s">
        <v>2455</v>
      </c>
      <c r="H6118" s="4">
        <f>IFERROR(__xludf.DUMMYFUNCTION("DATE(INDEX(SPLIT(G6118,""/""),,3),INDEX(SPLIT(G6118,""/""),,2),INDEX(SPLIT(G6118,""/""),,1))"),44606.0)</f>
        <v>44606</v>
      </c>
      <c r="I6118" s="1" t="s">
        <v>1244</v>
      </c>
      <c r="J6118" s="4">
        <f>IFERROR(__xludf.DUMMYFUNCTION("DATE(INDEX(SPLIT(I6118,""/""),,3),INDEX(SPLIT(I6118,""/""),,2),INDEX(SPLIT(I6118,""/""),,1))"),44742.0)</f>
        <v>44742</v>
      </c>
      <c r="L6118" s="1">
        <v>0.0</v>
      </c>
      <c r="M6118" s="1" t="s">
        <v>3361</v>
      </c>
      <c r="N6118" s="1"/>
      <c r="O6118" s="1" t="s">
        <v>30</v>
      </c>
      <c r="P6118" s="1" t="s">
        <v>31</v>
      </c>
      <c r="Q6118" s="1" t="s">
        <v>53</v>
      </c>
      <c r="R6118" s="1" t="s">
        <v>53</v>
      </c>
      <c r="S6118" s="1" t="s">
        <v>54</v>
      </c>
      <c r="T6118" s="1" t="s">
        <v>197</v>
      </c>
      <c r="U6118" s="1">
        <v>1.00652454E8</v>
      </c>
      <c r="X6118" s="1" t="s">
        <v>254</v>
      </c>
      <c r="Y6118" s="1" t="s">
        <v>6272</v>
      </c>
      <c r="Z6118" s="1" t="s">
        <v>37</v>
      </c>
    </row>
    <row r="6119">
      <c r="A6119" s="1" t="s">
        <v>16860</v>
      </c>
      <c r="B6119" s="1" t="s">
        <v>377</v>
      </c>
      <c r="C6119" s="1" t="s">
        <v>16861</v>
      </c>
      <c r="D6119" s="1" t="s">
        <v>27</v>
      </c>
      <c r="E6119" s="1" t="s">
        <v>28</v>
      </c>
      <c r="F6119" s="2">
        <v>1.0</v>
      </c>
      <c r="G6119" s="1" t="s">
        <v>2455</v>
      </c>
      <c r="H6119" s="4">
        <f>IFERROR(__xludf.DUMMYFUNCTION("DATE(INDEX(SPLIT(G6119,""/""),,3),INDEX(SPLIT(G6119,""/""),,2),INDEX(SPLIT(G6119,""/""),,1))"),44606.0)</f>
        <v>44606</v>
      </c>
      <c r="I6119" s="1" t="s">
        <v>1244</v>
      </c>
      <c r="J6119" s="4">
        <f>IFERROR(__xludf.DUMMYFUNCTION("DATE(INDEX(SPLIT(I6119,""/""),,3),INDEX(SPLIT(I6119,""/""),,2),INDEX(SPLIT(I6119,""/""),,1))"),44742.0)</f>
        <v>44742</v>
      </c>
      <c r="L6119" s="1">
        <v>0.0</v>
      </c>
      <c r="M6119" s="1" t="s">
        <v>2371</v>
      </c>
      <c r="N6119" s="1"/>
      <c r="O6119" s="1" t="s">
        <v>30</v>
      </c>
      <c r="P6119" s="1" t="s">
        <v>31</v>
      </c>
      <c r="Q6119" s="1" t="s">
        <v>53</v>
      </c>
      <c r="R6119" s="1" t="s">
        <v>53</v>
      </c>
      <c r="S6119" s="1" t="s">
        <v>54</v>
      </c>
      <c r="T6119" s="1" t="s">
        <v>2372</v>
      </c>
      <c r="U6119" s="1">
        <v>1.00649936E8</v>
      </c>
      <c r="X6119" s="1" t="s">
        <v>239</v>
      </c>
      <c r="Y6119" s="1" t="s">
        <v>6272</v>
      </c>
      <c r="Z6119" s="1" t="s">
        <v>37</v>
      </c>
    </row>
    <row r="6120">
      <c r="A6120" s="1" t="s">
        <v>16862</v>
      </c>
      <c r="B6120" s="1" t="s">
        <v>16863</v>
      </c>
      <c r="C6120" s="1" t="s">
        <v>16864</v>
      </c>
      <c r="D6120" s="1" t="s">
        <v>27</v>
      </c>
      <c r="E6120" s="1" t="s">
        <v>28</v>
      </c>
      <c r="F6120" s="2">
        <v>1.0</v>
      </c>
      <c r="G6120" s="1" t="s">
        <v>2455</v>
      </c>
      <c r="H6120" s="4">
        <f>IFERROR(__xludf.DUMMYFUNCTION("DATE(INDEX(SPLIT(G6120,""/""),,3),INDEX(SPLIT(G6120,""/""),,2),INDEX(SPLIT(G6120,""/""),,1))"),44606.0)</f>
        <v>44606</v>
      </c>
      <c r="I6120" s="1" t="s">
        <v>1244</v>
      </c>
      <c r="J6120" s="4">
        <f>IFERROR(__xludf.DUMMYFUNCTION("DATE(INDEX(SPLIT(I6120,""/""),,3),INDEX(SPLIT(I6120,""/""),,2),INDEX(SPLIT(I6120,""/""),,1))"),44742.0)</f>
        <v>44742</v>
      </c>
      <c r="L6120" s="1">
        <v>0.0</v>
      </c>
      <c r="M6120" s="1" t="s">
        <v>2448</v>
      </c>
      <c r="N6120" s="1"/>
      <c r="O6120" s="1" t="s">
        <v>30</v>
      </c>
      <c r="P6120" s="1" t="s">
        <v>31</v>
      </c>
      <c r="Q6120" s="1" t="s">
        <v>53</v>
      </c>
      <c r="R6120" s="1" t="s">
        <v>53</v>
      </c>
      <c r="S6120" s="1" t="s">
        <v>54</v>
      </c>
      <c r="T6120" s="1" t="s">
        <v>197</v>
      </c>
      <c r="U6120" s="1">
        <v>1.00584032E8</v>
      </c>
      <c r="X6120" s="1" t="s">
        <v>468</v>
      </c>
      <c r="Y6120" s="1" t="s">
        <v>6272</v>
      </c>
      <c r="Z6120" s="1" t="s">
        <v>37</v>
      </c>
    </row>
    <row r="6121" hidden="1">
      <c r="A6121" s="1" t="s">
        <v>16865</v>
      </c>
      <c r="B6121" s="1" t="s">
        <v>337</v>
      </c>
      <c r="C6121" s="1" t="s">
        <v>16866</v>
      </c>
      <c r="D6121" s="1" t="s">
        <v>27</v>
      </c>
      <c r="E6121" s="1" t="s">
        <v>28</v>
      </c>
      <c r="F6121" s="2">
        <v>1.0</v>
      </c>
      <c r="G6121" s="1" t="s">
        <v>2455</v>
      </c>
      <c r="H6121" s="4">
        <f>IFERROR(__xludf.DUMMYFUNCTION("DATE(INDEX(SPLIT(G6121,""/""),,3),INDEX(SPLIT(G6121,""/""),,2),INDEX(SPLIT(G6121,""/""),,1))"),44606.0)</f>
        <v>44606</v>
      </c>
      <c r="I6121" s="1" t="s">
        <v>109</v>
      </c>
      <c r="J6121" s="4">
        <f>IFERROR(__xludf.DUMMYFUNCTION("DATE(INDEX(SPLIT(I6121,""/""),,3),INDEX(SPLIT(I6121,""/""),,2),INDEX(SPLIT(I6121,""/""),,1))"),44834.0)</f>
        <v>44834</v>
      </c>
      <c r="L6121" s="1">
        <v>0.0</v>
      </c>
      <c r="M6121" s="1" t="s">
        <v>2371</v>
      </c>
      <c r="N6121" s="1"/>
      <c r="O6121" s="1" t="s">
        <v>30</v>
      </c>
      <c r="P6121" s="1" t="s">
        <v>31</v>
      </c>
      <c r="Q6121" s="1" t="s">
        <v>53</v>
      </c>
      <c r="R6121" s="1" t="s">
        <v>53</v>
      </c>
      <c r="S6121" s="1" t="s">
        <v>54</v>
      </c>
      <c r="T6121" s="1" t="s">
        <v>2372</v>
      </c>
      <c r="U6121" s="1">
        <v>1.00649936E8</v>
      </c>
      <c r="X6121" s="1" t="s">
        <v>239</v>
      </c>
      <c r="Y6121" s="1" t="s">
        <v>6272</v>
      </c>
      <c r="Z6121" s="1" t="s">
        <v>37</v>
      </c>
    </row>
    <row r="6122">
      <c r="A6122" s="1" t="s">
        <v>16867</v>
      </c>
      <c r="B6122" s="1" t="s">
        <v>4421</v>
      </c>
      <c r="C6122" s="1" t="s">
        <v>16868</v>
      </c>
      <c r="D6122" s="1" t="s">
        <v>27</v>
      </c>
      <c r="E6122" s="1" t="s">
        <v>28</v>
      </c>
      <c r="F6122" s="2">
        <v>1.0</v>
      </c>
      <c r="G6122" s="1" t="s">
        <v>2455</v>
      </c>
      <c r="H6122" s="4">
        <f>IFERROR(__xludf.DUMMYFUNCTION("DATE(INDEX(SPLIT(G6122,""/""),,3),INDEX(SPLIT(G6122,""/""),,2),INDEX(SPLIT(G6122,""/""),,1))"),44606.0)</f>
        <v>44606</v>
      </c>
      <c r="I6122" s="1" t="s">
        <v>1244</v>
      </c>
      <c r="J6122" s="4">
        <f>IFERROR(__xludf.DUMMYFUNCTION("DATE(INDEX(SPLIT(I6122,""/""),,3),INDEX(SPLIT(I6122,""/""),,2),INDEX(SPLIT(I6122,""/""),,1))"),44742.0)</f>
        <v>44742</v>
      </c>
      <c r="L6122" s="1">
        <v>0.0</v>
      </c>
      <c r="M6122" s="1" t="s">
        <v>819</v>
      </c>
      <c r="N6122" s="1"/>
      <c r="O6122" s="1" t="s">
        <v>30</v>
      </c>
      <c r="P6122" s="1" t="s">
        <v>31</v>
      </c>
      <c r="Q6122" s="1" t="s">
        <v>53</v>
      </c>
      <c r="R6122" s="1" t="s">
        <v>53</v>
      </c>
      <c r="S6122" s="1" t="s">
        <v>54</v>
      </c>
      <c r="T6122" s="1" t="s">
        <v>634</v>
      </c>
      <c r="U6122" s="1">
        <v>1.00661738E8</v>
      </c>
      <c r="X6122" s="1" t="s">
        <v>490</v>
      </c>
      <c r="Y6122" s="1" t="s">
        <v>6272</v>
      </c>
      <c r="Z6122" s="1" t="s">
        <v>37</v>
      </c>
    </row>
    <row r="6123" hidden="1">
      <c r="A6123" s="1" t="s">
        <v>16869</v>
      </c>
      <c r="B6123" s="1" t="s">
        <v>16870</v>
      </c>
      <c r="C6123" s="1" t="s">
        <v>16871</v>
      </c>
      <c r="D6123" s="1" t="s">
        <v>27</v>
      </c>
      <c r="E6123" s="1" t="s">
        <v>28</v>
      </c>
      <c r="F6123" s="2">
        <v>1.0</v>
      </c>
      <c r="G6123" s="1" t="s">
        <v>2455</v>
      </c>
      <c r="H6123" s="4">
        <f>IFERROR(__xludf.DUMMYFUNCTION("DATE(INDEX(SPLIT(G6123,""/""),,3),INDEX(SPLIT(G6123,""/""),,2),INDEX(SPLIT(G6123,""/""),,1))"),44606.0)</f>
        <v>44606</v>
      </c>
      <c r="I6123" s="1" t="s">
        <v>203</v>
      </c>
      <c r="J6123" s="4">
        <f>IFERROR(__xludf.DUMMYFUNCTION("DATE(INDEX(SPLIT(I6123,""/""),,3),INDEX(SPLIT(I6123,""/""),,2),INDEX(SPLIT(I6123,""/""),,1))"),44925.0)</f>
        <v>44925</v>
      </c>
      <c r="L6123" s="1">
        <v>0.0</v>
      </c>
      <c r="M6123" s="1" t="s">
        <v>2448</v>
      </c>
      <c r="N6123" s="1"/>
      <c r="O6123" s="1" t="s">
        <v>30</v>
      </c>
      <c r="P6123" s="1" t="s">
        <v>31</v>
      </c>
      <c r="Q6123" s="1" t="s">
        <v>53</v>
      </c>
      <c r="R6123" s="1" t="s">
        <v>53</v>
      </c>
      <c r="S6123" s="1" t="s">
        <v>54</v>
      </c>
      <c r="T6123" s="1" t="s">
        <v>197</v>
      </c>
      <c r="U6123" s="1">
        <v>1.00584032E8</v>
      </c>
      <c r="Y6123" s="1" t="s">
        <v>6272</v>
      </c>
      <c r="Z6123" s="1" t="s">
        <v>37</v>
      </c>
    </row>
    <row r="6124">
      <c r="A6124" s="1" t="s">
        <v>16872</v>
      </c>
      <c r="B6124" s="1" t="s">
        <v>9720</v>
      </c>
      <c r="C6124" s="1" t="s">
        <v>16873</v>
      </c>
      <c r="D6124" s="1" t="s">
        <v>27</v>
      </c>
      <c r="E6124" s="1" t="s">
        <v>28</v>
      </c>
      <c r="F6124" s="2">
        <v>1.0</v>
      </c>
      <c r="G6124" s="1" t="s">
        <v>2455</v>
      </c>
      <c r="H6124" s="4">
        <f>IFERROR(__xludf.DUMMYFUNCTION("DATE(INDEX(SPLIT(G6124,""/""),,3),INDEX(SPLIT(G6124,""/""),,2),INDEX(SPLIT(G6124,""/""),,1))"),44606.0)</f>
        <v>44606</v>
      </c>
      <c r="I6124" s="1" t="s">
        <v>1244</v>
      </c>
      <c r="J6124" s="4">
        <f>IFERROR(__xludf.DUMMYFUNCTION("DATE(INDEX(SPLIT(I6124,""/""),,3),INDEX(SPLIT(I6124,""/""),,2),INDEX(SPLIT(I6124,""/""),,1))"),44742.0)</f>
        <v>44742</v>
      </c>
      <c r="L6124" s="1">
        <v>0.0</v>
      </c>
      <c r="M6124" s="1" t="s">
        <v>124</v>
      </c>
      <c r="N6124" s="1"/>
      <c r="O6124" s="1" t="s">
        <v>30</v>
      </c>
      <c r="P6124" s="1" t="s">
        <v>31</v>
      </c>
      <c r="Q6124" s="1" t="s">
        <v>53</v>
      </c>
      <c r="R6124" s="1" t="s">
        <v>53</v>
      </c>
      <c r="S6124" s="1" t="s">
        <v>54</v>
      </c>
      <c r="U6124" s="1">
        <v>1.00651441E8</v>
      </c>
      <c r="X6124" s="1" t="s">
        <v>88</v>
      </c>
      <c r="Y6124" s="1" t="s">
        <v>6272</v>
      </c>
      <c r="Z6124" s="1" t="s">
        <v>37</v>
      </c>
    </row>
    <row r="6125" hidden="1">
      <c r="A6125" s="1" t="s">
        <v>16874</v>
      </c>
      <c r="B6125" s="1" t="s">
        <v>3204</v>
      </c>
      <c r="C6125" s="1" t="s">
        <v>16875</v>
      </c>
      <c r="D6125" s="1" t="s">
        <v>27</v>
      </c>
      <c r="E6125" s="1" t="s">
        <v>28</v>
      </c>
      <c r="F6125" s="2">
        <v>1.0</v>
      </c>
      <c r="G6125" s="1" t="s">
        <v>2455</v>
      </c>
      <c r="H6125" s="4">
        <f>IFERROR(__xludf.DUMMYFUNCTION("DATE(INDEX(SPLIT(G6125,""/""),,3),INDEX(SPLIT(G6125,""/""),,2),INDEX(SPLIT(G6125,""/""),,1))"),44606.0)</f>
        <v>44606</v>
      </c>
      <c r="I6125" s="1" t="s">
        <v>317</v>
      </c>
      <c r="J6125" s="4">
        <f>IFERROR(__xludf.DUMMYFUNCTION("DATE(INDEX(SPLIT(I6125,""/""),,3),INDEX(SPLIT(I6125,""/""),,2),INDEX(SPLIT(I6125,""/""),,1))"),44862.0)</f>
        <v>44862</v>
      </c>
      <c r="L6125" s="1">
        <v>0.0</v>
      </c>
      <c r="M6125" s="1" t="s">
        <v>2448</v>
      </c>
      <c r="N6125" s="1"/>
      <c r="O6125" s="1" t="s">
        <v>30</v>
      </c>
      <c r="P6125" s="1" t="s">
        <v>31</v>
      </c>
      <c r="Q6125" s="1" t="s">
        <v>53</v>
      </c>
      <c r="R6125" s="1" t="s">
        <v>53</v>
      </c>
      <c r="S6125" s="1" t="s">
        <v>54</v>
      </c>
      <c r="U6125" s="1">
        <v>1.00584032E8</v>
      </c>
      <c r="X6125" s="1" t="s">
        <v>63</v>
      </c>
      <c r="Y6125" s="1" t="s">
        <v>6272</v>
      </c>
      <c r="Z6125" s="1" t="s">
        <v>37</v>
      </c>
    </row>
    <row r="6126" hidden="1">
      <c r="A6126" s="1" t="s">
        <v>16876</v>
      </c>
      <c r="B6126" s="1" t="s">
        <v>120</v>
      </c>
      <c r="C6126" s="1" t="s">
        <v>16877</v>
      </c>
      <c r="D6126" s="1" t="s">
        <v>78</v>
      </c>
      <c r="E6126" s="1" t="s">
        <v>28</v>
      </c>
      <c r="F6126" s="2">
        <v>1.0</v>
      </c>
      <c r="G6126" s="4">
        <v>44533.0</v>
      </c>
      <c r="H6126" s="4">
        <f>IFERROR(__xludf.DUMMYFUNCTION("DATE(INDEX(SPLIT(G6126,""/""),,3),INDEX(SPLIT(G6126,""/""),,2),INDEX(SPLIT(G6126,""/""),,1))"),44267.0)</f>
        <v>44267</v>
      </c>
      <c r="I6126" s="4">
        <v>44662.0</v>
      </c>
      <c r="J6126" s="4">
        <f>IFERROR(__xludf.DUMMYFUNCTION("DATE(INDEX(SPLIT(I6126,""/""),,3),INDEX(SPLIT(I6126,""/""),,2),INDEX(SPLIT(I6126,""/""),,1))"),44869.0)</f>
        <v>44869</v>
      </c>
      <c r="L6126" s="1">
        <v>0.0</v>
      </c>
      <c r="M6126" s="1" t="s">
        <v>277</v>
      </c>
      <c r="N6126" s="1"/>
      <c r="O6126" s="1" t="s">
        <v>30</v>
      </c>
      <c r="P6126" s="1" t="s">
        <v>31</v>
      </c>
      <c r="Q6126" s="1" t="s">
        <v>32</v>
      </c>
      <c r="R6126" s="1" t="s">
        <v>32</v>
      </c>
      <c r="S6126" s="1" t="s">
        <v>33</v>
      </c>
      <c r="U6126" s="1">
        <v>1.00608828E8</v>
      </c>
      <c r="X6126" s="1" t="s">
        <v>125</v>
      </c>
      <c r="Y6126" s="1" t="s">
        <v>4799</v>
      </c>
      <c r="Z6126" s="1" t="s">
        <v>37</v>
      </c>
    </row>
    <row r="6127">
      <c r="A6127" s="1" t="s">
        <v>16878</v>
      </c>
      <c r="B6127" s="1" t="s">
        <v>954</v>
      </c>
      <c r="C6127" s="1" t="s">
        <v>16879</v>
      </c>
      <c r="D6127" s="1" t="s">
        <v>27</v>
      </c>
      <c r="E6127" s="1" t="s">
        <v>28</v>
      </c>
      <c r="F6127" s="2">
        <v>1.0</v>
      </c>
      <c r="G6127" s="4">
        <v>44381.0</v>
      </c>
      <c r="H6127" s="4">
        <f>IFERROR(__xludf.DUMMYFUNCTION("DATE(INDEX(SPLIT(G6127,""/""),,3),INDEX(SPLIT(G6127,""/""),,2),INDEX(SPLIT(G6127,""/""),,1))"),44293.0)</f>
        <v>44293</v>
      </c>
      <c r="I6127" s="1" t="s">
        <v>69</v>
      </c>
      <c r="J6127" s="4">
        <f>IFERROR(__xludf.DUMMYFUNCTION("DATE(INDEX(SPLIT(I6127,""/""),,3),INDEX(SPLIT(I6127,""/""),,2),INDEX(SPLIT(I6127,""/""),,1))"),44773.0)</f>
        <v>44773</v>
      </c>
      <c r="L6127" s="1">
        <v>0.0</v>
      </c>
      <c r="M6127" s="1" t="s">
        <v>2107</v>
      </c>
      <c r="N6127" s="1"/>
      <c r="O6127" s="1" t="s">
        <v>30</v>
      </c>
      <c r="P6127" s="1" t="s">
        <v>31</v>
      </c>
      <c r="Q6127" s="1" t="s">
        <v>71</v>
      </c>
      <c r="R6127" s="1" t="s">
        <v>71</v>
      </c>
      <c r="S6127" s="1" t="s">
        <v>72</v>
      </c>
      <c r="T6127" s="1" t="s">
        <v>1427</v>
      </c>
      <c r="U6127" s="1">
        <v>1.0061233E8</v>
      </c>
      <c r="X6127" s="1" t="s">
        <v>74</v>
      </c>
      <c r="Y6127" s="1" t="s">
        <v>2107</v>
      </c>
      <c r="Z6127" s="1" t="s">
        <v>37</v>
      </c>
    </row>
    <row r="6128" hidden="1">
      <c r="A6128" s="1" t="s">
        <v>16880</v>
      </c>
      <c r="B6128" s="1" t="s">
        <v>16881</v>
      </c>
      <c r="C6128" s="1" t="s">
        <v>16882</v>
      </c>
      <c r="D6128" s="1" t="s">
        <v>27</v>
      </c>
      <c r="E6128" s="1" t="s">
        <v>28</v>
      </c>
      <c r="F6128" s="2">
        <v>1.0</v>
      </c>
      <c r="G6128" s="1" t="s">
        <v>2712</v>
      </c>
      <c r="H6128" s="4">
        <f>IFERROR(__xludf.DUMMYFUNCTION("DATE(INDEX(SPLIT(G6128,""/""),,3),INDEX(SPLIT(G6128,""/""),,2),INDEX(SPLIT(G6128,""/""),,1))"),44435.0)</f>
        <v>44435</v>
      </c>
      <c r="I6128" s="1" t="s">
        <v>42</v>
      </c>
      <c r="J6128" s="4">
        <f>IFERROR(__xludf.DUMMYFUNCTION("DATE(INDEX(SPLIT(I6128,""/""),,3),INDEX(SPLIT(I6128,""/""),,2),INDEX(SPLIT(I6128,""/""),,1))"),44926.0)</f>
        <v>44926</v>
      </c>
      <c r="L6128" s="1">
        <v>0.0</v>
      </c>
      <c r="M6128" s="1" t="s">
        <v>1828</v>
      </c>
      <c r="N6128" s="1"/>
      <c r="O6128" s="1" t="s">
        <v>30</v>
      </c>
      <c r="P6128" s="1" t="s">
        <v>31</v>
      </c>
      <c r="Q6128" s="1" t="s">
        <v>235</v>
      </c>
      <c r="R6128" s="1" t="s">
        <v>235</v>
      </c>
      <c r="S6128" s="1" t="s">
        <v>236</v>
      </c>
      <c r="U6128" s="1">
        <v>1.00593918E8</v>
      </c>
      <c r="X6128" s="1" t="s">
        <v>190</v>
      </c>
      <c r="Y6128" s="1" t="s">
        <v>6999</v>
      </c>
      <c r="Z6128" s="1" t="s">
        <v>37</v>
      </c>
    </row>
    <row r="6129" hidden="1">
      <c r="A6129" s="1" t="s">
        <v>16883</v>
      </c>
      <c r="B6129" s="1" t="s">
        <v>16884</v>
      </c>
      <c r="C6129" s="1" t="s">
        <v>16884</v>
      </c>
      <c r="D6129" s="1" t="s">
        <v>27</v>
      </c>
      <c r="E6129" s="1" t="s">
        <v>28</v>
      </c>
      <c r="F6129" s="2">
        <v>1.0</v>
      </c>
      <c r="G6129" s="1" t="s">
        <v>2712</v>
      </c>
      <c r="H6129" s="4">
        <f>IFERROR(__xludf.DUMMYFUNCTION("DATE(INDEX(SPLIT(G6129,""/""),,3),INDEX(SPLIT(G6129,""/""),,2),INDEX(SPLIT(G6129,""/""),,1))"),44435.0)</f>
        <v>44435</v>
      </c>
      <c r="I6129" s="1" t="s">
        <v>42</v>
      </c>
      <c r="J6129" s="4">
        <f>IFERROR(__xludf.DUMMYFUNCTION("DATE(INDEX(SPLIT(I6129,""/""),,3),INDEX(SPLIT(I6129,""/""),,2),INDEX(SPLIT(I6129,""/""),,1))"),44926.0)</f>
        <v>44926</v>
      </c>
      <c r="L6129" s="1">
        <v>0.0</v>
      </c>
      <c r="M6129" s="1" t="s">
        <v>1828</v>
      </c>
      <c r="N6129" s="1"/>
      <c r="O6129" s="1" t="s">
        <v>30</v>
      </c>
      <c r="P6129" s="1" t="s">
        <v>31</v>
      </c>
      <c r="Q6129" s="1" t="s">
        <v>235</v>
      </c>
      <c r="R6129" s="1" t="s">
        <v>235</v>
      </c>
      <c r="S6129" s="1" t="s">
        <v>236</v>
      </c>
      <c r="U6129" s="1">
        <v>1.00593918E8</v>
      </c>
      <c r="Y6129" s="1" t="s">
        <v>6999</v>
      </c>
      <c r="Z6129" s="1" t="s">
        <v>37</v>
      </c>
    </row>
    <row r="6130" hidden="1">
      <c r="A6130" s="1" t="s">
        <v>16885</v>
      </c>
      <c r="B6130" s="1" t="s">
        <v>3288</v>
      </c>
      <c r="C6130" s="1" t="s">
        <v>16886</v>
      </c>
      <c r="D6130" s="1" t="s">
        <v>27</v>
      </c>
      <c r="E6130" s="1" t="s">
        <v>28</v>
      </c>
      <c r="F6130" s="2">
        <v>1.0</v>
      </c>
      <c r="G6130" s="1" t="s">
        <v>2712</v>
      </c>
      <c r="H6130" s="4">
        <f>IFERROR(__xludf.DUMMYFUNCTION("DATE(INDEX(SPLIT(G6130,""/""),,3),INDEX(SPLIT(G6130,""/""),,2),INDEX(SPLIT(G6130,""/""),,1))"),44435.0)</f>
        <v>44435</v>
      </c>
      <c r="I6130" s="1" t="s">
        <v>42</v>
      </c>
      <c r="J6130" s="4">
        <f>IFERROR(__xludf.DUMMYFUNCTION("DATE(INDEX(SPLIT(I6130,""/""),,3),INDEX(SPLIT(I6130,""/""),,2),INDEX(SPLIT(I6130,""/""),,1))"),44926.0)</f>
        <v>44926</v>
      </c>
      <c r="L6130" s="1">
        <v>0.0</v>
      </c>
      <c r="M6130" s="1" t="s">
        <v>1828</v>
      </c>
      <c r="N6130" s="1"/>
      <c r="O6130" s="1" t="s">
        <v>30</v>
      </c>
      <c r="P6130" s="1" t="s">
        <v>31</v>
      </c>
      <c r="Q6130" s="1" t="s">
        <v>235</v>
      </c>
      <c r="R6130" s="1" t="s">
        <v>235</v>
      </c>
      <c r="S6130" s="1" t="s">
        <v>236</v>
      </c>
      <c r="U6130" s="1">
        <v>1.00593918E8</v>
      </c>
      <c r="X6130" s="1" t="s">
        <v>375</v>
      </c>
      <c r="Y6130" s="1" t="s">
        <v>6999</v>
      </c>
      <c r="Z6130" s="1" t="s">
        <v>37</v>
      </c>
    </row>
    <row r="6131" hidden="1">
      <c r="A6131" s="1" t="s">
        <v>16887</v>
      </c>
      <c r="B6131" s="1" t="s">
        <v>3288</v>
      </c>
      <c r="C6131" s="1" t="s">
        <v>16888</v>
      </c>
      <c r="D6131" s="1" t="s">
        <v>27</v>
      </c>
      <c r="E6131" s="1" t="s">
        <v>28</v>
      </c>
      <c r="F6131" s="2">
        <v>1.0</v>
      </c>
      <c r="G6131" s="1" t="s">
        <v>2712</v>
      </c>
      <c r="H6131" s="4">
        <f>IFERROR(__xludf.DUMMYFUNCTION("DATE(INDEX(SPLIT(G6131,""/""),,3),INDEX(SPLIT(G6131,""/""),,2),INDEX(SPLIT(G6131,""/""),,1))"),44435.0)</f>
        <v>44435</v>
      </c>
      <c r="I6131" s="1" t="s">
        <v>42</v>
      </c>
      <c r="J6131" s="4">
        <f>IFERROR(__xludf.DUMMYFUNCTION("DATE(INDEX(SPLIT(I6131,""/""),,3),INDEX(SPLIT(I6131,""/""),,2),INDEX(SPLIT(I6131,""/""),,1))"),44926.0)</f>
        <v>44926</v>
      </c>
      <c r="L6131" s="1">
        <v>0.0</v>
      </c>
      <c r="M6131" s="1" t="s">
        <v>1828</v>
      </c>
      <c r="N6131" s="1"/>
      <c r="O6131" s="1" t="s">
        <v>30</v>
      </c>
      <c r="P6131" s="1" t="s">
        <v>31</v>
      </c>
      <c r="Q6131" s="1" t="s">
        <v>235</v>
      </c>
      <c r="R6131" s="1" t="s">
        <v>235</v>
      </c>
      <c r="S6131" s="1" t="s">
        <v>236</v>
      </c>
      <c r="U6131" s="1">
        <v>1.00593918E8</v>
      </c>
      <c r="X6131" s="1" t="s">
        <v>375</v>
      </c>
      <c r="Y6131" s="1" t="s">
        <v>6999</v>
      </c>
      <c r="Z6131" s="1" t="s">
        <v>37</v>
      </c>
    </row>
    <row r="6132" hidden="1">
      <c r="A6132" s="1" t="s">
        <v>16889</v>
      </c>
      <c r="B6132" s="1" t="s">
        <v>11654</v>
      </c>
      <c r="C6132" s="1" t="s">
        <v>16890</v>
      </c>
      <c r="D6132" s="1" t="s">
        <v>27</v>
      </c>
      <c r="E6132" s="1" t="s">
        <v>28</v>
      </c>
      <c r="F6132" s="2">
        <v>1.0</v>
      </c>
      <c r="G6132" s="1" t="s">
        <v>1786</v>
      </c>
      <c r="H6132" s="4">
        <f>IFERROR(__xludf.DUMMYFUNCTION("DATE(INDEX(SPLIT(G6132,""/""),,3),INDEX(SPLIT(G6132,""/""),,2),INDEX(SPLIT(G6132,""/""),,1))"),44709.0)</f>
        <v>44709</v>
      </c>
      <c r="I6132" s="1" t="s">
        <v>130</v>
      </c>
      <c r="J6132" s="4">
        <f>IFERROR(__xludf.DUMMYFUNCTION("DATE(INDEX(SPLIT(I6132,""/""),,3),INDEX(SPLIT(I6132,""/""),,2),INDEX(SPLIT(I6132,""/""),,1))"),44804.0)</f>
        <v>44804</v>
      </c>
      <c r="L6132" s="1">
        <v>0.0</v>
      </c>
      <c r="M6132" s="1" t="s">
        <v>1723</v>
      </c>
      <c r="N6132" s="1"/>
      <c r="O6132" s="1" t="s">
        <v>30</v>
      </c>
      <c r="P6132" s="1" t="s">
        <v>31</v>
      </c>
      <c r="Q6132" s="1" t="s">
        <v>157</v>
      </c>
      <c r="R6132" s="1" t="s">
        <v>157</v>
      </c>
      <c r="S6132" s="1" t="s">
        <v>158</v>
      </c>
      <c r="T6132" s="1" t="s">
        <v>159</v>
      </c>
      <c r="U6132" s="1">
        <v>1.00654085E8</v>
      </c>
      <c r="X6132" s="1" t="s">
        <v>63</v>
      </c>
      <c r="Y6132" s="1" t="s">
        <v>5269</v>
      </c>
      <c r="Z6132" s="1" t="s">
        <v>37</v>
      </c>
    </row>
    <row r="6133" hidden="1">
      <c r="A6133" s="1" t="s">
        <v>16891</v>
      </c>
      <c r="B6133" s="1" t="s">
        <v>11654</v>
      </c>
      <c r="C6133" s="1" t="s">
        <v>16892</v>
      </c>
      <c r="D6133" s="1" t="s">
        <v>78</v>
      </c>
      <c r="E6133" s="1" t="s">
        <v>28</v>
      </c>
      <c r="F6133" s="2">
        <v>1.0</v>
      </c>
      <c r="G6133" s="1" t="s">
        <v>1786</v>
      </c>
      <c r="H6133" s="4">
        <f>IFERROR(__xludf.DUMMYFUNCTION("DATE(INDEX(SPLIT(G6133,""/""),,3),INDEX(SPLIT(G6133,""/""),,2),INDEX(SPLIT(G6133,""/""),,1))"),44709.0)</f>
        <v>44709</v>
      </c>
      <c r="I6133" s="1" t="s">
        <v>130</v>
      </c>
      <c r="J6133" s="4">
        <f>IFERROR(__xludf.DUMMYFUNCTION("DATE(INDEX(SPLIT(I6133,""/""),,3),INDEX(SPLIT(I6133,""/""),,2),INDEX(SPLIT(I6133,""/""),,1))"),44804.0)</f>
        <v>44804</v>
      </c>
      <c r="L6133" s="1">
        <v>0.0</v>
      </c>
      <c r="M6133" s="1" t="s">
        <v>1723</v>
      </c>
      <c r="N6133" s="1"/>
      <c r="O6133" s="1" t="s">
        <v>30</v>
      </c>
      <c r="P6133" s="1" t="s">
        <v>31</v>
      </c>
      <c r="Q6133" s="1" t="s">
        <v>157</v>
      </c>
      <c r="R6133" s="1" t="s">
        <v>157</v>
      </c>
      <c r="S6133" s="1" t="s">
        <v>158</v>
      </c>
      <c r="T6133" s="1" t="s">
        <v>159</v>
      </c>
      <c r="U6133" s="1">
        <v>1.00654085E8</v>
      </c>
      <c r="X6133" s="1" t="s">
        <v>63</v>
      </c>
      <c r="Y6133" s="1" t="s">
        <v>5269</v>
      </c>
      <c r="Z6133" s="1" t="s">
        <v>37</v>
      </c>
    </row>
    <row r="6134" hidden="1">
      <c r="A6134" s="1" t="s">
        <v>16893</v>
      </c>
      <c r="B6134" s="1" t="s">
        <v>11654</v>
      </c>
      <c r="C6134" s="1" t="s">
        <v>16894</v>
      </c>
      <c r="D6134" s="1" t="s">
        <v>78</v>
      </c>
      <c r="E6134" s="1" t="s">
        <v>28</v>
      </c>
      <c r="F6134" s="2">
        <v>1.0</v>
      </c>
      <c r="G6134" s="1" t="s">
        <v>1786</v>
      </c>
      <c r="H6134" s="4">
        <f>IFERROR(__xludf.DUMMYFUNCTION("DATE(INDEX(SPLIT(G6134,""/""),,3),INDEX(SPLIT(G6134,""/""),,2),INDEX(SPLIT(G6134,""/""),,1))"),44709.0)</f>
        <v>44709</v>
      </c>
      <c r="I6134" s="1" t="s">
        <v>130</v>
      </c>
      <c r="J6134" s="4">
        <f>IFERROR(__xludf.DUMMYFUNCTION("DATE(INDEX(SPLIT(I6134,""/""),,3),INDEX(SPLIT(I6134,""/""),,2),INDEX(SPLIT(I6134,""/""),,1))"),44804.0)</f>
        <v>44804</v>
      </c>
      <c r="L6134" s="1">
        <v>0.0</v>
      </c>
      <c r="M6134" s="1" t="s">
        <v>1723</v>
      </c>
      <c r="N6134" s="1"/>
      <c r="O6134" s="1" t="s">
        <v>30</v>
      </c>
      <c r="P6134" s="1" t="s">
        <v>31</v>
      </c>
      <c r="Q6134" s="1" t="s">
        <v>157</v>
      </c>
      <c r="R6134" s="1" t="s">
        <v>157</v>
      </c>
      <c r="S6134" s="1" t="s">
        <v>158</v>
      </c>
      <c r="T6134" s="1" t="s">
        <v>159</v>
      </c>
      <c r="U6134" s="1">
        <v>1.00654085E8</v>
      </c>
      <c r="X6134" s="1" t="s">
        <v>63</v>
      </c>
      <c r="Y6134" s="1" t="s">
        <v>5269</v>
      </c>
      <c r="Z6134" s="1" t="s">
        <v>37</v>
      </c>
    </row>
    <row r="6135" hidden="1">
      <c r="A6135" s="1" t="s">
        <v>16895</v>
      </c>
      <c r="B6135" s="1" t="s">
        <v>11654</v>
      </c>
      <c r="C6135" s="1" t="s">
        <v>16896</v>
      </c>
      <c r="D6135" s="1" t="s">
        <v>78</v>
      </c>
      <c r="E6135" s="1" t="s">
        <v>28</v>
      </c>
      <c r="F6135" s="2">
        <v>1.0</v>
      </c>
      <c r="G6135" s="1" t="s">
        <v>1786</v>
      </c>
      <c r="H6135" s="4">
        <f>IFERROR(__xludf.DUMMYFUNCTION("DATE(INDEX(SPLIT(G6135,""/""),,3),INDEX(SPLIT(G6135,""/""),,2),INDEX(SPLIT(G6135,""/""),,1))"),44709.0)</f>
        <v>44709</v>
      </c>
      <c r="I6135" s="1" t="s">
        <v>130</v>
      </c>
      <c r="J6135" s="4">
        <f>IFERROR(__xludf.DUMMYFUNCTION("DATE(INDEX(SPLIT(I6135,""/""),,3),INDEX(SPLIT(I6135,""/""),,2),INDEX(SPLIT(I6135,""/""),,1))"),44804.0)</f>
        <v>44804</v>
      </c>
      <c r="L6135" s="1">
        <v>0.0</v>
      </c>
      <c r="M6135" s="1" t="s">
        <v>1723</v>
      </c>
      <c r="N6135" s="1"/>
      <c r="O6135" s="1" t="s">
        <v>30</v>
      </c>
      <c r="P6135" s="1" t="s">
        <v>31</v>
      </c>
      <c r="Q6135" s="1" t="s">
        <v>157</v>
      </c>
      <c r="R6135" s="1" t="s">
        <v>157</v>
      </c>
      <c r="S6135" s="1" t="s">
        <v>158</v>
      </c>
      <c r="T6135" s="1" t="s">
        <v>159</v>
      </c>
      <c r="U6135" s="1">
        <v>1.00654085E8</v>
      </c>
      <c r="X6135" s="1" t="s">
        <v>63</v>
      </c>
      <c r="Y6135" s="1" t="s">
        <v>5269</v>
      </c>
      <c r="Z6135" s="1" t="s">
        <v>37</v>
      </c>
    </row>
    <row r="6136" hidden="1">
      <c r="A6136" s="1" t="s">
        <v>16897</v>
      </c>
      <c r="B6136" s="1" t="s">
        <v>11654</v>
      </c>
      <c r="C6136" s="1" t="s">
        <v>16898</v>
      </c>
      <c r="D6136" s="1" t="s">
        <v>78</v>
      </c>
      <c r="E6136" s="1" t="s">
        <v>28</v>
      </c>
      <c r="F6136" s="2">
        <v>1.0</v>
      </c>
      <c r="G6136" s="1" t="s">
        <v>1786</v>
      </c>
      <c r="H6136" s="4">
        <f>IFERROR(__xludf.DUMMYFUNCTION("DATE(INDEX(SPLIT(G6136,""/""),,3),INDEX(SPLIT(G6136,""/""),,2),INDEX(SPLIT(G6136,""/""),,1))"),44709.0)</f>
        <v>44709</v>
      </c>
      <c r="I6136" s="1" t="s">
        <v>130</v>
      </c>
      <c r="J6136" s="4">
        <f>IFERROR(__xludf.DUMMYFUNCTION("DATE(INDEX(SPLIT(I6136,""/""),,3),INDEX(SPLIT(I6136,""/""),,2),INDEX(SPLIT(I6136,""/""),,1))"),44804.0)</f>
        <v>44804</v>
      </c>
      <c r="L6136" s="1">
        <v>0.0</v>
      </c>
      <c r="M6136" s="1" t="s">
        <v>1723</v>
      </c>
      <c r="N6136" s="1"/>
      <c r="O6136" s="1" t="s">
        <v>30</v>
      </c>
      <c r="P6136" s="1" t="s">
        <v>31</v>
      </c>
      <c r="Q6136" s="1" t="s">
        <v>157</v>
      </c>
      <c r="R6136" s="1" t="s">
        <v>157</v>
      </c>
      <c r="S6136" s="1" t="s">
        <v>158</v>
      </c>
      <c r="T6136" s="1" t="s">
        <v>159</v>
      </c>
      <c r="U6136" s="1">
        <v>1.00654085E8</v>
      </c>
      <c r="X6136" s="1" t="s">
        <v>63</v>
      </c>
      <c r="Y6136" s="1" t="s">
        <v>5269</v>
      </c>
      <c r="Z6136" s="1" t="s">
        <v>37</v>
      </c>
    </row>
    <row r="6137" hidden="1">
      <c r="A6137" s="1" t="s">
        <v>16899</v>
      </c>
      <c r="B6137" s="1" t="s">
        <v>11654</v>
      </c>
      <c r="C6137" s="1" t="s">
        <v>16900</v>
      </c>
      <c r="D6137" s="1" t="s">
        <v>78</v>
      </c>
      <c r="E6137" s="1" t="s">
        <v>28</v>
      </c>
      <c r="F6137" s="2">
        <v>1.0</v>
      </c>
      <c r="G6137" s="1" t="s">
        <v>1786</v>
      </c>
      <c r="H6137" s="4">
        <f>IFERROR(__xludf.DUMMYFUNCTION("DATE(INDEX(SPLIT(G6137,""/""),,3),INDEX(SPLIT(G6137,""/""),,2),INDEX(SPLIT(G6137,""/""),,1))"),44709.0)</f>
        <v>44709</v>
      </c>
      <c r="I6137" s="1" t="s">
        <v>130</v>
      </c>
      <c r="J6137" s="4">
        <f>IFERROR(__xludf.DUMMYFUNCTION("DATE(INDEX(SPLIT(I6137,""/""),,3),INDEX(SPLIT(I6137,""/""),,2),INDEX(SPLIT(I6137,""/""),,1))"),44804.0)</f>
        <v>44804</v>
      </c>
      <c r="L6137" s="1">
        <v>0.0</v>
      </c>
      <c r="M6137" s="1" t="s">
        <v>1723</v>
      </c>
      <c r="N6137" s="1"/>
      <c r="O6137" s="1" t="s">
        <v>30</v>
      </c>
      <c r="P6137" s="1" t="s">
        <v>31</v>
      </c>
      <c r="Q6137" s="1" t="s">
        <v>157</v>
      </c>
      <c r="R6137" s="1" t="s">
        <v>157</v>
      </c>
      <c r="S6137" s="1" t="s">
        <v>158</v>
      </c>
      <c r="T6137" s="1" t="s">
        <v>159</v>
      </c>
      <c r="U6137" s="1">
        <v>1.00654085E8</v>
      </c>
      <c r="X6137" s="1" t="s">
        <v>63</v>
      </c>
      <c r="Y6137" s="1" t="s">
        <v>5269</v>
      </c>
      <c r="Z6137" s="1" t="s">
        <v>37</v>
      </c>
    </row>
    <row r="6138" hidden="1">
      <c r="A6138" s="1" t="s">
        <v>16901</v>
      </c>
      <c r="B6138" s="1" t="s">
        <v>315</v>
      </c>
      <c r="C6138" s="1" t="s">
        <v>16902</v>
      </c>
      <c r="D6138" s="1" t="s">
        <v>27</v>
      </c>
      <c r="E6138" s="1" t="s">
        <v>28</v>
      </c>
      <c r="F6138" s="2">
        <v>1.0</v>
      </c>
      <c r="G6138" s="1" t="s">
        <v>503</v>
      </c>
      <c r="H6138" s="4">
        <f>IFERROR(__xludf.DUMMYFUNCTION("DATE(INDEX(SPLIT(G6138,""/""),,3),INDEX(SPLIT(G6138,""/""),,2),INDEX(SPLIT(G6138,""/""),,1))"),44736.0)</f>
        <v>44736</v>
      </c>
      <c r="I6138" s="1" t="s">
        <v>360</v>
      </c>
      <c r="J6138" s="4">
        <f>IFERROR(__xludf.DUMMYFUNCTION("DATE(INDEX(SPLIT(I6138,""/""),,3),INDEX(SPLIT(I6138,""/""),,2),INDEX(SPLIT(I6138,""/""),,1))"),44895.0)</f>
        <v>44895</v>
      </c>
      <c r="L6138" s="1">
        <v>0.0</v>
      </c>
      <c r="M6138" s="1" t="s">
        <v>1137</v>
      </c>
      <c r="N6138" s="1"/>
      <c r="O6138" s="1" t="s">
        <v>30</v>
      </c>
      <c r="P6138" s="1" t="s">
        <v>31</v>
      </c>
      <c r="Q6138" s="1" t="s">
        <v>71</v>
      </c>
      <c r="R6138" s="1" t="s">
        <v>71</v>
      </c>
      <c r="S6138" s="1" t="s">
        <v>72</v>
      </c>
      <c r="T6138" s="1" t="s">
        <v>73</v>
      </c>
      <c r="U6138" s="1">
        <v>1.00589728E8</v>
      </c>
      <c r="X6138" s="1" t="s">
        <v>74</v>
      </c>
      <c r="Y6138" s="1" t="s">
        <v>2367</v>
      </c>
      <c r="Z6138" s="1" t="s">
        <v>37</v>
      </c>
    </row>
    <row r="6139" hidden="1">
      <c r="A6139" s="1" t="s">
        <v>16903</v>
      </c>
      <c r="B6139" s="1" t="s">
        <v>1634</v>
      </c>
      <c r="C6139" s="1" t="s">
        <v>16904</v>
      </c>
      <c r="D6139" s="1" t="s">
        <v>27</v>
      </c>
      <c r="E6139" s="1" t="s">
        <v>28</v>
      </c>
      <c r="F6139" s="2">
        <v>1.0</v>
      </c>
      <c r="G6139" s="1" t="s">
        <v>2324</v>
      </c>
      <c r="H6139" s="4">
        <f>IFERROR(__xludf.DUMMYFUNCTION("DATE(INDEX(SPLIT(G6139,""/""),,3),INDEX(SPLIT(G6139,""/""),,2),INDEX(SPLIT(G6139,""/""),,1))"),44705.0)</f>
        <v>44705</v>
      </c>
      <c r="I6139" s="4">
        <v>44572.0</v>
      </c>
      <c r="J6139" s="4">
        <f>IFERROR(__xludf.DUMMYFUNCTION("DATE(INDEX(SPLIT(I6139,""/""),,3),INDEX(SPLIT(I6139,""/""),,2),INDEX(SPLIT(I6139,""/""),,1))"),44866.0)</f>
        <v>44866</v>
      </c>
      <c r="L6139" s="1">
        <v>0.0</v>
      </c>
      <c r="M6139" s="1" t="s">
        <v>2596</v>
      </c>
      <c r="N6139" s="1"/>
      <c r="O6139" s="1" t="s">
        <v>30</v>
      </c>
      <c r="P6139" s="1" t="s">
        <v>31</v>
      </c>
      <c r="Q6139" s="1" t="s">
        <v>157</v>
      </c>
      <c r="R6139" s="1" t="s">
        <v>157</v>
      </c>
      <c r="S6139" s="1" t="s">
        <v>158</v>
      </c>
      <c r="U6139" s="1">
        <v>1.00653074E8</v>
      </c>
      <c r="X6139" s="1" t="s">
        <v>490</v>
      </c>
      <c r="Y6139" s="1" t="s">
        <v>244</v>
      </c>
      <c r="Z6139" s="1" t="s">
        <v>37</v>
      </c>
    </row>
    <row r="6140" hidden="1">
      <c r="A6140" s="1" t="s">
        <v>16905</v>
      </c>
      <c r="B6140" s="1" t="s">
        <v>1634</v>
      </c>
      <c r="C6140" s="1" t="s">
        <v>16906</v>
      </c>
      <c r="D6140" s="1" t="s">
        <v>27</v>
      </c>
      <c r="E6140" s="1" t="s">
        <v>28</v>
      </c>
      <c r="F6140" s="2">
        <v>1.0</v>
      </c>
      <c r="G6140" s="1" t="s">
        <v>2324</v>
      </c>
      <c r="H6140" s="4">
        <f>IFERROR(__xludf.DUMMYFUNCTION("DATE(INDEX(SPLIT(G6140,""/""),,3),INDEX(SPLIT(G6140,""/""),,2),INDEX(SPLIT(G6140,""/""),,1))"),44705.0)</f>
        <v>44705</v>
      </c>
      <c r="I6140" s="1" t="s">
        <v>360</v>
      </c>
      <c r="J6140" s="4">
        <f>IFERROR(__xludf.DUMMYFUNCTION("DATE(INDEX(SPLIT(I6140,""/""),,3),INDEX(SPLIT(I6140,""/""),,2),INDEX(SPLIT(I6140,""/""),,1))"),44895.0)</f>
        <v>44895</v>
      </c>
      <c r="L6140" s="1">
        <v>0.0</v>
      </c>
      <c r="M6140" s="1" t="s">
        <v>2596</v>
      </c>
      <c r="N6140" s="1"/>
      <c r="O6140" s="1" t="s">
        <v>30</v>
      </c>
      <c r="P6140" s="1" t="s">
        <v>31</v>
      </c>
      <c r="Q6140" s="1" t="s">
        <v>157</v>
      </c>
      <c r="R6140" s="1" t="s">
        <v>157</v>
      </c>
      <c r="S6140" s="1" t="s">
        <v>158</v>
      </c>
      <c r="U6140" s="1">
        <v>1.00653074E8</v>
      </c>
      <c r="X6140" s="1" t="s">
        <v>490</v>
      </c>
      <c r="Y6140" s="1" t="s">
        <v>244</v>
      </c>
      <c r="Z6140" s="1" t="s">
        <v>37</v>
      </c>
    </row>
    <row r="6141" hidden="1">
      <c r="A6141" s="1" t="s">
        <v>16907</v>
      </c>
      <c r="B6141" s="1" t="s">
        <v>1634</v>
      </c>
      <c r="C6141" s="1" t="s">
        <v>16908</v>
      </c>
      <c r="D6141" s="1" t="s">
        <v>27</v>
      </c>
      <c r="E6141" s="1" t="s">
        <v>28</v>
      </c>
      <c r="F6141" s="2">
        <v>1.0</v>
      </c>
      <c r="G6141" s="1" t="s">
        <v>2324</v>
      </c>
      <c r="H6141" s="4">
        <f>IFERROR(__xludf.DUMMYFUNCTION("DATE(INDEX(SPLIT(G6141,""/""),,3),INDEX(SPLIT(G6141,""/""),,2),INDEX(SPLIT(G6141,""/""),,1))"),44705.0)</f>
        <v>44705</v>
      </c>
      <c r="I6141" s="1" t="s">
        <v>281</v>
      </c>
      <c r="J6141" s="4">
        <f>IFERROR(__xludf.DUMMYFUNCTION("DATE(INDEX(SPLIT(I6141,""/""),,3),INDEX(SPLIT(I6141,""/""),,2),INDEX(SPLIT(I6141,""/""),,1))"),44865.0)</f>
        <v>44865</v>
      </c>
      <c r="L6141" s="1">
        <v>0.0</v>
      </c>
      <c r="M6141" s="1" t="s">
        <v>2596</v>
      </c>
      <c r="N6141" s="1"/>
      <c r="O6141" s="1" t="s">
        <v>30</v>
      </c>
      <c r="P6141" s="1" t="s">
        <v>31</v>
      </c>
      <c r="Q6141" s="1" t="s">
        <v>157</v>
      </c>
      <c r="R6141" s="1" t="s">
        <v>157</v>
      </c>
      <c r="S6141" s="1" t="s">
        <v>158</v>
      </c>
      <c r="U6141" s="1">
        <v>1.00653074E8</v>
      </c>
      <c r="X6141" s="1" t="s">
        <v>490</v>
      </c>
      <c r="Y6141" s="1" t="s">
        <v>244</v>
      </c>
      <c r="Z6141" s="1" t="s">
        <v>37</v>
      </c>
    </row>
    <row r="6142" hidden="1">
      <c r="A6142" s="1" t="s">
        <v>16909</v>
      </c>
      <c r="B6142" s="1" t="s">
        <v>1634</v>
      </c>
      <c r="C6142" s="1" t="s">
        <v>16910</v>
      </c>
      <c r="D6142" s="1" t="s">
        <v>27</v>
      </c>
      <c r="E6142" s="1" t="s">
        <v>28</v>
      </c>
      <c r="F6142" s="2">
        <v>1.0</v>
      </c>
      <c r="G6142" s="1" t="s">
        <v>2324</v>
      </c>
      <c r="H6142" s="4">
        <f>IFERROR(__xludf.DUMMYFUNCTION("DATE(INDEX(SPLIT(G6142,""/""),,3),INDEX(SPLIT(G6142,""/""),,2),INDEX(SPLIT(G6142,""/""),,1))"),44705.0)</f>
        <v>44705</v>
      </c>
      <c r="I6142" s="1" t="s">
        <v>109</v>
      </c>
      <c r="J6142" s="4">
        <f>IFERROR(__xludf.DUMMYFUNCTION("DATE(INDEX(SPLIT(I6142,""/""),,3),INDEX(SPLIT(I6142,""/""),,2),INDEX(SPLIT(I6142,""/""),,1))"),44834.0)</f>
        <v>44834</v>
      </c>
      <c r="L6142" s="1">
        <v>0.0</v>
      </c>
      <c r="M6142" s="1" t="s">
        <v>2596</v>
      </c>
      <c r="N6142" s="1"/>
      <c r="O6142" s="1" t="s">
        <v>30</v>
      </c>
      <c r="P6142" s="1" t="s">
        <v>31</v>
      </c>
      <c r="Q6142" s="1" t="s">
        <v>157</v>
      </c>
      <c r="R6142" s="1" t="s">
        <v>157</v>
      </c>
      <c r="S6142" s="1" t="s">
        <v>158</v>
      </c>
      <c r="U6142" s="1">
        <v>1.00653074E8</v>
      </c>
      <c r="X6142" s="1" t="s">
        <v>490</v>
      </c>
      <c r="Y6142" s="1" t="s">
        <v>244</v>
      </c>
      <c r="Z6142" s="1" t="s">
        <v>37</v>
      </c>
    </row>
    <row r="6143" hidden="1">
      <c r="A6143" s="1" t="s">
        <v>16911</v>
      </c>
      <c r="B6143" s="1" t="s">
        <v>1634</v>
      </c>
      <c r="C6143" s="1" t="s">
        <v>16912</v>
      </c>
      <c r="D6143" s="1" t="s">
        <v>27</v>
      </c>
      <c r="E6143" s="1" t="s">
        <v>28</v>
      </c>
      <c r="F6143" s="2">
        <v>1.0</v>
      </c>
      <c r="G6143" s="1" t="s">
        <v>2324</v>
      </c>
      <c r="H6143" s="4">
        <f>IFERROR(__xludf.DUMMYFUNCTION("DATE(INDEX(SPLIT(G6143,""/""),,3),INDEX(SPLIT(G6143,""/""),,2),INDEX(SPLIT(G6143,""/""),,1))"),44705.0)</f>
        <v>44705</v>
      </c>
      <c r="I6143" s="1" t="s">
        <v>360</v>
      </c>
      <c r="J6143" s="4">
        <f>IFERROR(__xludf.DUMMYFUNCTION("DATE(INDEX(SPLIT(I6143,""/""),,3),INDEX(SPLIT(I6143,""/""),,2),INDEX(SPLIT(I6143,""/""),,1))"),44895.0)</f>
        <v>44895</v>
      </c>
      <c r="L6143" s="1">
        <v>0.0</v>
      </c>
      <c r="M6143" s="1" t="s">
        <v>2596</v>
      </c>
      <c r="N6143" s="1"/>
      <c r="O6143" s="1" t="s">
        <v>30</v>
      </c>
      <c r="P6143" s="1" t="s">
        <v>31</v>
      </c>
      <c r="Q6143" s="1" t="s">
        <v>157</v>
      </c>
      <c r="R6143" s="1" t="s">
        <v>157</v>
      </c>
      <c r="S6143" s="1" t="s">
        <v>158</v>
      </c>
      <c r="U6143" s="1">
        <v>1.00653074E8</v>
      </c>
      <c r="X6143" s="1" t="s">
        <v>490</v>
      </c>
      <c r="Y6143" s="1" t="s">
        <v>244</v>
      </c>
      <c r="Z6143" s="1" t="s">
        <v>37</v>
      </c>
    </row>
    <row r="6144" hidden="1">
      <c r="A6144" s="1" t="s">
        <v>16913</v>
      </c>
      <c r="B6144" s="1" t="s">
        <v>1634</v>
      </c>
      <c r="C6144" s="1" t="s">
        <v>16914</v>
      </c>
      <c r="D6144" s="1" t="s">
        <v>27</v>
      </c>
      <c r="E6144" s="1" t="s">
        <v>28</v>
      </c>
      <c r="F6144" s="2">
        <v>1.0</v>
      </c>
      <c r="G6144" s="1" t="s">
        <v>2324</v>
      </c>
      <c r="H6144" s="4">
        <f>IFERROR(__xludf.DUMMYFUNCTION("DATE(INDEX(SPLIT(G6144,""/""),,3),INDEX(SPLIT(G6144,""/""),,2),INDEX(SPLIT(G6144,""/""),,1))"),44705.0)</f>
        <v>44705</v>
      </c>
      <c r="I6144" s="1" t="s">
        <v>293</v>
      </c>
      <c r="J6144" s="4">
        <f>IFERROR(__xludf.DUMMYFUNCTION("DATE(INDEX(SPLIT(I6144,""/""),,3),INDEX(SPLIT(I6144,""/""),,2),INDEX(SPLIT(I6144,""/""),,1))"),44918.0)</f>
        <v>44918</v>
      </c>
      <c r="L6144" s="1">
        <v>0.0</v>
      </c>
      <c r="M6144" s="1" t="s">
        <v>2596</v>
      </c>
      <c r="N6144" s="1"/>
      <c r="O6144" s="1" t="s">
        <v>30</v>
      </c>
      <c r="P6144" s="1" t="s">
        <v>31</v>
      </c>
      <c r="Q6144" s="1" t="s">
        <v>157</v>
      </c>
      <c r="R6144" s="1" t="s">
        <v>157</v>
      </c>
      <c r="S6144" s="1" t="s">
        <v>158</v>
      </c>
      <c r="U6144" s="1">
        <v>1.00653074E8</v>
      </c>
      <c r="X6144" s="1" t="s">
        <v>490</v>
      </c>
      <c r="Y6144" s="1" t="s">
        <v>244</v>
      </c>
      <c r="Z6144" s="1" t="s">
        <v>37</v>
      </c>
    </row>
    <row r="6145" hidden="1">
      <c r="A6145" s="1" t="s">
        <v>16915</v>
      </c>
      <c r="B6145" s="1" t="s">
        <v>1634</v>
      </c>
      <c r="C6145" s="1" t="s">
        <v>16916</v>
      </c>
      <c r="D6145" s="1" t="s">
        <v>27</v>
      </c>
      <c r="E6145" s="1" t="s">
        <v>28</v>
      </c>
      <c r="F6145" s="2">
        <v>1.0</v>
      </c>
      <c r="G6145" s="1" t="s">
        <v>2324</v>
      </c>
      <c r="H6145" s="4">
        <f>IFERROR(__xludf.DUMMYFUNCTION("DATE(INDEX(SPLIT(G6145,""/""),,3),INDEX(SPLIT(G6145,""/""),,2),INDEX(SPLIT(G6145,""/""),,1))"),44705.0)</f>
        <v>44705</v>
      </c>
      <c r="I6145" s="1" t="s">
        <v>179</v>
      </c>
      <c r="J6145" s="4">
        <f>IFERROR(__xludf.DUMMYFUNCTION("DATE(INDEX(SPLIT(I6145,""/""),,3),INDEX(SPLIT(I6145,""/""),,2),INDEX(SPLIT(I6145,""/""),,1))"),44890.0)</f>
        <v>44890</v>
      </c>
      <c r="L6145" s="1">
        <v>0.0</v>
      </c>
      <c r="M6145" s="1" t="s">
        <v>2596</v>
      </c>
      <c r="N6145" s="1"/>
      <c r="O6145" s="1" t="s">
        <v>30</v>
      </c>
      <c r="P6145" s="1" t="s">
        <v>31</v>
      </c>
      <c r="Q6145" s="1" t="s">
        <v>157</v>
      </c>
      <c r="R6145" s="1" t="s">
        <v>157</v>
      </c>
      <c r="S6145" s="1" t="s">
        <v>158</v>
      </c>
      <c r="U6145" s="1">
        <v>1.00653074E8</v>
      </c>
      <c r="X6145" s="1" t="s">
        <v>490</v>
      </c>
      <c r="Y6145" s="1" t="s">
        <v>244</v>
      </c>
      <c r="Z6145" s="1" t="s">
        <v>37</v>
      </c>
    </row>
    <row r="6146" hidden="1">
      <c r="A6146" s="1" t="s">
        <v>16917</v>
      </c>
      <c r="B6146" s="1" t="s">
        <v>16918</v>
      </c>
      <c r="C6146" s="1" t="s">
        <v>16919</v>
      </c>
      <c r="D6146" s="1" t="s">
        <v>27</v>
      </c>
      <c r="E6146" s="1" t="s">
        <v>28</v>
      </c>
      <c r="F6146" s="2">
        <v>1.0</v>
      </c>
      <c r="G6146" s="4">
        <v>44839.0</v>
      </c>
      <c r="H6146" s="4">
        <f>IFERROR(__xludf.DUMMYFUNCTION("DATE(INDEX(SPLIT(G6146,""/""),,3),INDEX(SPLIT(G6146,""/""),,2),INDEX(SPLIT(G6146,""/""),,1))"),44691.0)</f>
        <v>44691</v>
      </c>
      <c r="I6146" s="1" t="s">
        <v>109</v>
      </c>
      <c r="J6146" s="4">
        <f>IFERROR(__xludf.DUMMYFUNCTION("DATE(INDEX(SPLIT(I6146,""/""),,3),INDEX(SPLIT(I6146,""/""),,2),INDEX(SPLIT(I6146,""/""),,1))"),44834.0)</f>
        <v>44834</v>
      </c>
      <c r="L6146" s="1">
        <v>0.0</v>
      </c>
      <c r="M6146" s="1" t="s">
        <v>4282</v>
      </c>
      <c r="N6146" s="1"/>
      <c r="O6146" s="1" t="s">
        <v>30</v>
      </c>
      <c r="P6146" s="1" t="s">
        <v>31</v>
      </c>
      <c r="Q6146" s="1" t="s">
        <v>53</v>
      </c>
      <c r="R6146" s="1" t="s">
        <v>53</v>
      </c>
      <c r="S6146" s="1" t="s">
        <v>54</v>
      </c>
      <c r="U6146" s="1">
        <v>1.01238292E8</v>
      </c>
      <c r="X6146" s="1" t="s">
        <v>305</v>
      </c>
      <c r="Y6146" s="1" t="s">
        <v>4282</v>
      </c>
      <c r="Z6146" s="1" t="s">
        <v>37</v>
      </c>
    </row>
    <row r="6147" hidden="1">
      <c r="A6147" s="1" t="s">
        <v>16920</v>
      </c>
      <c r="B6147" s="1" t="s">
        <v>501</v>
      </c>
      <c r="C6147" s="1" t="s">
        <v>16921</v>
      </c>
      <c r="D6147" s="1" t="s">
        <v>27</v>
      </c>
      <c r="E6147" s="1" t="s">
        <v>28</v>
      </c>
      <c r="F6147" s="2">
        <v>1.0</v>
      </c>
      <c r="G6147" s="4">
        <v>44451.0</v>
      </c>
      <c r="H6147" s="4">
        <f>IFERROR(__xludf.DUMMYFUNCTION("DATE(INDEX(SPLIT(G6147,""/""),,3),INDEX(SPLIT(G6147,""/""),,2),INDEX(SPLIT(G6147,""/""),,1))"),44539.0)</f>
        <v>44539</v>
      </c>
      <c r="I6147" s="1" t="s">
        <v>203</v>
      </c>
      <c r="J6147" s="4">
        <f>IFERROR(__xludf.DUMMYFUNCTION("DATE(INDEX(SPLIT(I6147,""/""),,3),INDEX(SPLIT(I6147,""/""),,2),INDEX(SPLIT(I6147,""/""),,1))"),44925.0)</f>
        <v>44925</v>
      </c>
      <c r="L6147" s="1">
        <v>0.0</v>
      </c>
      <c r="M6147" s="1" t="s">
        <v>4016</v>
      </c>
      <c r="N6147" s="1"/>
      <c r="O6147" s="1" t="s">
        <v>30</v>
      </c>
      <c r="P6147" s="1" t="s">
        <v>31</v>
      </c>
      <c r="Q6147" s="1" t="s">
        <v>95</v>
      </c>
      <c r="R6147" s="1" t="s">
        <v>95</v>
      </c>
      <c r="S6147" s="1" t="s">
        <v>96</v>
      </c>
      <c r="T6147" s="1" t="s">
        <v>311</v>
      </c>
      <c r="U6147" s="1">
        <v>1.00628223E8</v>
      </c>
      <c r="X6147" s="1" t="s">
        <v>410</v>
      </c>
      <c r="Y6147" s="1" t="s">
        <v>4017</v>
      </c>
      <c r="Z6147" s="1" t="s">
        <v>206</v>
      </c>
    </row>
    <row r="6148" hidden="1">
      <c r="A6148" s="1" t="s">
        <v>16922</v>
      </c>
      <c r="B6148" s="1" t="s">
        <v>301</v>
      </c>
      <c r="C6148" s="1" t="s">
        <v>16923</v>
      </c>
      <c r="D6148" s="1" t="s">
        <v>27</v>
      </c>
      <c r="E6148" s="1" t="s">
        <v>28</v>
      </c>
      <c r="F6148" s="2">
        <v>1.0</v>
      </c>
      <c r="G6148" s="4">
        <v>44567.0</v>
      </c>
      <c r="H6148" s="4">
        <f>IFERROR(__xludf.DUMMYFUNCTION("DATE(INDEX(SPLIT(G6148,""/""),,3),INDEX(SPLIT(G6148,""/""),,2),INDEX(SPLIT(G6148,""/""),,1))"),44713.0)</f>
        <v>44713</v>
      </c>
      <c r="I6148" s="1" t="s">
        <v>203</v>
      </c>
      <c r="J6148" s="4">
        <f>IFERROR(__xludf.DUMMYFUNCTION("DATE(INDEX(SPLIT(I6148,""/""),,3),INDEX(SPLIT(I6148,""/""),,2),INDEX(SPLIT(I6148,""/""),,1))"),44925.0)</f>
        <v>44925</v>
      </c>
      <c r="L6148" s="1">
        <v>0.0</v>
      </c>
      <c r="M6148" s="1" t="s">
        <v>4282</v>
      </c>
      <c r="N6148" s="1"/>
      <c r="O6148" s="1" t="s">
        <v>30</v>
      </c>
      <c r="P6148" s="1" t="s">
        <v>31</v>
      </c>
      <c r="Q6148" s="1" t="s">
        <v>53</v>
      </c>
      <c r="R6148" s="1" t="s">
        <v>53</v>
      </c>
      <c r="S6148" s="1" t="s">
        <v>54</v>
      </c>
      <c r="U6148" s="1">
        <v>1.01238292E8</v>
      </c>
      <c r="X6148" s="1" t="s">
        <v>305</v>
      </c>
      <c r="Y6148" s="1" t="s">
        <v>4282</v>
      </c>
      <c r="Z6148" s="1" t="s">
        <v>37</v>
      </c>
    </row>
    <row r="6149" hidden="1">
      <c r="A6149" s="1" t="s">
        <v>16924</v>
      </c>
      <c r="B6149" s="1" t="s">
        <v>373</v>
      </c>
      <c r="C6149" s="1" t="s">
        <v>16925</v>
      </c>
      <c r="D6149" s="1" t="s">
        <v>27</v>
      </c>
      <c r="E6149" s="1" t="s">
        <v>28</v>
      </c>
      <c r="F6149" s="2">
        <v>1.0</v>
      </c>
      <c r="G6149" s="1" t="s">
        <v>5115</v>
      </c>
      <c r="H6149" s="4">
        <f>IFERROR(__xludf.DUMMYFUNCTION("DATE(INDEX(SPLIT(G6149,""/""),,3),INDEX(SPLIT(G6149,""/""),,2),INDEX(SPLIT(G6149,""/""),,1))"),44530.0)</f>
        <v>44530</v>
      </c>
      <c r="I6149" s="1" t="s">
        <v>109</v>
      </c>
      <c r="J6149" s="4">
        <f>IFERROR(__xludf.DUMMYFUNCTION("DATE(INDEX(SPLIT(I6149,""/""),,3),INDEX(SPLIT(I6149,""/""),,2),INDEX(SPLIT(I6149,""/""),,1))"),44834.0)</f>
        <v>44834</v>
      </c>
      <c r="L6149" s="1">
        <v>0.0</v>
      </c>
      <c r="M6149" s="1" t="s">
        <v>852</v>
      </c>
      <c r="N6149" s="1"/>
      <c r="O6149" s="1" t="s">
        <v>30</v>
      </c>
      <c r="P6149" s="1" t="s">
        <v>31</v>
      </c>
      <c r="Q6149" s="1" t="s">
        <v>157</v>
      </c>
      <c r="R6149" s="1" t="s">
        <v>157</v>
      </c>
      <c r="S6149" s="1" t="s">
        <v>158</v>
      </c>
      <c r="T6149" s="1" t="s">
        <v>442</v>
      </c>
      <c r="U6149" s="1">
        <v>1.00648457E8</v>
      </c>
      <c r="X6149" s="1" t="s">
        <v>375</v>
      </c>
      <c r="Y6149" s="1" t="s">
        <v>16926</v>
      </c>
      <c r="Z6149" s="1" t="s">
        <v>37</v>
      </c>
    </row>
    <row r="6150" hidden="1">
      <c r="A6150" s="1" t="s">
        <v>16927</v>
      </c>
      <c r="B6150" s="1" t="s">
        <v>3288</v>
      </c>
      <c r="C6150" s="1" t="s">
        <v>16928</v>
      </c>
      <c r="D6150" s="1" t="s">
        <v>27</v>
      </c>
      <c r="E6150" s="1" t="s">
        <v>28</v>
      </c>
      <c r="F6150" s="2">
        <v>1.0</v>
      </c>
      <c r="G6150" s="1" t="s">
        <v>1218</v>
      </c>
      <c r="H6150" s="4">
        <f>IFERROR(__xludf.DUMMYFUNCTION("DATE(INDEX(SPLIT(G6150,""/""),,3),INDEX(SPLIT(G6150,""/""),,2),INDEX(SPLIT(G6150,""/""),,1))"),44427.0)</f>
        <v>44427</v>
      </c>
      <c r="I6150" s="1" t="s">
        <v>42</v>
      </c>
      <c r="J6150" s="4">
        <f>IFERROR(__xludf.DUMMYFUNCTION("DATE(INDEX(SPLIT(I6150,""/""),,3),INDEX(SPLIT(I6150,""/""),,2),INDEX(SPLIT(I6150,""/""),,1))"),44926.0)</f>
        <v>44926</v>
      </c>
      <c r="L6150" s="1">
        <v>0.0</v>
      </c>
      <c r="M6150" s="1" t="s">
        <v>1828</v>
      </c>
      <c r="N6150" s="1"/>
      <c r="O6150" s="1" t="s">
        <v>30</v>
      </c>
      <c r="P6150" s="1" t="s">
        <v>31</v>
      </c>
      <c r="Q6150" s="1" t="s">
        <v>235</v>
      </c>
      <c r="R6150" s="1" t="s">
        <v>235</v>
      </c>
      <c r="S6150" s="1" t="s">
        <v>236</v>
      </c>
      <c r="U6150" s="1">
        <v>1.00593918E8</v>
      </c>
      <c r="X6150" s="1" t="s">
        <v>375</v>
      </c>
      <c r="Y6150" s="1" t="s">
        <v>6999</v>
      </c>
      <c r="Z6150" s="1" t="s">
        <v>37</v>
      </c>
    </row>
    <row r="6151" hidden="1">
      <c r="A6151" s="1" t="s">
        <v>16929</v>
      </c>
      <c r="B6151" s="1" t="s">
        <v>3288</v>
      </c>
      <c r="C6151" s="1" t="s">
        <v>16930</v>
      </c>
      <c r="D6151" s="1" t="s">
        <v>27</v>
      </c>
      <c r="E6151" s="1" t="s">
        <v>28</v>
      </c>
      <c r="F6151" s="2">
        <v>1.0</v>
      </c>
      <c r="G6151" s="1" t="s">
        <v>1218</v>
      </c>
      <c r="H6151" s="4">
        <f>IFERROR(__xludf.DUMMYFUNCTION("DATE(INDEX(SPLIT(G6151,""/""),,3),INDEX(SPLIT(G6151,""/""),,2),INDEX(SPLIT(G6151,""/""),,1))"),44427.0)</f>
        <v>44427</v>
      </c>
      <c r="I6151" s="1" t="s">
        <v>42</v>
      </c>
      <c r="J6151" s="4">
        <f>IFERROR(__xludf.DUMMYFUNCTION("DATE(INDEX(SPLIT(I6151,""/""),,3),INDEX(SPLIT(I6151,""/""),,2),INDEX(SPLIT(I6151,""/""),,1))"),44926.0)</f>
        <v>44926</v>
      </c>
      <c r="L6151" s="1">
        <v>0.0</v>
      </c>
      <c r="M6151" s="1" t="s">
        <v>1828</v>
      </c>
      <c r="N6151" s="1"/>
      <c r="O6151" s="1" t="s">
        <v>30</v>
      </c>
      <c r="P6151" s="1" t="s">
        <v>31</v>
      </c>
      <c r="Q6151" s="1" t="s">
        <v>235</v>
      </c>
      <c r="R6151" s="1" t="s">
        <v>235</v>
      </c>
      <c r="S6151" s="1" t="s">
        <v>236</v>
      </c>
      <c r="U6151" s="1">
        <v>1.00593918E8</v>
      </c>
      <c r="X6151" s="1" t="s">
        <v>375</v>
      </c>
      <c r="Y6151" s="1" t="s">
        <v>6999</v>
      </c>
      <c r="Z6151" s="1" t="s">
        <v>37</v>
      </c>
    </row>
    <row r="6152" hidden="1">
      <c r="A6152" s="1" t="s">
        <v>16931</v>
      </c>
      <c r="B6152" s="1" t="s">
        <v>3288</v>
      </c>
      <c r="C6152" s="1" t="s">
        <v>16932</v>
      </c>
      <c r="D6152" s="1" t="s">
        <v>27</v>
      </c>
      <c r="E6152" s="1" t="s">
        <v>28</v>
      </c>
      <c r="F6152" s="2">
        <v>1.0</v>
      </c>
      <c r="G6152" s="1" t="s">
        <v>1218</v>
      </c>
      <c r="H6152" s="4">
        <f>IFERROR(__xludf.DUMMYFUNCTION("DATE(INDEX(SPLIT(G6152,""/""),,3),INDEX(SPLIT(G6152,""/""),,2),INDEX(SPLIT(G6152,""/""),,1))"),44427.0)</f>
        <v>44427</v>
      </c>
      <c r="I6152" s="1" t="s">
        <v>42</v>
      </c>
      <c r="J6152" s="4">
        <f>IFERROR(__xludf.DUMMYFUNCTION("DATE(INDEX(SPLIT(I6152,""/""),,3),INDEX(SPLIT(I6152,""/""),,2),INDEX(SPLIT(I6152,""/""),,1))"),44926.0)</f>
        <v>44926</v>
      </c>
      <c r="L6152" s="1">
        <v>0.0</v>
      </c>
      <c r="M6152" s="1" t="s">
        <v>1828</v>
      </c>
      <c r="N6152" s="1"/>
      <c r="O6152" s="1" t="s">
        <v>30</v>
      </c>
      <c r="P6152" s="1" t="s">
        <v>31</v>
      </c>
      <c r="Q6152" s="1" t="s">
        <v>235</v>
      </c>
      <c r="R6152" s="1" t="s">
        <v>235</v>
      </c>
      <c r="S6152" s="1" t="s">
        <v>236</v>
      </c>
      <c r="U6152" s="1">
        <v>1.00593918E8</v>
      </c>
      <c r="X6152" s="1" t="s">
        <v>289</v>
      </c>
      <c r="Y6152" s="1" t="s">
        <v>6999</v>
      </c>
      <c r="Z6152" s="1" t="s">
        <v>37</v>
      </c>
    </row>
    <row r="6153" hidden="1">
      <c r="A6153" s="1" t="s">
        <v>16933</v>
      </c>
      <c r="B6153" s="1" t="s">
        <v>3288</v>
      </c>
      <c r="C6153" s="1" t="s">
        <v>16934</v>
      </c>
      <c r="D6153" s="1" t="s">
        <v>27</v>
      </c>
      <c r="E6153" s="1" t="s">
        <v>28</v>
      </c>
      <c r="F6153" s="2">
        <v>1.0</v>
      </c>
      <c r="G6153" s="1" t="s">
        <v>1218</v>
      </c>
      <c r="H6153" s="4">
        <f>IFERROR(__xludf.DUMMYFUNCTION("DATE(INDEX(SPLIT(G6153,""/""),,3),INDEX(SPLIT(G6153,""/""),,2),INDEX(SPLIT(G6153,""/""),,1))"),44427.0)</f>
        <v>44427</v>
      </c>
      <c r="I6153" s="1" t="s">
        <v>42</v>
      </c>
      <c r="J6153" s="4">
        <f>IFERROR(__xludf.DUMMYFUNCTION("DATE(INDEX(SPLIT(I6153,""/""),,3),INDEX(SPLIT(I6153,""/""),,2),INDEX(SPLIT(I6153,""/""),,1))"),44926.0)</f>
        <v>44926</v>
      </c>
      <c r="L6153" s="1">
        <v>0.0</v>
      </c>
      <c r="M6153" s="1" t="s">
        <v>1828</v>
      </c>
      <c r="N6153" s="1"/>
      <c r="O6153" s="1" t="s">
        <v>30</v>
      </c>
      <c r="P6153" s="1" t="s">
        <v>31</v>
      </c>
      <c r="Q6153" s="1" t="s">
        <v>235</v>
      </c>
      <c r="R6153" s="1" t="s">
        <v>235</v>
      </c>
      <c r="S6153" s="1" t="s">
        <v>236</v>
      </c>
      <c r="U6153" s="1">
        <v>1.00593918E8</v>
      </c>
      <c r="X6153" s="1" t="s">
        <v>63</v>
      </c>
      <c r="Y6153" s="1" t="s">
        <v>6999</v>
      </c>
      <c r="Z6153" s="1" t="s">
        <v>37</v>
      </c>
    </row>
    <row r="6154" hidden="1">
      <c r="A6154" s="1" t="s">
        <v>16935</v>
      </c>
      <c r="B6154" s="1" t="s">
        <v>4160</v>
      </c>
      <c r="C6154" s="1" t="s">
        <v>16936</v>
      </c>
      <c r="D6154" s="1" t="s">
        <v>27</v>
      </c>
      <c r="E6154" s="1" t="s">
        <v>28</v>
      </c>
      <c r="F6154" s="2">
        <v>1.0</v>
      </c>
      <c r="G6154" s="4">
        <v>44208.0</v>
      </c>
      <c r="H6154" s="4">
        <f>IFERROR(__xludf.DUMMYFUNCTION("DATE(INDEX(SPLIT(G6154,""/""),,3),INDEX(SPLIT(G6154,""/""),,2),INDEX(SPLIT(G6154,""/""),,1))"),44531.0)</f>
        <v>44531</v>
      </c>
      <c r="I6154" s="4">
        <v>44569.0</v>
      </c>
      <c r="J6154" s="4">
        <f>IFERROR(__xludf.DUMMYFUNCTION("DATE(INDEX(SPLIT(I6154,""/""),,3),INDEX(SPLIT(I6154,""/""),,2),INDEX(SPLIT(I6154,""/""),,1))"),44774.0)</f>
        <v>44774</v>
      </c>
      <c r="L6154" s="1">
        <v>0.0</v>
      </c>
      <c r="M6154" s="1" t="s">
        <v>10033</v>
      </c>
      <c r="N6154" s="1"/>
      <c r="O6154" s="1" t="s">
        <v>30</v>
      </c>
      <c r="P6154" s="1" t="s">
        <v>31</v>
      </c>
      <c r="Q6154" s="1" t="s">
        <v>228</v>
      </c>
      <c r="R6154" s="1" t="s">
        <v>228</v>
      </c>
      <c r="S6154" s="1" t="s">
        <v>229</v>
      </c>
      <c r="U6154" s="1">
        <v>1.00609078E8</v>
      </c>
      <c r="X6154" s="1" t="s">
        <v>63</v>
      </c>
      <c r="Y6154" s="1" t="s">
        <v>16937</v>
      </c>
      <c r="Z6154" s="1" t="s">
        <v>37</v>
      </c>
    </row>
    <row r="6155" hidden="1">
      <c r="A6155" s="1" t="s">
        <v>16938</v>
      </c>
      <c r="B6155" s="1" t="s">
        <v>1861</v>
      </c>
      <c r="C6155" s="1" t="s">
        <v>16939</v>
      </c>
      <c r="D6155" s="1" t="s">
        <v>27</v>
      </c>
      <c r="E6155" s="1" t="s">
        <v>28</v>
      </c>
      <c r="F6155" s="2">
        <v>1.0</v>
      </c>
      <c r="G6155" s="1" t="s">
        <v>50</v>
      </c>
      <c r="H6155" s="4">
        <f>IFERROR(__xludf.DUMMYFUNCTION("DATE(INDEX(SPLIT(G6155,""/""),,3),INDEX(SPLIT(G6155,""/""),,2),INDEX(SPLIT(G6155,""/""),,1))"),44547.0)</f>
        <v>44547</v>
      </c>
      <c r="I6155" s="4">
        <v>45303.0</v>
      </c>
      <c r="J6155" s="4">
        <f>IFERROR(__xludf.DUMMYFUNCTION("DATE(INDEX(SPLIT(I6155,""/""),,3),INDEX(SPLIT(I6155,""/""),,2),INDEX(SPLIT(I6155,""/""),,1))"),45627.0)</f>
        <v>45627</v>
      </c>
      <c r="L6155" s="1">
        <v>0.0</v>
      </c>
      <c r="M6155" s="1" t="s">
        <v>1036</v>
      </c>
      <c r="N6155" s="1"/>
      <c r="O6155" s="1" t="s">
        <v>30</v>
      </c>
      <c r="P6155" s="1" t="s">
        <v>31</v>
      </c>
      <c r="Q6155" s="1" t="s">
        <v>95</v>
      </c>
      <c r="R6155" s="1" t="s">
        <v>95</v>
      </c>
      <c r="S6155" s="1" t="s">
        <v>96</v>
      </c>
      <c r="T6155" s="1" t="s">
        <v>111</v>
      </c>
      <c r="U6155" s="1">
        <v>1.00633489E8</v>
      </c>
      <c r="X6155" s="1" t="s">
        <v>305</v>
      </c>
      <c r="Y6155" s="1" t="s">
        <v>11286</v>
      </c>
      <c r="Z6155" s="1" t="s">
        <v>37</v>
      </c>
    </row>
    <row r="6156">
      <c r="A6156" s="1" t="s">
        <v>16940</v>
      </c>
      <c r="B6156" s="1" t="s">
        <v>16941</v>
      </c>
      <c r="C6156" s="1" t="s">
        <v>16942</v>
      </c>
      <c r="D6156" s="1" t="s">
        <v>68</v>
      </c>
      <c r="E6156" s="1" t="s">
        <v>28</v>
      </c>
      <c r="F6156" s="2">
        <v>1.0</v>
      </c>
      <c r="G6156" s="1" t="s">
        <v>154</v>
      </c>
      <c r="H6156" s="4">
        <f>IFERROR(__xludf.DUMMYFUNCTION("DATE(INDEX(SPLIT(G6156,""/""),,3),INDEX(SPLIT(G6156,""/""),,2),INDEX(SPLIT(G6156,""/""),,1))"),44670.0)</f>
        <v>44670</v>
      </c>
      <c r="I6156" s="1" t="s">
        <v>1244</v>
      </c>
      <c r="J6156" s="4">
        <f>IFERROR(__xludf.DUMMYFUNCTION("DATE(INDEX(SPLIT(I6156,""/""),,3),INDEX(SPLIT(I6156,""/""),,2),INDEX(SPLIT(I6156,""/""),,1))"),44742.0)</f>
        <v>44742</v>
      </c>
      <c r="L6156" s="1">
        <v>0.0</v>
      </c>
      <c r="M6156" s="1" t="s">
        <v>8081</v>
      </c>
      <c r="N6156" s="1"/>
      <c r="O6156" s="1" t="s">
        <v>30</v>
      </c>
      <c r="P6156" s="1" t="s">
        <v>31</v>
      </c>
      <c r="Q6156" s="1" t="s">
        <v>228</v>
      </c>
      <c r="R6156" s="1" t="s">
        <v>228</v>
      </c>
      <c r="S6156" s="1" t="s">
        <v>229</v>
      </c>
      <c r="T6156" s="1" t="s">
        <v>513</v>
      </c>
      <c r="U6156" s="1">
        <v>1.01154613E8</v>
      </c>
      <c r="Y6156" s="1" t="s">
        <v>3414</v>
      </c>
      <c r="Z6156" s="1" t="s">
        <v>37</v>
      </c>
    </row>
    <row r="6157" hidden="1">
      <c r="A6157" s="1" t="s">
        <v>16943</v>
      </c>
      <c r="B6157" s="1" t="s">
        <v>2205</v>
      </c>
      <c r="C6157" s="1" t="s">
        <v>16944</v>
      </c>
      <c r="D6157" s="1" t="s">
        <v>27</v>
      </c>
      <c r="E6157" s="1" t="s">
        <v>28</v>
      </c>
      <c r="F6157" s="2">
        <v>1.0</v>
      </c>
      <c r="G6157" s="4">
        <v>44595.0</v>
      </c>
      <c r="H6157" s="4">
        <f>IFERROR(__xludf.DUMMYFUNCTION("DATE(INDEX(SPLIT(G6157,""/""),,3),INDEX(SPLIT(G6157,""/""),,2),INDEX(SPLIT(G6157,""/""),,1))"),44622.0)</f>
        <v>44622</v>
      </c>
      <c r="I6157" s="1" t="s">
        <v>109</v>
      </c>
      <c r="J6157" s="4">
        <f>IFERROR(__xludf.DUMMYFUNCTION("DATE(INDEX(SPLIT(I6157,""/""),,3),INDEX(SPLIT(I6157,""/""),,2),INDEX(SPLIT(I6157,""/""),,1))"),44834.0)</f>
        <v>44834</v>
      </c>
      <c r="L6157" s="1">
        <v>0.0</v>
      </c>
      <c r="M6157" s="1" t="s">
        <v>5974</v>
      </c>
      <c r="N6157" s="1"/>
      <c r="O6157" s="1" t="s">
        <v>30</v>
      </c>
      <c r="P6157" s="1" t="s">
        <v>31</v>
      </c>
      <c r="Q6157" s="1" t="s">
        <v>235</v>
      </c>
      <c r="R6157" s="1" t="s">
        <v>235</v>
      </c>
      <c r="S6157" s="1" t="s">
        <v>236</v>
      </c>
      <c r="U6157" s="1">
        <v>1.00637651E8</v>
      </c>
      <c r="X6157" s="1" t="s">
        <v>88</v>
      </c>
      <c r="Y6157" s="1" t="s">
        <v>5974</v>
      </c>
      <c r="Z6157" s="1" t="s">
        <v>206</v>
      </c>
    </row>
    <row r="6158">
      <c r="A6158" s="1" t="s">
        <v>16945</v>
      </c>
      <c r="B6158" s="1" t="s">
        <v>4929</v>
      </c>
      <c r="C6158" s="1" t="s">
        <v>16946</v>
      </c>
      <c r="D6158" s="1" t="s">
        <v>27</v>
      </c>
      <c r="E6158" s="1" t="s">
        <v>28</v>
      </c>
      <c r="F6158" s="2">
        <v>1.0</v>
      </c>
      <c r="G6158" s="1" t="s">
        <v>1703</v>
      </c>
      <c r="H6158" s="4">
        <f>IFERROR(__xludf.DUMMYFUNCTION("DATE(INDEX(SPLIT(G6158,""/""),,3),INDEX(SPLIT(G6158,""/""),,2),INDEX(SPLIT(G6158,""/""),,1))"),44576.0)</f>
        <v>44576</v>
      </c>
      <c r="I6158" s="1" t="s">
        <v>1244</v>
      </c>
      <c r="J6158" s="4">
        <f>IFERROR(__xludf.DUMMYFUNCTION("DATE(INDEX(SPLIT(I6158,""/""),,3),INDEX(SPLIT(I6158,""/""),,2),INDEX(SPLIT(I6158,""/""),,1))"),44742.0)</f>
        <v>44742</v>
      </c>
      <c r="L6158" s="1">
        <v>0.0</v>
      </c>
      <c r="M6158" s="1" t="s">
        <v>2905</v>
      </c>
      <c r="N6158" s="1"/>
      <c r="O6158" s="1" t="s">
        <v>30</v>
      </c>
      <c r="P6158" s="1" t="s">
        <v>31</v>
      </c>
      <c r="Q6158" s="1" t="s">
        <v>53</v>
      </c>
      <c r="R6158" s="1" t="s">
        <v>53</v>
      </c>
      <c r="S6158" s="1" t="s">
        <v>54</v>
      </c>
      <c r="U6158" s="1">
        <v>1.01074419E8</v>
      </c>
      <c r="X6158" s="1" t="s">
        <v>117</v>
      </c>
      <c r="Y6158" s="1" t="s">
        <v>2905</v>
      </c>
      <c r="Z6158" s="1" t="s">
        <v>527</v>
      </c>
    </row>
    <row r="6159">
      <c r="A6159" s="1" t="s">
        <v>16947</v>
      </c>
      <c r="B6159" s="1" t="s">
        <v>3957</v>
      </c>
      <c r="C6159" s="1" t="s">
        <v>16948</v>
      </c>
      <c r="D6159" s="1" t="s">
        <v>27</v>
      </c>
      <c r="E6159" s="1" t="s">
        <v>28</v>
      </c>
      <c r="F6159" s="2">
        <v>0.0</v>
      </c>
      <c r="G6159" s="4">
        <v>44115.0</v>
      </c>
      <c r="H6159" s="4">
        <f>IFERROR(__xludf.DUMMYFUNCTION("DATE(INDEX(SPLIT(G6159,""/""),,3),INDEX(SPLIT(G6159,""/""),,2),INDEX(SPLIT(G6159,""/""),,1))"),44145.0)</f>
        <v>44145</v>
      </c>
      <c r="I6159" s="1" t="s">
        <v>414</v>
      </c>
      <c r="J6159" s="4">
        <f>IFERROR(__xludf.DUMMYFUNCTION("DATE(INDEX(SPLIT(I6159,""/""),,3),INDEX(SPLIT(I6159,""/""),,2),INDEX(SPLIT(I6159,""/""),,1))"),44772.0)</f>
        <v>44772</v>
      </c>
      <c r="L6159" s="1">
        <v>0.0</v>
      </c>
      <c r="M6159" s="1" t="s">
        <v>9618</v>
      </c>
      <c r="N6159" s="1"/>
      <c r="O6159" s="1" t="s">
        <v>30</v>
      </c>
      <c r="P6159" s="1" t="s">
        <v>31</v>
      </c>
      <c r="Q6159" s="1" t="s">
        <v>157</v>
      </c>
      <c r="R6159" s="1" t="s">
        <v>157</v>
      </c>
      <c r="S6159" s="1" t="s">
        <v>158</v>
      </c>
      <c r="T6159" s="1" t="s">
        <v>16949</v>
      </c>
      <c r="U6159" s="1">
        <v>1.00653538E8</v>
      </c>
      <c r="X6159" s="1" t="s">
        <v>117</v>
      </c>
      <c r="Y6159" s="1" t="s">
        <v>7928</v>
      </c>
      <c r="Z6159" s="1" t="s">
        <v>37</v>
      </c>
    </row>
    <row r="6160">
      <c r="A6160" s="1" t="s">
        <v>16950</v>
      </c>
      <c r="B6160" s="1" t="s">
        <v>59</v>
      </c>
      <c r="C6160" s="1" t="s">
        <v>16951</v>
      </c>
      <c r="D6160" s="1" t="s">
        <v>122</v>
      </c>
      <c r="E6160" s="1" t="s">
        <v>28</v>
      </c>
      <c r="F6160" s="2">
        <v>0.0</v>
      </c>
      <c r="G6160" s="1" t="s">
        <v>5039</v>
      </c>
      <c r="H6160" s="4">
        <f>IFERROR(__xludf.DUMMYFUNCTION("DATE(INDEX(SPLIT(G6160,""/""),,3),INDEX(SPLIT(G6160,""/""),,2),INDEX(SPLIT(G6160,""/""),,1))"),44674.0)</f>
        <v>44674</v>
      </c>
      <c r="I6160" s="4">
        <v>44626.0</v>
      </c>
      <c r="J6160" s="4">
        <f>IFERROR(__xludf.DUMMYFUNCTION("DATE(INDEX(SPLIT(I6160,""/""),,3),INDEX(SPLIT(I6160,""/""),,2),INDEX(SPLIT(I6160,""/""),,1))"),44715.0)</f>
        <v>44715</v>
      </c>
      <c r="L6160" s="1">
        <v>0.0</v>
      </c>
      <c r="M6160" s="1" t="s">
        <v>653</v>
      </c>
      <c r="N6160" s="1"/>
      <c r="O6160" s="1" t="s">
        <v>30</v>
      </c>
      <c r="P6160" s="1" t="s">
        <v>31</v>
      </c>
      <c r="Q6160" s="1" t="s">
        <v>157</v>
      </c>
      <c r="R6160" s="1" t="s">
        <v>157</v>
      </c>
      <c r="S6160" s="1" t="s">
        <v>158</v>
      </c>
      <c r="U6160" s="1">
        <v>1.00591141E8</v>
      </c>
      <c r="X6160" s="1" t="s">
        <v>63</v>
      </c>
      <c r="Y6160" s="1" t="s">
        <v>6229</v>
      </c>
      <c r="Z6160" s="1" t="s">
        <v>37</v>
      </c>
    </row>
    <row r="6161">
      <c r="A6161" s="1" t="s">
        <v>16952</v>
      </c>
      <c r="B6161" s="1" t="s">
        <v>16953</v>
      </c>
      <c r="C6161" s="1" t="s">
        <v>16954</v>
      </c>
      <c r="D6161" s="1" t="s">
        <v>78</v>
      </c>
      <c r="E6161" s="1" t="s">
        <v>28</v>
      </c>
      <c r="F6161" s="2">
        <v>0.0</v>
      </c>
      <c r="G6161" s="1" t="s">
        <v>2629</v>
      </c>
      <c r="H6161" s="4">
        <f>IFERROR(__xludf.DUMMYFUNCTION("DATE(INDEX(SPLIT(G6161,""/""),,3),INDEX(SPLIT(G6161,""/""),,2),INDEX(SPLIT(G6161,""/""),,1))"),44651.0)</f>
        <v>44651</v>
      </c>
      <c r="I6161" s="1" t="s">
        <v>1438</v>
      </c>
      <c r="J6161" s="4">
        <f>IFERROR(__xludf.DUMMYFUNCTION("DATE(INDEX(SPLIT(I6161,""/""),,3),INDEX(SPLIT(I6161,""/""),,2),INDEX(SPLIT(I6161,""/""),,1))"),44708.0)</f>
        <v>44708</v>
      </c>
      <c r="L6161" s="1">
        <v>0.0</v>
      </c>
      <c r="M6161" s="1" t="s">
        <v>196</v>
      </c>
      <c r="N6161" s="1"/>
      <c r="O6161" s="1" t="s">
        <v>30</v>
      </c>
      <c r="P6161" s="1" t="s">
        <v>31</v>
      </c>
      <c r="Q6161" s="1" t="s">
        <v>53</v>
      </c>
      <c r="R6161" s="1" t="s">
        <v>53</v>
      </c>
      <c r="S6161" s="1" t="s">
        <v>54</v>
      </c>
      <c r="U6161" s="1">
        <v>1.00589741E8</v>
      </c>
      <c r="Y6161" s="1" t="s">
        <v>16955</v>
      </c>
      <c r="Z6161" s="1" t="s">
        <v>37</v>
      </c>
    </row>
    <row r="6162">
      <c r="A6162" s="1" t="s">
        <v>16956</v>
      </c>
      <c r="B6162" s="1" t="s">
        <v>16957</v>
      </c>
      <c r="C6162" s="1" t="s">
        <v>16958</v>
      </c>
      <c r="D6162" s="1" t="s">
        <v>78</v>
      </c>
      <c r="E6162" s="1" t="s">
        <v>28</v>
      </c>
      <c r="F6162" s="2">
        <v>0.0</v>
      </c>
      <c r="G6162" s="1" t="s">
        <v>1058</v>
      </c>
      <c r="H6162" s="4">
        <f>IFERROR(__xludf.DUMMYFUNCTION("DATE(INDEX(SPLIT(G6162,""/""),,3),INDEX(SPLIT(G6162,""/""),,2),INDEX(SPLIT(G6162,""/""),,1))"),44733.0)</f>
        <v>44733</v>
      </c>
      <c r="I6162" s="1" t="s">
        <v>1244</v>
      </c>
      <c r="J6162" s="4">
        <f>IFERROR(__xludf.DUMMYFUNCTION("DATE(INDEX(SPLIT(I6162,""/""),,3),INDEX(SPLIT(I6162,""/""),,2),INDEX(SPLIT(I6162,""/""),,1))"),44742.0)</f>
        <v>44742</v>
      </c>
      <c r="L6162" s="1">
        <v>0.0</v>
      </c>
      <c r="M6162" s="1" t="s">
        <v>16959</v>
      </c>
      <c r="N6162" s="1"/>
      <c r="O6162" s="1" t="s">
        <v>30</v>
      </c>
      <c r="P6162" s="1" t="s">
        <v>31</v>
      </c>
      <c r="Q6162" s="1" t="s">
        <v>228</v>
      </c>
      <c r="R6162" s="1" t="s">
        <v>228</v>
      </c>
      <c r="S6162" s="1" t="s">
        <v>229</v>
      </c>
      <c r="U6162" s="1">
        <v>1.00878189E8</v>
      </c>
      <c r="X6162" s="1" t="s">
        <v>2028</v>
      </c>
      <c r="Y6162" s="1" t="s">
        <v>16960</v>
      </c>
      <c r="Z6162" s="1" t="s">
        <v>37</v>
      </c>
    </row>
    <row r="6163">
      <c r="A6163" s="1" t="s">
        <v>16961</v>
      </c>
      <c r="B6163" s="1" t="s">
        <v>3494</v>
      </c>
      <c r="C6163" s="1" t="s">
        <v>16962</v>
      </c>
      <c r="D6163" s="1" t="s">
        <v>78</v>
      </c>
      <c r="E6163" s="1" t="s">
        <v>28</v>
      </c>
      <c r="F6163" s="2">
        <v>0.0</v>
      </c>
      <c r="G6163" s="1" t="s">
        <v>3349</v>
      </c>
      <c r="H6163" s="4">
        <f>IFERROR(__xludf.DUMMYFUNCTION("DATE(INDEX(SPLIT(G6163,""/""),,3),INDEX(SPLIT(G6163,""/""),,2),INDEX(SPLIT(G6163,""/""),,1))"),44648.0)</f>
        <v>44648</v>
      </c>
      <c r="I6163" s="1" t="s">
        <v>226</v>
      </c>
      <c r="J6163" s="4">
        <f>IFERROR(__xludf.DUMMYFUNCTION("DATE(INDEX(SPLIT(I6163,""/""),,3),INDEX(SPLIT(I6163,""/""),,2),INDEX(SPLIT(I6163,""/""),,1))"),44771.0)</f>
        <v>44771</v>
      </c>
      <c r="L6163" s="1">
        <v>0.0</v>
      </c>
      <c r="M6163" s="1" t="s">
        <v>7968</v>
      </c>
      <c r="N6163" s="1"/>
      <c r="O6163" s="1" t="s">
        <v>30</v>
      </c>
      <c r="P6163" s="1" t="s">
        <v>31</v>
      </c>
      <c r="Q6163" s="1" t="s">
        <v>157</v>
      </c>
      <c r="R6163" s="1" t="s">
        <v>157</v>
      </c>
      <c r="S6163" s="1" t="s">
        <v>158</v>
      </c>
      <c r="U6163" s="1">
        <v>1.00653494E8</v>
      </c>
      <c r="X6163" s="1" t="s">
        <v>254</v>
      </c>
      <c r="Y6163" s="1" t="s">
        <v>7968</v>
      </c>
      <c r="Z6163" s="1" t="s">
        <v>527</v>
      </c>
    </row>
    <row r="6164">
      <c r="A6164" s="1" t="s">
        <v>16963</v>
      </c>
      <c r="B6164" s="1" t="s">
        <v>3494</v>
      </c>
      <c r="C6164" s="1" t="s">
        <v>16964</v>
      </c>
      <c r="D6164" s="1" t="s">
        <v>27</v>
      </c>
      <c r="E6164" s="1" t="s">
        <v>28</v>
      </c>
      <c r="F6164" s="2">
        <v>0.0</v>
      </c>
      <c r="G6164" s="1" t="s">
        <v>3349</v>
      </c>
      <c r="H6164" s="4">
        <f>IFERROR(__xludf.DUMMYFUNCTION("DATE(INDEX(SPLIT(G6164,""/""),,3),INDEX(SPLIT(G6164,""/""),,2),INDEX(SPLIT(G6164,""/""),,1))"),44648.0)</f>
        <v>44648</v>
      </c>
      <c r="I6164" s="1" t="s">
        <v>226</v>
      </c>
      <c r="J6164" s="4">
        <f>IFERROR(__xludf.DUMMYFUNCTION("DATE(INDEX(SPLIT(I6164,""/""),,3),INDEX(SPLIT(I6164,""/""),,2),INDEX(SPLIT(I6164,""/""),,1))"),44771.0)</f>
        <v>44771</v>
      </c>
      <c r="L6164" s="1">
        <v>0.0</v>
      </c>
      <c r="M6164" s="1" t="s">
        <v>7968</v>
      </c>
      <c r="N6164" s="1"/>
      <c r="O6164" s="1" t="s">
        <v>30</v>
      </c>
      <c r="P6164" s="1" t="s">
        <v>31</v>
      </c>
      <c r="Q6164" s="1" t="s">
        <v>157</v>
      </c>
      <c r="R6164" s="1" t="s">
        <v>157</v>
      </c>
      <c r="S6164" s="1" t="s">
        <v>158</v>
      </c>
      <c r="U6164" s="1">
        <v>1.00653494E8</v>
      </c>
      <c r="X6164" s="1" t="s">
        <v>254</v>
      </c>
      <c r="Y6164" s="1" t="s">
        <v>7968</v>
      </c>
      <c r="Z6164" s="1" t="s">
        <v>527</v>
      </c>
    </row>
    <row r="6165" hidden="1">
      <c r="A6165" s="1" t="s">
        <v>16965</v>
      </c>
      <c r="B6165" s="1" t="s">
        <v>1655</v>
      </c>
      <c r="C6165" s="1" t="s">
        <v>16966</v>
      </c>
      <c r="D6165" s="1" t="s">
        <v>78</v>
      </c>
      <c r="E6165" s="1" t="s">
        <v>28</v>
      </c>
      <c r="F6165" s="2">
        <v>0.0</v>
      </c>
      <c r="G6165" s="1" t="s">
        <v>330</v>
      </c>
      <c r="H6165" s="4">
        <f>IFERROR(__xludf.DUMMYFUNCTION("DATE(INDEX(SPLIT(G6165,""/""),,3),INDEX(SPLIT(G6165,""/""),,2),INDEX(SPLIT(G6165,""/""),,1))"),44728.0)</f>
        <v>44728</v>
      </c>
      <c r="I6165" s="1" t="s">
        <v>165</v>
      </c>
      <c r="J6165" s="4">
        <f>IFERROR(__xludf.DUMMYFUNCTION("DATE(INDEX(SPLIT(I6165,""/""),,3),INDEX(SPLIT(I6165,""/""),,2),INDEX(SPLIT(I6165,""/""),,1))"),44803.0)</f>
        <v>44803</v>
      </c>
      <c r="L6165" s="1">
        <v>0.0</v>
      </c>
      <c r="M6165" s="1" t="s">
        <v>3663</v>
      </c>
      <c r="N6165" s="1"/>
      <c r="O6165" s="1" t="s">
        <v>30</v>
      </c>
      <c r="P6165" s="1" t="s">
        <v>31</v>
      </c>
      <c r="Q6165" s="1" t="s">
        <v>95</v>
      </c>
      <c r="R6165" s="1" t="s">
        <v>95</v>
      </c>
      <c r="S6165" s="1" t="s">
        <v>96</v>
      </c>
      <c r="T6165" s="1" t="s">
        <v>489</v>
      </c>
      <c r="U6165" s="1">
        <v>1.00620159E8</v>
      </c>
      <c r="X6165" s="1" t="s">
        <v>490</v>
      </c>
      <c r="Y6165" s="1" t="s">
        <v>7448</v>
      </c>
      <c r="Z6165" s="1" t="s">
        <v>37</v>
      </c>
    </row>
    <row r="6166">
      <c r="A6166" s="1" t="s">
        <v>16967</v>
      </c>
      <c r="B6166" s="1" t="s">
        <v>3494</v>
      </c>
      <c r="C6166" s="1" t="s">
        <v>16968</v>
      </c>
      <c r="D6166" s="1" t="s">
        <v>78</v>
      </c>
      <c r="E6166" s="1" t="s">
        <v>28</v>
      </c>
      <c r="F6166" s="2">
        <v>0.0</v>
      </c>
      <c r="G6166" s="1" t="s">
        <v>3349</v>
      </c>
      <c r="H6166" s="4">
        <f>IFERROR(__xludf.DUMMYFUNCTION("DATE(INDEX(SPLIT(G6166,""/""),,3),INDEX(SPLIT(G6166,""/""),,2),INDEX(SPLIT(G6166,""/""),,1))"),44648.0)</f>
        <v>44648</v>
      </c>
      <c r="I6166" s="1" t="s">
        <v>226</v>
      </c>
      <c r="J6166" s="4">
        <f>IFERROR(__xludf.DUMMYFUNCTION("DATE(INDEX(SPLIT(I6166,""/""),,3),INDEX(SPLIT(I6166,""/""),,2),INDEX(SPLIT(I6166,""/""),,1))"),44771.0)</f>
        <v>44771</v>
      </c>
      <c r="L6166" s="1">
        <v>0.0</v>
      </c>
      <c r="M6166" s="1" t="s">
        <v>7968</v>
      </c>
      <c r="N6166" s="1"/>
      <c r="O6166" s="1" t="s">
        <v>30</v>
      </c>
      <c r="P6166" s="1" t="s">
        <v>31</v>
      </c>
      <c r="Q6166" s="1" t="s">
        <v>157</v>
      </c>
      <c r="R6166" s="1" t="s">
        <v>157</v>
      </c>
      <c r="S6166" s="1" t="s">
        <v>158</v>
      </c>
      <c r="U6166" s="1">
        <v>1.00653494E8</v>
      </c>
      <c r="X6166" s="1" t="s">
        <v>254</v>
      </c>
      <c r="Y6166" s="1" t="s">
        <v>7968</v>
      </c>
      <c r="Z6166" s="1" t="s">
        <v>527</v>
      </c>
    </row>
    <row r="6167" hidden="1">
      <c r="A6167" s="1" t="s">
        <v>16969</v>
      </c>
      <c r="B6167" s="1" t="s">
        <v>1655</v>
      </c>
      <c r="C6167" s="1" t="s">
        <v>16970</v>
      </c>
      <c r="D6167" s="1" t="s">
        <v>27</v>
      </c>
      <c r="E6167" s="1" t="s">
        <v>28</v>
      </c>
      <c r="F6167" s="2">
        <v>0.0</v>
      </c>
      <c r="G6167" s="1" t="s">
        <v>1259</v>
      </c>
      <c r="H6167" s="4">
        <f>IFERROR(__xludf.DUMMYFUNCTION("DATE(INDEX(SPLIT(G6167,""/""),,3),INDEX(SPLIT(G6167,""/""),,2),INDEX(SPLIT(G6167,""/""),,1))"),44763.0)</f>
        <v>44763</v>
      </c>
      <c r="I6167" s="1" t="s">
        <v>203</v>
      </c>
      <c r="J6167" s="4">
        <f>IFERROR(__xludf.DUMMYFUNCTION("DATE(INDEX(SPLIT(I6167,""/""),,3),INDEX(SPLIT(I6167,""/""),,2),INDEX(SPLIT(I6167,""/""),,1))"),44925.0)</f>
        <v>44925</v>
      </c>
      <c r="L6167" s="1">
        <v>0.0</v>
      </c>
      <c r="M6167" s="1" t="s">
        <v>5411</v>
      </c>
      <c r="N6167" s="1"/>
      <c r="O6167" s="1" t="s">
        <v>30</v>
      </c>
      <c r="P6167" s="1" t="s">
        <v>31</v>
      </c>
      <c r="Q6167" s="1" t="s">
        <v>53</v>
      </c>
      <c r="R6167" s="1" t="s">
        <v>53</v>
      </c>
      <c r="S6167" s="1" t="s">
        <v>54</v>
      </c>
      <c r="U6167" s="1">
        <v>1.00610826E8</v>
      </c>
      <c r="X6167" s="1" t="s">
        <v>490</v>
      </c>
      <c r="Y6167" s="1" t="s">
        <v>7448</v>
      </c>
      <c r="Z6167" s="1" t="s">
        <v>37</v>
      </c>
    </row>
    <row r="6168" hidden="1">
      <c r="A6168" s="1" t="s">
        <v>16971</v>
      </c>
      <c r="B6168" s="1" t="s">
        <v>7256</v>
      </c>
      <c r="C6168" s="1" t="s">
        <v>16972</v>
      </c>
      <c r="D6168" s="1" t="s">
        <v>78</v>
      </c>
      <c r="E6168" s="1" t="s">
        <v>28</v>
      </c>
      <c r="F6168" s="2">
        <v>0.0</v>
      </c>
      <c r="G6168" s="4">
        <v>44261.0</v>
      </c>
      <c r="H6168" s="4">
        <f>IFERROR(__xludf.DUMMYFUNCTION("DATE(INDEX(SPLIT(G6168,""/""),,3),INDEX(SPLIT(G6168,""/""),,2),INDEX(SPLIT(G6168,""/""),,1))"),44350.0)</f>
        <v>44350</v>
      </c>
      <c r="I6168" s="1" t="s">
        <v>109</v>
      </c>
      <c r="J6168" s="4">
        <f>IFERROR(__xludf.DUMMYFUNCTION("DATE(INDEX(SPLIT(I6168,""/""),,3),INDEX(SPLIT(I6168,""/""),,2),INDEX(SPLIT(I6168,""/""),,1))"),44834.0)</f>
        <v>44834</v>
      </c>
      <c r="L6168" s="1">
        <v>0.0</v>
      </c>
      <c r="M6168" s="1" t="s">
        <v>2277</v>
      </c>
      <c r="N6168" s="1"/>
      <c r="O6168" s="1" t="s">
        <v>30</v>
      </c>
      <c r="P6168" s="1" t="s">
        <v>31</v>
      </c>
      <c r="Q6168" s="1" t="s">
        <v>71</v>
      </c>
      <c r="R6168" s="1" t="s">
        <v>71</v>
      </c>
      <c r="S6168" s="1" t="s">
        <v>72</v>
      </c>
      <c r="T6168" s="1" t="s">
        <v>136</v>
      </c>
      <c r="U6168" s="1">
        <v>1.00619607E8</v>
      </c>
      <c r="V6168" s="1" t="s">
        <v>16972</v>
      </c>
      <c r="W6168" s="1" t="s">
        <v>45</v>
      </c>
      <c r="X6168" s="1" t="s">
        <v>74</v>
      </c>
      <c r="Y6168" s="1" t="s">
        <v>4925</v>
      </c>
      <c r="Z6168" s="1" t="s">
        <v>37</v>
      </c>
    </row>
    <row r="6169" hidden="1">
      <c r="A6169" s="1" t="s">
        <v>16973</v>
      </c>
      <c r="B6169" s="1" t="s">
        <v>16974</v>
      </c>
      <c r="C6169" s="1" t="s">
        <v>16975</v>
      </c>
      <c r="D6169" s="1" t="s">
        <v>78</v>
      </c>
      <c r="E6169" s="1" t="s">
        <v>28</v>
      </c>
      <c r="F6169" s="2">
        <v>0.0</v>
      </c>
      <c r="G6169" s="1" t="s">
        <v>185</v>
      </c>
      <c r="H6169" s="4">
        <f>IFERROR(__xludf.DUMMYFUNCTION("DATE(INDEX(SPLIT(G6169,""/""),,3),INDEX(SPLIT(G6169,""/""),,2),INDEX(SPLIT(G6169,""/""),,1))"),44741.0)</f>
        <v>44741</v>
      </c>
      <c r="I6169" s="1" t="s">
        <v>42</v>
      </c>
      <c r="J6169" s="4">
        <f>IFERROR(__xludf.DUMMYFUNCTION("DATE(INDEX(SPLIT(I6169,""/""),,3),INDEX(SPLIT(I6169,""/""),,2),INDEX(SPLIT(I6169,""/""),,1))"),44926.0)</f>
        <v>44926</v>
      </c>
      <c r="L6169" s="1">
        <v>0.0</v>
      </c>
      <c r="M6169" s="1" t="s">
        <v>1115</v>
      </c>
      <c r="N6169" s="1"/>
      <c r="O6169" s="1" t="s">
        <v>30</v>
      </c>
      <c r="P6169" s="1" t="s">
        <v>31</v>
      </c>
      <c r="Q6169" s="1" t="s">
        <v>157</v>
      </c>
      <c r="R6169" s="1" t="s">
        <v>157</v>
      </c>
      <c r="S6169" s="1" t="s">
        <v>158</v>
      </c>
      <c r="U6169" s="1">
        <v>1.00609827E8</v>
      </c>
      <c r="Y6169" s="1" t="s">
        <v>16976</v>
      </c>
      <c r="Z6169" s="1" t="s">
        <v>37</v>
      </c>
    </row>
    <row r="6170">
      <c r="A6170" s="1" t="s">
        <v>16977</v>
      </c>
      <c r="B6170" s="1" t="s">
        <v>12450</v>
      </c>
      <c r="C6170" s="1" t="s">
        <v>16978</v>
      </c>
      <c r="D6170" s="1" t="s">
        <v>122</v>
      </c>
      <c r="E6170" s="1" t="s">
        <v>28</v>
      </c>
      <c r="F6170" s="2">
        <v>0.0</v>
      </c>
      <c r="G6170" s="1" t="s">
        <v>354</v>
      </c>
      <c r="H6170" s="4">
        <f>IFERROR(__xludf.DUMMYFUNCTION("DATE(INDEX(SPLIT(G6170,""/""),,3),INDEX(SPLIT(G6170,""/""),,2),INDEX(SPLIT(G6170,""/""),,1))"),44673.0)</f>
        <v>44673</v>
      </c>
      <c r="I6170" s="1" t="s">
        <v>518</v>
      </c>
      <c r="J6170" s="4">
        <f>IFERROR(__xludf.DUMMYFUNCTION("DATE(INDEX(SPLIT(I6170,""/""),,3),INDEX(SPLIT(I6170,""/""),,2),INDEX(SPLIT(I6170,""/""),,1))"),44757.0)</f>
        <v>44757</v>
      </c>
      <c r="L6170" s="1">
        <v>0.0</v>
      </c>
      <c r="M6170" s="1" t="s">
        <v>344</v>
      </c>
      <c r="N6170" s="1"/>
      <c r="O6170" s="1" t="s">
        <v>30</v>
      </c>
      <c r="P6170" s="1" t="s">
        <v>31</v>
      </c>
      <c r="Q6170" s="1" t="s">
        <v>188</v>
      </c>
      <c r="R6170" s="1" t="s">
        <v>188</v>
      </c>
      <c r="S6170" s="1" t="s">
        <v>189</v>
      </c>
      <c r="U6170" s="1">
        <v>1.00646804E8</v>
      </c>
      <c r="X6170" s="1" t="s">
        <v>239</v>
      </c>
      <c r="Y6170" s="1" t="s">
        <v>16979</v>
      </c>
      <c r="Z6170" s="1" t="s">
        <v>37</v>
      </c>
    </row>
    <row r="6171" hidden="1">
      <c r="A6171" s="1" t="s">
        <v>16980</v>
      </c>
      <c r="B6171" s="1" t="s">
        <v>2462</v>
      </c>
      <c r="C6171" s="1" t="s">
        <v>16981</v>
      </c>
      <c r="D6171" s="1" t="s">
        <v>27</v>
      </c>
      <c r="E6171" s="1" t="s">
        <v>28</v>
      </c>
      <c r="F6171" s="2">
        <v>0.0</v>
      </c>
      <c r="G6171" s="1" t="s">
        <v>365</v>
      </c>
      <c r="H6171" s="4">
        <f>IFERROR(__xludf.DUMMYFUNCTION("DATE(INDEX(SPLIT(G6171,""/""),,3),INDEX(SPLIT(G6171,""/""),,2),INDEX(SPLIT(G6171,""/""),,1))"),44431.0)</f>
        <v>44431</v>
      </c>
      <c r="I6171" s="1" t="s">
        <v>1097</v>
      </c>
      <c r="J6171" s="4">
        <f>IFERROR(__xludf.DUMMYFUNCTION("DATE(INDEX(SPLIT(I6171,""/""),,3),INDEX(SPLIT(I6171,""/""),,2),INDEX(SPLIT(I6171,""/""),,1))"),45107.0)</f>
        <v>45107</v>
      </c>
      <c r="L6171" s="1">
        <v>0.0</v>
      </c>
      <c r="M6171" s="1" t="s">
        <v>2464</v>
      </c>
      <c r="N6171" s="1"/>
      <c r="O6171" s="1" t="s">
        <v>30</v>
      </c>
      <c r="P6171" s="1" t="s">
        <v>31</v>
      </c>
      <c r="Q6171" s="1" t="s">
        <v>157</v>
      </c>
      <c r="R6171" s="1" t="s">
        <v>157</v>
      </c>
      <c r="S6171" s="1" t="s">
        <v>158</v>
      </c>
      <c r="U6171" s="1">
        <v>1.00589278E8</v>
      </c>
      <c r="Y6171" s="1" t="s">
        <v>6677</v>
      </c>
      <c r="Z6171" s="1" t="s">
        <v>37</v>
      </c>
    </row>
    <row r="6172">
      <c r="A6172" s="1" t="s">
        <v>16982</v>
      </c>
      <c r="B6172" s="1" t="s">
        <v>816</v>
      </c>
      <c r="C6172" s="1" t="s">
        <v>16983</v>
      </c>
      <c r="D6172" s="1" t="s">
        <v>27</v>
      </c>
      <c r="E6172" s="1" t="s">
        <v>28</v>
      </c>
      <c r="F6172" s="2">
        <v>0.0</v>
      </c>
      <c r="G6172" s="1" t="s">
        <v>2251</v>
      </c>
      <c r="H6172" s="4">
        <f>IFERROR(__xludf.DUMMYFUNCTION("DATE(INDEX(SPLIT(G6172,""/""),,3),INDEX(SPLIT(G6172,""/""),,2),INDEX(SPLIT(G6172,""/""),,1))"),44498.0)</f>
        <v>44498</v>
      </c>
      <c r="I6172" s="1" t="s">
        <v>1244</v>
      </c>
      <c r="J6172" s="4">
        <f>IFERROR(__xludf.DUMMYFUNCTION("DATE(INDEX(SPLIT(I6172,""/""),,3),INDEX(SPLIT(I6172,""/""),,2),INDEX(SPLIT(I6172,""/""),,1))"),44742.0)</f>
        <v>44742</v>
      </c>
      <c r="L6172" s="1">
        <v>0.0</v>
      </c>
      <c r="M6172" s="1" t="s">
        <v>819</v>
      </c>
      <c r="N6172" s="1"/>
      <c r="O6172" s="1" t="s">
        <v>30</v>
      </c>
      <c r="P6172" s="1" t="s">
        <v>31</v>
      </c>
      <c r="Q6172" s="1" t="s">
        <v>53</v>
      </c>
      <c r="R6172" s="1" t="s">
        <v>53</v>
      </c>
      <c r="S6172" s="1" t="s">
        <v>54</v>
      </c>
      <c r="T6172" s="1" t="s">
        <v>634</v>
      </c>
      <c r="U6172" s="1">
        <v>1.00661738E8</v>
      </c>
      <c r="X6172" s="1" t="s">
        <v>63</v>
      </c>
      <c r="Y6172" s="1" t="s">
        <v>6272</v>
      </c>
      <c r="Z6172" s="1" t="s">
        <v>37</v>
      </c>
    </row>
    <row r="6173" hidden="1">
      <c r="A6173" s="1" t="s">
        <v>16984</v>
      </c>
      <c r="B6173" s="1" t="s">
        <v>2462</v>
      </c>
      <c r="C6173" s="1" t="s">
        <v>16985</v>
      </c>
      <c r="D6173" s="1" t="s">
        <v>27</v>
      </c>
      <c r="E6173" s="1" t="s">
        <v>28</v>
      </c>
      <c r="F6173" s="2">
        <v>0.0</v>
      </c>
      <c r="G6173" s="1" t="s">
        <v>365</v>
      </c>
      <c r="H6173" s="4">
        <f>IFERROR(__xludf.DUMMYFUNCTION("DATE(INDEX(SPLIT(G6173,""/""),,3),INDEX(SPLIT(G6173,""/""),,2),INDEX(SPLIT(G6173,""/""),,1))"),44431.0)</f>
        <v>44431</v>
      </c>
      <c r="I6173" s="1" t="s">
        <v>1097</v>
      </c>
      <c r="J6173" s="4">
        <f>IFERROR(__xludf.DUMMYFUNCTION("DATE(INDEX(SPLIT(I6173,""/""),,3),INDEX(SPLIT(I6173,""/""),,2),INDEX(SPLIT(I6173,""/""),,1))"),45107.0)</f>
        <v>45107</v>
      </c>
      <c r="L6173" s="1">
        <v>0.0</v>
      </c>
      <c r="M6173" s="1" t="s">
        <v>1036</v>
      </c>
      <c r="N6173" s="1"/>
      <c r="O6173" s="1" t="s">
        <v>30</v>
      </c>
      <c r="P6173" s="1" t="s">
        <v>31</v>
      </c>
      <c r="Q6173" s="1" t="s">
        <v>95</v>
      </c>
      <c r="R6173" s="1" t="s">
        <v>95</v>
      </c>
      <c r="S6173" s="1" t="s">
        <v>96</v>
      </c>
      <c r="T6173" s="1" t="s">
        <v>111</v>
      </c>
      <c r="U6173" s="1">
        <v>1.00633489E8</v>
      </c>
      <c r="Y6173" s="1" t="s">
        <v>6677</v>
      </c>
      <c r="Z6173" s="1" t="s">
        <v>37</v>
      </c>
    </row>
    <row r="6174" hidden="1">
      <c r="A6174" s="1" t="s">
        <v>16986</v>
      </c>
      <c r="B6174" s="1" t="s">
        <v>83</v>
      </c>
      <c r="C6174" s="1" t="s">
        <v>16987</v>
      </c>
      <c r="D6174" s="1" t="s">
        <v>27</v>
      </c>
      <c r="E6174" s="1" t="s">
        <v>28</v>
      </c>
      <c r="F6174" s="2">
        <v>0.0</v>
      </c>
      <c r="G6174" s="1" t="s">
        <v>472</v>
      </c>
      <c r="H6174" s="4">
        <f>IFERROR(__xludf.DUMMYFUNCTION("DATE(INDEX(SPLIT(G6174,""/""),,3),INDEX(SPLIT(G6174,""/""),,2),INDEX(SPLIT(G6174,""/""),,1))"),44760.0)</f>
        <v>44760</v>
      </c>
      <c r="I6174" s="1" t="s">
        <v>109</v>
      </c>
      <c r="J6174" s="4">
        <f>IFERROR(__xludf.DUMMYFUNCTION("DATE(INDEX(SPLIT(I6174,""/""),,3),INDEX(SPLIT(I6174,""/""),,2),INDEX(SPLIT(I6174,""/""),,1))"),44834.0)</f>
        <v>44834</v>
      </c>
      <c r="L6174" s="1">
        <v>0.0</v>
      </c>
      <c r="M6174" s="1" t="s">
        <v>193</v>
      </c>
      <c r="N6174" s="1"/>
      <c r="O6174" s="1" t="s">
        <v>30</v>
      </c>
      <c r="P6174" s="1" t="s">
        <v>31</v>
      </c>
      <c r="Q6174" s="1" t="s">
        <v>53</v>
      </c>
      <c r="R6174" s="1" t="s">
        <v>53</v>
      </c>
      <c r="S6174" s="1" t="s">
        <v>54</v>
      </c>
      <c r="T6174" s="1" t="s">
        <v>87</v>
      </c>
      <c r="U6174" s="1">
        <v>1.00882501E8</v>
      </c>
      <c r="X6174" s="1" t="s">
        <v>88</v>
      </c>
      <c r="Y6174" s="1" t="s">
        <v>13472</v>
      </c>
      <c r="Z6174" s="1" t="s">
        <v>37</v>
      </c>
    </row>
    <row r="6175" hidden="1">
      <c r="A6175" s="1" t="s">
        <v>16988</v>
      </c>
      <c r="B6175" s="1" t="s">
        <v>2121</v>
      </c>
      <c r="C6175" s="1" t="s">
        <v>16989</v>
      </c>
      <c r="D6175" s="1" t="s">
        <v>27</v>
      </c>
      <c r="E6175" s="1" t="s">
        <v>28</v>
      </c>
      <c r="F6175" s="2">
        <v>0.0</v>
      </c>
      <c r="G6175" s="1" t="s">
        <v>2496</v>
      </c>
      <c r="H6175" s="4">
        <f>IFERROR(__xludf.DUMMYFUNCTION("DATE(INDEX(SPLIT(G6175,""/""),,3),INDEX(SPLIT(G6175,""/""),,2),INDEX(SPLIT(G6175,""/""),,1))"),44240.0)</f>
        <v>44240</v>
      </c>
      <c r="I6175" s="1" t="s">
        <v>203</v>
      </c>
      <c r="J6175" s="4">
        <f>IFERROR(__xludf.DUMMYFUNCTION("DATE(INDEX(SPLIT(I6175,""/""),,3),INDEX(SPLIT(I6175,""/""),,2),INDEX(SPLIT(I6175,""/""),,1))"),44925.0)</f>
        <v>44925</v>
      </c>
      <c r="L6175" s="1">
        <v>0.0</v>
      </c>
      <c r="M6175" s="1" t="s">
        <v>2787</v>
      </c>
      <c r="N6175" s="1"/>
      <c r="O6175" s="1" t="s">
        <v>30</v>
      </c>
      <c r="P6175" s="1" t="s">
        <v>31</v>
      </c>
      <c r="Q6175" s="1" t="s">
        <v>157</v>
      </c>
      <c r="R6175" s="1" t="s">
        <v>157</v>
      </c>
      <c r="S6175" s="1" t="s">
        <v>158</v>
      </c>
      <c r="T6175" s="1" t="s">
        <v>442</v>
      </c>
      <c r="U6175" s="1">
        <v>1.00708984E8</v>
      </c>
      <c r="X6175" s="1" t="s">
        <v>88</v>
      </c>
      <c r="Y6175" s="1" t="s">
        <v>8035</v>
      </c>
      <c r="Z6175" s="1" t="s">
        <v>37</v>
      </c>
    </row>
    <row r="6176" hidden="1">
      <c r="A6176" s="1" t="s">
        <v>16990</v>
      </c>
      <c r="B6176" s="1" t="s">
        <v>177</v>
      </c>
      <c r="C6176" s="1" t="s">
        <v>16991</v>
      </c>
      <c r="D6176" s="1" t="s">
        <v>27</v>
      </c>
      <c r="E6176" s="1" t="s">
        <v>28</v>
      </c>
      <c r="F6176" s="2">
        <v>0.0</v>
      </c>
      <c r="G6176" s="1" t="s">
        <v>101</v>
      </c>
      <c r="H6176" s="4">
        <f>IFERROR(__xludf.DUMMYFUNCTION("DATE(INDEX(SPLIT(G6176,""/""),,3),INDEX(SPLIT(G6176,""/""),,2),INDEX(SPLIT(G6176,""/""),,1))"),44314.0)</f>
        <v>44314</v>
      </c>
      <c r="I6176" s="1" t="s">
        <v>109</v>
      </c>
      <c r="J6176" s="4">
        <f>IFERROR(__xludf.DUMMYFUNCTION("DATE(INDEX(SPLIT(I6176,""/""),,3),INDEX(SPLIT(I6176,""/""),,2),INDEX(SPLIT(I6176,""/""),,1))"),44834.0)</f>
        <v>44834</v>
      </c>
      <c r="L6176" s="1">
        <v>0.0</v>
      </c>
      <c r="M6176" s="1" t="s">
        <v>7296</v>
      </c>
      <c r="N6176" s="1"/>
      <c r="O6176" s="1" t="s">
        <v>30</v>
      </c>
      <c r="P6176" s="1" t="s">
        <v>31</v>
      </c>
      <c r="Q6176" s="1" t="s">
        <v>71</v>
      </c>
      <c r="R6176" s="1" t="s">
        <v>71</v>
      </c>
      <c r="S6176" s="1" t="s">
        <v>72</v>
      </c>
      <c r="T6176" s="1" t="s">
        <v>73</v>
      </c>
      <c r="U6176" s="1">
        <v>1.00594243E8</v>
      </c>
      <c r="X6176" s="1" t="s">
        <v>74</v>
      </c>
      <c r="Y6176" s="1" t="s">
        <v>16992</v>
      </c>
      <c r="Z6176" s="1" t="s">
        <v>206</v>
      </c>
    </row>
    <row r="6177">
      <c r="A6177" s="1" t="s">
        <v>16993</v>
      </c>
      <c r="B6177" s="1" t="s">
        <v>7157</v>
      </c>
      <c r="C6177" s="1" t="s">
        <v>16994</v>
      </c>
      <c r="D6177" s="1" t="s">
        <v>122</v>
      </c>
      <c r="E6177" s="1" t="s">
        <v>28</v>
      </c>
      <c r="F6177" s="2">
        <v>0.0</v>
      </c>
      <c r="G6177" s="1" t="s">
        <v>233</v>
      </c>
      <c r="H6177" s="4">
        <f>IFERROR(__xludf.DUMMYFUNCTION("DATE(INDEX(SPLIT(G6177,""/""),,3),INDEX(SPLIT(G6177,""/""),,2),INDEX(SPLIT(G6177,""/""),,1))"),44729.0)</f>
        <v>44729</v>
      </c>
      <c r="I6177" s="1" t="s">
        <v>330</v>
      </c>
      <c r="J6177" s="4">
        <f>IFERROR(__xludf.DUMMYFUNCTION("DATE(INDEX(SPLIT(I6177,""/""),,3),INDEX(SPLIT(I6177,""/""),,2),INDEX(SPLIT(I6177,""/""),,1))"),44728.0)</f>
        <v>44728</v>
      </c>
      <c r="L6177" s="1">
        <v>0.0</v>
      </c>
      <c r="M6177" s="1" t="s">
        <v>2476</v>
      </c>
      <c r="N6177" s="1"/>
      <c r="O6177" s="1" t="s">
        <v>30</v>
      </c>
      <c r="P6177" s="1" t="s">
        <v>31</v>
      </c>
      <c r="Q6177" s="1" t="s">
        <v>71</v>
      </c>
      <c r="R6177" s="1" t="s">
        <v>71</v>
      </c>
      <c r="S6177" s="1" t="s">
        <v>72</v>
      </c>
      <c r="U6177" s="1">
        <v>1.00649598E8</v>
      </c>
      <c r="X6177" s="1" t="s">
        <v>74</v>
      </c>
      <c r="Y6177" s="1" t="s">
        <v>6291</v>
      </c>
      <c r="Z6177" s="1" t="s">
        <v>37</v>
      </c>
    </row>
    <row r="6178">
      <c r="A6178" s="1" t="s">
        <v>16995</v>
      </c>
      <c r="B6178" s="1" t="s">
        <v>162</v>
      </c>
      <c r="C6178" s="1" t="s">
        <v>16996</v>
      </c>
      <c r="D6178" s="1" t="s">
        <v>122</v>
      </c>
      <c r="E6178" s="1" t="s">
        <v>28</v>
      </c>
      <c r="F6178" s="2">
        <v>0.0</v>
      </c>
      <c r="G6178" s="1" t="s">
        <v>233</v>
      </c>
      <c r="H6178" s="4">
        <f>IFERROR(__xludf.DUMMYFUNCTION("DATE(INDEX(SPLIT(G6178,""/""),,3),INDEX(SPLIT(G6178,""/""),,2),INDEX(SPLIT(G6178,""/""),,1))"),44729.0)</f>
        <v>44729</v>
      </c>
      <c r="I6178" s="1" t="s">
        <v>330</v>
      </c>
      <c r="J6178" s="4">
        <f>IFERROR(__xludf.DUMMYFUNCTION("DATE(INDEX(SPLIT(I6178,""/""),,3),INDEX(SPLIT(I6178,""/""),,2),INDEX(SPLIT(I6178,""/""),,1))"),44728.0)</f>
        <v>44728</v>
      </c>
      <c r="L6178" s="1">
        <v>0.0</v>
      </c>
      <c r="M6178" s="1" t="s">
        <v>2476</v>
      </c>
      <c r="N6178" s="1"/>
      <c r="O6178" s="1" t="s">
        <v>30</v>
      </c>
      <c r="P6178" s="1" t="s">
        <v>31</v>
      </c>
      <c r="Q6178" s="1" t="s">
        <v>71</v>
      </c>
      <c r="R6178" s="1" t="s">
        <v>71</v>
      </c>
      <c r="S6178" s="1" t="s">
        <v>72</v>
      </c>
      <c r="U6178" s="1">
        <v>1.00649598E8</v>
      </c>
      <c r="X6178" s="1" t="s">
        <v>74</v>
      </c>
      <c r="Y6178" s="1" t="s">
        <v>6291</v>
      </c>
      <c r="Z6178" s="1" t="s">
        <v>37</v>
      </c>
    </row>
    <row r="6179" hidden="1">
      <c r="A6179" s="1" t="s">
        <v>16997</v>
      </c>
      <c r="B6179" s="1" t="s">
        <v>1371</v>
      </c>
      <c r="C6179" s="1" t="s">
        <v>16998</v>
      </c>
      <c r="D6179" s="1" t="s">
        <v>27</v>
      </c>
      <c r="E6179" s="1" t="s">
        <v>28</v>
      </c>
      <c r="F6179" s="2">
        <v>0.0</v>
      </c>
      <c r="G6179" s="1" t="s">
        <v>321</v>
      </c>
      <c r="H6179" s="4">
        <f>IFERROR(__xludf.DUMMYFUNCTION("DATE(INDEX(SPLIT(G6179,""/""),,3),INDEX(SPLIT(G6179,""/""),,2),INDEX(SPLIT(G6179,""/""),,1))"),44586.0)</f>
        <v>44586</v>
      </c>
      <c r="I6179" s="1" t="s">
        <v>130</v>
      </c>
      <c r="J6179" s="4">
        <f>IFERROR(__xludf.DUMMYFUNCTION("DATE(INDEX(SPLIT(I6179,""/""),,3),INDEX(SPLIT(I6179,""/""),,2),INDEX(SPLIT(I6179,""/""),,1))"),44804.0)</f>
        <v>44804</v>
      </c>
      <c r="L6179" s="1">
        <v>0.0</v>
      </c>
      <c r="M6179" s="1" t="s">
        <v>12807</v>
      </c>
      <c r="N6179" s="1"/>
      <c r="O6179" s="1" t="s">
        <v>30</v>
      </c>
      <c r="P6179" s="1" t="s">
        <v>31</v>
      </c>
      <c r="Q6179" s="1" t="s">
        <v>157</v>
      </c>
      <c r="R6179" s="1" t="s">
        <v>157</v>
      </c>
      <c r="S6179" s="1" t="s">
        <v>158</v>
      </c>
      <c r="U6179" s="1">
        <v>1.00904278E8</v>
      </c>
      <c r="X6179" s="1" t="s">
        <v>63</v>
      </c>
      <c r="Y6179" s="1" t="s">
        <v>16999</v>
      </c>
      <c r="Z6179" s="1" t="s">
        <v>1783</v>
      </c>
    </row>
    <row r="6180" hidden="1">
      <c r="A6180" s="1" t="s">
        <v>17000</v>
      </c>
      <c r="B6180" s="1" t="s">
        <v>5606</v>
      </c>
      <c r="C6180" s="1" t="s">
        <v>17001</v>
      </c>
      <c r="D6180" s="1" t="s">
        <v>27</v>
      </c>
      <c r="E6180" s="1" t="s">
        <v>28</v>
      </c>
      <c r="F6180" s="2">
        <v>0.0</v>
      </c>
      <c r="G6180" s="1" t="s">
        <v>359</v>
      </c>
      <c r="H6180" s="4">
        <f>IFERROR(__xludf.DUMMYFUNCTION("DATE(INDEX(SPLIT(G6180,""/""),,3),INDEX(SPLIT(G6180,""/""),,2),INDEX(SPLIT(G6180,""/""),,1))"),44740.0)</f>
        <v>44740</v>
      </c>
      <c r="I6180" s="1" t="s">
        <v>1097</v>
      </c>
      <c r="J6180" s="4">
        <f>IFERROR(__xludf.DUMMYFUNCTION("DATE(INDEX(SPLIT(I6180,""/""),,3),INDEX(SPLIT(I6180,""/""),,2),INDEX(SPLIT(I6180,""/""),,1))"),45107.0)</f>
        <v>45107</v>
      </c>
      <c r="L6180" s="1">
        <v>0.0</v>
      </c>
      <c r="M6180" s="1" t="s">
        <v>11254</v>
      </c>
      <c r="N6180" s="1"/>
      <c r="O6180" s="1" t="s">
        <v>30</v>
      </c>
      <c r="P6180" s="1" t="s">
        <v>31</v>
      </c>
      <c r="Q6180" s="1" t="s">
        <v>228</v>
      </c>
      <c r="R6180" s="1" t="s">
        <v>228</v>
      </c>
      <c r="S6180" s="1" t="s">
        <v>229</v>
      </c>
      <c r="T6180" s="1" t="s">
        <v>513</v>
      </c>
      <c r="U6180" s="1">
        <v>1.00602248E8</v>
      </c>
      <c r="X6180" s="1" t="s">
        <v>74</v>
      </c>
      <c r="Y6180" s="1" t="s">
        <v>13944</v>
      </c>
      <c r="Z6180" s="1" t="s">
        <v>37</v>
      </c>
    </row>
    <row r="6181">
      <c r="A6181" s="1" t="s">
        <v>17002</v>
      </c>
      <c r="B6181" s="1" t="s">
        <v>1780</v>
      </c>
      <c r="C6181" s="1" t="s">
        <v>17003</v>
      </c>
      <c r="D6181" s="1" t="s">
        <v>68</v>
      </c>
      <c r="E6181" s="1" t="s">
        <v>28</v>
      </c>
      <c r="F6181" s="2">
        <v>0.0</v>
      </c>
      <c r="G6181" s="1" t="s">
        <v>518</v>
      </c>
      <c r="H6181" s="4">
        <f>IFERROR(__xludf.DUMMYFUNCTION("DATE(INDEX(SPLIT(G6181,""/""),,3),INDEX(SPLIT(G6181,""/""),,2),INDEX(SPLIT(G6181,""/""),,1))"),44757.0)</f>
        <v>44757</v>
      </c>
      <c r="I6181" s="1" t="s">
        <v>518</v>
      </c>
      <c r="J6181" s="4">
        <f>IFERROR(__xludf.DUMMYFUNCTION("DATE(INDEX(SPLIT(I6181,""/""),,3),INDEX(SPLIT(I6181,""/""),,2),INDEX(SPLIT(I6181,""/""),,1))"),44757.0)</f>
        <v>44757</v>
      </c>
      <c r="L6181" s="1">
        <v>0.0</v>
      </c>
      <c r="M6181" s="1" t="s">
        <v>1239</v>
      </c>
      <c r="N6181" s="1"/>
      <c r="O6181" s="1" t="s">
        <v>30</v>
      </c>
      <c r="P6181" s="1" t="s">
        <v>31</v>
      </c>
      <c r="Q6181" s="1" t="s">
        <v>71</v>
      </c>
      <c r="R6181" s="1" t="s">
        <v>71</v>
      </c>
      <c r="S6181" s="1" t="s">
        <v>72</v>
      </c>
      <c r="U6181" s="1">
        <v>1.00943277E8</v>
      </c>
      <c r="X6181" s="1" t="s">
        <v>74</v>
      </c>
      <c r="Y6181" s="1" t="s">
        <v>17004</v>
      </c>
      <c r="Z6181" s="1" t="s">
        <v>37</v>
      </c>
    </row>
    <row r="6182" hidden="1">
      <c r="A6182" s="1" t="s">
        <v>17005</v>
      </c>
      <c r="B6182" s="1" t="s">
        <v>16332</v>
      </c>
      <c r="C6182" s="1" t="s">
        <v>17006</v>
      </c>
      <c r="D6182" s="1" t="s">
        <v>27</v>
      </c>
      <c r="E6182" s="1" t="s">
        <v>28</v>
      </c>
      <c r="F6182" s="2">
        <v>0.0</v>
      </c>
      <c r="G6182" s="1" t="s">
        <v>518</v>
      </c>
      <c r="H6182" s="4">
        <f>IFERROR(__xludf.DUMMYFUNCTION("DATE(INDEX(SPLIT(G6182,""/""),,3),INDEX(SPLIT(G6182,""/""),,2),INDEX(SPLIT(G6182,""/""),,1))"),44757.0)</f>
        <v>44757</v>
      </c>
      <c r="I6182" s="1" t="s">
        <v>1799</v>
      </c>
      <c r="J6182" s="4">
        <f>IFERROR(__xludf.DUMMYFUNCTION("DATE(INDEX(SPLIT(I6182,""/""),,3),INDEX(SPLIT(I6182,""/""),,2),INDEX(SPLIT(I6182,""/""),,1))"),44788.0)</f>
        <v>44788</v>
      </c>
      <c r="L6182" s="1">
        <v>0.0</v>
      </c>
      <c r="M6182" s="1" t="s">
        <v>984</v>
      </c>
      <c r="N6182" s="1"/>
      <c r="O6182" s="1" t="s">
        <v>30</v>
      </c>
      <c r="P6182" s="1" t="s">
        <v>31</v>
      </c>
      <c r="Q6182" s="1" t="s">
        <v>157</v>
      </c>
      <c r="R6182" s="1" t="s">
        <v>157</v>
      </c>
      <c r="S6182" s="1" t="s">
        <v>158</v>
      </c>
      <c r="U6182" s="1">
        <v>1.00611358E8</v>
      </c>
      <c r="X6182" s="1" t="s">
        <v>490</v>
      </c>
      <c r="Y6182" s="1" t="s">
        <v>5958</v>
      </c>
      <c r="Z6182" s="1" t="s">
        <v>37</v>
      </c>
    </row>
    <row r="6183" hidden="1">
      <c r="A6183" s="1" t="s">
        <v>17007</v>
      </c>
      <c r="B6183" s="1" t="s">
        <v>605</v>
      </c>
      <c r="C6183" s="1" t="s">
        <v>17008</v>
      </c>
      <c r="D6183" s="1" t="s">
        <v>27</v>
      </c>
      <c r="E6183" s="1" t="s">
        <v>28</v>
      </c>
      <c r="F6183" s="2">
        <v>0.0</v>
      </c>
      <c r="G6183" s="1" t="s">
        <v>185</v>
      </c>
      <c r="H6183" s="4">
        <f>IFERROR(__xludf.DUMMYFUNCTION("DATE(INDEX(SPLIT(G6183,""/""),,3),INDEX(SPLIT(G6183,""/""),,2),INDEX(SPLIT(G6183,""/""),,1))"),44741.0)</f>
        <v>44741</v>
      </c>
      <c r="I6183" s="4">
        <v>44570.0</v>
      </c>
      <c r="J6183" s="4">
        <f>IFERROR(__xludf.DUMMYFUNCTION("DATE(INDEX(SPLIT(I6183,""/""),,3),INDEX(SPLIT(I6183,""/""),,2),INDEX(SPLIT(I6183,""/""),,1))"),44805.0)</f>
        <v>44805</v>
      </c>
      <c r="L6183" s="1">
        <v>0.0</v>
      </c>
      <c r="M6183" s="1" t="s">
        <v>7800</v>
      </c>
      <c r="N6183" s="1"/>
      <c r="O6183" s="1" t="s">
        <v>30</v>
      </c>
      <c r="P6183" s="1" t="s">
        <v>31</v>
      </c>
      <c r="Q6183" s="1" t="s">
        <v>235</v>
      </c>
      <c r="R6183" s="1" t="s">
        <v>235</v>
      </c>
      <c r="S6183" s="1" t="s">
        <v>236</v>
      </c>
      <c r="U6183" s="1">
        <v>1.00611299E8</v>
      </c>
      <c r="X6183" s="1" t="s">
        <v>375</v>
      </c>
      <c r="Y6183" s="1" t="s">
        <v>17009</v>
      </c>
      <c r="Z6183" s="1" t="s">
        <v>527</v>
      </c>
    </row>
    <row r="6184">
      <c r="A6184" s="1" t="s">
        <v>17010</v>
      </c>
      <c r="B6184" s="1" t="s">
        <v>5325</v>
      </c>
      <c r="C6184" s="1" t="s">
        <v>17011</v>
      </c>
      <c r="D6184" s="1" t="s">
        <v>27</v>
      </c>
      <c r="E6184" s="1" t="s">
        <v>28</v>
      </c>
      <c r="F6184" s="2">
        <v>0.0</v>
      </c>
      <c r="G6184" s="4">
        <v>43929.0</v>
      </c>
      <c r="H6184" s="4">
        <f>IFERROR(__xludf.DUMMYFUNCTION("DATE(INDEX(SPLIT(G6184,""/""),,3),INDEX(SPLIT(G6184,""/""),,2),INDEX(SPLIT(G6184,""/""),,1))"),44047.0)</f>
        <v>44047</v>
      </c>
      <c r="I6184" s="1" t="s">
        <v>414</v>
      </c>
      <c r="J6184" s="4">
        <f>IFERROR(__xludf.DUMMYFUNCTION("DATE(INDEX(SPLIT(I6184,""/""),,3),INDEX(SPLIT(I6184,""/""),,2),INDEX(SPLIT(I6184,""/""),,1))"),44772.0)</f>
        <v>44772</v>
      </c>
      <c r="L6184" s="1">
        <v>0.0</v>
      </c>
      <c r="M6184" s="1" t="s">
        <v>488</v>
      </c>
      <c r="N6184" s="1"/>
      <c r="O6184" s="1" t="s">
        <v>30</v>
      </c>
      <c r="P6184" s="1" t="s">
        <v>31</v>
      </c>
      <c r="Q6184" s="1" t="s">
        <v>95</v>
      </c>
      <c r="R6184" s="1" t="s">
        <v>95</v>
      </c>
      <c r="S6184" s="1" t="s">
        <v>96</v>
      </c>
      <c r="T6184" s="1" t="s">
        <v>489</v>
      </c>
      <c r="U6184" s="1">
        <v>1.00611486E8</v>
      </c>
      <c r="X6184" s="1" t="s">
        <v>490</v>
      </c>
      <c r="Y6184" s="1" t="s">
        <v>9841</v>
      </c>
      <c r="Z6184" s="1" t="s">
        <v>37</v>
      </c>
    </row>
    <row r="6185" hidden="1">
      <c r="A6185" s="1" t="s">
        <v>17012</v>
      </c>
      <c r="B6185" s="1" t="s">
        <v>17013</v>
      </c>
      <c r="C6185" s="1" t="s">
        <v>17014</v>
      </c>
      <c r="D6185" s="1" t="s">
        <v>122</v>
      </c>
      <c r="E6185" s="1" t="s">
        <v>28</v>
      </c>
      <c r="F6185" s="2">
        <v>0.0</v>
      </c>
      <c r="G6185" s="1" t="s">
        <v>17015</v>
      </c>
      <c r="H6185" s="4">
        <f>IFERROR(__xludf.DUMMYFUNCTION("DATE(INDEX(SPLIT(G6185,""/""),,3),INDEX(SPLIT(G6185,""/""),,2),INDEX(SPLIT(G6185,""/""),,1))"),44377.0)</f>
        <v>44377</v>
      </c>
      <c r="I6185" s="1" t="s">
        <v>130</v>
      </c>
      <c r="J6185" s="4">
        <f>IFERROR(__xludf.DUMMYFUNCTION("DATE(INDEX(SPLIT(I6185,""/""),,3),INDEX(SPLIT(I6185,""/""),,2),INDEX(SPLIT(I6185,""/""),,1))"),44804.0)</f>
        <v>44804</v>
      </c>
      <c r="L6185" s="1">
        <v>0.0</v>
      </c>
      <c r="M6185" s="1" t="s">
        <v>11361</v>
      </c>
      <c r="N6185" s="1"/>
      <c r="O6185" s="1" t="s">
        <v>30</v>
      </c>
      <c r="P6185" s="1" t="s">
        <v>31</v>
      </c>
      <c r="Q6185" s="1" t="s">
        <v>157</v>
      </c>
      <c r="R6185" s="1" t="s">
        <v>157</v>
      </c>
      <c r="S6185" s="1" t="s">
        <v>158</v>
      </c>
      <c r="U6185" s="1">
        <v>1.00612715E8</v>
      </c>
      <c r="X6185" s="1" t="s">
        <v>63</v>
      </c>
      <c r="Y6185" s="1" t="s">
        <v>4289</v>
      </c>
      <c r="Z6185" s="1" t="s">
        <v>37</v>
      </c>
    </row>
    <row r="6186" hidden="1">
      <c r="A6186" s="1" t="s">
        <v>17016</v>
      </c>
      <c r="B6186" s="1" t="s">
        <v>4326</v>
      </c>
      <c r="C6186" s="1" t="s">
        <v>17017</v>
      </c>
      <c r="D6186" s="1" t="s">
        <v>27</v>
      </c>
      <c r="E6186" s="1" t="s">
        <v>28</v>
      </c>
      <c r="F6186" s="2">
        <v>0.0</v>
      </c>
      <c r="G6186" s="1" t="s">
        <v>1598</v>
      </c>
      <c r="H6186" s="4">
        <f>IFERROR(__xludf.DUMMYFUNCTION("DATE(INDEX(SPLIT(G6186,""/""),,3),INDEX(SPLIT(G6186,""/""),,2),INDEX(SPLIT(G6186,""/""),,1))"),44461.0)</f>
        <v>44461</v>
      </c>
      <c r="I6186" s="1" t="s">
        <v>109</v>
      </c>
      <c r="J6186" s="4">
        <f>IFERROR(__xludf.DUMMYFUNCTION("DATE(INDEX(SPLIT(I6186,""/""),,3),INDEX(SPLIT(I6186,""/""),,2),INDEX(SPLIT(I6186,""/""),,1))"),44834.0)</f>
        <v>44834</v>
      </c>
      <c r="L6186" s="1">
        <v>0.0</v>
      </c>
      <c r="M6186" s="1" t="s">
        <v>116</v>
      </c>
      <c r="N6186" s="1"/>
      <c r="O6186" s="1" t="s">
        <v>30</v>
      </c>
      <c r="P6186" s="1" t="s">
        <v>31</v>
      </c>
      <c r="Q6186" s="1" t="s">
        <v>95</v>
      </c>
      <c r="R6186" s="1" t="s">
        <v>95</v>
      </c>
      <c r="S6186" s="1" t="s">
        <v>96</v>
      </c>
      <c r="T6186" s="1" t="s">
        <v>97</v>
      </c>
      <c r="U6186" s="1">
        <v>1.00592496E8</v>
      </c>
      <c r="X6186" s="1" t="s">
        <v>490</v>
      </c>
      <c r="Y6186" s="1" t="s">
        <v>17018</v>
      </c>
      <c r="Z6186" s="1" t="s">
        <v>37</v>
      </c>
    </row>
    <row r="6187" hidden="1">
      <c r="A6187" s="1" t="s">
        <v>17019</v>
      </c>
      <c r="B6187" s="1" t="s">
        <v>17020</v>
      </c>
      <c r="C6187" s="1" t="s">
        <v>17021</v>
      </c>
      <c r="D6187" s="1" t="s">
        <v>78</v>
      </c>
      <c r="E6187" s="1" t="s">
        <v>28</v>
      </c>
      <c r="F6187" s="2">
        <v>0.0</v>
      </c>
      <c r="G6187" s="4">
        <v>44564.0</v>
      </c>
      <c r="H6187" s="4">
        <f>IFERROR(__xludf.DUMMYFUNCTION("DATE(INDEX(SPLIT(G6187,""/""),,3),INDEX(SPLIT(G6187,""/""),,2),INDEX(SPLIT(G6187,""/""),,1))"),44621.0)</f>
        <v>44621</v>
      </c>
      <c r="I6187" s="1" t="s">
        <v>281</v>
      </c>
      <c r="J6187" s="4">
        <f>IFERROR(__xludf.DUMMYFUNCTION("DATE(INDEX(SPLIT(I6187,""/""),,3),INDEX(SPLIT(I6187,""/""),,2),INDEX(SPLIT(I6187,""/""),,1))"),44865.0)</f>
        <v>44865</v>
      </c>
      <c r="L6187" s="1">
        <v>0.0</v>
      </c>
      <c r="M6187" s="1" t="s">
        <v>12807</v>
      </c>
      <c r="N6187" s="1"/>
      <c r="O6187" s="1" t="s">
        <v>30</v>
      </c>
      <c r="P6187" s="1" t="s">
        <v>31</v>
      </c>
      <c r="Q6187" s="1" t="s">
        <v>157</v>
      </c>
      <c r="R6187" s="1" t="s">
        <v>157</v>
      </c>
      <c r="S6187" s="1" t="s">
        <v>158</v>
      </c>
      <c r="U6187" s="1">
        <v>1.00904278E8</v>
      </c>
      <c r="X6187" s="1" t="s">
        <v>98</v>
      </c>
      <c r="Y6187" s="1" t="s">
        <v>12809</v>
      </c>
      <c r="Z6187" s="1" t="s">
        <v>1783</v>
      </c>
    </row>
    <row r="6188" hidden="1">
      <c r="A6188" s="1" t="s">
        <v>17022</v>
      </c>
      <c r="B6188" s="1" t="s">
        <v>5989</v>
      </c>
      <c r="C6188" s="1" t="s">
        <v>17023</v>
      </c>
      <c r="D6188" s="1" t="s">
        <v>27</v>
      </c>
      <c r="E6188" s="1" t="s">
        <v>28</v>
      </c>
      <c r="F6188" s="2">
        <v>0.0</v>
      </c>
      <c r="G6188" s="1" t="s">
        <v>3295</v>
      </c>
      <c r="H6188" s="4">
        <f>IFERROR(__xludf.DUMMYFUNCTION("DATE(INDEX(SPLIT(G6188,""/""),,3),INDEX(SPLIT(G6188,""/""),,2),INDEX(SPLIT(G6188,""/""),,1))"),44575.0)</f>
        <v>44575</v>
      </c>
      <c r="I6188" s="1" t="s">
        <v>85</v>
      </c>
      <c r="J6188" s="4">
        <f>IFERROR(__xludf.DUMMYFUNCTION("DATE(INDEX(SPLIT(I6188,""/""),,3),INDEX(SPLIT(I6188,""/""),,2),INDEX(SPLIT(I6188,""/""),,1))"),44799.0)</f>
        <v>44799</v>
      </c>
      <c r="L6188" s="1">
        <v>0.0</v>
      </c>
      <c r="M6188" s="1" t="s">
        <v>2724</v>
      </c>
      <c r="N6188" s="1"/>
      <c r="O6188" s="1" t="s">
        <v>30</v>
      </c>
      <c r="P6188" s="1" t="s">
        <v>31</v>
      </c>
      <c r="Q6188" s="1" t="s">
        <v>32</v>
      </c>
      <c r="R6188" s="1" t="s">
        <v>32</v>
      </c>
      <c r="S6188" s="1" t="s">
        <v>33</v>
      </c>
      <c r="T6188" s="1" t="s">
        <v>1195</v>
      </c>
      <c r="U6188" s="1">
        <v>1.00606975E8</v>
      </c>
      <c r="X6188" s="1" t="s">
        <v>490</v>
      </c>
      <c r="Y6188" s="1" t="s">
        <v>7448</v>
      </c>
      <c r="Z6188" s="1" t="s">
        <v>37</v>
      </c>
    </row>
    <row r="6189" hidden="1">
      <c r="A6189" s="1" t="s">
        <v>17024</v>
      </c>
      <c r="B6189" s="1" t="s">
        <v>5331</v>
      </c>
      <c r="C6189" s="1" t="s">
        <v>17025</v>
      </c>
      <c r="D6189" s="1" t="s">
        <v>68</v>
      </c>
      <c r="E6189" s="1" t="s">
        <v>28</v>
      </c>
      <c r="F6189" s="2">
        <v>0.0</v>
      </c>
      <c r="G6189" s="1" t="s">
        <v>1381</v>
      </c>
      <c r="H6189" s="4">
        <f>IFERROR(__xludf.DUMMYFUNCTION("DATE(INDEX(SPLIT(G6189,""/""),,3),INDEX(SPLIT(G6189,""/""),,2),INDEX(SPLIT(G6189,""/""),,1))"),44643.0)</f>
        <v>44643</v>
      </c>
      <c r="I6189" s="1" t="s">
        <v>447</v>
      </c>
      <c r="J6189" s="4">
        <f>IFERROR(__xludf.DUMMYFUNCTION("DATE(INDEX(SPLIT(I6189,""/""),,3),INDEX(SPLIT(I6189,""/""),,2),INDEX(SPLIT(I6189,""/""),,1))"),44910.0)</f>
        <v>44910</v>
      </c>
      <c r="L6189" s="1">
        <v>0.0</v>
      </c>
      <c r="M6189" s="1" t="s">
        <v>11254</v>
      </c>
      <c r="N6189" s="1"/>
      <c r="O6189" s="1" t="s">
        <v>30</v>
      </c>
      <c r="P6189" s="1" t="s">
        <v>31</v>
      </c>
      <c r="Q6189" s="1" t="s">
        <v>228</v>
      </c>
      <c r="R6189" s="1" t="s">
        <v>228</v>
      </c>
      <c r="S6189" s="1" t="s">
        <v>229</v>
      </c>
      <c r="T6189" s="1" t="s">
        <v>513</v>
      </c>
      <c r="U6189" s="1">
        <v>1.00602248E8</v>
      </c>
      <c r="X6189" s="1" t="s">
        <v>98</v>
      </c>
      <c r="Y6189" s="1" t="s">
        <v>14932</v>
      </c>
      <c r="Z6189" s="1" t="s">
        <v>37</v>
      </c>
    </row>
    <row r="6190" hidden="1">
      <c r="A6190" s="1" t="s">
        <v>17026</v>
      </c>
      <c r="B6190" s="1" t="s">
        <v>3494</v>
      </c>
      <c r="C6190" s="1" t="s">
        <v>17027</v>
      </c>
      <c r="D6190" s="1" t="s">
        <v>27</v>
      </c>
      <c r="E6190" s="1" t="s">
        <v>28</v>
      </c>
      <c r="F6190" s="2">
        <v>0.0</v>
      </c>
      <c r="G6190" s="4">
        <v>44625.0</v>
      </c>
      <c r="H6190" s="4">
        <f>IFERROR(__xludf.DUMMYFUNCTION("DATE(INDEX(SPLIT(G6190,""/""),,3),INDEX(SPLIT(G6190,""/""),,2),INDEX(SPLIT(G6190,""/""),,1))"),44684.0)</f>
        <v>44684</v>
      </c>
      <c r="I6190" s="1" t="s">
        <v>130</v>
      </c>
      <c r="J6190" s="4">
        <f>IFERROR(__xludf.DUMMYFUNCTION("DATE(INDEX(SPLIT(I6190,""/""),,3),INDEX(SPLIT(I6190,""/""),,2),INDEX(SPLIT(I6190,""/""),,1))"),44804.0)</f>
        <v>44804</v>
      </c>
      <c r="L6190" s="1">
        <v>0.0</v>
      </c>
      <c r="M6190" s="1" t="s">
        <v>1382</v>
      </c>
      <c r="N6190" s="1"/>
      <c r="O6190" s="1" t="s">
        <v>30</v>
      </c>
      <c r="P6190" s="1" t="s">
        <v>31</v>
      </c>
      <c r="Q6190" s="1" t="s">
        <v>157</v>
      </c>
      <c r="R6190" s="1" t="s">
        <v>157</v>
      </c>
      <c r="S6190" s="1" t="s">
        <v>158</v>
      </c>
      <c r="U6190" s="1">
        <v>1.00584043E8</v>
      </c>
      <c r="X6190" s="1" t="s">
        <v>254</v>
      </c>
      <c r="Y6190" s="1" t="s">
        <v>1382</v>
      </c>
      <c r="Z6190" s="1" t="s">
        <v>37</v>
      </c>
    </row>
    <row r="6191" hidden="1">
      <c r="A6191" s="1" t="s">
        <v>17028</v>
      </c>
      <c r="B6191" s="1" t="s">
        <v>4090</v>
      </c>
      <c r="C6191" s="1" t="s">
        <v>17029</v>
      </c>
      <c r="D6191" s="1" t="s">
        <v>27</v>
      </c>
      <c r="E6191" s="1" t="s">
        <v>28</v>
      </c>
      <c r="F6191" s="2">
        <v>0.0</v>
      </c>
      <c r="G6191" s="1" t="s">
        <v>424</v>
      </c>
      <c r="H6191" s="4">
        <f>IFERROR(__xludf.DUMMYFUNCTION("DATE(INDEX(SPLIT(G6191,""/""),,3),INDEX(SPLIT(G6191,""/""),,2),INDEX(SPLIT(G6191,""/""),,1))"),44405.0)</f>
        <v>44405</v>
      </c>
      <c r="I6191" s="1" t="s">
        <v>1097</v>
      </c>
      <c r="J6191" s="4">
        <f>IFERROR(__xludf.DUMMYFUNCTION("DATE(INDEX(SPLIT(I6191,""/""),,3),INDEX(SPLIT(I6191,""/""),,2),INDEX(SPLIT(I6191,""/""),,1))"),45107.0)</f>
        <v>45107</v>
      </c>
      <c r="L6191" s="1">
        <v>0.0</v>
      </c>
      <c r="M6191" s="1" t="s">
        <v>6691</v>
      </c>
      <c r="N6191" s="1"/>
      <c r="O6191" s="1" t="s">
        <v>30</v>
      </c>
      <c r="P6191" s="1" t="s">
        <v>31</v>
      </c>
      <c r="Q6191" s="1" t="s">
        <v>95</v>
      </c>
      <c r="R6191" s="1" t="s">
        <v>95</v>
      </c>
      <c r="S6191" s="1" t="s">
        <v>96</v>
      </c>
      <c r="T6191" s="1" t="s">
        <v>97</v>
      </c>
      <c r="U6191" s="1">
        <v>1.00694651E8</v>
      </c>
      <c r="X6191" s="1" t="s">
        <v>190</v>
      </c>
      <c r="Y6191" s="1" t="s">
        <v>17030</v>
      </c>
      <c r="Z6191" s="1" t="s">
        <v>37</v>
      </c>
    </row>
    <row r="6192" hidden="1">
      <c r="A6192" s="1" t="s">
        <v>17031</v>
      </c>
      <c r="B6192" s="1" t="s">
        <v>337</v>
      </c>
      <c r="C6192" s="1" t="s">
        <v>17032</v>
      </c>
      <c r="D6192" s="1" t="s">
        <v>27</v>
      </c>
      <c r="E6192" s="1" t="s">
        <v>28</v>
      </c>
      <c r="F6192" s="2">
        <v>0.0</v>
      </c>
      <c r="G6192" s="4">
        <v>44532.0</v>
      </c>
      <c r="H6192" s="4">
        <f>IFERROR(__xludf.DUMMYFUNCTION("DATE(INDEX(SPLIT(G6192,""/""),,3),INDEX(SPLIT(G6192,""/""),,2),INDEX(SPLIT(G6192,""/""),,1))"),44239.0)</f>
        <v>44239</v>
      </c>
      <c r="I6192" s="1" t="s">
        <v>276</v>
      </c>
      <c r="J6192" s="4">
        <f>IFERROR(__xludf.DUMMYFUNCTION("DATE(INDEX(SPLIT(I6192,""/""),,3),INDEX(SPLIT(I6192,""/""),,2),INDEX(SPLIT(I6192,""/""),,1))"),44922.0)</f>
        <v>44922</v>
      </c>
      <c r="L6192" s="1">
        <v>0.0</v>
      </c>
      <c r="M6192" s="1" t="s">
        <v>2787</v>
      </c>
      <c r="N6192" s="1"/>
      <c r="O6192" s="1" t="s">
        <v>30</v>
      </c>
      <c r="P6192" s="1" t="s">
        <v>31</v>
      </c>
      <c r="Q6192" s="1" t="s">
        <v>157</v>
      </c>
      <c r="R6192" s="1" t="s">
        <v>157</v>
      </c>
      <c r="S6192" s="1" t="s">
        <v>158</v>
      </c>
      <c r="T6192" s="1" t="s">
        <v>442</v>
      </c>
      <c r="U6192" s="1">
        <v>1.00708984E8</v>
      </c>
      <c r="X6192" s="1" t="s">
        <v>239</v>
      </c>
      <c r="Y6192" s="1" t="s">
        <v>9505</v>
      </c>
      <c r="Z6192" s="1" t="s">
        <v>37</v>
      </c>
    </row>
    <row r="6193">
      <c r="A6193" s="1" t="s">
        <v>17033</v>
      </c>
      <c r="B6193" s="1" t="s">
        <v>17034</v>
      </c>
      <c r="C6193" s="1" t="s">
        <v>17035</v>
      </c>
      <c r="D6193" s="1" t="s">
        <v>78</v>
      </c>
      <c r="E6193" s="1" t="s">
        <v>28</v>
      </c>
      <c r="F6193" s="2">
        <v>0.0</v>
      </c>
      <c r="G6193" s="4">
        <v>44746.0</v>
      </c>
      <c r="H6193" s="4">
        <f>IFERROR(__xludf.DUMMYFUNCTION("DATE(INDEX(SPLIT(G6193,""/""),,3),INDEX(SPLIT(G6193,""/""),,2),INDEX(SPLIT(G6193,""/""),,1))"),44658.0)</f>
        <v>44658</v>
      </c>
      <c r="I6193" s="1" t="s">
        <v>226</v>
      </c>
      <c r="J6193" s="4">
        <f>IFERROR(__xludf.DUMMYFUNCTION("DATE(INDEX(SPLIT(I6193,""/""),,3),INDEX(SPLIT(I6193,""/""),,2),INDEX(SPLIT(I6193,""/""),,1))"),44771.0)</f>
        <v>44771</v>
      </c>
      <c r="L6193" s="1">
        <v>0.0</v>
      </c>
      <c r="M6193" s="1" t="s">
        <v>941</v>
      </c>
      <c r="N6193" s="1"/>
      <c r="O6193" s="1" t="s">
        <v>30</v>
      </c>
      <c r="P6193" s="1" t="s">
        <v>31</v>
      </c>
      <c r="Q6193" s="1" t="s">
        <v>235</v>
      </c>
      <c r="R6193" s="1" t="s">
        <v>235</v>
      </c>
      <c r="S6193" s="1" t="s">
        <v>236</v>
      </c>
      <c r="U6193" s="1">
        <v>1.00652846E8</v>
      </c>
      <c r="Y6193" s="1" t="s">
        <v>3728</v>
      </c>
      <c r="Z6193" s="1" t="s">
        <v>37</v>
      </c>
    </row>
    <row r="6194">
      <c r="A6194" s="1" t="s">
        <v>17036</v>
      </c>
      <c r="B6194" s="1" t="s">
        <v>427</v>
      </c>
      <c r="C6194" s="1" t="s">
        <v>17037</v>
      </c>
      <c r="D6194" s="1" t="s">
        <v>78</v>
      </c>
      <c r="E6194" s="1" t="s">
        <v>28</v>
      </c>
      <c r="F6194" s="2">
        <v>0.0</v>
      </c>
      <c r="G6194" s="1" t="s">
        <v>333</v>
      </c>
      <c r="H6194" s="4">
        <f>IFERROR(__xludf.DUMMYFUNCTION("DATE(INDEX(SPLIT(G6194,""/""),,3),INDEX(SPLIT(G6194,""/""),,2),INDEX(SPLIT(G6194,""/""),,1))"),44669.0)</f>
        <v>44669</v>
      </c>
      <c r="I6194" s="1" t="s">
        <v>1244</v>
      </c>
      <c r="J6194" s="4">
        <f>IFERROR(__xludf.DUMMYFUNCTION("DATE(INDEX(SPLIT(I6194,""/""),,3),INDEX(SPLIT(I6194,""/""),,2),INDEX(SPLIT(I6194,""/""),,1))"),44742.0)</f>
        <v>44742</v>
      </c>
      <c r="L6194" s="1">
        <v>0.0</v>
      </c>
      <c r="M6194" s="1" t="s">
        <v>891</v>
      </c>
      <c r="N6194" s="1"/>
      <c r="O6194" s="1" t="s">
        <v>30</v>
      </c>
      <c r="P6194" s="1" t="s">
        <v>31</v>
      </c>
      <c r="Q6194" s="1" t="s">
        <v>32</v>
      </c>
      <c r="R6194" s="1" t="s">
        <v>32</v>
      </c>
      <c r="S6194" s="1" t="s">
        <v>33</v>
      </c>
      <c r="U6194" s="1">
        <v>1.00866856E8</v>
      </c>
      <c r="X6194" s="1" t="s">
        <v>125</v>
      </c>
      <c r="Y6194" s="1" t="s">
        <v>2233</v>
      </c>
      <c r="Z6194" s="1" t="s">
        <v>37</v>
      </c>
    </row>
    <row r="6195" hidden="1">
      <c r="A6195" s="1" t="s">
        <v>17038</v>
      </c>
      <c r="B6195" s="1" t="s">
        <v>17039</v>
      </c>
      <c r="C6195" s="1" t="s">
        <v>17040</v>
      </c>
      <c r="D6195" s="1" t="s">
        <v>27</v>
      </c>
      <c r="E6195" s="1" t="s">
        <v>28</v>
      </c>
      <c r="F6195" s="2">
        <v>0.0</v>
      </c>
      <c r="G6195" s="4">
        <v>44599.0</v>
      </c>
      <c r="H6195" s="4">
        <f>IFERROR(__xludf.DUMMYFUNCTION("DATE(INDEX(SPLIT(G6195,""/""),,3),INDEX(SPLIT(G6195,""/""),,2),INDEX(SPLIT(G6195,""/""),,1))"),44744.0)</f>
        <v>44744</v>
      </c>
      <c r="I6195" s="1" t="s">
        <v>203</v>
      </c>
      <c r="J6195" s="4">
        <f>IFERROR(__xludf.DUMMYFUNCTION("DATE(INDEX(SPLIT(I6195,""/""),,3),INDEX(SPLIT(I6195,""/""),,2),INDEX(SPLIT(I6195,""/""),,1))"),44925.0)</f>
        <v>44925</v>
      </c>
      <c r="L6195" s="1">
        <v>0.0</v>
      </c>
      <c r="M6195" s="1" t="s">
        <v>11254</v>
      </c>
      <c r="N6195" s="1"/>
      <c r="O6195" s="1" t="s">
        <v>30</v>
      </c>
      <c r="P6195" s="1" t="s">
        <v>31</v>
      </c>
      <c r="Q6195" s="1" t="s">
        <v>228</v>
      </c>
      <c r="R6195" s="1" t="s">
        <v>228</v>
      </c>
      <c r="S6195" s="1" t="s">
        <v>229</v>
      </c>
      <c r="T6195" s="1" t="s">
        <v>513</v>
      </c>
      <c r="U6195" s="1">
        <v>1.00602248E8</v>
      </c>
      <c r="X6195" s="1" t="s">
        <v>63</v>
      </c>
      <c r="Y6195" s="1" t="s">
        <v>15486</v>
      </c>
      <c r="Z6195" s="1" t="s">
        <v>37</v>
      </c>
    </row>
    <row r="6196">
      <c r="A6196" s="1" t="s">
        <v>17041</v>
      </c>
      <c r="B6196" s="1" t="s">
        <v>4820</v>
      </c>
      <c r="C6196" s="1" t="s">
        <v>17042</v>
      </c>
      <c r="D6196" s="1" t="s">
        <v>78</v>
      </c>
      <c r="E6196" s="1" t="s">
        <v>28</v>
      </c>
      <c r="F6196" s="2">
        <v>0.0</v>
      </c>
      <c r="G6196" s="1" t="s">
        <v>1058</v>
      </c>
      <c r="H6196" s="4">
        <f>IFERROR(__xludf.DUMMYFUNCTION("DATE(INDEX(SPLIT(G6196,""/""),,3),INDEX(SPLIT(G6196,""/""),,2),INDEX(SPLIT(G6196,""/""),,1))"),44733.0)</f>
        <v>44733</v>
      </c>
      <c r="I6196" s="1" t="s">
        <v>1244</v>
      </c>
      <c r="J6196" s="4">
        <f>IFERROR(__xludf.DUMMYFUNCTION("DATE(INDEX(SPLIT(I6196,""/""),,3),INDEX(SPLIT(I6196,""/""),,2),INDEX(SPLIT(I6196,""/""),,1))"),44742.0)</f>
        <v>44742</v>
      </c>
      <c r="L6196" s="1">
        <v>0.0</v>
      </c>
      <c r="M6196" s="1" t="s">
        <v>3099</v>
      </c>
      <c r="N6196" s="1"/>
      <c r="O6196" s="1" t="s">
        <v>30</v>
      </c>
      <c r="P6196" s="1" t="s">
        <v>31</v>
      </c>
      <c r="Q6196" s="1" t="s">
        <v>95</v>
      </c>
      <c r="R6196" s="1" t="s">
        <v>95</v>
      </c>
      <c r="S6196" s="1" t="s">
        <v>96</v>
      </c>
      <c r="T6196" s="1" t="s">
        <v>97</v>
      </c>
      <c r="U6196" s="1">
        <v>1.00589299E8</v>
      </c>
      <c r="X6196" s="1" t="s">
        <v>117</v>
      </c>
      <c r="Y6196" s="1" t="s">
        <v>4428</v>
      </c>
      <c r="Z6196" s="1" t="s">
        <v>37</v>
      </c>
    </row>
    <row r="6197" hidden="1">
      <c r="A6197" s="1" t="s">
        <v>17043</v>
      </c>
      <c r="B6197" s="1" t="s">
        <v>1780</v>
      </c>
      <c r="C6197" s="1" t="s">
        <v>17044</v>
      </c>
      <c r="D6197" s="1" t="s">
        <v>27</v>
      </c>
      <c r="E6197" s="1" t="s">
        <v>28</v>
      </c>
      <c r="F6197" s="2">
        <v>0.0</v>
      </c>
      <c r="G6197" s="1" t="s">
        <v>41</v>
      </c>
      <c r="H6197" s="4">
        <f>IFERROR(__xludf.DUMMYFUNCTION("DATE(INDEX(SPLIT(G6197,""/""),,3),INDEX(SPLIT(G6197,""/""),,2),INDEX(SPLIT(G6197,""/""),,1))"),44607.0)</f>
        <v>44607</v>
      </c>
      <c r="I6197" s="1" t="s">
        <v>625</v>
      </c>
      <c r="J6197" s="4">
        <f>IFERROR(__xludf.DUMMYFUNCTION("DATE(INDEX(SPLIT(I6197,""/""),,3),INDEX(SPLIT(I6197,""/""),,2),INDEX(SPLIT(I6197,""/""),,1))"),44848.0)</f>
        <v>44848</v>
      </c>
      <c r="L6197" s="1">
        <v>0.0</v>
      </c>
      <c r="M6197" s="1" t="s">
        <v>1544</v>
      </c>
      <c r="N6197" s="1"/>
      <c r="O6197" s="1" t="s">
        <v>30</v>
      </c>
      <c r="P6197" s="1" t="s">
        <v>31</v>
      </c>
      <c r="Q6197" s="1" t="s">
        <v>71</v>
      </c>
      <c r="R6197" s="1" t="s">
        <v>71</v>
      </c>
      <c r="S6197" s="1" t="s">
        <v>72</v>
      </c>
      <c r="T6197" s="1" t="s">
        <v>14591</v>
      </c>
      <c r="U6197" s="1">
        <v>1.00619692E8</v>
      </c>
      <c r="X6197" s="1" t="s">
        <v>74</v>
      </c>
      <c r="Y6197" s="1" t="s">
        <v>6304</v>
      </c>
      <c r="Z6197" s="1" t="s">
        <v>37</v>
      </c>
    </row>
    <row r="6198">
      <c r="A6198" s="1" t="s">
        <v>17045</v>
      </c>
      <c r="B6198" s="1" t="s">
        <v>690</v>
      </c>
      <c r="C6198" s="1" t="s">
        <v>17046</v>
      </c>
      <c r="D6198" s="1" t="s">
        <v>68</v>
      </c>
      <c r="E6198" s="1" t="s">
        <v>28</v>
      </c>
      <c r="F6198" s="2">
        <v>0.0</v>
      </c>
      <c r="G6198" s="1" t="s">
        <v>1521</v>
      </c>
      <c r="H6198" s="4">
        <f>IFERROR(__xludf.DUMMYFUNCTION("DATE(INDEX(SPLIT(G6198,""/""),,3),INDEX(SPLIT(G6198,""/""),,2),INDEX(SPLIT(G6198,""/""),,1))"),44756.0)</f>
        <v>44756</v>
      </c>
      <c r="I6198" s="1" t="s">
        <v>226</v>
      </c>
      <c r="J6198" s="4">
        <f>IFERROR(__xludf.DUMMYFUNCTION("DATE(INDEX(SPLIT(I6198,""/""),,3),INDEX(SPLIT(I6198,""/""),,2),INDEX(SPLIT(I6198,""/""),,1))"),44771.0)</f>
        <v>44771</v>
      </c>
      <c r="L6198" s="1">
        <v>0.0</v>
      </c>
      <c r="M6198" s="1" t="s">
        <v>3860</v>
      </c>
      <c r="N6198" s="1"/>
      <c r="O6198" s="1" t="s">
        <v>30</v>
      </c>
      <c r="P6198" s="1" t="s">
        <v>31</v>
      </c>
      <c r="Q6198" s="1" t="s">
        <v>235</v>
      </c>
      <c r="R6198" s="1" t="s">
        <v>235</v>
      </c>
      <c r="S6198" s="1" t="s">
        <v>236</v>
      </c>
      <c r="T6198" s="1" t="s">
        <v>753</v>
      </c>
      <c r="U6198" s="1">
        <v>1.00636461E8</v>
      </c>
      <c r="X6198" s="1" t="s">
        <v>88</v>
      </c>
      <c r="Y6198" s="1" t="s">
        <v>17047</v>
      </c>
      <c r="Z6198" s="1" t="s">
        <v>37</v>
      </c>
    </row>
    <row r="6199" hidden="1">
      <c r="A6199" s="1" t="s">
        <v>17048</v>
      </c>
      <c r="B6199" s="1" t="s">
        <v>981</v>
      </c>
      <c r="C6199" s="1" t="s">
        <v>17049</v>
      </c>
      <c r="D6199" s="1" t="s">
        <v>27</v>
      </c>
      <c r="E6199" s="1" t="s">
        <v>28</v>
      </c>
      <c r="F6199" s="2">
        <v>0.0</v>
      </c>
      <c r="G6199" s="4">
        <v>44448.0</v>
      </c>
      <c r="H6199" s="4">
        <f>IFERROR(__xludf.DUMMYFUNCTION("DATE(INDEX(SPLIT(G6199,""/""),,3),INDEX(SPLIT(G6199,""/""),,2),INDEX(SPLIT(G6199,""/""),,1))"),44448.0)</f>
        <v>44448</v>
      </c>
      <c r="I6199" s="1" t="s">
        <v>1909</v>
      </c>
      <c r="J6199" s="4">
        <f>IFERROR(__xludf.DUMMYFUNCTION("DATE(INDEX(SPLIT(I6199,""/""),,3),INDEX(SPLIT(I6199,""/""),,2),INDEX(SPLIT(I6199,""/""),,1))"),44883.0)</f>
        <v>44883</v>
      </c>
      <c r="L6199" s="1">
        <v>0.0</v>
      </c>
      <c r="M6199" s="1" t="s">
        <v>4039</v>
      </c>
      <c r="N6199" s="1"/>
      <c r="O6199" s="1" t="s">
        <v>30</v>
      </c>
      <c r="P6199" s="1" t="s">
        <v>31</v>
      </c>
      <c r="Q6199" s="1" t="s">
        <v>228</v>
      </c>
      <c r="R6199" s="1" t="s">
        <v>228</v>
      </c>
      <c r="S6199" s="1" t="s">
        <v>229</v>
      </c>
      <c r="T6199" s="1" t="s">
        <v>505</v>
      </c>
      <c r="U6199" s="1">
        <v>1.00662113E8</v>
      </c>
      <c r="X6199" s="1" t="s">
        <v>490</v>
      </c>
      <c r="Y6199" s="1" t="s">
        <v>985</v>
      </c>
      <c r="Z6199" s="1" t="s">
        <v>37</v>
      </c>
    </row>
    <row r="6200">
      <c r="A6200" s="1" t="s">
        <v>17050</v>
      </c>
      <c r="B6200" s="1" t="s">
        <v>4196</v>
      </c>
      <c r="C6200" s="1" t="s">
        <v>17051</v>
      </c>
      <c r="D6200" s="1" t="s">
        <v>27</v>
      </c>
      <c r="E6200" s="1" t="s">
        <v>28</v>
      </c>
      <c r="F6200" s="2">
        <v>0.0</v>
      </c>
      <c r="G6200" s="1" t="s">
        <v>16156</v>
      </c>
      <c r="H6200" s="4">
        <f>IFERROR(__xludf.DUMMYFUNCTION("DATE(INDEX(SPLIT(G6200,""/""),,3),INDEX(SPLIT(G6200,""/""),,2),INDEX(SPLIT(G6200,""/""),,1))"),44438.0)</f>
        <v>44438</v>
      </c>
      <c r="I6200" s="1" t="s">
        <v>69</v>
      </c>
      <c r="J6200" s="4">
        <f>IFERROR(__xludf.DUMMYFUNCTION("DATE(INDEX(SPLIT(I6200,""/""),,3),INDEX(SPLIT(I6200,""/""),,2),INDEX(SPLIT(I6200,""/""),,1))"),44773.0)</f>
        <v>44773</v>
      </c>
      <c r="L6200" s="1">
        <v>0.0</v>
      </c>
      <c r="M6200" s="1" t="s">
        <v>951</v>
      </c>
      <c r="N6200" s="1"/>
      <c r="O6200" s="1" t="s">
        <v>30</v>
      </c>
      <c r="P6200" s="1" t="s">
        <v>31</v>
      </c>
      <c r="Q6200" s="1" t="s">
        <v>157</v>
      </c>
      <c r="R6200" s="1" t="s">
        <v>157</v>
      </c>
      <c r="S6200" s="1" t="s">
        <v>158</v>
      </c>
      <c r="T6200" s="1" t="s">
        <v>159</v>
      </c>
      <c r="U6200" s="1">
        <v>1.00653269E8</v>
      </c>
      <c r="X6200" s="1" t="s">
        <v>74</v>
      </c>
      <c r="Y6200" s="1" t="s">
        <v>1938</v>
      </c>
      <c r="Z6200" s="1" t="s">
        <v>37</v>
      </c>
    </row>
    <row r="6201" hidden="1">
      <c r="A6201" s="1" t="s">
        <v>17052</v>
      </c>
      <c r="B6201" s="1" t="s">
        <v>17053</v>
      </c>
      <c r="C6201" s="1" t="s">
        <v>17054</v>
      </c>
      <c r="D6201" s="1" t="s">
        <v>27</v>
      </c>
      <c r="E6201" s="1" t="s">
        <v>28</v>
      </c>
      <c r="F6201" s="2">
        <v>0.0</v>
      </c>
      <c r="G6201" s="4">
        <v>44350.0</v>
      </c>
      <c r="H6201" s="4">
        <f>IFERROR(__xludf.DUMMYFUNCTION("DATE(INDEX(SPLIT(G6201,""/""),,3),INDEX(SPLIT(G6201,""/""),,2),INDEX(SPLIT(G6201,""/""),,1))"),44261.0)</f>
        <v>44261</v>
      </c>
      <c r="I6201" s="1" t="s">
        <v>276</v>
      </c>
      <c r="J6201" s="4">
        <f>IFERROR(__xludf.DUMMYFUNCTION("DATE(INDEX(SPLIT(I6201,""/""),,3),INDEX(SPLIT(I6201,""/""),,2),INDEX(SPLIT(I6201,""/""),,1))"),44922.0)</f>
        <v>44922</v>
      </c>
      <c r="L6201" s="1">
        <v>0.0</v>
      </c>
      <c r="M6201" s="1" t="s">
        <v>2787</v>
      </c>
      <c r="N6201" s="1"/>
      <c r="O6201" s="1" t="s">
        <v>30</v>
      </c>
      <c r="P6201" s="1" t="s">
        <v>31</v>
      </c>
      <c r="Q6201" s="1" t="s">
        <v>157</v>
      </c>
      <c r="R6201" s="1" t="s">
        <v>157</v>
      </c>
      <c r="S6201" s="1" t="s">
        <v>158</v>
      </c>
      <c r="T6201" s="1" t="s">
        <v>442</v>
      </c>
      <c r="U6201" s="1">
        <v>1.00708984E8</v>
      </c>
      <c r="X6201" s="1" t="s">
        <v>117</v>
      </c>
      <c r="Y6201" s="1" t="s">
        <v>9505</v>
      </c>
      <c r="Z6201" s="1" t="s">
        <v>37</v>
      </c>
    </row>
    <row r="6202">
      <c r="A6202" s="1" t="s">
        <v>17055</v>
      </c>
      <c r="B6202" s="1" t="s">
        <v>301</v>
      </c>
      <c r="C6202" s="1" t="s">
        <v>17056</v>
      </c>
      <c r="D6202" s="1" t="s">
        <v>27</v>
      </c>
      <c r="E6202" s="1" t="s">
        <v>28</v>
      </c>
      <c r="F6202" s="2">
        <v>0.0</v>
      </c>
      <c r="G6202" s="1" t="s">
        <v>2077</v>
      </c>
      <c r="H6202" s="4">
        <f>IFERROR(__xludf.DUMMYFUNCTION("DATE(INDEX(SPLIT(G6202,""/""),,3),INDEX(SPLIT(G6202,""/""),,2),INDEX(SPLIT(G6202,""/""),,1))"),44700.0)</f>
        <v>44700</v>
      </c>
      <c r="I6202" s="4">
        <v>44780.0</v>
      </c>
      <c r="J6202" s="4">
        <f>IFERROR(__xludf.DUMMYFUNCTION("DATE(INDEX(SPLIT(I6202,""/""),,3),INDEX(SPLIT(I6202,""/""),,2),INDEX(SPLIT(I6202,""/""),,1))"),44750.0)</f>
        <v>44750</v>
      </c>
      <c r="L6202" s="1">
        <v>0.0</v>
      </c>
      <c r="M6202" s="1" t="s">
        <v>1036</v>
      </c>
      <c r="N6202" s="1"/>
      <c r="O6202" s="1" t="s">
        <v>30</v>
      </c>
      <c r="P6202" s="1" t="s">
        <v>31</v>
      </c>
      <c r="Q6202" s="1" t="s">
        <v>95</v>
      </c>
      <c r="R6202" s="1" t="s">
        <v>95</v>
      </c>
      <c r="S6202" s="1" t="s">
        <v>96</v>
      </c>
      <c r="T6202" s="1" t="s">
        <v>111</v>
      </c>
      <c r="U6202" s="1">
        <v>1.00633489E8</v>
      </c>
      <c r="X6202" s="1" t="s">
        <v>305</v>
      </c>
      <c r="Y6202" s="1" t="s">
        <v>306</v>
      </c>
      <c r="Z6202" s="1" t="s">
        <v>37</v>
      </c>
    </row>
    <row r="6203" hidden="1">
      <c r="A6203" s="1" t="s">
        <v>17057</v>
      </c>
      <c r="B6203" s="1" t="s">
        <v>17058</v>
      </c>
      <c r="C6203" s="1" t="s">
        <v>17059</v>
      </c>
      <c r="D6203" s="1" t="s">
        <v>27</v>
      </c>
      <c r="E6203" s="1" t="s">
        <v>28</v>
      </c>
      <c r="F6203" s="2">
        <v>0.0</v>
      </c>
      <c r="G6203" s="4">
        <v>44319.0</v>
      </c>
      <c r="H6203" s="4">
        <f>IFERROR(__xludf.DUMMYFUNCTION("DATE(INDEX(SPLIT(G6203,""/""),,3),INDEX(SPLIT(G6203,""/""),,2),INDEX(SPLIT(G6203,""/""),,1))"),44260.0)</f>
        <v>44260</v>
      </c>
      <c r="I6203" s="1" t="s">
        <v>276</v>
      </c>
      <c r="J6203" s="4">
        <f>IFERROR(__xludf.DUMMYFUNCTION("DATE(INDEX(SPLIT(I6203,""/""),,3),INDEX(SPLIT(I6203,""/""),,2),INDEX(SPLIT(I6203,""/""),,1))"),44922.0)</f>
        <v>44922</v>
      </c>
      <c r="L6203" s="1">
        <v>0.0</v>
      </c>
      <c r="M6203" s="1" t="s">
        <v>2787</v>
      </c>
      <c r="N6203" s="1"/>
      <c r="O6203" s="1" t="s">
        <v>30</v>
      </c>
      <c r="P6203" s="1" t="s">
        <v>31</v>
      </c>
      <c r="Q6203" s="1" t="s">
        <v>157</v>
      </c>
      <c r="R6203" s="1" t="s">
        <v>157</v>
      </c>
      <c r="S6203" s="1" t="s">
        <v>158</v>
      </c>
      <c r="T6203" s="1" t="s">
        <v>442</v>
      </c>
      <c r="U6203" s="1">
        <v>1.00708984E8</v>
      </c>
      <c r="X6203" s="1" t="s">
        <v>305</v>
      </c>
      <c r="Y6203" s="1" t="s">
        <v>9505</v>
      </c>
      <c r="Z6203" s="1" t="s">
        <v>37</v>
      </c>
    </row>
    <row r="6204" hidden="1">
      <c r="A6204" s="1" t="s">
        <v>17060</v>
      </c>
      <c r="B6204" s="1" t="s">
        <v>2205</v>
      </c>
      <c r="C6204" s="1" t="s">
        <v>17061</v>
      </c>
      <c r="D6204" s="1" t="s">
        <v>27</v>
      </c>
      <c r="E6204" s="1" t="s">
        <v>28</v>
      </c>
      <c r="F6204" s="2">
        <v>0.0</v>
      </c>
      <c r="G6204" s="4">
        <v>44350.0</v>
      </c>
      <c r="H6204" s="4">
        <f>IFERROR(__xludf.DUMMYFUNCTION("DATE(INDEX(SPLIT(G6204,""/""),,3),INDEX(SPLIT(G6204,""/""),,2),INDEX(SPLIT(G6204,""/""),,1))"),44261.0)</f>
        <v>44261</v>
      </c>
      <c r="I6204" s="1" t="s">
        <v>276</v>
      </c>
      <c r="J6204" s="4">
        <f>IFERROR(__xludf.DUMMYFUNCTION("DATE(INDEX(SPLIT(I6204,""/""),,3),INDEX(SPLIT(I6204,""/""),,2),INDEX(SPLIT(I6204,""/""),,1))"),44922.0)</f>
        <v>44922</v>
      </c>
      <c r="L6204" s="1">
        <v>0.0</v>
      </c>
      <c r="M6204" s="1" t="s">
        <v>2787</v>
      </c>
      <c r="N6204" s="1"/>
      <c r="O6204" s="1" t="s">
        <v>30</v>
      </c>
      <c r="P6204" s="1" t="s">
        <v>31</v>
      </c>
      <c r="Q6204" s="1" t="s">
        <v>157</v>
      </c>
      <c r="R6204" s="1" t="s">
        <v>157</v>
      </c>
      <c r="S6204" s="1" t="s">
        <v>158</v>
      </c>
      <c r="T6204" s="1" t="s">
        <v>442</v>
      </c>
      <c r="U6204" s="1">
        <v>1.00708984E8</v>
      </c>
      <c r="X6204" s="1" t="s">
        <v>88</v>
      </c>
      <c r="Y6204" s="1" t="s">
        <v>9505</v>
      </c>
      <c r="Z6204" s="1" t="s">
        <v>37</v>
      </c>
    </row>
    <row r="6205" hidden="1">
      <c r="A6205" s="1" t="s">
        <v>17062</v>
      </c>
      <c r="B6205" s="1" t="s">
        <v>17063</v>
      </c>
      <c r="C6205" s="1" t="s">
        <v>17064</v>
      </c>
      <c r="D6205" s="1" t="s">
        <v>27</v>
      </c>
      <c r="E6205" s="1" t="s">
        <v>28</v>
      </c>
      <c r="F6205" s="2">
        <v>0.0</v>
      </c>
      <c r="G6205" s="4">
        <v>44350.0</v>
      </c>
      <c r="H6205" s="4">
        <f>IFERROR(__xludf.DUMMYFUNCTION("DATE(INDEX(SPLIT(G6205,""/""),,3),INDEX(SPLIT(G6205,""/""),,2),INDEX(SPLIT(G6205,""/""),,1))"),44261.0)</f>
        <v>44261</v>
      </c>
      <c r="I6205" s="1" t="s">
        <v>276</v>
      </c>
      <c r="J6205" s="4">
        <f>IFERROR(__xludf.DUMMYFUNCTION("DATE(INDEX(SPLIT(I6205,""/""),,3),INDEX(SPLIT(I6205,""/""),,2),INDEX(SPLIT(I6205,""/""),,1))"),44922.0)</f>
        <v>44922</v>
      </c>
      <c r="L6205" s="1">
        <v>0.0</v>
      </c>
      <c r="M6205" s="1" t="s">
        <v>2787</v>
      </c>
      <c r="N6205" s="1"/>
      <c r="O6205" s="1" t="s">
        <v>30</v>
      </c>
      <c r="P6205" s="1" t="s">
        <v>31</v>
      </c>
      <c r="Q6205" s="1" t="s">
        <v>157</v>
      </c>
      <c r="R6205" s="1" t="s">
        <v>157</v>
      </c>
      <c r="S6205" s="1" t="s">
        <v>158</v>
      </c>
      <c r="T6205" s="1" t="s">
        <v>442</v>
      </c>
      <c r="U6205" s="1">
        <v>1.00708984E8</v>
      </c>
      <c r="X6205" s="1" t="s">
        <v>125</v>
      </c>
      <c r="Y6205" s="1" t="s">
        <v>9505</v>
      </c>
      <c r="Z6205" s="1" t="s">
        <v>37</v>
      </c>
    </row>
    <row r="6206">
      <c r="A6206" s="1" t="s">
        <v>17065</v>
      </c>
      <c r="B6206" s="1" t="s">
        <v>1492</v>
      </c>
      <c r="C6206" s="1" t="s">
        <v>8739</v>
      </c>
      <c r="D6206" s="1" t="s">
        <v>68</v>
      </c>
      <c r="E6206" s="1" t="s">
        <v>28</v>
      </c>
      <c r="F6206" s="2">
        <v>0.0</v>
      </c>
      <c r="G6206" s="4">
        <v>44238.0</v>
      </c>
      <c r="H6206" s="4">
        <f>IFERROR(__xludf.DUMMYFUNCTION("DATE(INDEX(SPLIT(G6206,""/""),,3),INDEX(SPLIT(G6206,""/""),,2),INDEX(SPLIT(G6206,""/""),,1))"),44502.0)</f>
        <v>44502</v>
      </c>
      <c r="I6206" s="1" t="s">
        <v>1244</v>
      </c>
      <c r="J6206" s="4">
        <f>IFERROR(__xludf.DUMMYFUNCTION("DATE(INDEX(SPLIT(I6206,""/""),,3),INDEX(SPLIT(I6206,""/""),,2),INDEX(SPLIT(I6206,""/""),,1))"),44742.0)</f>
        <v>44742</v>
      </c>
      <c r="L6206" s="1">
        <v>0.0</v>
      </c>
      <c r="M6206" s="1" t="s">
        <v>1496</v>
      </c>
      <c r="N6206" s="1"/>
      <c r="O6206" s="1" t="s">
        <v>30</v>
      </c>
      <c r="P6206" s="1" t="s">
        <v>31</v>
      </c>
      <c r="Q6206" s="1" t="s">
        <v>53</v>
      </c>
      <c r="R6206" s="1" t="s">
        <v>53</v>
      </c>
      <c r="S6206" s="1" t="s">
        <v>54</v>
      </c>
      <c r="T6206" s="1" t="s">
        <v>1386</v>
      </c>
      <c r="U6206" s="1">
        <v>1.00610014E8</v>
      </c>
      <c r="V6206" s="1" t="s">
        <v>14482</v>
      </c>
      <c r="W6206" s="1" t="s">
        <v>45</v>
      </c>
      <c r="X6206" s="1" t="s">
        <v>81</v>
      </c>
      <c r="Y6206" s="1" t="s">
        <v>1533</v>
      </c>
      <c r="Z6206" s="1" t="s">
        <v>37</v>
      </c>
    </row>
    <row r="6207">
      <c r="A6207" s="1" t="s">
        <v>17066</v>
      </c>
      <c r="B6207" s="1" t="s">
        <v>17067</v>
      </c>
      <c r="C6207" s="1" t="s">
        <v>17068</v>
      </c>
      <c r="D6207" s="1" t="s">
        <v>27</v>
      </c>
      <c r="E6207" s="1" t="s">
        <v>28</v>
      </c>
      <c r="F6207" s="2">
        <v>0.0</v>
      </c>
      <c r="G6207" s="1" t="s">
        <v>298</v>
      </c>
      <c r="H6207" s="4">
        <f>IFERROR(__xludf.DUMMYFUNCTION("DATE(INDEX(SPLIT(G6207,""/""),,3),INDEX(SPLIT(G6207,""/""),,2),INDEX(SPLIT(G6207,""/""),,1))"),44762.0)</f>
        <v>44762</v>
      </c>
      <c r="I6207" s="1" t="s">
        <v>69</v>
      </c>
      <c r="J6207" s="4">
        <f>IFERROR(__xludf.DUMMYFUNCTION("DATE(INDEX(SPLIT(I6207,""/""),,3),INDEX(SPLIT(I6207,""/""),,2),INDEX(SPLIT(I6207,""/""),,1))"),44773.0)</f>
        <v>44773</v>
      </c>
      <c r="L6207" s="1">
        <v>0.0</v>
      </c>
      <c r="M6207" s="1" t="s">
        <v>17069</v>
      </c>
      <c r="N6207" s="1"/>
      <c r="O6207" s="1" t="s">
        <v>30</v>
      </c>
      <c r="P6207" s="1" t="s">
        <v>31</v>
      </c>
      <c r="Q6207" s="1" t="s">
        <v>235</v>
      </c>
      <c r="R6207" s="1" t="s">
        <v>235</v>
      </c>
      <c r="S6207" s="1" t="s">
        <v>236</v>
      </c>
      <c r="U6207" s="1">
        <v>1.00897862E8</v>
      </c>
      <c r="Y6207" s="1" t="s">
        <v>17069</v>
      </c>
      <c r="Z6207" s="1" t="s">
        <v>4777</v>
      </c>
    </row>
    <row r="6208">
      <c r="A6208" s="1" t="s">
        <v>17070</v>
      </c>
      <c r="B6208" s="1" t="s">
        <v>4196</v>
      </c>
      <c r="C6208" s="1" t="s">
        <v>17071</v>
      </c>
      <c r="D6208" s="1" t="s">
        <v>27</v>
      </c>
      <c r="E6208" s="1" t="s">
        <v>28</v>
      </c>
      <c r="F6208" s="2">
        <v>0.0</v>
      </c>
      <c r="G6208" s="1" t="s">
        <v>557</v>
      </c>
      <c r="H6208" s="4">
        <f>IFERROR(__xludf.DUMMYFUNCTION("DATE(INDEX(SPLIT(G6208,""/""),,3),INDEX(SPLIT(G6208,""/""),,2),INDEX(SPLIT(G6208,""/""),,1))"),44439.0)</f>
        <v>44439</v>
      </c>
      <c r="I6208" s="1" t="s">
        <v>69</v>
      </c>
      <c r="J6208" s="4">
        <f>IFERROR(__xludf.DUMMYFUNCTION("DATE(INDEX(SPLIT(I6208,""/""),,3),INDEX(SPLIT(I6208,""/""),,2),INDEX(SPLIT(I6208,""/""),,1))"),44773.0)</f>
        <v>44773</v>
      </c>
      <c r="L6208" s="1">
        <v>0.0</v>
      </c>
      <c r="M6208" s="1" t="s">
        <v>951</v>
      </c>
      <c r="N6208" s="1"/>
      <c r="O6208" s="1" t="s">
        <v>30</v>
      </c>
      <c r="P6208" s="1" t="s">
        <v>31</v>
      </c>
      <c r="Q6208" s="1" t="s">
        <v>157</v>
      </c>
      <c r="R6208" s="1" t="s">
        <v>157</v>
      </c>
      <c r="S6208" s="1" t="s">
        <v>158</v>
      </c>
      <c r="T6208" s="1" t="s">
        <v>159</v>
      </c>
      <c r="U6208" s="1">
        <v>1.00653269E8</v>
      </c>
      <c r="X6208" s="1" t="s">
        <v>74</v>
      </c>
      <c r="Y6208" s="1" t="s">
        <v>6323</v>
      </c>
      <c r="Z6208" s="1" t="s">
        <v>37</v>
      </c>
    </row>
    <row r="6209" hidden="1">
      <c r="A6209" s="1" t="s">
        <v>17072</v>
      </c>
      <c r="B6209" s="1" t="s">
        <v>896</v>
      </c>
      <c r="C6209" s="1" t="s">
        <v>17073</v>
      </c>
      <c r="D6209" s="1" t="s">
        <v>27</v>
      </c>
      <c r="E6209" s="1" t="s">
        <v>28</v>
      </c>
      <c r="F6209" s="2">
        <v>0.0</v>
      </c>
      <c r="G6209" s="1" t="s">
        <v>682</v>
      </c>
      <c r="H6209" s="4">
        <f>IFERROR(__xludf.DUMMYFUNCTION("DATE(INDEX(SPLIT(G6209,""/""),,3),INDEX(SPLIT(G6209,""/""),,2),INDEX(SPLIT(G6209,""/""),,1))"),44406.0)</f>
        <v>44406</v>
      </c>
      <c r="I6209" s="1" t="s">
        <v>7507</v>
      </c>
      <c r="J6209" s="4">
        <f>IFERROR(__xludf.DUMMYFUNCTION("DATE(INDEX(SPLIT(I6209,""/""),,3),INDEX(SPLIT(I6209,""/""),,2),INDEX(SPLIT(I6209,""/""),,1))"),44821.0)</f>
        <v>44821</v>
      </c>
      <c r="L6209" s="1">
        <v>0.0</v>
      </c>
      <c r="M6209" s="1" t="s">
        <v>3248</v>
      </c>
      <c r="N6209" s="1"/>
      <c r="O6209" s="1" t="s">
        <v>30</v>
      </c>
      <c r="P6209" s="1" t="s">
        <v>31</v>
      </c>
      <c r="Q6209" s="1" t="s">
        <v>32</v>
      </c>
      <c r="R6209" s="1" t="s">
        <v>32</v>
      </c>
      <c r="S6209" s="1" t="s">
        <v>33</v>
      </c>
      <c r="T6209" s="1" t="s">
        <v>1195</v>
      </c>
      <c r="U6209" s="1">
        <v>1.00586233E8</v>
      </c>
      <c r="X6209" s="1" t="s">
        <v>490</v>
      </c>
      <c r="Y6209" s="1" t="s">
        <v>2724</v>
      </c>
      <c r="Z6209" s="1" t="s">
        <v>37</v>
      </c>
    </row>
    <row r="6210">
      <c r="A6210" s="1" t="s">
        <v>17074</v>
      </c>
      <c r="B6210" s="1" t="s">
        <v>1379</v>
      </c>
      <c r="C6210" s="1" t="s">
        <v>17075</v>
      </c>
      <c r="D6210" s="1" t="s">
        <v>27</v>
      </c>
      <c r="E6210" s="1" t="s">
        <v>28</v>
      </c>
      <c r="F6210" s="2">
        <v>0.0</v>
      </c>
      <c r="G6210" s="1" t="s">
        <v>3303</v>
      </c>
      <c r="H6210" s="4">
        <f>IFERROR(__xludf.DUMMYFUNCTION("DATE(INDEX(SPLIT(G6210,""/""),,3),INDEX(SPLIT(G6210,""/""),,2),INDEX(SPLIT(G6210,""/""),,1))"),44552.0)</f>
        <v>44552</v>
      </c>
      <c r="I6210" s="1" t="s">
        <v>226</v>
      </c>
      <c r="J6210" s="4">
        <f>IFERROR(__xludf.DUMMYFUNCTION("DATE(INDEX(SPLIT(I6210,""/""),,3),INDEX(SPLIT(I6210,""/""),,2),INDEX(SPLIT(I6210,""/""),,1))"),44771.0)</f>
        <v>44771</v>
      </c>
      <c r="L6210" s="1">
        <v>0.0</v>
      </c>
      <c r="M6210" s="1" t="s">
        <v>8315</v>
      </c>
      <c r="N6210" s="1"/>
      <c r="O6210" s="1" t="s">
        <v>30</v>
      </c>
      <c r="P6210" s="1" t="s">
        <v>31</v>
      </c>
      <c r="Q6210" s="1" t="s">
        <v>95</v>
      </c>
      <c r="R6210" s="1" t="s">
        <v>95</v>
      </c>
      <c r="S6210" s="1" t="s">
        <v>96</v>
      </c>
      <c r="T6210" s="1" t="s">
        <v>111</v>
      </c>
      <c r="U6210" s="1">
        <v>1.00625107E8</v>
      </c>
      <c r="X6210" s="1" t="s">
        <v>63</v>
      </c>
      <c r="Y6210" s="1" t="s">
        <v>1382</v>
      </c>
      <c r="Z6210" s="1" t="s">
        <v>206</v>
      </c>
    </row>
    <row r="6211">
      <c r="A6211" s="1" t="s">
        <v>17076</v>
      </c>
      <c r="B6211" s="1" t="s">
        <v>427</v>
      </c>
      <c r="C6211" s="1" t="s">
        <v>17077</v>
      </c>
      <c r="D6211" s="1" t="s">
        <v>122</v>
      </c>
      <c r="E6211" s="1" t="s">
        <v>28</v>
      </c>
      <c r="F6211" s="2">
        <v>0.0</v>
      </c>
      <c r="G6211" s="1" t="s">
        <v>1364</v>
      </c>
      <c r="H6211" s="4">
        <f>IFERROR(__xludf.DUMMYFUNCTION("DATE(INDEX(SPLIT(G6211,""/""),,3),INDEX(SPLIT(G6211,""/""),,2),INDEX(SPLIT(G6211,""/""),,1))"),44676.0)</f>
        <v>44676</v>
      </c>
      <c r="I6211" s="1" t="s">
        <v>233</v>
      </c>
      <c r="J6211" s="4">
        <f>IFERROR(__xludf.DUMMYFUNCTION("DATE(INDEX(SPLIT(I6211,""/""),,3),INDEX(SPLIT(I6211,""/""),,2),INDEX(SPLIT(I6211,""/""),,1))"),44729.0)</f>
        <v>44729</v>
      </c>
      <c r="L6211" s="1">
        <v>0.0</v>
      </c>
      <c r="M6211" s="1" t="s">
        <v>891</v>
      </c>
      <c r="N6211" s="1"/>
      <c r="O6211" s="1" t="s">
        <v>30</v>
      </c>
      <c r="P6211" s="1" t="s">
        <v>31</v>
      </c>
      <c r="Q6211" s="1" t="s">
        <v>32</v>
      </c>
      <c r="R6211" s="1" t="s">
        <v>32</v>
      </c>
      <c r="S6211" s="1" t="s">
        <v>33</v>
      </c>
      <c r="U6211" s="1">
        <v>1.00866856E8</v>
      </c>
      <c r="V6211" s="1" t="s">
        <v>17078</v>
      </c>
      <c r="W6211" s="1" t="s">
        <v>717</v>
      </c>
      <c r="X6211" s="1" t="s">
        <v>125</v>
      </c>
      <c r="Y6211" s="1" t="s">
        <v>2233</v>
      </c>
      <c r="Z6211" s="1" t="s">
        <v>37</v>
      </c>
    </row>
    <row r="6212" hidden="1">
      <c r="A6212" s="1" t="s">
        <v>17079</v>
      </c>
      <c r="B6212" s="1" t="s">
        <v>975</v>
      </c>
      <c r="C6212" s="1" t="s">
        <v>17080</v>
      </c>
      <c r="D6212" s="1" t="s">
        <v>122</v>
      </c>
      <c r="E6212" s="1" t="s">
        <v>28</v>
      </c>
      <c r="F6212" s="2">
        <v>0.0</v>
      </c>
      <c r="G6212" s="4">
        <v>44746.0</v>
      </c>
      <c r="H6212" s="4">
        <f>IFERROR(__xludf.DUMMYFUNCTION("DATE(INDEX(SPLIT(G6212,""/""),,3),INDEX(SPLIT(G6212,""/""),,2),INDEX(SPLIT(G6212,""/""),,1))"),44658.0)</f>
        <v>44658</v>
      </c>
      <c r="I6212" s="1" t="s">
        <v>130</v>
      </c>
      <c r="J6212" s="4">
        <f>IFERROR(__xludf.DUMMYFUNCTION("DATE(INDEX(SPLIT(I6212,""/""),,3),INDEX(SPLIT(I6212,""/""),,2),INDEX(SPLIT(I6212,""/""),,1))"),44804.0)</f>
        <v>44804</v>
      </c>
      <c r="L6212" s="1">
        <v>0.0</v>
      </c>
      <c r="M6212" s="1" t="s">
        <v>941</v>
      </c>
      <c r="N6212" s="1"/>
      <c r="O6212" s="1" t="s">
        <v>30</v>
      </c>
      <c r="P6212" s="1" t="s">
        <v>31</v>
      </c>
      <c r="Q6212" s="1" t="s">
        <v>235</v>
      </c>
      <c r="R6212" s="1" t="s">
        <v>235</v>
      </c>
      <c r="S6212" s="1" t="s">
        <v>236</v>
      </c>
      <c r="T6212" s="1" t="s">
        <v>438</v>
      </c>
      <c r="U6212" s="1">
        <v>1.00652846E8</v>
      </c>
      <c r="X6212" s="1" t="s">
        <v>88</v>
      </c>
      <c r="Y6212" s="1" t="s">
        <v>6798</v>
      </c>
      <c r="Z6212" s="1" t="s">
        <v>37</v>
      </c>
    </row>
    <row r="6213" hidden="1">
      <c r="A6213" s="1" t="s">
        <v>17081</v>
      </c>
      <c r="B6213" s="1" t="s">
        <v>17082</v>
      </c>
      <c r="C6213" s="1" t="s">
        <v>17083</v>
      </c>
      <c r="D6213" s="1" t="s">
        <v>27</v>
      </c>
      <c r="E6213" s="1" t="s">
        <v>28</v>
      </c>
      <c r="F6213" s="2">
        <v>0.0</v>
      </c>
      <c r="G6213" s="1" t="s">
        <v>17084</v>
      </c>
      <c r="H6213" s="4">
        <f>IFERROR(__xludf.DUMMYFUNCTION("DATE(INDEX(SPLIT(G6213,""/""),,3),INDEX(SPLIT(G6213,""/""),,2),INDEX(SPLIT(G6213,""/""),,1))"),44520.0)</f>
        <v>44520</v>
      </c>
      <c r="I6213" s="1" t="s">
        <v>109</v>
      </c>
      <c r="J6213" s="4">
        <f>IFERROR(__xludf.DUMMYFUNCTION("DATE(INDEX(SPLIT(I6213,""/""),,3),INDEX(SPLIT(I6213,""/""),,2),INDEX(SPLIT(I6213,""/""),,1))"),44834.0)</f>
        <v>44834</v>
      </c>
      <c r="L6213" s="1">
        <v>0.0</v>
      </c>
      <c r="M6213" s="1" t="s">
        <v>3788</v>
      </c>
      <c r="N6213" s="1"/>
      <c r="O6213" s="1" t="s">
        <v>30</v>
      </c>
      <c r="P6213" s="1" t="s">
        <v>31</v>
      </c>
      <c r="Q6213" s="1" t="s">
        <v>53</v>
      </c>
      <c r="R6213" s="1" t="s">
        <v>53</v>
      </c>
      <c r="S6213" s="1" t="s">
        <v>54</v>
      </c>
      <c r="T6213" s="1" t="s">
        <v>634</v>
      </c>
      <c r="U6213" s="1">
        <v>1.01054865E8</v>
      </c>
      <c r="X6213" s="1" t="s">
        <v>490</v>
      </c>
      <c r="Y6213" s="1" t="s">
        <v>3788</v>
      </c>
      <c r="Z6213" s="1" t="s">
        <v>527</v>
      </c>
    </row>
    <row r="6214" hidden="1">
      <c r="A6214" s="1" t="s">
        <v>17085</v>
      </c>
      <c r="B6214" s="1" t="s">
        <v>17086</v>
      </c>
      <c r="C6214" s="1" t="s">
        <v>17087</v>
      </c>
      <c r="D6214" s="1" t="s">
        <v>27</v>
      </c>
      <c r="E6214" s="1" t="s">
        <v>28</v>
      </c>
      <c r="F6214" s="2">
        <v>0.0</v>
      </c>
      <c r="G6214" s="1" t="s">
        <v>17084</v>
      </c>
      <c r="H6214" s="4">
        <f>IFERROR(__xludf.DUMMYFUNCTION("DATE(INDEX(SPLIT(G6214,""/""),,3),INDEX(SPLIT(G6214,""/""),,2),INDEX(SPLIT(G6214,""/""),,1))"),44520.0)</f>
        <v>44520</v>
      </c>
      <c r="I6214" s="1" t="s">
        <v>109</v>
      </c>
      <c r="J6214" s="4">
        <f>IFERROR(__xludf.DUMMYFUNCTION("DATE(INDEX(SPLIT(I6214,""/""),,3),INDEX(SPLIT(I6214,""/""),,2),INDEX(SPLIT(I6214,""/""),,1))"),44834.0)</f>
        <v>44834</v>
      </c>
      <c r="L6214" s="1">
        <v>0.0</v>
      </c>
      <c r="M6214" s="1" t="s">
        <v>3788</v>
      </c>
      <c r="N6214" s="1"/>
      <c r="O6214" s="1" t="s">
        <v>30</v>
      </c>
      <c r="P6214" s="1" t="s">
        <v>31</v>
      </c>
      <c r="Q6214" s="1" t="s">
        <v>53</v>
      </c>
      <c r="R6214" s="1" t="s">
        <v>53</v>
      </c>
      <c r="S6214" s="1" t="s">
        <v>54</v>
      </c>
      <c r="T6214" s="1" t="s">
        <v>634</v>
      </c>
      <c r="U6214" s="1">
        <v>1.01054865E8</v>
      </c>
      <c r="X6214" s="1" t="s">
        <v>490</v>
      </c>
      <c r="Y6214" s="1" t="s">
        <v>3788</v>
      </c>
      <c r="Z6214" s="1" t="s">
        <v>527</v>
      </c>
    </row>
    <row r="6215" hidden="1">
      <c r="A6215" s="1" t="s">
        <v>17088</v>
      </c>
      <c r="B6215" s="1" t="s">
        <v>2303</v>
      </c>
      <c r="C6215" s="1" t="s">
        <v>17089</v>
      </c>
      <c r="D6215" s="1" t="s">
        <v>27</v>
      </c>
      <c r="E6215" s="1" t="s">
        <v>28</v>
      </c>
      <c r="F6215" s="2">
        <v>0.0</v>
      </c>
      <c r="G6215" s="4">
        <v>44350.0</v>
      </c>
      <c r="H6215" s="4">
        <f>IFERROR(__xludf.DUMMYFUNCTION("DATE(INDEX(SPLIT(G6215,""/""),,3),INDEX(SPLIT(G6215,""/""),,2),INDEX(SPLIT(G6215,""/""),,1))"),44261.0)</f>
        <v>44261</v>
      </c>
      <c r="I6215" s="1" t="s">
        <v>203</v>
      </c>
      <c r="J6215" s="4">
        <f>IFERROR(__xludf.DUMMYFUNCTION("DATE(INDEX(SPLIT(I6215,""/""),,3),INDEX(SPLIT(I6215,""/""),,2),INDEX(SPLIT(I6215,""/""),,1))"),44925.0)</f>
        <v>44925</v>
      </c>
      <c r="L6215" s="1">
        <v>0.0</v>
      </c>
      <c r="M6215" s="1" t="s">
        <v>2787</v>
      </c>
      <c r="N6215" s="1"/>
      <c r="O6215" s="1" t="s">
        <v>30</v>
      </c>
      <c r="P6215" s="1" t="s">
        <v>31</v>
      </c>
      <c r="Q6215" s="1" t="s">
        <v>157</v>
      </c>
      <c r="R6215" s="1" t="s">
        <v>157</v>
      </c>
      <c r="S6215" s="1" t="s">
        <v>158</v>
      </c>
      <c r="T6215" s="1" t="s">
        <v>442</v>
      </c>
      <c r="U6215" s="1">
        <v>1.00708984E8</v>
      </c>
      <c r="X6215" s="1" t="s">
        <v>88</v>
      </c>
      <c r="Y6215" s="1" t="s">
        <v>9505</v>
      </c>
      <c r="Z6215" s="1" t="s">
        <v>37</v>
      </c>
    </row>
    <row r="6216">
      <c r="A6216" s="1" t="s">
        <v>17090</v>
      </c>
      <c r="B6216" s="1" t="s">
        <v>5989</v>
      </c>
      <c r="C6216" s="1" t="s">
        <v>17091</v>
      </c>
      <c r="D6216" s="1" t="s">
        <v>27</v>
      </c>
      <c r="E6216" s="1" t="s">
        <v>28</v>
      </c>
      <c r="F6216" s="2">
        <v>0.0</v>
      </c>
      <c r="G6216" s="1" t="s">
        <v>682</v>
      </c>
      <c r="H6216" s="4">
        <f>IFERROR(__xludf.DUMMYFUNCTION("DATE(INDEX(SPLIT(G6216,""/""),,3),INDEX(SPLIT(G6216,""/""),,2),INDEX(SPLIT(G6216,""/""),,1))"),44406.0)</f>
        <v>44406</v>
      </c>
      <c r="I6216" s="1" t="s">
        <v>226</v>
      </c>
      <c r="J6216" s="4">
        <f>IFERROR(__xludf.DUMMYFUNCTION("DATE(INDEX(SPLIT(I6216,""/""),,3),INDEX(SPLIT(I6216,""/""),,2),INDEX(SPLIT(I6216,""/""),,1))"),44771.0)</f>
        <v>44771</v>
      </c>
      <c r="L6216" s="1">
        <v>0.0</v>
      </c>
      <c r="M6216" s="1" t="s">
        <v>2724</v>
      </c>
      <c r="N6216" s="1"/>
      <c r="O6216" s="1" t="s">
        <v>30</v>
      </c>
      <c r="P6216" s="1" t="s">
        <v>31</v>
      </c>
      <c r="Q6216" s="1" t="s">
        <v>32</v>
      </c>
      <c r="R6216" s="1" t="s">
        <v>32</v>
      </c>
      <c r="S6216" s="1" t="s">
        <v>33</v>
      </c>
      <c r="T6216" s="1" t="s">
        <v>1195</v>
      </c>
      <c r="U6216" s="1">
        <v>1.00606975E8</v>
      </c>
      <c r="X6216" s="1" t="s">
        <v>490</v>
      </c>
      <c r="Y6216" s="1" t="s">
        <v>2724</v>
      </c>
      <c r="Z6216" s="1" t="s">
        <v>37</v>
      </c>
    </row>
    <row r="6217" hidden="1">
      <c r="A6217" s="1" t="s">
        <v>17092</v>
      </c>
      <c r="B6217" s="1" t="s">
        <v>17093</v>
      </c>
      <c r="C6217" s="1" t="s">
        <v>17094</v>
      </c>
      <c r="D6217" s="1" t="s">
        <v>27</v>
      </c>
      <c r="E6217" s="1" t="s">
        <v>28</v>
      </c>
      <c r="F6217" s="2">
        <v>0.0</v>
      </c>
      <c r="G6217" s="4">
        <v>44350.0</v>
      </c>
      <c r="H6217" s="4">
        <f>IFERROR(__xludf.DUMMYFUNCTION("DATE(INDEX(SPLIT(G6217,""/""),,3),INDEX(SPLIT(G6217,""/""),,2),INDEX(SPLIT(G6217,""/""),,1))"),44261.0)</f>
        <v>44261</v>
      </c>
      <c r="I6217" s="1" t="s">
        <v>203</v>
      </c>
      <c r="J6217" s="4">
        <f>IFERROR(__xludf.DUMMYFUNCTION("DATE(INDEX(SPLIT(I6217,""/""),,3),INDEX(SPLIT(I6217,""/""),,2),INDEX(SPLIT(I6217,""/""),,1))"),44925.0)</f>
        <v>44925</v>
      </c>
      <c r="L6217" s="1">
        <v>0.0</v>
      </c>
      <c r="M6217" s="1" t="s">
        <v>2787</v>
      </c>
      <c r="N6217" s="1"/>
      <c r="O6217" s="1" t="s">
        <v>30</v>
      </c>
      <c r="P6217" s="1" t="s">
        <v>31</v>
      </c>
      <c r="Q6217" s="1" t="s">
        <v>157</v>
      </c>
      <c r="R6217" s="1" t="s">
        <v>157</v>
      </c>
      <c r="S6217" s="1" t="s">
        <v>158</v>
      </c>
      <c r="T6217" s="1" t="s">
        <v>442</v>
      </c>
      <c r="U6217" s="1">
        <v>1.00708984E8</v>
      </c>
      <c r="X6217" s="1" t="s">
        <v>88</v>
      </c>
      <c r="Y6217" s="1" t="s">
        <v>9505</v>
      </c>
      <c r="Z6217" s="1" t="s">
        <v>37</v>
      </c>
    </row>
    <row r="6218" hidden="1">
      <c r="A6218" s="1" t="s">
        <v>17095</v>
      </c>
      <c r="B6218" s="1" t="s">
        <v>427</v>
      </c>
      <c r="C6218" s="1" t="s">
        <v>17096</v>
      </c>
      <c r="D6218" s="1" t="s">
        <v>27</v>
      </c>
      <c r="E6218" s="1" t="s">
        <v>28</v>
      </c>
      <c r="F6218" s="2">
        <v>0.0</v>
      </c>
      <c r="G6218" s="1" t="s">
        <v>6314</v>
      </c>
      <c r="H6218" s="4">
        <f>IFERROR(__xludf.DUMMYFUNCTION("DATE(INDEX(SPLIT(G6218,""/""),,3),INDEX(SPLIT(G6218,""/""),,2),INDEX(SPLIT(G6218,""/""),,1))"),44286.0)</f>
        <v>44286</v>
      </c>
      <c r="I6218" s="1" t="s">
        <v>42</v>
      </c>
      <c r="J6218" s="4">
        <f>IFERROR(__xludf.DUMMYFUNCTION("DATE(INDEX(SPLIT(I6218,""/""),,3),INDEX(SPLIT(I6218,""/""),,2),INDEX(SPLIT(I6218,""/""),,1))"),44926.0)</f>
        <v>44926</v>
      </c>
      <c r="L6218" s="1">
        <v>0.0</v>
      </c>
      <c r="M6218" s="1" t="s">
        <v>3948</v>
      </c>
      <c r="N6218" s="1"/>
      <c r="O6218" s="1" t="s">
        <v>30</v>
      </c>
      <c r="P6218" s="1" t="s">
        <v>31</v>
      </c>
      <c r="Q6218" s="1" t="s">
        <v>228</v>
      </c>
      <c r="R6218" s="1" t="s">
        <v>228</v>
      </c>
      <c r="S6218" s="1" t="s">
        <v>229</v>
      </c>
      <c r="T6218" s="1" t="s">
        <v>513</v>
      </c>
      <c r="U6218" s="1">
        <v>1.0066189E8</v>
      </c>
      <c r="X6218" s="1" t="s">
        <v>125</v>
      </c>
      <c r="Y6218" s="1" t="s">
        <v>432</v>
      </c>
      <c r="Z6218" s="1" t="s">
        <v>37</v>
      </c>
    </row>
    <row r="6219" hidden="1">
      <c r="A6219" s="1" t="s">
        <v>17097</v>
      </c>
      <c r="B6219" s="1" t="s">
        <v>1389</v>
      </c>
      <c r="C6219" s="1" t="s">
        <v>17098</v>
      </c>
      <c r="D6219" s="1" t="s">
        <v>27</v>
      </c>
      <c r="E6219" s="1" t="s">
        <v>28</v>
      </c>
      <c r="F6219" s="2">
        <v>0.0</v>
      </c>
      <c r="G6219" s="4">
        <v>44319.0</v>
      </c>
      <c r="H6219" s="4">
        <f>IFERROR(__xludf.DUMMYFUNCTION("DATE(INDEX(SPLIT(G6219,""/""),,3),INDEX(SPLIT(G6219,""/""),,2),INDEX(SPLIT(G6219,""/""),,1))"),44260.0)</f>
        <v>44260</v>
      </c>
      <c r="I6219" s="1" t="s">
        <v>1079</v>
      </c>
      <c r="J6219" s="4">
        <f>IFERROR(__xludf.DUMMYFUNCTION("DATE(INDEX(SPLIT(I6219,""/""),,3),INDEX(SPLIT(I6219,""/""),,2),INDEX(SPLIT(I6219,""/""),,1))"),44923.0)</f>
        <v>44923</v>
      </c>
      <c r="L6219" s="1">
        <v>0.0</v>
      </c>
      <c r="M6219" s="1" t="s">
        <v>2787</v>
      </c>
      <c r="N6219" s="1"/>
      <c r="O6219" s="1" t="s">
        <v>30</v>
      </c>
      <c r="P6219" s="1" t="s">
        <v>31</v>
      </c>
      <c r="Q6219" s="1" t="s">
        <v>157</v>
      </c>
      <c r="R6219" s="1" t="s">
        <v>157</v>
      </c>
      <c r="S6219" s="1" t="s">
        <v>158</v>
      </c>
      <c r="T6219" s="1" t="s">
        <v>442</v>
      </c>
      <c r="U6219" s="1">
        <v>1.00708984E8</v>
      </c>
      <c r="X6219" s="1" t="s">
        <v>125</v>
      </c>
      <c r="Y6219" s="1" t="s">
        <v>9505</v>
      </c>
      <c r="Z6219" s="1" t="s">
        <v>37</v>
      </c>
    </row>
    <row r="6220" hidden="1">
      <c r="A6220" s="1" t="s">
        <v>17099</v>
      </c>
      <c r="B6220" s="1" t="s">
        <v>1511</v>
      </c>
      <c r="C6220" s="1" t="s">
        <v>17100</v>
      </c>
      <c r="D6220" s="1" t="s">
        <v>27</v>
      </c>
      <c r="E6220" s="1" t="s">
        <v>28</v>
      </c>
      <c r="F6220" s="2">
        <v>0.0</v>
      </c>
      <c r="G6220" s="1" t="s">
        <v>17101</v>
      </c>
      <c r="H6220" s="4">
        <f>IFERROR(__xludf.DUMMYFUNCTION("DATE(INDEX(SPLIT(G6220,""/""),,3),INDEX(SPLIT(G6220,""/""),,2),INDEX(SPLIT(G6220,""/""),,1))"),43852.0)</f>
        <v>43852</v>
      </c>
      <c r="I6220" s="1" t="s">
        <v>1097</v>
      </c>
      <c r="J6220" s="4">
        <f>IFERROR(__xludf.DUMMYFUNCTION("DATE(INDEX(SPLIT(I6220,""/""),,3),INDEX(SPLIT(I6220,""/""),,2),INDEX(SPLIT(I6220,""/""),,1))"),45107.0)</f>
        <v>45107</v>
      </c>
      <c r="L6220" s="1">
        <v>0.0</v>
      </c>
      <c r="M6220" s="1" t="s">
        <v>1840</v>
      </c>
      <c r="N6220" s="1"/>
      <c r="O6220" s="1" t="s">
        <v>30</v>
      </c>
      <c r="P6220" s="1" t="s">
        <v>31</v>
      </c>
      <c r="Q6220" s="1" t="s">
        <v>71</v>
      </c>
      <c r="R6220" s="1" t="s">
        <v>71</v>
      </c>
      <c r="S6220" s="1" t="s">
        <v>72</v>
      </c>
      <c r="T6220" s="1" t="s">
        <v>615</v>
      </c>
      <c r="U6220" s="1">
        <v>1.00617113E8</v>
      </c>
      <c r="X6220" s="1" t="s">
        <v>490</v>
      </c>
      <c r="Y6220" s="1" t="s">
        <v>1841</v>
      </c>
      <c r="Z6220" s="1" t="s">
        <v>37</v>
      </c>
    </row>
    <row r="6221" hidden="1">
      <c r="A6221" s="1" t="s">
        <v>17102</v>
      </c>
      <c r="B6221" s="1" t="s">
        <v>1511</v>
      </c>
      <c r="C6221" s="1" t="s">
        <v>17103</v>
      </c>
      <c r="D6221" s="1" t="s">
        <v>27</v>
      </c>
      <c r="E6221" s="1" t="s">
        <v>28</v>
      </c>
      <c r="F6221" s="2">
        <v>0.0</v>
      </c>
      <c r="G6221" s="1" t="s">
        <v>17101</v>
      </c>
      <c r="H6221" s="4">
        <f>IFERROR(__xludf.DUMMYFUNCTION("DATE(INDEX(SPLIT(G6221,""/""),,3),INDEX(SPLIT(G6221,""/""),,2),INDEX(SPLIT(G6221,""/""),,1))"),43852.0)</f>
        <v>43852</v>
      </c>
      <c r="I6221" s="1" t="s">
        <v>1097</v>
      </c>
      <c r="J6221" s="4">
        <f>IFERROR(__xludf.DUMMYFUNCTION("DATE(INDEX(SPLIT(I6221,""/""),,3),INDEX(SPLIT(I6221,""/""),,2),INDEX(SPLIT(I6221,""/""),,1))"),45107.0)</f>
        <v>45107</v>
      </c>
      <c r="L6221" s="1">
        <v>0.0</v>
      </c>
      <c r="M6221" s="1" t="s">
        <v>1840</v>
      </c>
      <c r="N6221" s="1"/>
      <c r="O6221" s="1" t="s">
        <v>30</v>
      </c>
      <c r="P6221" s="1" t="s">
        <v>31</v>
      </c>
      <c r="Q6221" s="1" t="s">
        <v>71</v>
      </c>
      <c r="R6221" s="1" t="s">
        <v>71</v>
      </c>
      <c r="S6221" s="1" t="s">
        <v>72</v>
      </c>
      <c r="T6221" s="1" t="s">
        <v>1427</v>
      </c>
      <c r="U6221" s="1">
        <v>1.00617113E8</v>
      </c>
      <c r="X6221" s="1" t="s">
        <v>490</v>
      </c>
      <c r="Y6221" s="1" t="s">
        <v>1841</v>
      </c>
      <c r="Z6221" s="1" t="s">
        <v>37</v>
      </c>
    </row>
    <row r="6222" hidden="1">
      <c r="A6222" s="1" t="s">
        <v>17104</v>
      </c>
      <c r="B6222" s="1" t="s">
        <v>546</v>
      </c>
      <c r="C6222" s="1" t="s">
        <v>17105</v>
      </c>
      <c r="D6222" s="1" t="s">
        <v>122</v>
      </c>
      <c r="E6222" s="1" t="s">
        <v>28</v>
      </c>
      <c r="F6222" s="2">
        <v>0.0</v>
      </c>
      <c r="G6222" s="1" t="s">
        <v>2441</v>
      </c>
      <c r="H6222" s="4">
        <f>IFERROR(__xludf.DUMMYFUNCTION("DATE(INDEX(SPLIT(G6222,""/""),,3),INDEX(SPLIT(G6222,""/""),,2),INDEX(SPLIT(G6222,""/""),,1))"),44550.0)</f>
        <v>44550</v>
      </c>
      <c r="I6222" s="1" t="s">
        <v>130</v>
      </c>
      <c r="J6222" s="4">
        <f>IFERROR(__xludf.DUMMYFUNCTION("DATE(INDEX(SPLIT(I6222,""/""),,3),INDEX(SPLIT(I6222,""/""),,2),INDEX(SPLIT(I6222,""/""),,1))"),44804.0)</f>
        <v>44804</v>
      </c>
      <c r="L6222" s="1">
        <v>0.0</v>
      </c>
      <c r="M6222" s="1" t="s">
        <v>2107</v>
      </c>
      <c r="N6222" s="1"/>
      <c r="O6222" s="1" t="s">
        <v>30</v>
      </c>
      <c r="P6222" s="1" t="s">
        <v>31</v>
      </c>
      <c r="Q6222" s="1" t="s">
        <v>71</v>
      </c>
      <c r="R6222" s="1" t="s">
        <v>71</v>
      </c>
      <c r="S6222" s="1" t="s">
        <v>72</v>
      </c>
      <c r="T6222" s="1" t="s">
        <v>73</v>
      </c>
      <c r="U6222" s="1">
        <v>1.0061233E8</v>
      </c>
      <c r="X6222" s="1" t="s">
        <v>74</v>
      </c>
      <c r="Y6222" s="1" t="s">
        <v>2107</v>
      </c>
      <c r="Z6222" s="1" t="s">
        <v>37</v>
      </c>
    </row>
    <row r="6223">
      <c r="A6223" s="1" t="s">
        <v>17106</v>
      </c>
      <c r="B6223" s="1" t="s">
        <v>301</v>
      </c>
      <c r="C6223" s="1" t="s">
        <v>17107</v>
      </c>
      <c r="D6223" s="1" t="s">
        <v>27</v>
      </c>
      <c r="E6223" s="1" t="s">
        <v>28</v>
      </c>
      <c r="F6223" s="2">
        <v>0.0</v>
      </c>
      <c r="G6223" s="1" t="s">
        <v>13376</v>
      </c>
      <c r="H6223" s="4">
        <f>IFERROR(__xludf.DUMMYFUNCTION("DATE(INDEX(SPLIT(G6223,""/""),,3),INDEX(SPLIT(G6223,""/""),,2),INDEX(SPLIT(G6223,""/""),,1))"),44226.0)</f>
        <v>44226</v>
      </c>
      <c r="I6223" s="1" t="s">
        <v>1244</v>
      </c>
      <c r="J6223" s="4">
        <f>IFERROR(__xludf.DUMMYFUNCTION("DATE(INDEX(SPLIT(I6223,""/""),,3),INDEX(SPLIT(I6223,""/""),,2),INDEX(SPLIT(I6223,""/""),,1))"),44742.0)</f>
        <v>44742</v>
      </c>
      <c r="L6223" s="1">
        <v>0.0</v>
      </c>
      <c r="M6223" s="1" t="s">
        <v>17108</v>
      </c>
      <c r="N6223" s="1"/>
      <c r="O6223" s="1" t="s">
        <v>30</v>
      </c>
      <c r="P6223" s="1" t="s">
        <v>31</v>
      </c>
      <c r="Q6223" s="1" t="s">
        <v>157</v>
      </c>
      <c r="R6223" s="1" t="s">
        <v>157</v>
      </c>
      <c r="S6223" s="1" t="s">
        <v>158</v>
      </c>
      <c r="U6223" s="1">
        <v>1.00632697E8</v>
      </c>
      <c r="X6223" s="1" t="s">
        <v>305</v>
      </c>
      <c r="Y6223" s="1" t="s">
        <v>17109</v>
      </c>
      <c r="Z6223" s="1" t="s">
        <v>527</v>
      </c>
    </row>
    <row r="6224">
      <c r="A6224" s="1" t="s">
        <v>17110</v>
      </c>
      <c r="B6224" s="1" t="s">
        <v>301</v>
      </c>
      <c r="C6224" s="1" t="s">
        <v>17111</v>
      </c>
      <c r="D6224" s="1" t="s">
        <v>27</v>
      </c>
      <c r="E6224" s="1" t="s">
        <v>28</v>
      </c>
      <c r="F6224" s="2">
        <v>0.0</v>
      </c>
      <c r="G6224" s="1" t="s">
        <v>13376</v>
      </c>
      <c r="H6224" s="4">
        <f>IFERROR(__xludf.DUMMYFUNCTION("DATE(INDEX(SPLIT(G6224,""/""),,3),INDEX(SPLIT(G6224,""/""),,2),INDEX(SPLIT(G6224,""/""),,1))"),44226.0)</f>
        <v>44226</v>
      </c>
      <c r="I6224" s="1" t="s">
        <v>1244</v>
      </c>
      <c r="J6224" s="4">
        <f>IFERROR(__xludf.DUMMYFUNCTION("DATE(INDEX(SPLIT(I6224,""/""),,3),INDEX(SPLIT(I6224,""/""),,2),INDEX(SPLIT(I6224,""/""),,1))"),44742.0)</f>
        <v>44742</v>
      </c>
      <c r="L6224" s="1">
        <v>0.0</v>
      </c>
      <c r="M6224" s="1" t="s">
        <v>1770</v>
      </c>
      <c r="N6224" s="1"/>
      <c r="O6224" s="1" t="s">
        <v>30</v>
      </c>
      <c r="P6224" s="1" t="s">
        <v>31</v>
      </c>
      <c r="Q6224" s="1" t="s">
        <v>95</v>
      </c>
      <c r="R6224" s="1" t="s">
        <v>95</v>
      </c>
      <c r="S6224" s="1" t="s">
        <v>96</v>
      </c>
      <c r="U6224" s="1">
        <v>1.00639641E8</v>
      </c>
      <c r="X6224" s="1" t="s">
        <v>305</v>
      </c>
      <c r="Y6224" s="1" t="s">
        <v>17109</v>
      </c>
      <c r="Z6224" s="1" t="s">
        <v>527</v>
      </c>
    </row>
    <row r="6225" hidden="1">
      <c r="A6225" s="1" t="s">
        <v>17112</v>
      </c>
      <c r="B6225" s="1" t="s">
        <v>8156</v>
      </c>
      <c r="C6225" s="1" t="s">
        <v>17113</v>
      </c>
      <c r="D6225" s="1" t="s">
        <v>78</v>
      </c>
      <c r="E6225" s="1" t="s">
        <v>28</v>
      </c>
      <c r="F6225" s="2">
        <v>0.0</v>
      </c>
      <c r="G6225" s="4">
        <v>44352.0</v>
      </c>
      <c r="H6225" s="4">
        <f>IFERROR(__xludf.DUMMYFUNCTION("DATE(INDEX(SPLIT(G6225,""/""),,3),INDEX(SPLIT(G6225,""/""),,2),INDEX(SPLIT(G6225,""/""),,1))"),44322.0)</f>
        <v>44322</v>
      </c>
      <c r="I6225" s="1" t="s">
        <v>109</v>
      </c>
      <c r="J6225" s="4">
        <f>IFERROR(__xludf.DUMMYFUNCTION("DATE(INDEX(SPLIT(I6225,""/""),,3),INDEX(SPLIT(I6225,""/""),,2),INDEX(SPLIT(I6225,""/""),,1))"),44834.0)</f>
        <v>44834</v>
      </c>
      <c r="L6225" s="1">
        <v>0.0</v>
      </c>
      <c r="M6225" s="1" t="s">
        <v>4129</v>
      </c>
      <c r="N6225" s="1"/>
      <c r="O6225" s="1" t="s">
        <v>30</v>
      </c>
      <c r="P6225" s="1" t="s">
        <v>31</v>
      </c>
      <c r="Q6225" s="1" t="s">
        <v>228</v>
      </c>
      <c r="R6225" s="1" t="s">
        <v>228</v>
      </c>
      <c r="S6225" s="1" t="s">
        <v>229</v>
      </c>
      <c r="T6225" s="1" t="s">
        <v>111</v>
      </c>
      <c r="U6225" s="1">
        <v>1.00599268E8</v>
      </c>
      <c r="X6225" s="1" t="s">
        <v>63</v>
      </c>
      <c r="Y6225" s="1" t="s">
        <v>4289</v>
      </c>
      <c r="Z6225" s="1" t="s">
        <v>37</v>
      </c>
    </row>
    <row r="6226" hidden="1">
      <c r="A6226" s="1" t="s">
        <v>17114</v>
      </c>
      <c r="B6226" s="1" t="s">
        <v>10081</v>
      </c>
      <c r="C6226" s="1" t="s">
        <v>17115</v>
      </c>
      <c r="D6226" s="1" t="s">
        <v>27</v>
      </c>
      <c r="E6226" s="1" t="s">
        <v>28</v>
      </c>
      <c r="F6226" s="2">
        <v>0.0</v>
      </c>
      <c r="G6226" s="4">
        <v>44319.0</v>
      </c>
      <c r="H6226" s="4">
        <f>IFERROR(__xludf.DUMMYFUNCTION("DATE(INDEX(SPLIT(G6226,""/""),,3),INDEX(SPLIT(G6226,""/""),,2),INDEX(SPLIT(G6226,""/""),,1))"),44260.0)</f>
        <v>44260</v>
      </c>
      <c r="I6226" s="1" t="s">
        <v>203</v>
      </c>
      <c r="J6226" s="4">
        <f>IFERROR(__xludf.DUMMYFUNCTION("DATE(INDEX(SPLIT(I6226,""/""),,3),INDEX(SPLIT(I6226,""/""),,2),INDEX(SPLIT(I6226,""/""),,1))"),44925.0)</f>
        <v>44925</v>
      </c>
      <c r="L6226" s="1">
        <v>0.0</v>
      </c>
      <c r="M6226" s="1" t="s">
        <v>2787</v>
      </c>
      <c r="N6226" s="1"/>
      <c r="O6226" s="1" t="s">
        <v>30</v>
      </c>
      <c r="P6226" s="1" t="s">
        <v>31</v>
      </c>
      <c r="Q6226" s="1" t="s">
        <v>157</v>
      </c>
      <c r="R6226" s="1" t="s">
        <v>157</v>
      </c>
      <c r="S6226" s="1" t="s">
        <v>158</v>
      </c>
      <c r="T6226" s="1" t="s">
        <v>442</v>
      </c>
      <c r="U6226" s="1">
        <v>1.00708984E8</v>
      </c>
      <c r="X6226" s="1" t="s">
        <v>781</v>
      </c>
      <c r="Y6226" s="1" t="s">
        <v>9505</v>
      </c>
      <c r="Z6226" s="1" t="s">
        <v>37</v>
      </c>
    </row>
    <row r="6227">
      <c r="A6227" s="1" t="s">
        <v>17116</v>
      </c>
      <c r="B6227" s="1" t="s">
        <v>301</v>
      </c>
      <c r="C6227" s="1" t="s">
        <v>17117</v>
      </c>
      <c r="D6227" s="1" t="s">
        <v>27</v>
      </c>
      <c r="E6227" s="1" t="s">
        <v>28</v>
      </c>
      <c r="F6227" s="2">
        <v>0.0</v>
      </c>
      <c r="G6227" s="1" t="s">
        <v>13376</v>
      </c>
      <c r="H6227" s="4">
        <f>IFERROR(__xludf.DUMMYFUNCTION("DATE(INDEX(SPLIT(G6227,""/""),,3),INDEX(SPLIT(G6227,""/""),,2),INDEX(SPLIT(G6227,""/""),,1))"),44226.0)</f>
        <v>44226</v>
      </c>
      <c r="I6227" s="1" t="s">
        <v>1244</v>
      </c>
      <c r="J6227" s="4">
        <f>IFERROR(__xludf.DUMMYFUNCTION("DATE(INDEX(SPLIT(I6227,""/""),,3),INDEX(SPLIT(I6227,""/""),,2),INDEX(SPLIT(I6227,""/""),,1))"),44742.0)</f>
        <v>44742</v>
      </c>
      <c r="L6227" s="1">
        <v>0.0</v>
      </c>
      <c r="M6227" s="1" t="s">
        <v>5768</v>
      </c>
      <c r="N6227" s="1"/>
      <c r="O6227" s="1" t="s">
        <v>30</v>
      </c>
      <c r="P6227" s="1" t="s">
        <v>31</v>
      </c>
      <c r="Q6227" s="1" t="s">
        <v>32</v>
      </c>
      <c r="R6227" s="1" t="s">
        <v>32</v>
      </c>
      <c r="S6227" s="1" t="s">
        <v>33</v>
      </c>
      <c r="U6227" s="1">
        <v>1.00599601E8</v>
      </c>
      <c r="X6227" s="1" t="s">
        <v>305</v>
      </c>
      <c r="Y6227" s="1" t="s">
        <v>17109</v>
      </c>
      <c r="Z6227" s="1" t="s">
        <v>527</v>
      </c>
    </row>
    <row r="6228" hidden="1">
      <c r="A6228" s="1" t="s">
        <v>17118</v>
      </c>
      <c r="B6228" s="1" t="s">
        <v>17119</v>
      </c>
      <c r="C6228" s="1" t="s">
        <v>17120</v>
      </c>
      <c r="D6228" s="1" t="s">
        <v>78</v>
      </c>
      <c r="E6228" s="1" t="s">
        <v>28</v>
      </c>
      <c r="F6228" s="2">
        <v>0.0</v>
      </c>
      <c r="G6228" s="1" t="s">
        <v>1475</v>
      </c>
      <c r="H6228" s="4">
        <f>IFERROR(__xludf.DUMMYFUNCTION("DATE(INDEX(SPLIT(G6228,""/""),,3),INDEX(SPLIT(G6228,""/""),,2),INDEX(SPLIT(G6228,""/""),,1))"),44425.0)</f>
        <v>44425</v>
      </c>
      <c r="I6228" s="1" t="s">
        <v>360</v>
      </c>
      <c r="J6228" s="4">
        <f>IFERROR(__xludf.DUMMYFUNCTION("DATE(INDEX(SPLIT(I6228,""/""),,3),INDEX(SPLIT(I6228,""/""),,2),INDEX(SPLIT(I6228,""/""),,1))"),44895.0)</f>
        <v>44895</v>
      </c>
      <c r="L6228" s="1">
        <v>0.0</v>
      </c>
      <c r="M6228" s="1" t="s">
        <v>494</v>
      </c>
      <c r="N6228" s="1"/>
      <c r="O6228" s="1" t="s">
        <v>30</v>
      </c>
      <c r="P6228" s="1" t="s">
        <v>31</v>
      </c>
      <c r="Q6228" s="1" t="s">
        <v>95</v>
      </c>
      <c r="R6228" s="1" t="s">
        <v>95</v>
      </c>
      <c r="S6228" s="1" t="s">
        <v>96</v>
      </c>
      <c r="T6228" s="1" t="s">
        <v>311</v>
      </c>
      <c r="U6228" s="1">
        <v>1.0062347E8</v>
      </c>
      <c r="X6228" s="1" t="s">
        <v>410</v>
      </c>
      <c r="Y6228" s="1" t="s">
        <v>6862</v>
      </c>
      <c r="Z6228" s="1" t="s">
        <v>37</v>
      </c>
    </row>
    <row r="6229" hidden="1">
      <c r="A6229" s="1" t="s">
        <v>17121</v>
      </c>
      <c r="B6229" s="1" t="s">
        <v>5763</v>
      </c>
      <c r="C6229" s="1" t="s">
        <v>17122</v>
      </c>
      <c r="D6229" s="1" t="s">
        <v>122</v>
      </c>
      <c r="E6229" s="1" t="s">
        <v>28</v>
      </c>
      <c r="F6229" s="2">
        <v>0.0</v>
      </c>
      <c r="G6229" s="4">
        <v>44236.0</v>
      </c>
      <c r="H6229" s="4">
        <f>IFERROR(__xludf.DUMMYFUNCTION("DATE(INDEX(SPLIT(G6229,""/""),,3),INDEX(SPLIT(G6229,""/""),,2),INDEX(SPLIT(G6229,""/""),,1))"),44441.0)</f>
        <v>44441</v>
      </c>
      <c r="I6229" s="1" t="s">
        <v>130</v>
      </c>
      <c r="J6229" s="4">
        <f>IFERROR(__xludf.DUMMYFUNCTION("DATE(INDEX(SPLIT(I6229,""/""),,3),INDEX(SPLIT(I6229,""/""),,2),INDEX(SPLIT(I6229,""/""),,1))"),44804.0)</f>
        <v>44804</v>
      </c>
      <c r="L6229" s="1">
        <v>0.0</v>
      </c>
      <c r="M6229" s="1" t="s">
        <v>5765</v>
      </c>
      <c r="N6229" s="1"/>
      <c r="O6229" s="1" t="s">
        <v>30</v>
      </c>
      <c r="P6229" s="1" t="s">
        <v>31</v>
      </c>
      <c r="Q6229" s="1" t="s">
        <v>157</v>
      </c>
      <c r="R6229" s="1" t="s">
        <v>157</v>
      </c>
      <c r="S6229" s="1" t="s">
        <v>158</v>
      </c>
      <c r="U6229" s="1">
        <v>1.00612746E8</v>
      </c>
      <c r="X6229" s="1" t="s">
        <v>63</v>
      </c>
      <c r="Y6229" s="1" t="s">
        <v>4289</v>
      </c>
      <c r="Z6229" s="1" t="s">
        <v>37</v>
      </c>
    </row>
    <row r="6230">
      <c r="A6230" s="1" t="s">
        <v>17123</v>
      </c>
      <c r="B6230" s="1" t="s">
        <v>17124</v>
      </c>
      <c r="C6230" s="1" t="s">
        <v>17125</v>
      </c>
      <c r="D6230" s="1" t="s">
        <v>78</v>
      </c>
      <c r="E6230" s="1" t="s">
        <v>28</v>
      </c>
      <c r="F6230" s="2">
        <v>0.0</v>
      </c>
      <c r="G6230" s="4">
        <v>44810.0</v>
      </c>
      <c r="H6230" s="4">
        <f>IFERROR(__xludf.DUMMYFUNCTION("DATE(INDEX(SPLIT(G6230,""/""),,3),INDEX(SPLIT(G6230,""/""),,2),INDEX(SPLIT(G6230,""/""),,1))"),44721.0)</f>
        <v>44721</v>
      </c>
      <c r="I6230" s="1" t="s">
        <v>226</v>
      </c>
      <c r="J6230" s="4">
        <f>IFERROR(__xludf.DUMMYFUNCTION("DATE(INDEX(SPLIT(I6230,""/""),,3),INDEX(SPLIT(I6230,""/""),,2),INDEX(SPLIT(I6230,""/""),,1))"),44771.0)</f>
        <v>44771</v>
      </c>
      <c r="L6230" s="1">
        <v>0.0</v>
      </c>
      <c r="M6230" s="1" t="s">
        <v>3768</v>
      </c>
      <c r="N6230" s="1"/>
      <c r="O6230" s="1" t="s">
        <v>30</v>
      </c>
      <c r="P6230" s="1" t="s">
        <v>31</v>
      </c>
      <c r="Q6230" s="1" t="s">
        <v>157</v>
      </c>
      <c r="R6230" s="1" t="s">
        <v>157</v>
      </c>
      <c r="S6230" s="1" t="s">
        <v>158</v>
      </c>
      <c r="U6230" s="1">
        <v>1.00633763E8</v>
      </c>
      <c r="X6230" s="1" t="s">
        <v>63</v>
      </c>
      <c r="Y6230" s="1" t="s">
        <v>3117</v>
      </c>
      <c r="Z6230" s="1" t="s">
        <v>37</v>
      </c>
    </row>
    <row r="6231" hidden="1">
      <c r="A6231" s="1" t="s">
        <v>17126</v>
      </c>
      <c r="B6231" s="1" t="s">
        <v>546</v>
      </c>
      <c r="C6231" s="1" t="s">
        <v>17127</v>
      </c>
      <c r="D6231" s="1" t="s">
        <v>78</v>
      </c>
      <c r="E6231" s="1" t="s">
        <v>28</v>
      </c>
      <c r="F6231" s="2">
        <v>0.0</v>
      </c>
      <c r="G6231" s="1" t="s">
        <v>1740</v>
      </c>
      <c r="H6231" s="4">
        <f>IFERROR(__xludf.DUMMYFUNCTION("DATE(INDEX(SPLIT(G6231,""/""),,3),INDEX(SPLIT(G6231,""/""),,2),INDEX(SPLIT(G6231,""/""),,1))"),44456.0)</f>
        <v>44456</v>
      </c>
      <c r="I6231" s="4">
        <v>44569.0</v>
      </c>
      <c r="J6231" s="4">
        <f>IFERROR(__xludf.DUMMYFUNCTION("DATE(INDEX(SPLIT(I6231,""/""),,3),INDEX(SPLIT(I6231,""/""),,2),INDEX(SPLIT(I6231,""/""),,1))"),44774.0)</f>
        <v>44774</v>
      </c>
      <c r="L6231" s="1">
        <v>0.0</v>
      </c>
      <c r="M6231" s="1" t="s">
        <v>674</v>
      </c>
      <c r="N6231" s="1"/>
      <c r="O6231" s="1" t="s">
        <v>30</v>
      </c>
      <c r="P6231" s="1" t="s">
        <v>31</v>
      </c>
      <c r="Q6231" s="1" t="s">
        <v>228</v>
      </c>
      <c r="R6231" s="1" t="s">
        <v>228</v>
      </c>
      <c r="S6231" s="1" t="s">
        <v>229</v>
      </c>
      <c r="T6231" s="1" t="s">
        <v>640</v>
      </c>
      <c r="U6231" s="1">
        <v>1.0089503E8</v>
      </c>
      <c r="X6231" s="1" t="s">
        <v>74</v>
      </c>
      <c r="Y6231" s="1" t="s">
        <v>9841</v>
      </c>
      <c r="Z6231" s="1" t="s">
        <v>37</v>
      </c>
    </row>
    <row r="6232" hidden="1">
      <c r="A6232" s="1" t="s">
        <v>17128</v>
      </c>
      <c r="B6232" s="1" t="s">
        <v>6392</v>
      </c>
      <c r="C6232" s="1" t="s">
        <v>17129</v>
      </c>
      <c r="D6232" s="1" t="s">
        <v>27</v>
      </c>
      <c r="E6232" s="1" t="s">
        <v>28</v>
      </c>
      <c r="F6232" s="2">
        <v>0.0</v>
      </c>
      <c r="G6232" s="1" t="s">
        <v>4294</v>
      </c>
      <c r="H6232" s="4">
        <f>IFERROR(__xludf.DUMMYFUNCTION("DATE(INDEX(SPLIT(G6232,""/""),,3),INDEX(SPLIT(G6232,""/""),,2),INDEX(SPLIT(G6232,""/""),,1))"),44133.0)</f>
        <v>44133</v>
      </c>
      <c r="I6232" s="1" t="s">
        <v>203</v>
      </c>
      <c r="J6232" s="4">
        <f>IFERROR(__xludf.DUMMYFUNCTION("DATE(INDEX(SPLIT(I6232,""/""),,3),INDEX(SPLIT(I6232,""/""),,2),INDEX(SPLIT(I6232,""/""),,1))"),44925.0)</f>
        <v>44925</v>
      </c>
      <c r="L6232" s="1">
        <v>0.0</v>
      </c>
      <c r="M6232" s="1" t="s">
        <v>4016</v>
      </c>
      <c r="N6232" s="1"/>
      <c r="O6232" s="1" t="s">
        <v>30</v>
      </c>
      <c r="P6232" s="1" t="s">
        <v>31</v>
      </c>
      <c r="Q6232" s="1" t="s">
        <v>95</v>
      </c>
      <c r="R6232" s="1" t="s">
        <v>95</v>
      </c>
      <c r="S6232" s="1" t="s">
        <v>96</v>
      </c>
      <c r="T6232" s="1" t="s">
        <v>311</v>
      </c>
      <c r="U6232" s="1">
        <v>1.00628223E8</v>
      </c>
      <c r="X6232" s="1" t="s">
        <v>46</v>
      </c>
      <c r="Y6232" s="1" t="s">
        <v>17130</v>
      </c>
      <c r="Z6232" s="1" t="s">
        <v>206</v>
      </c>
    </row>
    <row r="6233" hidden="1">
      <c r="A6233" s="1" t="s">
        <v>17131</v>
      </c>
      <c r="B6233" s="1" t="s">
        <v>3494</v>
      </c>
      <c r="C6233" s="1" t="s">
        <v>17132</v>
      </c>
      <c r="D6233" s="1" t="s">
        <v>27</v>
      </c>
      <c r="E6233" s="1" t="s">
        <v>28</v>
      </c>
      <c r="F6233" s="2">
        <v>0.0</v>
      </c>
      <c r="G6233" s="1" t="s">
        <v>418</v>
      </c>
      <c r="H6233" s="4">
        <f>IFERROR(__xludf.DUMMYFUNCTION("DATE(INDEX(SPLIT(G6233,""/""),,3),INDEX(SPLIT(G6233,""/""),,2),INDEX(SPLIT(G6233,""/""),,1))"),44755.0)</f>
        <v>44755</v>
      </c>
      <c r="I6233" s="1" t="s">
        <v>130</v>
      </c>
      <c r="J6233" s="4">
        <f>IFERROR(__xludf.DUMMYFUNCTION("DATE(INDEX(SPLIT(I6233,""/""),,3),INDEX(SPLIT(I6233,""/""),,2),INDEX(SPLIT(I6233,""/""),,1))"),44804.0)</f>
        <v>44804</v>
      </c>
      <c r="L6233" s="1">
        <v>0.0</v>
      </c>
      <c r="M6233" s="1" t="s">
        <v>1382</v>
      </c>
      <c r="N6233" s="1"/>
      <c r="O6233" s="1" t="s">
        <v>30</v>
      </c>
      <c r="P6233" s="1" t="s">
        <v>31</v>
      </c>
      <c r="Q6233" s="1" t="s">
        <v>157</v>
      </c>
      <c r="R6233" s="1" t="s">
        <v>157</v>
      </c>
      <c r="S6233" s="1" t="s">
        <v>158</v>
      </c>
      <c r="U6233" s="1">
        <v>1.00584043E8</v>
      </c>
      <c r="X6233" s="1" t="s">
        <v>254</v>
      </c>
      <c r="Y6233" s="1" t="s">
        <v>17133</v>
      </c>
      <c r="Z6233" s="1" t="s">
        <v>37</v>
      </c>
    </row>
    <row r="6234" hidden="1">
      <c r="A6234" s="1" t="s">
        <v>17134</v>
      </c>
      <c r="B6234" s="1" t="s">
        <v>17135</v>
      </c>
      <c r="C6234" s="1" t="s">
        <v>11655</v>
      </c>
      <c r="D6234" s="1" t="s">
        <v>78</v>
      </c>
      <c r="E6234" s="1" t="s">
        <v>28</v>
      </c>
      <c r="F6234" s="2">
        <v>0.0</v>
      </c>
      <c r="G6234" s="1" t="s">
        <v>2329</v>
      </c>
      <c r="H6234" s="4">
        <f>IFERROR(__xludf.DUMMYFUNCTION("DATE(INDEX(SPLIT(G6234,""/""),,3),INDEX(SPLIT(G6234,""/""),,2),INDEX(SPLIT(G6234,""/""),,1))"),44732.0)</f>
        <v>44732</v>
      </c>
      <c r="I6234" s="4">
        <v>44601.0</v>
      </c>
      <c r="J6234" s="4">
        <f>IFERROR(__xludf.DUMMYFUNCTION("DATE(INDEX(SPLIT(I6234,""/""),,3),INDEX(SPLIT(I6234,""/""),,2),INDEX(SPLIT(I6234,""/""),,1))"),44806.0)</f>
        <v>44806</v>
      </c>
      <c r="L6234" s="1">
        <v>0.0</v>
      </c>
      <c r="M6234" s="1" t="s">
        <v>1723</v>
      </c>
      <c r="N6234" s="1"/>
      <c r="O6234" s="1" t="s">
        <v>30</v>
      </c>
      <c r="P6234" s="1" t="s">
        <v>31</v>
      </c>
      <c r="Q6234" s="1" t="s">
        <v>157</v>
      </c>
      <c r="R6234" s="1" t="s">
        <v>157</v>
      </c>
      <c r="S6234" s="1" t="s">
        <v>158</v>
      </c>
      <c r="U6234" s="1">
        <v>1.00654085E8</v>
      </c>
      <c r="Y6234" s="1" t="s">
        <v>5269</v>
      </c>
      <c r="Z6234" s="1" t="s">
        <v>37</v>
      </c>
    </row>
    <row r="6235" hidden="1">
      <c r="A6235" s="1" t="s">
        <v>17136</v>
      </c>
      <c r="B6235" s="1" t="s">
        <v>4421</v>
      </c>
      <c r="C6235" s="1" t="s">
        <v>17137</v>
      </c>
      <c r="D6235" s="1" t="s">
        <v>27</v>
      </c>
      <c r="E6235" s="1" t="s">
        <v>28</v>
      </c>
      <c r="F6235" s="2">
        <v>0.0</v>
      </c>
      <c r="G6235" s="1" t="s">
        <v>2712</v>
      </c>
      <c r="H6235" s="4">
        <f>IFERROR(__xludf.DUMMYFUNCTION("DATE(INDEX(SPLIT(G6235,""/""),,3),INDEX(SPLIT(G6235,""/""),,2),INDEX(SPLIT(G6235,""/""),,1))"),44435.0)</f>
        <v>44435</v>
      </c>
      <c r="I6235" s="4">
        <v>44601.0</v>
      </c>
      <c r="J6235" s="4">
        <f>IFERROR(__xludf.DUMMYFUNCTION("DATE(INDEX(SPLIT(I6235,""/""),,3),INDEX(SPLIT(I6235,""/""),,2),INDEX(SPLIT(I6235,""/""),,1))"),44806.0)</f>
        <v>44806</v>
      </c>
      <c r="L6235" s="1">
        <v>0.0</v>
      </c>
      <c r="M6235" s="1" t="s">
        <v>2517</v>
      </c>
      <c r="N6235" s="1"/>
      <c r="O6235" s="1" t="s">
        <v>30</v>
      </c>
      <c r="P6235" s="1" t="s">
        <v>31</v>
      </c>
      <c r="Q6235" s="1" t="s">
        <v>32</v>
      </c>
      <c r="R6235" s="1" t="s">
        <v>32</v>
      </c>
      <c r="S6235" s="1" t="s">
        <v>33</v>
      </c>
      <c r="T6235" s="1" t="s">
        <v>1195</v>
      </c>
      <c r="U6235" s="1">
        <v>1.01090216E8</v>
      </c>
      <c r="X6235" s="1" t="s">
        <v>490</v>
      </c>
      <c r="Y6235" s="1" t="s">
        <v>1552</v>
      </c>
      <c r="Z6235" s="1" t="s">
        <v>37</v>
      </c>
    </row>
    <row r="6236" hidden="1">
      <c r="A6236" s="1" t="s">
        <v>17138</v>
      </c>
      <c r="B6236" s="1" t="s">
        <v>2030</v>
      </c>
      <c r="C6236" s="1" t="s">
        <v>17139</v>
      </c>
      <c r="D6236" s="1" t="s">
        <v>27</v>
      </c>
      <c r="E6236" s="1" t="s">
        <v>28</v>
      </c>
      <c r="F6236" s="2">
        <v>0.0</v>
      </c>
      <c r="G6236" s="1" t="s">
        <v>1674</v>
      </c>
      <c r="H6236" s="4">
        <f>IFERROR(__xludf.DUMMYFUNCTION("DATE(INDEX(SPLIT(G6236,""/""),,3),INDEX(SPLIT(G6236,""/""),,2),INDEX(SPLIT(G6236,""/""),,1))"),44617.0)</f>
        <v>44617</v>
      </c>
      <c r="I6236" s="1" t="s">
        <v>130</v>
      </c>
      <c r="J6236" s="4">
        <f>IFERROR(__xludf.DUMMYFUNCTION("DATE(INDEX(SPLIT(I6236,""/""),,3),INDEX(SPLIT(I6236,""/""),,2),INDEX(SPLIT(I6236,""/""),,1))"),44804.0)</f>
        <v>44804</v>
      </c>
      <c r="L6236" s="1">
        <v>0.0</v>
      </c>
      <c r="M6236" s="1" t="s">
        <v>5196</v>
      </c>
      <c r="N6236" s="1"/>
      <c r="O6236" s="1" t="s">
        <v>30</v>
      </c>
      <c r="P6236" s="1" t="s">
        <v>31</v>
      </c>
      <c r="Q6236" s="1" t="s">
        <v>71</v>
      </c>
      <c r="R6236" s="1" t="s">
        <v>71</v>
      </c>
      <c r="S6236" s="1" t="s">
        <v>72</v>
      </c>
      <c r="T6236" s="1" t="s">
        <v>73</v>
      </c>
      <c r="U6236" s="1">
        <v>1.00635527E8</v>
      </c>
      <c r="X6236" s="1" t="s">
        <v>74</v>
      </c>
      <c r="Y6236" s="1" t="s">
        <v>5196</v>
      </c>
      <c r="Z6236" s="1" t="s">
        <v>37</v>
      </c>
    </row>
    <row r="6237" hidden="1">
      <c r="A6237" s="1" t="s">
        <v>17140</v>
      </c>
      <c r="B6237" s="1" t="s">
        <v>1275</v>
      </c>
      <c r="C6237" s="1" t="s">
        <v>17141</v>
      </c>
      <c r="D6237" s="1" t="s">
        <v>27</v>
      </c>
      <c r="E6237" s="1" t="s">
        <v>28</v>
      </c>
      <c r="F6237" s="2">
        <v>0.0</v>
      </c>
      <c r="G6237" s="1" t="s">
        <v>354</v>
      </c>
      <c r="H6237" s="4">
        <f>IFERROR(__xludf.DUMMYFUNCTION("DATE(INDEX(SPLIT(G6237,""/""),,3),INDEX(SPLIT(G6237,""/""),,2),INDEX(SPLIT(G6237,""/""),,1))"),44673.0)</f>
        <v>44673</v>
      </c>
      <c r="I6237" s="4">
        <v>44812.0</v>
      </c>
      <c r="J6237" s="4">
        <f>IFERROR(__xludf.DUMMYFUNCTION("DATE(INDEX(SPLIT(I6237,""/""),,3),INDEX(SPLIT(I6237,""/""),,2),INDEX(SPLIT(I6237,""/""),,1))"),44782.0)</f>
        <v>44782</v>
      </c>
      <c r="L6237" s="1">
        <v>0.0</v>
      </c>
      <c r="M6237" s="1" t="s">
        <v>5740</v>
      </c>
      <c r="N6237" s="1"/>
      <c r="O6237" s="1" t="s">
        <v>30</v>
      </c>
      <c r="P6237" s="1" t="s">
        <v>31</v>
      </c>
      <c r="Q6237" s="1" t="s">
        <v>71</v>
      </c>
      <c r="R6237" s="1" t="s">
        <v>71</v>
      </c>
      <c r="S6237" s="1" t="s">
        <v>72</v>
      </c>
      <c r="T6237" s="1" t="s">
        <v>136</v>
      </c>
      <c r="U6237" s="1">
        <v>1.01152256E8</v>
      </c>
      <c r="X6237" s="1" t="s">
        <v>74</v>
      </c>
      <c r="Y6237" s="1" t="s">
        <v>1746</v>
      </c>
      <c r="Z6237" s="1" t="s">
        <v>37</v>
      </c>
    </row>
    <row r="6238" hidden="1">
      <c r="A6238" s="1" t="s">
        <v>17142</v>
      </c>
      <c r="B6238" s="1" t="s">
        <v>948</v>
      </c>
      <c r="C6238" s="1" t="s">
        <v>17143</v>
      </c>
      <c r="D6238" s="1" t="s">
        <v>78</v>
      </c>
      <c r="E6238" s="1" t="s">
        <v>28</v>
      </c>
      <c r="F6238" s="2">
        <v>0.0</v>
      </c>
      <c r="G6238" s="4">
        <v>44288.0</v>
      </c>
      <c r="H6238" s="4">
        <f>IFERROR(__xludf.DUMMYFUNCTION("DATE(INDEX(SPLIT(G6238,""/""),,3),INDEX(SPLIT(G6238,""/""),,2),INDEX(SPLIT(G6238,""/""),,1))"),44231.0)</f>
        <v>44231</v>
      </c>
      <c r="I6238" s="1" t="s">
        <v>109</v>
      </c>
      <c r="J6238" s="4">
        <f>IFERROR(__xludf.DUMMYFUNCTION("DATE(INDEX(SPLIT(I6238,""/""),,3),INDEX(SPLIT(I6238,""/""),,2),INDEX(SPLIT(I6238,""/""),,1))"),44834.0)</f>
        <v>44834</v>
      </c>
      <c r="L6238" s="1">
        <v>0.0</v>
      </c>
      <c r="M6238" s="1" t="s">
        <v>951</v>
      </c>
      <c r="N6238" s="1"/>
      <c r="O6238" s="1" t="s">
        <v>30</v>
      </c>
      <c r="P6238" s="1" t="s">
        <v>31</v>
      </c>
      <c r="Q6238" s="1" t="s">
        <v>157</v>
      </c>
      <c r="R6238" s="1" t="s">
        <v>157</v>
      </c>
      <c r="S6238" s="1" t="s">
        <v>158</v>
      </c>
      <c r="T6238" s="1" t="s">
        <v>159</v>
      </c>
      <c r="U6238" s="1">
        <v>1.00653269E8</v>
      </c>
      <c r="X6238" s="1" t="s">
        <v>74</v>
      </c>
      <c r="Y6238" s="1" t="s">
        <v>1248</v>
      </c>
      <c r="Z6238" s="1" t="s">
        <v>37</v>
      </c>
    </row>
    <row r="6239" hidden="1">
      <c r="A6239" s="1" t="s">
        <v>17144</v>
      </c>
      <c r="B6239" s="1" t="s">
        <v>17145</v>
      </c>
      <c r="C6239" s="1" t="s">
        <v>17146</v>
      </c>
      <c r="D6239" s="1" t="s">
        <v>78</v>
      </c>
      <c r="E6239" s="1" t="s">
        <v>28</v>
      </c>
      <c r="F6239" s="2">
        <v>0.0</v>
      </c>
      <c r="G6239" s="4">
        <v>44809.0</v>
      </c>
      <c r="H6239" s="4">
        <f>IFERROR(__xludf.DUMMYFUNCTION("DATE(INDEX(SPLIT(G6239,""/""),,3),INDEX(SPLIT(G6239,""/""),,2),INDEX(SPLIT(G6239,""/""),,1))"),44690.0)</f>
        <v>44690</v>
      </c>
      <c r="I6239" s="1" t="s">
        <v>130</v>
      </c>
      <c r="J6239" s="4">
        <f>IFERROR(__xludf.DUMMYFUNCTION("DATE(INDEX(SPLIT(I6239,""/""),,3),INDEX(SPLIT(I6239,""/""),,2),INDEX(SPLIT(I6239,""/""),,1))"),44804.0)</f>
        <v>44804</v>
      </c>
      <c r="L6239" s="1">
        <v>0.0</v>
      </c>
      <c r="M6239" s="1" t="s">
        <v>4186</v>
      </c>
      <c r="N6239" s="1"/>
      <c r="O6239" s="1" t="s">
        <v>30</v>
      </c>
      <c r="P6239" s="1" t="s">
        <v>31</v>
      </c>
      <c r="Q6239" s="1" t="s">
        <v>53</v>
      </c>
      <c r="R6239" s="1" t="s">
        <v>53</v>
      </c>
      <c r="S6239" s="1" t="s">
        <v>54</v>
      </c>
      <c r="U6239" s="1">
        <v>1.00650382E8</v>
      </c>
      <c r="X6239" s="1" t="s">
        <v>2769</v>
      </c>
      <c r="Y6239" s="1" t="s">
        <v>4186</v>
      </c>
      <c r="Z6239" s="1" t="s">
        <v>37</v>
      </c>
    </row>
    <row r="6240" hidden="1">
      <c r="A6240" s="1" t="s">
        <v>17147</v>
      </c>
      <c r="B6240" s="1" t="s">
        <v>25</v>
      </c>
      <c r="C6240" s="1" t="s">
        <v>17148</v>
      </c>
      <c r="D6240" s="1" t="s">
        <v>27</v>
      </c>
      <c r="E6240" s="1" t="s">
        <v>28</v>
      </c>
      <c r="F6240" s="2">
        <v>0.0</v>
      </c>
      <c r="G6240" s="4">
        <v>44205.0</v>
      </c>
      <c r="H6240" s="4">
        <f>IFERROR(__xludf.DUMMYFUNCTION("DATE(INDEX(SPLIT(G6240,""/""),,3),INDEX(SPLIT(G6240,""/""),,2),INDEX(SPLIT(G6240,""/""),,1))"),44440.0)</f>
        <v>44440</v>
      </c>
      <c r="I6240" s="1" t="s">
        <v>109</v>
      </c>
      <c r="J6240" s="4">
        <f>IFERROR(__xludf.DUMMYFUNCTION("DATE(INDEX(SPLIT(I6240,""/""),,3),INDEX(SPLIT(I6240,""/""),,2),INDEX(SPLIT(I6240,""/""),,1))"),44834.0)</f>
        <v>44834</v>
      </c>
      <c r="L6240" s="1">
        <v>0.0</v>
      </c>
      <c r="M6240" s="1" t="s">
        <v>4048</v>
      </c>
      <c r="N6240" s="1"/>
      <c r="O6240" s="1" t="s">
        <v>30</v>
      </c>
      <c r="P6240" s="1" t="s">
        <v>31</v>
      </c>
      <c r="Q6240" s="1" t="s">
        <v>32</v>
      </c>
      <c r="R6240" s="1" t="s">
        <v>32</v>
      </c>
      <c r="S6240" s="1" t="s">
        <v>33</v>
      </c>
      <c r="U6240" s="1">
        <v>1.00610426E8</v>
      </c>
      <c r="X6240" s="1" t="s">
        <v>35</v>
      </c>
      <c r="Y6240" s="1" t="s">
        <v>17149</v>
      </c>
      <c r="Z6240" s="1" t="s">
        <v>37</v>
      </c>
    </row>
    <row r="6241" hidden="1">
      <c r="A6241" s="1" t="s">
        <v>17150</v>
      </c>
      <c r="B6241" s="1" t="s">
        <v>546</v>
      </c>
      <c r="C6241" s="1" t="s">
        <v>17151</v>
      </c>
      <c r="D6241" s="1" t="s">
        <v>27</v>
      </c>
      <c r="E6241" s="1" t="s">
        <v>28</v>
      </c>
      <c r="F6241" s="2">
        <v>0.0</v>
      </c>
      <c r="G6241" s="4">
        <v>44319.0</v>
      </c>
      <c r="H6241" s="4">
        <f>IFERROR(__xludf.DUMMYFUNCTION("DATE(INDEX(SPLIT(G6241,""/""),,3),INDEX(SPLIT(G6241,""/""),,2),INDEX(SPLIT(G6241,""/""),,1))"),44260.0)</f>
        <v>44260</v>
      </c>
      <c r="I6241" s="1" t="s">
        <v>276</v>
      </c>
      <c r="J6241" s="4">
        <f>IFERROR(__xludf.DUMMYFUNCTION("DATE(INDEX(SPLIT(I6241,""/""),,3),INDEX(SPLIT(I6241,""/""),,2),INDEX(SPLIT(I6241,""/""),,1))"),44922.0)</f>
        <v>44922</v>
      </c>
      <c r="L6241" s="1">
        <v>0.0</v>
      </c>
      <c r="M6241" s="1" t="s">
        <v>2787</v>
      </c>
      <c r="N6241" s="1"/>
      <c r="O6241" s="1" t="s">
        <v>30</v>
      </c>
      <c r="P6241" s="1" t="s">
        <v>31</v>
      </c>
      <c r="Q6241" s="1" t="s">
        <v>157</v>
      </c>
      <c r="R6241" s="1" t="s">
        <v>157</v>
      </c>
      <c r="S6241" s="1" t="s">
        <v>158</v>
      </c>
      <c r="T6241" s="1" t="s">
        <v>442</v>
      </c>
      <c r="U6241" s="1">
        <v>1.00708984E8</v>
      </c>
      <c r="X6241" s="1" t="s">
        <v>74</v>
      </c>
      <c r="Y6241" s="1" t="s">
        <v>9505</v>
      </c>
      <c r="Z6241" s="1" t="s">
        <v>37</v>
      </c>
    </row>
    <row r="6242" hidden="1">
      <c r="A6242" s="1" t="s">
        <v>17152</v>
      </c>
      <c r="B6242" s="1" t="s">
        <v>17153</v>
      </c>
      <c r="C6242" s="1" t="s">
        <v>16892</v>
      </c>
      <c r="D6242" s="1" t="s">
        <v>78</v>
      </c>
      <c r="E6242" s="1" t="s">
        <v>28</v>
      </c>
      <c r="F6242" s="2">
        <v>0.0</v>
      </c>
      <c r="G6242" s="1" t="s">
        <v>1786</v>
      </c>
      <c r="H6242" s="4">
        <f>IFERROR(__xludf.DUMMYFUNCTION("DATE(INDEX(SPLIT(G6242,""/""),,3),INDEX(SPLIT(G6242,""/""),,2),INDEX(SPLIT(G6242,""/""),,1))"),44709.0)</f>
        <v>44709</v>
      </c>
      <c r="I6242" s="1" t="s">
        <v>130</v>
      </c>
      <c r="J6242" s="4">
        <f>IFERROR(__xludf.DUMMYFUNCTION("DATE(INDEX(SPLIT(I6242,""/""),,3),INDEX(SPLIT(I6242,""/""),,2),INDEX(SPLIT(I6242,""/""),,1))"),44804.0)</f>
        <v>44804</v>
      </c>
      <c r="L6242" s="1">
        <v>0.0</v>
      </c>
      <c r="M6242" s="1" t="s">
        <v>1723</v>
      </c>
      <c r="N6242" s="1"/>
      <c r="O6242" s="1" t="s">
        <v>30</v>
      </c>
      <c r="P6242" s="1" t="s">
        <v>31</v>
      </c>
      <c r="Q6242" s="1" t="s">
        <v>157</v>
      </c>
      <c r="R6242" s="1" t="s">
        <v>157</v>
      </c>
      <c r="S6242" s="1" t="s">
        <v>158</v>
      </c>
      <c r="U6242" s="1">
        <v>1.00654085E8</v>
      </c>
      <c r="X6242" s="1" t="s">
        <v>98</v>
      </c>
      <c r="Y6242" s="1" t="s">
        <v>5269</v>
      </c>
      <c r="Z6242" s="1" t="s">
        <v>37</v>
      </c>
    </row>
    <row r="6243">
      <c r="A6243" s="1" t="s">
        <v>17154</v>
      </c>
      <c r="B6243" s="1" t="s">
        <v>1596</v>
      </c>
      <c r="C6243" s="1" t="s">
        <v>17155</v>
      </c>
      <c r="D6243" s="1" t="s">
        <v>27</v>
      </c>
      <c r="E6243" s="1" t="s">
        <v>28</v>
      </c>
      <c r="F6243" s="2">
        <v>0.0</v>
      </c>
      <c r="G6243" s="1" t="s">
        <v>8808</v>
      </c>
      <c r="H6243" s="4">
        <f>IFERROR(__xludf.DUMMYFUNCTION("DATE(INDEX(SPLIT(G6243,""/""),,3),INDEX(SPLIT(G6243,""/""),,2),INDEX(SPLIT(G6243,""/""),,1))"),44119.0)</f>
        <v>44119</v>
      </c>
      <c r="I6243" s="1" t="s">
        <v>935</v>
      </c>
      <c r="J6243" s="4">
        <f>IFERROR(__xludf.DUMMYFUNCTION("DATE(INDEX(SPLIT(I6243,""/""),,3),INDEX(SPLIT(I6243,""/""),,2),INDEX(SPLIT(I6243,""/""),,1))"),44764.0)</f>
        <v>44764</v>
      </c>
      <c r="L6243" s="1">
        <v>0.0</v>
      </c>
      <c r="M6243" s="1" t="s">
        <v>9618</v>
      </c>
      <c r="N6243" s="1"/>
      <c r="O6243" s="1" t="s">
        <v>30</v>
      </c>
      <c r="P6243" s="1" t="s">
        <v>31</v>
      </c>
      <c r="Q6243" s="1" t="s">
        <v>157</v>
      </c>
      <c r="R6243" s="1" t="s">
        <v>157</v>
      </c>
      <c r="S6243" s="1" t="s">
        <v>158</v>
      </c>
      <c r="T6243" s="1" t="s">
        <v>159</v>
      </c>
      <c r="U6243" s="1">
        <v>1.00653538E8</v>
      </c>
      <c r="X6243" s="1" t="s">
        <v>125</v>
      </c>
      <c r="Y6243" s="1" t="s">
        <v>7928</v>
      </c>
      <c r="Z6243" s="1" t="s">
        <v>37</v>
      </c>
    </row>
    <row r="6244" hidden="1">
      <c r="A6244" s="1" t="s">
        <v>17156</v>
      </c>
      <c r="B6244" s="1" t="s">
        <v>17157</v>
      </c>
      <c r="C6244" s="1" t="s">
        <v>17158</v>
      </c>
      <c r="D6244" s="1" t="s">
        <v>78</v>
      </c>
      <c r="E6244" s="1" t="s">
        <v>28</v>
      </c>
      <c r="F6244" s="2">
        <v>0.0</v>
      </c>
      <c r="G6244" s="1" t="s">
        <v>3037</v>
      </c>
      <c r="H6244" s="4">
        <f>IFERROR(__xludf.DUMMYFUNCTION("DATE(INDEX(SPLIT(G6244,""/""),,3),INDEX(SPLIT(G6244,""/""),,2),INDEX(SPLIT(G6244,""/""),,1))"),44487.0)</f>
        <v>44487</v>
      </c>
      <c r="I6244" s="1" t="s">
        <v>42</v>
      </c>
      <c r="J6244" s="4">
        <f>IFERROR(__xludf.DUMMYFUNCTION("DATE(INDEX(SPLIT(I6244,""/""),,3),INDEX(SPLIT(I6244,""/""),,2),INDEX(SPLIT(I6244,""/""),,1))"),44926.0)</f>
        <v>44926</v>
      </c>
      <c r="L6244" s="1">
        <v>0.0</v>
      </c>
      <c r="M6244" s="1" t="s">
        <v>12807</v>
      </c>
      <c r="N6244" s="1"/>
      <c r="O6244" s="1" t="s">
        <v>30</v>
      </c>
      <c r="P6244" s="1" t="s">
        <v>31</v>
      </c>
      <c r="Q6244" s="1" t="s">
        <v>157</v>
      </c>
      <c r="R6244" s="1" t="s">
        <v>157</v>
      </c>
      <c r="S6244" s="1" t="s">
        <v>158</v>
      </c>
      <c r="U6244" s="1">
        <v>1.00904278E8</v>
      </c>
      <c r="X6244" s="1" t="s">
        <v>289</v>
      </c>
      <c r="Y6244" s="1" t="s">
        <v>12809</v>
      </c>
      <c r="Z6244" s="1" t="s">
        <v>1783</v>
      </c>
    </row>
    <row r="6245" hidden="1">
      <c r="A6245" s="1" t="s">
        <v>17159</v>
      </c>
      <c r="B6245" s="1" t="s">
        <v>7021</v>
      </c>
      <c r="C6245" s="1" t="s">
        <v>17160</v>
      </c>
      <c r="D6245" s="1" t="s">
        <v>27</v>
      </c>
      <c r="E6245" s="1" t="s">
        <v>28</v>
      </c>
      <c r="F6245" s="2">
        <v>0.0</v>
      </c>
      <c r="G6245" s="1" t="s">
        <v>298</v>
      </c>
      <c r="H6245" s="4">
        <f>IFERROR(__xludf.DUMMYFUNCTION("DATE(INDEX(SPLIT(G6245,""/""),,3),INDEX(SPLIT(G6245,""/""),,2),INDEX(SPLIT(G6245,""/""),,1))"),44762.0)</f>
        <v>44762</v>
      </c>
      <c r="I6245" s="4">
        <v>44689.0</v>
      </c>
      <c r="J6245" s="4">
        <f>IFERROR(__xludf.DUMMYFUNCTION("DATE(INDEX(SPLIT(I6245,""/""),,3),INDEX(SPLIT(I6245,""/""),,2),INDEX(SPLIT(I6245,""/""),,1))"),44778.0)</f>
        <v>44778</v>
      </c>
      <c r="L6245" s="1">
        <v>0.0</v>
      </c>
      <c r="M6245" s="1" t="s">
        <v>7023</v>
      </c>
      <c r="N6245" s="1"/>
      <c r="O6245" s="1" t="s">
        <v>30</v>
      </c>
      <c r="P6245" s="1" t="s">
        <v>31</v>
      </c>
      <c r="Q6245" s="1" t="s">
        <v>71</v>
      </c>
      <c r="R6245" s="1" t="s">
        <v>71</v>
      </c>
      <c r="S6245" s="1" t="s">
        <v>72</v>
      </c>
      <c r="U6245" s="1">
        <v>1.00623906E8</v>
      </c>
      <c r="X6245" s="1" t="s">
        <v>2769</v>
      </c>
      <c r="Y6245" s="1" t="s">
        <v>7023</v>
      </c>
      <c r="Z6245" s="1" t="s">
        <v>206</v>
      </c>
    </row>
    <row r="6246" hidden="1">
      <c r="A6246" s="1" t="s">
        <v>17161</v>
      </c>
      <c r="B6246" s="1" t="s">
        <v>637</v>
      </c>
      <c r="C6246" s="1" t="s">
        <v>17162</v>
      </c>
      <c r="D6246" s="1" t="s">
        <v>27</v>
      </c>
      <c r="E6246" s="1" t="s">
        <v>28</v>
      </c>
      <c r="F6246" s="2">
        <v>0.0</v>
      </c>
      <c r="G6246" s="4">
        <v>44599.0</v>
      </c>
      <c r="H6246" s="4">
        <f>IFERROR(__xludf.DUMMYFUNCTION("DATE(INDEX(SPLIT(G6246,""/""),,3),INDEX(SPLIT(G6246,""/""),,2),INDEX(SPLIT(G6246,""/""),,1))"),44744.0)</f>
        <v>44744</v>
      </c>
      <c r="I6246" s="1" t="s">
        <v>1097</v>
      </c>
      <c r="J6246" s="4">
        <f>IFERROR(__xludf.DUMMYFUNCTION("DATE(INDEX(SPLIT(I6246,""/""),,3),INDEX(SPLIT(I6246,""/""),,2),INDEX(SPLIT(I6246,""/""),,1))"),45107.0)</f>
        <v>45107</v>
      </c>
      <c r="L6246" s="1">
        <v>0.0</v>
      </c>
      <c r="M6246" s="1" t="s">
        <v>11254</v>
      </c>
      <c r="N6246" s="1"/>
      <c r="O6246" s="1" t="s">
        <v>30</v>
      </c>
      <c r="P6246" s="1" t="s">
        <v>31</v>
      </c>
      <c r="Q6246" s="1" t="s">
        <v>228</v>
      </c>
      <c r="R6246" s="1" t="s">
        <v>228</v>
      </c>
      <c r="S6246" s="1" t="s">
        <v>229</v>
      </c>
      <c r="T6246" s="1" t="s">
        <v>513</v>
      </c>
      <c r="U6246" s="1">
        <v>1.00602248E8</v>
      </c>
      <c r="X6246" s="1" t="s">
        <v>35</v>
      </c>
      <c r="Y6246" s="1" t="s">
        <v>12640</v>
      </c>
      <c r="Z6246" s="1" t="s">
        <v>37</v>
      </c>
    </row>
    <row r="6247">
      <c r="A6247" s="1" t="s">
        <v>17163</v>
      </c>
      <c r="B6247" s="1" t="s">
        <v>12371</v>
      </c>
      <c r="C6247" s="1" t="s">
        <v>17164</v>
      </c>
      <c r="D6247" s="1" t="s">
        <v>27</v>
      </c>
      <c r="E6247" s="1" t="s">
        <v>28</v>
      </c>
      <c r="F6247" s="2">
        <v>0.0</v>
      </c>
      <c r="G6247" s="4">
        <v>44599.0</v>
      </c>
      <c r="H6247" s="4">
        <f>IFERROR(__xludf.DUMMYFUNCTION("DATE(INDEX(SPLIT(G6247,""/""),,3),INDEX(SPLIT(G6247,""/""),,2),INDEX(SPLIT(G6247,""/""),,1))"),44744.0)</f>
        <v>44744</v>
      </c>
      <c r="I6247" s="1" t="s">
        <v>414</v>
      </c>
      <c r="J6247" s="4">
        <f>IFERROR(__xludf.DUMMYFUNCTION("DATE(INDEX(SPLIT(I6247,""/""),,3),INDEX(SPLIT(I6247,""/""),,2),INDEX(SPLIT(I6247,""/""),,1))"),44772.0)</f>
        <v>44772</v>
      </c>
      <c r="L6247" s="1">
        <v>0.0</v>
      </c>
      <c r="M6247" s="1" t="s">
        <v>12039</v>
      </c>
      <c r="N6247" s="1"/>
      <c r="O6247" s="1" t="s">
        <v>30</v>
      </c>
      <c r="P6247" s="1" t="s">
        <v>31</v>
      </c>
      <c r="Q6247" s="1" t="s">
        <v>228</v>
      </c>
      <c r="R6247" s="1" t="s">
        <v>228</v>
      </c>
      <c r="S6247" s="1" t="s">
        <v>229</v>
      </c>
      <c r="T6247" s="1" t="s">
        <v>513</v>
      </c>
      <c r="U6247" s="1">
        <v>1.00612509E8</v>
      </c>
      <c r="X6247" s="1" t="s">
        <v>74</v>
      </c>
      <c r="Y6247" s="1" t="s">
        <v>14932</v>
      </c>
      <c r="Z6247" s="1" t="s">
        <v>37</v>
      </c>
    </row>
    <row r="6248">
      <c r="A6248" s="1" t="s">
        <v>17165</v>
      </c>
      <c r="B6248" s="1" t="s">
        <v>3367</v>
      </c>
      <c r="C6248" s="1" t="s">
        <v>17166</v>
      </c>
      <c r="D6248" s="1" t="s">
        <v>27</v>
      </c>
      <c r="E6248" s="1" t="s">
        <v>28</v>
      </c>
      <c r="F6248" s="2">
        <v>0.0</v>
      </c>
      <c r="G6248" s="4">
        <v>44599.0</v>
      </c>
      <c r="H6248" s="4">
        <f>IFERROR(__xludf.DUMMYFUNCTION("DATE(INDEX(SPLIT(G6248,""/""),,3),INDEX(SPLIT(G6248,""/""),,2),INDEX(SPLIT(G6248,""/""),,1))"),44744.0)</f>
        <v>44744</v>
      </c>
      <c r="I6248" s="1" t="s">
        <v>414</v>
      </c>
      <c r="J6248" s="4">
        <f>IFERROR(__xludf.DUMMYFUNCTION("DATE(INDEX(SPLIT(I6248,""/""),,3),INDEX(SPLIT(I6248,""/""),,2),INDEX(SPLIT(I6248,""/""),,1))"),44772.0)</f>
        <v>44772</v>
      </c>
      <c r="L6248" s="1">
        <v>0.0</v>
      </c>
      <c r="M6248" s="1" t="s">
        <v>11254</v>
      </c>
      <c r="N6248" s="1"/>
      <c r="O6248" s="1" t="s">
        <v>30</v>
      </c>
      <c r="P6248" s="1" t="s">
        <v>31</v>
      </c>
      <c r="Q6248" s="1" t="s">
        <v>228</v>
      </c>
      <c r="R6248" s="1" t="s">
        <v>228</v>
      </c>
      <c r="S6248" s="1" t="s">
        <v>229</v>
      </c>
      <c r="T6248" s="1" t="s">
        <v>513</v>
      </c>
      <c r="U6248" s="1">
        <v>1.00602248E8</v>
      </c>
      <c r="X6248" s="1" t="s">
        <v>74</v>
      </c>
      <c r="Y6248" s="1" t="s">
        <v>14932</v>
      </c>
      <c r="Z6248" s="1" t="s">
        <v>37</v>
      </c>
    </row>
    <row r="6249" hidden="1">
      <c r="A6249" s="1" t="s">
        <v>17167</v>
      </c>
      <c r="B6249" s="1" t="s">
        <v>4196</v>
      </c>
      <c r="C6249" s="1" t="s">
        <v>17168</v>
      </c>
      <c r="D6249" s="1" t="s">
        <v>27</v>
      </c>
      <c r="E6249" s="1" t="s">
        <v>28</v>
      </c>
      <c r="F6249" s="2">
        <v>0.0</v>
      </c>
      <c r="G6249" s="4">
        <v>44599.0</v>
      </c>
      <c r="H6249" s="4">
        <f>IFERROR(__xludf.DUMMYFUNCTION("DATE(INDEX(SPLIT(G6249,""/""),,3),INDEX(SPLIT(G6249,""/""),,2),INDEX(SPLIT(G6249,""/""),,1))"),44744.0)</f>
        <v>44744</v>
      </c>
      <c r="I6249" s="1" t="s">
        <v>203</v>
      </c>
      <c r="J6249" s="4">
        <f>IFERROR(__xludf.DUMMYFUNCTION("DATE(INDEX(SPLIT(I6249,""/""),,3),INDEX(SPLIT(I6249,""/""),,2),INDEX(SPLIT(I6249,""/""),,1))"),44925.0)</f>
        <v>44925</v>
      </c>
      <c r="L6249" s="1">
        <v>0.0</v>
      </c>
      <c r="M6249" s="1" t="s">
        <v>11254</v>
      </c>
      <c r="N6249" s="1"/>
      <c r="O6249" s="1" t="s">
        <v>30</v>
      </c>
      <c r="P6249" s="1" t="s">
        <v>31</v>
      </c>
      <c r="Q6249" s="1" t="s">
        <v>228</v>
      </c>
      <c r="R6249" s="1" t="s">
        <v>228</v>
      </c>
      <c r="S6249" s="1" t="s">
        <v>229</v>
      </c>
      <c r="T6249" s="1" t="s">
        <v>513</v>
      </c>
      <c r="U6249" s="1">
        <v>1.00602248E8</v>
      </c>
      <c r="X6249" s="1" t="s">
        <v>74</v>
      </c>
      <c r="Y6249" s="1" t="s">
        <v>14932</v>
      </c>
      <c r="Z6249" s="1" t="s">
        <v>37</v>
      </c>
    </row>
    <row r="6250" hidden="1">
      <c r="A6250" s="1" t="s">
        <v>17169</v>
      </c>
      <c r="B6250" s="1" t="s">
        <v>2166</v>
      </c>
      <c r="C6250" s="1" t="s">
        <v>17170</v>
      </c>
      <c r="D6250" s="1" t="s">
        <v>27</v>
      </c>
      <c r="E6250" s="1" t="s">
        <v>28</v>
      </c>
      <c r="F6250" s="2">
        <v>0.0</v>
      </c>
      <c r="G6250" s="4">
        <v>44599.0</v>
      </c>
      <c r="H6250" s="4">
        <f>IFERROR(__xludf.DUMMYFUNCTION("DATE(INDEX(SPLIT(G6250,""/""),,3),INDEX(SPLIT(G6250,""/""),,2),INDEX(SPLIT(G6250,""/""),,1))"),44744.0)</f>
        <v>44744</v>
      </c>
      <c r="I6250" s="1" t="s">
        <v>203</v>
      </c>
      <c r="J6250" s="4">
        <f>IFERROR(__xludf.DUMMYFUNCTION("DATE(INDEX(SPLIT(I6250,""/""),,3),INDEX(SPLIT(I6250,""/""),,2),INDEX(SPLIT(I6250,""/""),,1))"),44925.0)</f>
        <v>44925</v>
      </c>
      <c r="L6250" s="1">
        <v>0.0</v>
      </c>
      <c r="M6250" s="1" t="s">
        <v>11254</v>
      </c>
      <c r="N6250" s="1"/>
      <c r="O6250" s="1" t="s">
        <v>30</v>
      </c>
      <c r="P6250" s="1" t="s">
        <v>31</v>
      </c>
      <c r="Q6250" s="1" t="s">
        <v>228</v>
      </c>
      <c r="R6250" s="1" t="s">
        <v>228</v>
      </c>
      <c r="S6250" s="1" t="s">
        <v>229</v>
      </c>
      <c r="T6250" s="1" t="s">
        <v>513</v>
      </c>
      <c r="U6250" s="1">
        <v>1.00602248E8</v>
      </c>
      <c r="X6250" s="1" t="s">
        <v>74</v>
      </c>
      <c r="Y6250" s="1" t="s">
        <v>14932</v>
      </c>
      <c r="Z6250" s="1" t="s">
        <v>37</v>
      </c>
    </row>
    <row r="6251" hidden="1">
      <c r="A6251" s="1" t="s">
        <v>17171</v>
      </c>
      <c r="B6251" s="1" t="s">
        <v>7041</v>
      </c>
      <c r="C6251" s="1" t="s">
        <v>17172</v>
      </c>
      <c r="D6251" s="1" t="s">
        <v>27</v>
      </c>
      <c r="E6251" s="1" t="s">
        <v>28</v>
      </c>
      <c r="F6251" s="2">
        <v>0.0</v>
      </c>
      <c r="G6251" s="4">
        <v>44599.0</v>
      </c>
      <c r="H6251" s="4">
        <f>IFERROR(__xludf.DUMMYFUNCTION("DATE(INDEX(SPLIT(G6251,""/""),,3),INDEX(SPLIT(G6251,""/""),,2),INDEX(SPLIT(G6251,""/""),,1))"),44744.0)</f>
        <v>44744</v>
      </c>
      <c r="I6251" s="1" t="s">
        <v>203</v>
      </c>
      <c r="J6251" s="4">
        <f>IFERROR(__xludf.DUMMYFUNCTION("DATE(INDEX(SPLIT(I6251,""/""),,3),INDEX(SPLIT(I6251,""/""),,2),INDEX(SPLIT(I6251,""/""),,1))"),44925.0)</f>
        <v>44925</v>
      </c>
      <c r="L6251" s="1">
        <v>0.0</v>
      </c>
      <c r="M6251" s="1" t="s">
        <v>11254</v>
      </c>
      <c r="N6251" s="1"/>
      <c r="O6251" s="1" t="s">
        <v>30</v>
      </c>
      <c r="P6251" s="1" t="s">
        <v>31</v>
      </c>
      <c r="Q6251" s="1" t="s">
        <v>228</v>
      </c>
      <c r="R6251" s="1" t="s">
        <v>228</v>
      </c>
      <c r="S6251" s="1" t="s">
        <v>229</v>
      </c>
      <c r="T6251" s="1" t="s">
        <v>513</v>
      </c>
      <c r="U6251" s="1">
        <v>1.00602248E8</v>
      </c>
      <c r="X6251" s="1" t="s">
        <v>74</v>
      </c>
      <c r="Y6251" s="1" t="s">
        <v>14932</v>
      </c>
      <c r="Z6251" s="1" t="s">
        <v>37</v>
      </c>
    </row>
    <row r="6252" hidden="1">
      <c r="A6252" s="1" t="s">
        <v>17173</v>
      </c>
      <c r="B6252" s="1" t="s">
        <v>658</v>
      </c>
      <c r="C6252" s="1" t="s">
        <v>17174</v>
      </c>
      <c r="D6252" s="1" t="s">
        <v>27</v>
      </c>
      <c r="E6252" s="1" t="s">
        <v>28</v>
      </c>
      <c r="F6252" s="2">
        <v>0.0</v>
      </c>
      <c r="G6252" s="4">
        <v>44599.0</v>
      </c>
      <c r="H6252" s="4">
        <f>IFERROR(__xludf.DUMMYFUNCTION("DATE(INDEX(SPLIT(G6252,""/""),,3),INDEX(SPLIT(G6252,""/""),,2),INDEX(SPLIT(G6252,""/""),,1))"),44744.0)</f>
        <v>44744</v>
      </c>
      <c r="I6252" s="1" t="s">
        <v>203</v>
      </c>
      <c r="J6252" s="4">
        <f>IFERROR(__xludf.DUMMYFUNCTION("DATE(INDEX(SPLIT(I6252,""/""),,3),INDEX(SPLIT(I6252,""/""),,2),INDEX(SPLIT(I6252,""/""),,1))"),44925.0)</f>
        <v>44925</v>
      </c>
      <c r="L6252" s="1">
        <v>0.0</v>
      </c>
      <c r="M6252" s="1" t="s">
        <v>11254</v>
      </c>
      <c r="N6252" s="1"/>
      <c r="O6252" s="1" t="s">
        <v>30</v>
      </c>
      <c r="P6252" s="1" t="s">
        <v>31</v>
      </c>
      <c r="Q6252" s="1" t="s">
        <v>228</v>
      </c>
      <c r="R6252" s="1" t="s">
        <v>228</v>
      </c>
      <c r="S6252" s="1" t="s">
        <v>229</v>
      </c>
      <c r="T6252" s="1" t="s">
        <v>513</v>
      </c>
      <c r="U6252" s="1">
        <v>1.00602248E8</v>
      </c>
      <c r="X6252" s="1" t="s">
        <v>74</v>
      </c>
      <c r="Y6252" s="1" t="s">
        <v>14932</v>
      </c>
      <c r="Z6252" s="1" t="s">
        <v>37</v>
      </c>
    </row>
    <row r="6253" hidden="1">
      <c r="A6253" s="1" t="s">
        <v>17175</v>
      </c>
      <c r="B6253" s="1" t="s">
        <v>1629</v>
      </c>
      <c r="C6253" s="1" t="s">
        <v>17176</v>
      </c>
      <c r="D6253" s="1" t="s">
        <v>27</v>
      </c>
      <c r="E6253" s="1" t="s">
        <v>28</v>
      </c>
      <c r="F6253" s="2">
        <v>0.0</v>
      </c>
      <c r="G6253" s="4">
        <v>44599.0</v>
      </c>
      <c r="H6253" s="4">
        <f>IFERROR(__xludf.DUMMYFUNCTION("DATE(INDEX(SPLIT(G6253,""/""),,3),INDEX(SPLIT(G6253,""/""),,2),INDEX(SPLIT(G6253,""/""),,1))"),44744.0)</f>
        <v>44744</v>
      </c>
      <c r="I6253" s="1" t="s">
        <v>203</v>
      </c>
      <c r="J6253" s="4">
        <f>IFERROR(__xludf.DUMMYFUNCTION("DATE(INDEX(SPLIT(I6253,""/""),,3),INDEX(SPLIT(I6253,""/""),,2),INDEX(SPLIT(I6253,""/""),,1))"),44925.0)</f>
        <v>44925</v>
      </c>
      <c r="L6253" s="1">
        <v>0.0</v>
      </c>
      <c r="M6253" s="1" t="s">
        <v>11254</v>
      </c>
      <c r="N6253" s="1"/>
      <c r="O6253" s="1" t="s">
        <v>30</v>
      </c>
      <c r="P6253" s="1" t="s">
        <v>31</v>
      </c>
      <c r="Q6253" s="1" t="s">
        <v>228</v>
      </c>
      <c r="R6253" s="1" t="s">
        <v>228</v>
      </c>
      <c r="S6253" s="1" t="s">
        <v>229</v>
      </c>
      <c r="T6253" s="1" t="s">
        <v>513</v>
      </c>
      <c r="U6253" s="1">
        <v>1.00602248E8</v>
      </c>
      <c r="X6253" s="1" t="s">
        <v>410</v>
      </c>
      <c r="Y6253" s="1" t="s">
        <v>14932</v>
      </c>
      <c r="Z6253" s="1" t="s">
        <v>37</v>
      </c>
    </row>
    <row r="6254" hidden="1">
      <c r="A6254" s="1" t="s">
        <v>17177</v>
      </c>
      <c r="B6254" s="1" t="s">
        <v>17178</v>
      </c>
      <c r="C6254" s="1" t="s">
        <v>17179</v>
      </c>
      <c r="D6254" s="1" t="s">
        <v>27</v>
      </c>
      <c r="E6254" s="1" t="s">
        <v>28</v>
      </c>
      <c r="F6254" s="2">
        <v>0.0</v>
      </c>
      <c r="G6254" s="4">
        <v>44599.0</v>
      </c>
      <c r="H6254" s="4">
        <f>IFERROR(__xludf.DUMMYFUNCTION("DATE(INDEX(SPLIT(G6254,""/""),,3),INDEX(SPLIT(G6254,""/""),,2),INDEX(SPLIT(G6254,""/""),,1))"),44744.0)</f>
        <v>44744</v>
      </c>
      <c r="I6254" s="1" t="s">
        <v>203</v>
      </c>
      <c r="J6254" s="4">
        <f>IFERROR(__xludf.DUMMYFUNCTION("DATE(INDEX(SPLIT(I6254,""/""),,3),INDEX(SPLIT(I6254,""/""),,2),INDEX(SPLIT(I6254,""/""),,1))"),44925.0)</f>
        <v>44925</v>
      </c>
      <c r="L6254" s="1">
        <v>0.0</v>
      </c>
      <c r="M6254" s="1" t="s">
        <v>11254</v>
      </c>
      <c r="N6254" s="1"/>
      <c r="O6254" s="1" t="s">
        <v>30</v>
      </c>
      <c r="P6254" s="1" t="s">
        <v>31</v>
      </c>
      <c r="Q6254" s="1" t="s">
        <v>228</v>
      </c>
      <c r="R6254" s="1" t="s">
        <v>228</v>
      </c>
      <c r="S6254" s="1" t="s">
        <v>229</v>
      </c>
      <c r="T6254" s="1" t="s">
        <v>513</v>
      </c>
      <c r="U6254" s="1">
        <v>1.00602248E8</v>
      </c>
      <c r="X6254" s="1" t="s">
        <v>74</v>
      </c>
      <c r="Y6254" s="1" t="s">
        <v>14932</v>
      </c>
      <c r="Z6254" s="1" t="s">
        <v>37</v>
      </c>
    </row>
    <row r="6255" hidden="1">
      <c r="A6255" s="1" t="s">
        <v>17180</v>
      </c>
      <c r="B6255" s="1" t="s">
        <v>6936</v>
      </c>
      <c r="C6255" s="1" t="s">
        <v>17181</v>
      </c>
      <c r="D6255" s="1" t="s">
        <v>27</v>
      </c>
      <c r="E6255" s="1" t="s">
        <v>28</v>
      </c>
      <c r="F6255" s="2">
        <v>0.0</v>
      </c>
      <c r="G6255" s="4">
        <v>44599.0</v>
      </c>
      <c r="H6255" s="4">
        <f>IFERROR(__xludf.DUMMYFUNCTION("DATE(INDEX(SPLIT(G6255,""/""),,3),INDEX(SPLIT(G6255,""/""),,2),INDEX(SPLIT(G6255,""/""),,1))"),44744.0)</f>
        <v>44744</v>
      </c>
      <c r="I6255" s="1" t="s">
        <v>203</v>
      </c>
      <c r="J6255" s="4">
        <f>IFERROR(__xludf.DUMMYFUNCTION("DATE(INDEX(SPLIT(I6255,""/""),,3),INDEX(SPLIT(I6255,""/""),,2),INDEX(SPLIT(I6255,""/""),,1))"),44925.0)</f>
        <v>44925</v>
      </c>
      <c r="L6255" s="1">
        <v>0.0</v>
      </c>
      <c r="M6255" s="1" t="s">
        <v>11254</v>
      </c>
      <c r="N6255" s="1"/>
      <c r="O6255" s="1" t="s">
        <v>30</v>
      </c>
      <c r="P6255" s="1" t="s">
        <v>31</v>
      </c>
      <c r="Q6255" s="1" t="s">
        <v>228</v>
      </c>
      <c r="R6255" s="1" t="s">
        <v>228</v>
      </c>
      <c r="S6255" s="1" t="s">
        <v>229</v>
      </c>
      <c r="T6255" s="1" t="s">
        <v>513</v>
      </c>
      <c r="U6255" s="1">
        <v>1.00602248E8</v>
      </c>
      <c r="X6255" s="1" t="s">
        <v>239</v>
      </c>
      <c r="Y6255" s="1" t="s">
        <v>14932</v>
      </c>
      <c r="Z6255" s="1" t="s">
        <v>37</v>
      </c>
    </row>
    <row r="6256">
      <c r="A6256" s="1" t="s">
        <v>17182</v>
      </c>
      <c r="B6256" s="1" t="s">
        <v>17183</v>
      </c>
      <c r="C6256" s="1" t="s">
        <v>17184</v>
      </c>
      <c r="D6256" s="1" t="s">
        <v>27</v>
      </c>
      <c r="E6256" s="1" t="s">
        <v>28</v>
      </c>
      <c r="F6256" s="2">
        <v>0.0</v>
      </c>
      <c r="G6256" s="4">
        <v>44599.0</v>
      </c>
      <c r="H6256" s="4">
        <f>IFERROR(__xludf.DUMMYFUNCTION("DATE(INDEX(SPLIT(G6256,""/""),,3),INDEX(SPLIT(G6256,""/""),,2),INDEX(SPLIT(G6256,""/""),,1))"),44744.0)</f>
        <v>44744</v>
      </c>
      <c r="I6256" s="1" t="s">
        <v>414</v>
      </c>
      <c r="J6256" s="4">
        <f>IFERROR(__xludf.DUMMYFUNCTION("DATE(INDEX(SPLIT(I6256,""/""),,3),INDEX(SPLIT(I6256,""/""),,2),INDEX(SPLIT(I6256,""/""),,1))"),44772.0)</f>
        <v>44772</v>
      </c>
      <c r="L6256" s="1">
        <v>0.0</v>
      </c>
      <c r="M6256" s="1" t="s">
        <v>11254</v>
      </c>
      <c r="N6256" s="1"/>
      <c r="O6256" s="1" t="s">
        <v>30</v>
      </c>
      <c r="P6256" s="1" t="s">
        <v>31</v>
      </c>
      <c r="Q6256" s="1" t="s">
        <v>228</v>
      </c>
      <c r="R6256" s="1" t="s">
        <v>228</v>
      </c>
      <c r="S6256" s="1" t="s">
        <v>229</v>
      </c>
      <c r="T6256" s="1" t="s">
        <v>513</v>
      </c>
      <c r="U6256" s="1">
        <v>1.00602248E8</v>
      </c>
      <c r="Y6256" s="1" t="s">
        <v>14932</v>
      </c>
      <c r="Z6256" s="1" t="s">
        <v>37</v>
      </c>
    </row>
    <row r="6257">
      <c r="A6257" s="1" t="s">
        <v>17185</v>
      </c>
      <c r="B6257" s="1" t="s">
        <v>10703</v>
      </c>
      <c r="C6257" s="1" t="s">
        <v>17186</v>
      </c>
      <c r="D6257" s="1" t="s">
        <v>27</v>
      </c>
      <c r="E6257" s="1" t="s">
        <v>28</v>
      </c>
      <c r="F6257" s="2">
        <v>0.0</v>
      </c>
      <c r="G6257" s="4">
        <v>44599.0</v>
      </c>
      <c r="H6257" s="4">
        <f>IFERROR(__xludf.DUMMYFUNCTION("DATE(INDEX(SPLIT(G6257,""/""),,3),INDEX(SPLIT(G6257,""/""),,2),INDEX(SPLIT(G6257,""/""),,1))"),44744.0)</f>
        <v>44744</v>
      </c>
      <c r="I6257" s="1" t="s">
        <v>414</v>
      </c>
      <c r="J6257" s="4">
        <f>IFERROR(__xludf.DUMMYFUNCTION("DATE(INDEX(SPLIT(I6257,""/""),,3),INDEX(SPLIT(I6257,""/""),,2),INDEX(SPLIT(I6257,""/""),,1))"),44772.0)</f>
        <v>44772</v>
      </c>
      <c r="L6257" s="1">
        <v>0.0</v>
      </c>
      <c r="M6257" s="1" t="s">
        <v>11254</v>
      </c>
      <c r="N6257" s="1"/>
      <c r="O6257" s="1" t="s">
        <v>30</v>
      </c>
      <c r="P6257" s="1" t="s">
        <v>31</v>
      </c>
      <c r="Q6257" s="1" t="s">
        <v>228</v>
      </c>
      <c r="R6257" s="1" t="s">
        <v>228</v>
      </c>
      <c r="S6257" s="1" t="s">
        <v>229</v>
      </c>
      <c r="T6257" s="1" t="s">
        <v>513</v>
      </c>
      <c r="U6257" s="1">
        <v>1.00602248E8</v>
      </c>
      <c r="X6257" s="1" t="s">
        <v>98</v>
      </c>
      <c r="Y6257" s="1" t="s">
        <v>14932</v>
      </c>
      <c r="Z6257" s="1" t="s">
        <v>37</v>
      </c>
    </row>
    <row r="6258">
      <c r="A6258" s="1" t="s">
        <v>17187</v>
      </c>
      <c r="B6258" s="1" t="s">
        <v>1237</v>
      </c>
      <c r="C6258" s="1" t="s">
        <v>17188</v>
      </c>
      <c r="D6258" s="1" t="s">
        <v>27</v>
      </c>
      <c r="E6258" s="1" t="s">
        <v>28</v>
      </c>
      <c r="F6258" s="2">
        <v>0.0</v>
      </c>
      <c r="G6258" s="4">
        <v>44599.0</v>
      </c>
      <c r="H6258" s="4">
        <f>IFERROR(__xludf.DUMMYFUNCTION("DATE(INDEX(SPLIT(G6258,""/""),,3),INDEX(SPLIT(G6258,""/""),,2),INDEX(SPLIT(G6258,""/""),,1))"),44744.0)</f>
        <v>44744</v>
      </c>
      <c r="I6258" s="1" t="s">
        <v>414</v>
      </c>
      <c r="J6258" s="4">
        <f>IFERROR(__xludf.DUMMYFUNCTION("DATE(INDEX(SPLIT(I6258,""/""),,3),INDEX(SPLIT(I6258,""/""),,2),INDEX(SPLIT(I6258,""/""),,1))"),44772.0)</f>
        <v>44772</v>
      </c>
      <c r="L6258" s="1">
        <v>0.0</v>
      </c>
      <c r="M6258" s="1" t="s">
        <v>11254</v>
      </c>
      <c r="N6258" s="1"/>
      <c r="O6258" s="1" t="s">
        <v>30</v>
      </c>
      <c r="P6258" s="1" t="s">
        <v>31</v>
      </c>
      <c r="Q6258" s="1" t="s">
        <v>228</v>
      </c>
      <c r="R6258" s="1" t="s">
        <v>228</v>
      </c>
      <c r="S6258" s="1" t="s">
        <v>229</v>
      </c>
      <c r="T6258" s="1" t="s">
        <v>513</v>
      </c>
      <c r="U6258" s="1">
        <v>1.00602248E8</v>
      </c>
      <c r="X6258" s="1" t="s">
        <v>74</v>
      </c>
      <c r="Y6258" s="1" t="s">
        <v>14932</v>
      </c>
      <c r="Z6258" s="1" t="s">
        <v>37</v>
      </c>
    </row>
    <row r="6259" hidden="1">
      <c r="A6259" s="1" t="s">
        <v>17189</v>
      </c>
      <c r="B6259" s="1" t="s">
        <v>17119</v>
      </c>
      <c r="C6259" s="1" t="s">
        <v>17190</v>
      </c>
      <c r="D6259" s="1" t="s">
        <v>27</v>
      </c>
      <c r="E6259" s="1" t="s">
        <v>28</v>
      </c>
      <c r="F6259" s="2">
        <v>0.0</v>
      </c>
      <c r="G6259" s="4">
        <v>44599.0</v>
      </c>
      <c r="H6259" s="4">
        <f>IFERROR(__xludf.DUMMYFUNCTION("DATE(INDEX(SPLIT(G6259,""/""),,3),INDEX(SPLIT(G6259,""/""),,2),INDEX(SPLIT(G6259,""/""),,1))"),44744.0)</f>
        <v>44744</v>
      </c>
      <c r="I6259" s="1" t="s">
        <v>203</v>
      </c>
      <c r="J6259" s="4">
        <f>IFERROR(__xludf.DUMMYFUNCTION("DATE(INDEX(SPLIT(I6259,""/""),,3),INDEX(SPLIT(I6259,""/""),,2),INDEX(SPLIT(I6259,""/""),,1))"),44925.0)</f>
        <v>44925</v>
      </c>
      <c r="L6259" s="1">
        <v>0.0</v>
      </c>
      <c r="M6259" s="1" t="s">
        <v>11254</v>
      </c>
      <c r="N6259" s="1"/>
      <c r="O6259" s="1" t="s">
        <v>30</v>
      </c>
      <c r="P6259" s="1" t="s">
        <v>31</v>
      </c>
      <c r="Q6259" s="1" t="s">
        <v>228</v>
      </c>
      <c r="R6259" s="1" t="s">
        <v>228</v>
      </c>
      <c r="S6259" s="1" t="s">
        <v>229</v>
      </c>
      <c r="T6259" s="1" t="s">
        <v>513</v>
      </c>
      <c r="U6259" s="1">
        <v>1.00602248E8</v>
      </c>
      <c r="X6259" s="1" t="s">
        <v>410</v>
      </c>
      <c r="Y6259" s="1" t="s">
        <v>14932</v>
      </c>
      <c r="Z6259" s="1" t="s">
        <v>37</v>
      </c>
    </row>
    <row r="6260">
      <c r="A6260" s="1" t="s">
        <v>17191</v>
      </c>
      <c r="B6260" s="1" t="s">
        <v>17192</v>
      </c>
      <c r="C6260" s="1" t="s">
        <v>17193</v>
      </c>
      <c r="D6260" s="1" t="s">
        <v>27</v>
      </c>
      <c r="E6260" s="1" t="s">
        <v>28</v>
      </c>
      <c r="F6260" s="2">
        <v>0.0</v>
      </c>
      <c r="G6260" s="4">
        <v>44599.0</v>
      </c>
      <c r="H6260" s="4">
        <f>IFERROR(__xludf.DUMMYFUNCTION("DATE(INDEX(SPLIT(G6260,""/""),,3),INDEX(SPLIT(G6260,""/""),,2),INDEX(SPLIT(G6260,""/""),,1))"),44744.0)</f>
        <v>44744</v>
      </c>
      <c r="I6260" s="1" t="s">
        <v>414</v>
      </c>
      <c r="J6260" s="4">
        <f>IFERROR(__xludf.DUMMYFUNCTION("DATE(INDEX(SPLIT(I6260,""/""),,3),INDEX(SPLIT(I6260,""/""),,2),INDEX(SPLIT(I6260,""/""),,1))"),44772.0)</f>
        <v>44772</v>
      </c>
      <c r="L6260" s="1">
        <v>0.0</v>
      </c>
      <c r="M6260" s="1" t="s">
        <v>12039</v>
      </c>
      <c r="N6260" s="1"/>
      <c r="O6260" s="1" t="s">
        <v>30</v>
      </c>
      <c r="P6260" s="1" t="s">
        <v>31</v>
      </c>
      <c r="Q6260" s="1" t="s">
        <v>228</v>
      </c>
      <c r="R6260" s="1" t="s">
        <v>228</v>
      </c>
      <c r="S6260" s="1" t="s">
        <v>229</v>
      </c>
      <c r="T6260" s="1" t="s">
        <v>513</v>
      </c>
      <c r="U6260" s="1">
        <v>1.00612509E8</v>
      </c>
      <c r="X6260" s="1" t="s">
        <v>2028</v>
      </c>
      <c r="Y6260" s="1" t="s">
        <v>14932</v>
      </c>
      <c r="Z6260" s="1" t="s">
        <v>37</v>
      </c>
    </row>
    <row r="6261">
      <c r="A6261" s="1" t="s">
        <v>17194</v>
      </c>
      <c r="B6261" s="1" t="s">
        <v>15325</v>
      </c>
      <c r="C6261" s="1" t="s">
        <v>17195</v>
      </c>
      <c r="D6261" s="1" t="s">
        <v>27</v>
      </c>
      <c r="E6261" s="1" t="s">
        <v>28</v>
      </c>
      <c r="F6261" s="2">
        <v>0.0</v>
      </c>
      <c r="G6261" s="4">
        <v>44599.0</v>
      </c>
      <c r="H6261" s="4">
        <f>IFERROR(__xludf.DUMMYFUNCTION("DATE(INDEX(SPLIT(G6261,""/""),,3),INDEX(SPLIT(G6261,""/""),,2),INDEX(SPLIT(G6261,""/""),,1))"),44744.0)</f>
        <v>44744</v>
      </c>
      <c r="I6261" s="1" t="s">
        <v>414</v>
      </c>
      <c r="J6261" s="4">
        <f>IFERROR(__xludf.DUMMYFUNCTION("DATE(INDEX(SPLIT(I6261,""/""),,3),INDEX(SPLIT(I6261,""/""),,2),INDEX(SPLIT(I6261,""/""),,1))"),44772.0)</f>
        <v>44772</v>
      </c>
      <c r="L6261" s="1">
        <v>0.0</v>
      </c>
      <c r="M6261" s="1" t="s">
        <v>12039</v>
      </c>
      <c r="N6261" s="1"/>
      <c r="O6261" s="1" t="s">
        <v>30</v>
      </c>
      <c r="P6261" s="1" t="s">
        <v>31</v>
      </c>
      <c r="Q6261" s="1" t="s">
        <v>228</v>
      </c>
      <c r="R6261" s="1" t="s">
        <v>228</v>
      </c>
      <c r="S6261" s="1" t="s">
        <v>229</v>
      </c>
      <c r="U6261" s="1">
        <v>1.00612509E8</v>
      </c>
      <c r="X6261" s="1" t="s">
        <v>74</v>
      </c>
      <c r="Y6261" s="1" t="s">
        <v>12640</v>
      </c>
      <c r="Z6261" s="1" t="s">
        <v>37</v>
      </c>
    </row>
    <row r="6262">
      <c r="A6262" s="1" t="s">
        <v>17196</v>
      </c>
      <c r="B6262" s="1" t="s">
        <v>10557</v>
      </c>
      <c r="C6262" s="1" t="s">
        <v>17197</v>
      </c>
      <c r="D6262" s="1" t="s">
        <v>27</v>
      </c>
      <c r="E6262" s="1" t="s">
        <v>28</v>
      </c>
      <c r="F6262" s="2">
        <v>0.0</v>
      </c>
      <c r="G6262" s="4">
        <v>44599.0</v>
      </c>
      <c r="H6262" s="4">
        <f>IFERROR(__xludf.DUMMYFUNCTION("DATE(INDEX(SPLIT(G6262,""/""),,3),INDEX(SPLIT(G6262,""/""),,2),INDEX(SPLIT(G6262,""/""),,1))"),44744.0)</f>
        <v>44744</v>
      </c>
      <c r="I6262" s="1" t="s">
        <v>414</v>
      </c>
      <c r="J6262" s="4">
        <f>IFERROR(__xludf.DUMMYFUNCTION("DATE(INDEX(SPLIT(I6262,""/""),,3),INDEX(SPLIT(I6262,""/""),,2),INDEX(SPLIT(I6262,""/""),,1))"),44772.0)</f>
        <v>44772</v>
      </c>
      <c r="L6262" s="1">
        <v>0.0</v>
      </c>
      <c r="M6262" s="1" t="s">
        <v>11254</v>
      </c>
      <c r="N6262" s="1"/>
      <c r="O6262" s="1" t="s">
        <v>30</v>
      </c>
      <c r="P6262" s="1" t="s">
        <v>31</v>
      </c>
      <c r="Q6262" s="1" t="s">
        <v>228</v>
      </c>
      <c r="R6262" s="1" t="s">
        <v>228</v>
      </c>
      <c r="S6262" s="1" t="s">
        <v>229</v>
      </c>
      <c r="T6262" s="1" t="s">
        <v>513</v>
      </c>
      <c r="U6262" s="1">
        <v>1.00602248E8</v>
      </c>
      <c r="X6262" s="1" t="s">
        <v>410</v>
      </c>
      <c r="Y6262" s="1" t="s">
        <v>14932</v>
      </c>
      <c r="Z6262" s="1" t="s">
        <v>37</v>
      </c>
    </row>
    <row r="6263">
      <c r="A6263" s="1" t="s">
        <v>17198</v>
      </c>
      <c r="B6263" s="1" t="s">
        <v>17199</v>
      </c>
      <c r="C6263" s="1" t="s">
        <v>17200</v>
      </c>
      <c r="D6263" s="1" t="s">
        <v>27</v>
      </c>
      <c r="E6263" s="1" t="s">
        <v>28</v>
      </c>
      <c r="F6263" s="2">
        <v>0.0</v>
      </c>
      <c r="G6263" s="4">
        <v>44599.0</v>
      </c>
      <c r="H6263" s="4">
        <f>IFERROR(__xludf.DUMMYFUNCTION("DATE(INDEX(SPLIT(G6263,""/""),,3),INDEX(SPLIT(G6263,""/""),,2),INDEX(SPLIT(G6263,""/""),,1))"),44744.0)</f>
        <v>44744</v>
      </c>
      <c r="I6263" s="1" t="s">
        <v>414</v>
      </c>
      <c r="J6263" s="4">
        <f>IFERROR(__xludf.DUMMYFUNCTION("DATE(INDEX(SPLIT(I6263,""/""),,3),INDEX(SPLIT(I6263,""/""),,2),INDEX(SPLIT(I6263,""/""),,1))"),44772.0)</f>
        <v>44772</v>
      </c>
      <c r="L6263" s="1">
        <v>0.0</v>
      </c>
      <c r="M6263" s="1" t="s">
        <v>12039</v>
      </c>
      <c r="N6263" s="1"/>
      <c r="O6263" s="1" t="s">
        <v>30</v>
      </c>
      <c r="P6263" s="1" t="s">
        <v>31</v>
      </c>
      <c r="Q6263" s="1" t="s">
        <v>228</v>
      </c>
      <c r="R6263" s="1" t="s">
        <v>228</v>
      </c>
      <c r="S6263" s="1" t="s">
        <v>229</v>
      </c>
      <c r="T6263" s="1" t="s">
        <v>513</v>
      </c>
      <c r="U6263" s="1">
        <v>1.00612509E8</v>
      </c>
      <c r="X6263" s="1" t="s">
        <v>74</v>
      </c>
      <c r="Y6263" s="1" t="s">
        <v>14932</v>
      </c>
      <c r="Z6263" s="1" t="s">
        <v>37</v>
      </c>
    </row>
    <row r="6264">
      <c r="A6264" s="1" t="s">
        <v>17201</v>
      </c>
      <c r="B6264" s="1" t="s">
        <v>6505</v>
      </c>
      <c r="C6264" s="1" t="s">
        <v>17202</v>
      </c>
      <c r="D6264" s="1" t="s">
        <v>27</v>
      </c>
      <c r="E6264" s="1" t="s">
        <v>28</v>
      </c>
      <c r="F6264" s="2">
        <v>0.0</v>
      </c>
      <c r="G6264" s="4">
        <v>44599.0</v>
      </c>
      <c r="H6264" s="4">
        <f>IFERROR(__xludf.DUMMYFUNCTION("DATE(INDEX(SPLIT(G6264,""/""),,3),INDEX(SPLIT(G6264,""/""),,2),INDEX(SPLIT(G6264,""/""),,1))"),44744.0)</f>
        <v>44744</v>
      </c>
      <c r="I6264" s="1" t="s">
        <v>414</v>
      </c>
      <c r="J6264" s="4">
        <f>IFERROR(__xludf.DUMMYFUNCTION("DATE(INDEX(SPLIT(I6264,""/""),,3),INDEX(SPLIT(I6264,""/""),,2),INDEX(SPLIT(I6264,""/""),,1))"),44772.0)</f>
        <v>44772</v>
      </c>
      <c r="L6264" s="1">
        <v>0.0</v>
      </c>
      <c r="M6264" s="1" t="s">
        <v>12039</v>
      </c>
      <c r="N6264" s="1"/>
      <c r="O6264" s="1" t="s">
        <v>30</v>
      </c>
      <c r="P6264" s="1" t="s">
        <v>31</v>
      </c>
      <c r="Q6264" s="1" t="s">
        <v>228</v>
      </c>
      <c r="R6264" s="1" t="s">
        <v>228</v>
      </c>
      <c r="S6264" s="1" t="s">
        <v>229</v>
      </c>
      <c r="T6264" s="1" t="s">
        <v>513</v>
      </c>
      <c r="U6264" s="1">
        <v>1.00612509E8</v>
      </c>
      <c r="X6264" s="1" t="s">
        <v>74</v>
      </c>
      <c r="Y6264" s="1" t="s">
        <v>14932</v>
      </c>
      <c r="Z6264" s="1" t="s">
        <v>37</v>
      </c>
    </row>
    <row r="6265">
      <c r="A6265" s="1" t="s">
        <v>17203</v>
      </c>
      <c r="B6265" s="1" t="s">
        <v>17204</v>
      </c>
      <c r="C6265" s="1" t="s">
        <v>17205</v>
      </c>
      <c r="D6265" s="1" t="s">
        <v>27</v>
      </c>
      <c r="E6265" s="1" t="s">
        <v>28</v>
      </c>
      <c r="F6265" s="2">
        <v>0.0</v>
      </c>
      <c r="G6265" s="4">
        <v>44599.0</v>
      </c>
      <c r="H6265" s="4">
        <f>IFERROR(__xludf.DUMMYFUNCTION("DATE(INDEX(SPLIT(G6265,""/""),,3),INDEX(SPLIT(G6265,""/""),,2),INDEX(SPLIT(G6265,""/""),,1))"),44744.0)</f>
        <v>44744</v>
      </c>
      <c r="I6265" s="1" t="s">
        <v>414</v>
      </c>
      <c r="J6265" s="4">
        <f>IFERROR(__xludf.DUMMYFUNCTION("DATE(INDEX(SPLIT(I6265,""/""),,3),INDEX(SPLIT(I6265,""/""),,2),INDEX(SPLIT(I6265,""/""),,1))"),44772.0)</f>
        <v>44772</v>
      </c>
      <c r="L6265" s="1">
        <v>0.0</v>
      </c>
      <c r="M6265" s="1" t="s">
        <v>12039</v>
      </c>
      <c r="N6265" s="1"/>
      <c r="O6265" s="1" t="s">
        <v>30</v>
      </c>
      <c r="P6265" s="1" t="s">
        <v>31</v>
      </c>
      <c r="Q6265" s="1" t="s">
        <v>228</v>
      </c>
      <c r="R6265" s="1" t="s">
        <v>228</v>
      </c>
      <c r="S6265" s="1" t="s">
        <v>229</v>
      </c>
      <c r="T6265" s="1" t="s">
        <v>513</v>
      </c>
      <c r="U6265" s="1">
        <v>1.00612509E8</v>
      </c>
      <c r="X6265" s="1" t="s">
        <v>74</v>
      </c>
      <c r="Y6265" s="1" t="s">
        <v>14932</v>
      </c>
      <c r="Z6265" s="1" t="s">
        <v>37</v>
      </c>
    </row>
    <row r="6266" hidden="1">
      <c r="A6266" s="1" t="s">
        <v>17206</v>
      </c>
      <c r="B6266" s="1" t="s">
        <v>2714</v>
      </c>
      <c r="C6266" s="1" t="s">
        <v>17207</v>
      </c>
      <c r="D6266" s="1" t="s">
        <v>27</v>
      </c>
      <c r="E6266" s="1" t="s">
        <v>28</v>
      </c>
      <c r="F6266" s="2">
        <v>0.0</v>
      </c>
      <c r="G6266" s="4">
        <v>44599.0</v>
      </c>
      <c r="H6266" s="4">
        <f>IFERROR(__xludf.DUMMYFUNCTION("DATE(INDEX(SPLIT(G6266,""/""),,3),INDEX(SPLIT(G6266,""/""),,2),INDEX(SPLIT(G6266,""/""),,1))"),44744.0)</f>
        <v>44744</v>
      </c>
      <c r="I6266" s="1" t="s">
        <v>203</v>
      </c>
      <c r="J6266" s="4">
        <f>IFERROR(__xludf.DUMMYFUNCTION("DATE(INDEX(SPLIT(I6266,""/""),,3),INDEX(SPLIT(I6266,""/""),,2),INDEX(SPLIT(I6266,""/""),,1))"),44925.0)</f>
        <v>44925</v>
      </c>
      <c r="L6266" s="1">
        <v>0.0</v>
      </c>
      <c r="M6266" s="1" t="s">
        <v>11254</v>
      </c>
      <c r="N6266" s="1"/>
      <c r="O6266" s="1" t="s">
        <v>30</v>
      </c>
      <c r="P6266" s="1" t="s">
        <v>31</v>
      </c>
      <c r="Q6266" s="1" t="s">
        <v>228</v>
      </c>
      <c r="R6266" s="1" t="s">
        <v>228</v>
      </c>
      <c r="S6266" s="1" t="s">
        <v>229</v>
      </c>
      <c r="T6266" s="1" t="s">
        <v>513</v>
      </c>
      <c r="U6266" s="1">
        <v>1.00602248E8</v>
      </c>
      <c r="X6266" s="1" t="s">
        <v>74</v>
      </c>
      <c r="Y6266" s="1" t="s">
        <v>14932</v>
      </c>
      <c r="Z6266" s="1" t="s">
        <v>37</v>
      </c>
    </row>
    <row r="6267" hidden="1">
      <c r="A6267" s="1" t="s">
        <v>17208</v>
      </c>
      <c r="B6267" s="1" t="s">
        <v>5128</v>
      </c>
      <c r="C6267" s="1" t="s">
        <v>17209</v>
      </c>
      <c r="D6267" s="1" t="s">
        <v>27</v>
      </c>
      <c r="E6267" s="1" t="s">
        <v>28</v>
      </c>
      <c r="F6267" s="2">
        <v>0.0</v>
      </c>
      <c r="G6267" s="4">
        <v>44599.0</v>
      </c>
      <c r="H6267" s="4">
        <f>IFERROR(__xludf.DUMMYFUNCTION("DATE(INDEX(SPLIT(G6267,""/""),,3),INDEX(SPLIT(G6267,""/""),,2),INDEX(SPLIT(G6267,""/""),,1))"),44744.0)</f>
        <v>44744</v>
      </c>
      <c r="I6267" s="1" t="s">
        <v>203</v>
      </c>
      <c r="J6267" s="4">
        <f>IFERROR(__xludf.DUMMYFUNCTION("DATE(INDEX(SPLIT(I6267,""/""),,3),INDEX(SPLIT(I6267,""/""),,2),INDEX(SPLIT(I6267,""/""),,1))"),44925.0)</f>
        <v>44925</v>
      </c>
      <c r="L6267" s="1">
        <v>0.0</v>
      </c>
      <c r="M6267" s="1" t="s">
        <v>11254</v>
      </c>
      <c r="N6267" s="1"/>
      <c r="O6267" s="1" t="s">
        <v>30</v>
      </c>
      <c r="P6267" s="1" t="s">
        <v>31</v>
      </c>
      <c r="Q6267" s="1" t="s">
        <v>228</v>
      </c>
      <c r="R6267" s="1" t="s">
        <v>228</v>
      </c>
      <c r="S6267" s="1" t="s">
        <v>229</v>
      </c>
      <c r="T6267" s="1" t="s">
        <v>513</v>
      </c>
      <c r="U6267" s="1">
        <v>1.00602248E8</v>
      </c>
      <c r="X6267" s="1" t="s">
        <v>74</v>
      </c>
      <c r="Y6267" s="1" t="s">
        <v>14932</v>
      </c>
      <c r="Z6267" s="1" t="s">
        <v>37</v>
      </c>
    </row>
    <row r="6268" hidden="1">
      <c r="A6268" s="1" t="s">
        <v>17210</v>
      </c>
      <c r="B6268" s="1" t="s">
        <v>2683</v>
      </c>
      <c r="C6268" s="1" t="s">
        <v>17211</v>
      </c>
      <c r="D6268" s="1" t="s">
        <v>27</v>
      </c>
      <c r="E6268" s="1" t="s">
        <v>28</v>
      </c>
      <c r="F6268" s="2">
        <v>0.0</v>
      </c>
      <c r="G6268" s="4">
        <v>44599.0</v>
      </c>
      <c r="H6268" s="4">
        <f>IFERROR(__xludf.DUMMYFUNCTION("DATE(INDEX(SPLIT(G6268,""/""),,3),INDEX(SPLIT(G6268,""/""),,2),INDEX(SPLIT(G6268,""/""),,1))"),44744.0)</f>
        <v>44744</v>
      </c>
      <c r="I6268" s="1" t="s">
        <v>203</v>
      </c>
      <c r="J6268" s="4">
        <f>IFERROR(__xludf.DUMMYFUNCTION("DATE(INDEX(SPLIT(I6268,""/""),,3),INDEX(SPLIT(I6268,""/""),,2),INDEX(SPLIT(I6268,""/""),,1))"),44925.0)</f>
        <v>44925</v>
      </c>
      <c r="L6268" s="1">
        <v>0.0</v>
      </c>
      <c r="M6268" s="1" t="s">
        <v>11254</v>
      </c>
      <c r="N6268" s="1"/>
      <c r="O6268" s="1" t="s">
        <v>30</v>
      </c>
      <c r="P6268" s="1" t="s">
        <v>31</v>
      </c>
      <c r="Q6268" s="1" t="s">
        <v>228</v>
      </c>
      <c r="R6268" s="1" t="s">
        <v>228</v>
      </c>
      <c r="S6268" s="1" t="s">
        <v>229</v>
      </c>
      <c r="T6268" s="1" t="s">
        <v>513</v>
      </c>
      <c r="U6268" s="1">
        <v>1.00602248E8</v>
      </c>
      <c r="X6268" s="1" t="s">
        <v>74</v>
      </c>
      <c r="Y6268" s="1" t="s">
        <v>14932</v>
      </c>
      <c r="Z6268" s="1" t="s">
        <v>37</v>
      </c>
    </row>
    <row r="6269" hidden="1">
      <c r="A6269" s="1" t="s">
        <v>17212</v>
      </c>
      <c r="B6269" s="1" t="s">
        <v>735</v>
      </c>
      <c r="C6269" s="1" t="s">
        <v>17213</v>
      </c>
      <c r="D6269" s="1" t="s">
        <v>27</v>
      </c>
      <c r="E6269" s="1" t="s">
        <v>28</v>
      </c>
      <c r="F6269" s="2">
        <v>0.0</v>
      </c>
      <c r="G6269" s="4">
        <v>44599.0</v>
      </c>
      <c r="H6269" s="4">
        <f>IFERROR(__xludf.DUMMYFUNCTION("DATE(INDEX(SPLIT(G6269,""/""),,3),INDEX(SPLIT(G6269,""/""),,2),INDEX(SPLIT(G6269,""/""),,1))"),44744.0)</f>
        <v>44744</v>
      </c>
      <c r="I6269" s="1" t="s">
        <v>203</v>
      </c>
      <c r="J6269" s="4">
        <f>IFERROR(__xludf.DUMMYFUNCTION("DATE(INDEX(SPLIT(I6269,""/""),,3),INDEX(SPLIT(I6269,""/""),,2),INDEX(SPLIT(I6269,""/""),,1))"),44925.0)</f>
        <v>44925</v>
      </c>
      <c r="L6269" s="1">
        <v>0.0</v>
      </c>
      <c r="M6269" s="1" t="s">
        <v>11254</v>
      </c>
      <c r="N6269" s="1"/>
      <c r="O6269" s="1" t="s">
        <v>30</v>
      </c>
      <c r="P6269" s="1" t="s">
        <v>31</v>
      </c>
      <c r="Q6269" s="1" t="s">
        <v>228</v>
      </c>
      <c r="R6269" s="1" t="s">
        <v>228</v>
      </c>
      <c r="S6269" s="1" t="s">
        <v>229</v>
      </c>
      <c r="T6269" s="1" t="s">
        <v>513</v>
      </c>
      <c r="U6269" s="1">
        <v>1.00602248E8</v>
      </c>
      <c r="X6269" s="1" t="s">
        <v>410</v>
      </c>
      <c r="Y6269" s="1" t="s">
        <v>14932</v>
      </c>
      <c r="Z6269" s="1" t="s">
        <v>37</v>
      </c>
    </row>
    <row r="6270">
      <c r="A6270" s="1" t="s">
        <v>17214</v>
      </c>
      <c r="B6270" s="1" t="s">
        <v>17215</v>
      </c>
      <c r="C6270" s="1" t="s">
        <v>17216</v>
      </c>
      <c r="D6270" s="1" t="s">
        <v>27</v>
      </c>
      <c r="E6270" s="1" t="s">
        <v>28</v>
      </c>
      <c r="F6270" s="2">
        <v>0.0</v>
      </c>
      <c r="G6270" s="4">
        <v>44599.0</v>
      </c>
      <c r="H6270" s="4">
        <f>IFERROR(__xludf.DUMMYFUNCTION("DATE(INDEX(SPLIT(G6270,""/""),,3),INDEX(SPLIT(G6270,""/""),,2),INDEX(SPLIT(G6270,""/""),,1))"),44744.0)</f>
        <v>44744</v>
      </c>
      <c r="I6270" s="1" t="s">
        <v>414</v>
      </c>
      <c r="J6270" s="4">
        <f>IFERROR(__xludf.DUMMYFUNCTION("DATE(INDEX(SPLIT(I6270,""/""),,3),INDEX(SPLIT(I6270,""/""),,2),INDEX(SPLIT(I6270,""/""),,1))"),44772.0)</f>
        <v>44772</v>
      </c>
      <c r="L6270" s="1">
        <v>0.0</v>
      </c>
      <c r="M6270" s="1" t="s">
        <v>11254</v>
      </c>
      <c r="N6270" s="1"/>
      <c r="O6270" s="1" t="s">
        <v>30</v>
      </c>
      <c r="P6270" s="1" t="s">
        <v>31</v>
      </c>
      <c r="Q6270" s="1" t="s">
        <v>228</v>
      </c>
      <c r="R6270" s="1" t="s">
        <v>228</v>
      </c>
      <c r="S6270" s="1" t="s">
        <v>229</v>
      </c>
      <c r="T6270" s="1" t="s">
        <v>513</v>
      </c>
      <c r="U6270" s="1">
        <v>1.00602248E8</v>
      </c>
      <c r="X6270" s="1" t="s">
        <v>117</v>
      </c>
      <c r="Y6270" s="1" t="s">
        <v>14932</v>
      </c>
      <c r="Z6270" s="1" t="s">
        <v>37</v>
      </c>
    </row>
    <row r="6271" hidden="1">
      <c r="A6271" s="1" t="s">
        <v>17217</v>
      </c>
      <c r="B6271" s="1" t="s">
        <v>17218</v>
      </c>
      <c r="C6271" s="1" t="s">
        <v>17219</v>
      </c>
      <c r="D6271" s="1" t="s">
        <v>78</v>
      </c>
      <c r="E6271" s="1" t="s">
        <v>28</v>
      </c>
      <c r="F6271" s="2">
        <v>0.0</v>
      </c>
      <c r="G6271" s="4">
        <v>44900.0</v>
      </c>
      <c r="H6271" s="4">
        <f>IFERROR(__xludf.DUMMYFUNCTION("DATE(INDEX(SPLIT(G6271,""/""),,3),INDEX(SPLIT(G6271,""/""),,2),INDEX(SPLIT(G6271,""/""),,1))"),44693.0)</f>
        <v>44693</v>
      </c>
      <c r="I6271" s="1" t="s">
        <v>109</v>
      </c>
      <c r="J6271" s="4">
        <f>IFERROR(__xludf.DUMMYFUNCTION("DATE(INDEX(SPLIT(I6271,""/""),,3),INDEX(SPLIT(I6271,""/""),,2),INDEX(SPLIT(I6271,""/""),,1))"),44834.0)</f>
        <v>44834</v>
      </c>
      <c r="L6271" s="1">
        <v>0.0</v>
      </c>
      <c r="M6271" s="1" t="s">
        <v>11254</v>
      </c>
      <c r="N6271" s="1"/>
      <c r="O6271" s="1" t="s">
        <v>30</v>
      </c>
      <c r="P6271" s="1" t="s">
        <v>31</v>
      </c>
      <c r="Q6271" s="1" t="s">
        <v>228</v>
      </c>
      <c r="R6271" s="1" t="s">
        <v>228</v>
      </c>
      <c r="S6271" s="1" t="s">
        <v>229</v>
      </c>
      <c r="T6271" s="1" t="s">
        <v>513</v>
      </c>
      <c r="U6271" s="1">
        <v>1.00602248E8</v>
      </c>
      <c r="X6271" s="1" t="s">
        <v>2769</v>
      </c>
      <c r="Y6271" s="1" t="s">
        <v>12637</v>
      </c>
      <c r="Z6271" s="1" t="s">
        <v>37</v>
      </c>
    </row>
    <row r="6272">
      <c r="A6272" s="1" t="s">
        <v>17220</v>
      </c>
      <c r="B6272" s="1" t="s">
        <v>1854</v>
      </c>
      <c r="C6272" s="1" t="s">
        <v>17221</v>
      </c>
      <c r="D6272" s="1" t="s">
        <v>68</v>
      </c>
      <c r="E6272" s="1" t="s">
        <v>28</v>
      </c>
      <c r="F6272" s="2">
        <v>0.0</v>
      </c>
      <c r="G6272" s="1" t="s">
        <v>1154</v>
      </c>
      <c r="H6272" s="4">
        <f>IFERROR(__xludf.DUMMYFUNCTION("DATE(INDEX(SPLIT(G6272,""/""),,3),INDEX(SPLIT(G6272,""/""),,2),INDEX(SPLIT(G6272,""/""),,1))"),44735.0)</f>
        <v>44735</v>
      </c>
      <c r="I6272" s="1" t="s">
        <v>503</v>
      </c>
      <c r="J6272" s="4">
        <f>IFERROR(__xludf.DUMMYFUNCTION("DATE(INDEX(SPLIT(I6272,""/""),,3),INDEX(SPLIT(I6272,""/""),,2),INDEX(SPLIT(I6272,""/""),,1))"),44736.0)</f>
        <v>44736</v>
      </c>
      <c r="L6272" s="1">
        <v>0.0</v>
      </c>
      <c r="M6272" s="1" t="s">
        <v>2448</v>
      </c>
      <c r="N6272" s="1"/>
      <c r="O6272" s="1" t="s">
        <v>30</v>
      </c>
      <c r="P6272" s="1" t="s">
        <v>31</v>
      </c>
      <c r="Q6272" s="1" t="s">
        <v>53</v>
      </c>
      <c r="R6272" s="1" t="s">
        <v>53</v>
      </c>
      <c r="S6272" s="1" t="s">
        <v>54</v>
      </c>
      <c r="T6272" s="1" t="s">
        <v>197</v>
      </c>
      <c r="U6272" s="1">
        <v>1.00584032E8</v>
      </c>
      <c r="V6272" s="1" t="s">
        <v>17222</v>
      </c>
      <c r="W6272" s="1" t="s">
        <v>717</v>
      </c>
      <c r="X6272" s="1" t="s">
        <v>63</v>
      </c>
      <c r="Y6272" s="1" t="s">
        <v>1857</v>
      </c>
      <c r="Z6272" s="1" t="s">
        <v>37</v>
      </c>
    </row>
    <row r="6273">
      <c r="A6273" s="1" t="s">
        <v>17223</v>
      </c>
      <c r="B6273" s="1" t="s">
        <v>144</v>
      </c>
      <c r="C6273" s="1" t="s">
        <v>17224</v>
      </c>
      <c r="D6273" s="1" t="s">
        <v>27</v>
      </c>
      <c r="E6273" s="1" t="s">
        <v>28</v>
      </c>
      <c r="F6273" s="2">
        <v>0.0</v>
      </c>
      <c r="G6273" s="4">
        <v>44837.0</v>
      </c>
      <c r="H6273" s="4">
        <f>IFERROR(__xludf.DUMMYFUNCTION("DATE(INDEX(SPLIT(G6273,""/""),,3),INDEX(SPLIT(G6273,""/""),,2),INDEX(SPLIT(G6273,""/""),,1))"),44630.0)</f>
        <v>44630</v>
      </c>
      <c r="I6273" s="1" t="s">
        <v>1244</v>
      </c>
      <c r="J6273" s="4">
        <f>IFERROR(__xludf.DUMMYFUNCTION("DATE(INDEX(SPLIT(I6273,""/""),,3),INDEX(SPLIT(I6273,""/""),,2),INDEX(SPLIT(I6273,""/""),,1))"),44742.0)</f>
        <v>44742</v>
      </c>
      <c r="L6273" s="1">
        <v>0.0</v>
      </c>
      <c r="M6273" s="1" t="s">
        <v>601</v>
      </c>
      <c r="N6273" s="1"/>
      <c r="O6273" s="1" t="s">
        <v>30</v>
      </c>
      <c r="P6273" s="1" t="s">
        <v>31</v>
      </c>
      <c r="Q6273" s="1" t="s">
        <v>95</v>
      </c>
      <c r="R6273" s="1" t="s">
        <v>95</v>
      </c>
      <c r="S6273" s="1" t="s">
        <v>96</v>
      </c>
      <c r="T6273" s="1" t="s">
        <v>602</v>
      </c>
      <c r="U6273" s="1">
        <v>1.00625415E8</v>
      </c>
      <c r="X6273" s="1" t="s">
        <v>88</v>
      </c>
      <c r="Y6273" s="1" t="s">
        <v>603</v>
      </c>
      <c r="Z6273" s="1" t="s">
        <v>37</v>
      </c>
    </row>
    <row r="6274" hidden="1">
      <c r="A6274" s="1" t="s">
        <v>17225</v>
      </c>
      <c r="B6274" s="1" t="s">
        <v>16086</v>
      </c>
      <c r="C6274" s="1" t="s">
        <v>17226</v>
      </c>
      <c r="D6274" s="1" t="s">
        <v>78</v>
      </c>
      <c r="E6274" s="1" t="s">
        <v>28</v>
      </c>
      <c r="F6274" s="2">
        <v>0.0</v>
      </c>
      <c r="G6274" s="1" t="s">
        <v>503</v>
      </c>
      <c r="H6274" s="4">
        <f>IFERROR(__xludf.DUMMYFUNCTION("DATE(INDEX(SPLIT(G6274,""/""),,3),INDEX(SPLIT(G6274,""/""),,2),INDEX(SPLIT(G6274,""/""),,1))"),44736.0)</f>
        <v>44736</v>
      </c>
      <c r="I6274" s="1" t="s">
        <v>317</v>
      </c>
      <c r="J6274" s="4">
        <f>IFERROR(__xludf.DUMMYFUNCTION("DATE(INDEX(SPLIT(I6274,""/""),,3),INDEX(SPLIT(I6274,""/""),,2),INDEX(SPLIT(I6274,""/""),,1))"),44862.0)</f>
        <v>44862</v>
      </c>
      <c r="L6274" s="1">
        <v>0.0</v>
      </c>
      <c r="M6274" s="1" t="s">
        <v>1723</v>
      </c>
      <c r="N6274" s="1"/>
      <c r="O6274" s="1" t="s">
        <v>30</v>
      </c>
      <c r="P6274" s="1" t="s">
        <v>31</v>
      </c>
      <c r="Q6274" s="1" t="s">
        <v>157</v>
      </c>
      <c r="R6274" s="1" t="s">
        <v>157</v>
      </c>
      <c r="S6274" s="1" t="s">
        <v>158</v>
      </c>
      <c r="U6274" s="1">
        <v>1.00654085E8</v>
      </c>
      <c r="Y6274" s="1" t="s">
        <v>5269</v>
      </c>
      <c r="Z6274" s="1" t="s">
        <v>37</v>
      </c>
    </row>
    <row r="6275" hidden="1">
      <c r="A6275" s="1" t="s">
        <v>17227</v>
      </c>
      <c r="B6275" s="1" t="s">
        <v>17228</v>
      </c>
      <c r="C6275" s="1" t="s">
        <v>17229</v>
      </c>
      <c r="D6275" s="1" t="s">
        <v>78</v>
      </c>
      <c r="E6275" s="1" t="s">
        <v>28</v>
      </c>
      <c r="F6275" s="2">
        <v>0.0</v>
      </c>
      <c r="G6275" s="1" t="s">
        <v>503</v>
      </c>
      <c r="H6275" s="4">
        <f>IFERROR(__xludf.DUMMYFUNCTION("DATE(INDEX(SPLIT(G6275,""/""),,3),INDEX(SPLIT(G6275,""/""),,2),INDEX(SPLIT(G6275,""/""),,1))"),44736.0)</f>
        <v>44736</v>
      </c>
      <c r="I6275" s="1" t="s">
        <v>317</v>
      </c>
      <c r="J6275" s="4">
        <f>IFERROR(__xludf.DUMMYFUNCTION("DATE(INDEX(SPLIT(I6275,""/""),,3),INDEX(SPLIT(I6275,""/""),,2),INDEX(SPLIT(I6275,""/""),,1))"),44862.0)</f>
        <v>44862</v>
      </c>
      <c r="L6275" s="1">
        <v>0.0</v>
      </c>
      <c r="M6275" s="1" t="s">
        <v>1723</v>
      </c>
      <c r="N6275" s="1"/>
      <c r="O6275" s="1" t="s">
        <v>30</v>
      </c>
      <c r="P6275" s="1" t="s">
        <v>31</v>
      </c>
      <c r="Q6275" s="1" t="s">
        <v>157</v>
      </c>
      <c r="R6275" s="1" t="s">
        <v>157</v>
      </c>
      <c r="S6275" s="1" t="s">
        <v>158</v>
      </c>
      <c r="U6275" s="1">
        <v>1.00654085E8</v>
      </c>
      <c r="X6275" s="1" t="s">
        <v>117</v>
      </c>
      <c r="Y6275" s="1" t="s">
        <v>5269</v>
      </c>
      <c r="Z6275" s="1" t="s">
        <v>37</v>
      </c>
    </row>
    <row r="6276" hidden="1">
      <c r="A6276" s="1" t="s">
        <v>17230</v>
      </c>
      <c r="B6276" s="1" t="s">
        <v>17231</v>
      </c>
      <c r="C6276" s="1" t="s">
        <v>17232</v>
      </c>
      <c r="D6276" s="1" t="s">
        <v>27</v>
      </c>
      <c r="E6276" s="1" t="s">
        <v>28</v>
      </c>
      <c r="F6276" s="2">
        <v>0.0</v>
      </c>
      <c r="G6276" s="1" t="s">
        <v>458</v>
      </c>
      <c r="H6276" s="4">
        <f>IFERROR(__xludf.DUMMYFUNCTION("DATE(INDEX(SPLIT(G6276,""/""),,3),INDEX(SPLIT(G6276,""/""),,2),INDEX(SPLIT(G6276,""/""),,1))"),44649.0)</f>
        <v>44649</v>
      </c>
      <c r="I6276" s="1" t="s">
        <v>203</v>
      </c>
      <c r="J6276" s="4">
        <f>IFERROR(__xludf.DUMMYFUNCTION("DATE(INDEX(SPLIT(I6276,""/""),,3),INDEX(SPLIT(I6276,""/""),,2),INDEX(SPLIT(I6276,""/""),,1))"),44925.0)</f>
        <v>44925</v>
      </c>
      <c r="L6276" s="1">
        <v>0.0</v>
      </c>
      <c r="M6276" s="1" t="s">
        <v>12807</v>
      </c>
      <c r="N6276" s="1"/>
      <c r="O6276" s="1" t="s">
        <v>30</v>
      </c>
      <c r="P6276" s="1" t="s">
        <v>31</v>
      </c>
      <c r="Q6276" s="1" t="s">
        <v>157</v>
      </c>
      <c r="R6276" s="1" t="s">
        <v>157</v>
      </c>
      <c r="S6276" s="1" t="s">
        <v>158</v>
      </c>
      <c r="U6276" s="1">
        <v>1.00904278E8</v>
      </c>
      <c r="X6276" s="1" t="s">
        <v>88</v>
      </c>
      <c r="Y6276" s="1" t="s">
        <v>16999</v>
      </c>
      <c r="Z6276" s="1" t="s">
        <v>1783</v>
      </c>
    </row>
    <row r="6277" hidden="1">
      <c r="A6277" s="1" t="s">
        <v>17233</v>
      </c>
      <c r="B6277" s="1" t="s">
        <v>17234</v>
      </c>
      <c r="C6277" s="1" t="s">
        <v>17235</v>
      </c>
      <c r="D6277" s="1" t="s">
        <v>78</v>
      </c>
      <c r="E6277" s="1" t="s">
        <v>28</v>
      </c>
      <c r="F6277" s="2">
        <v>0.0</v>
      </c>
      <c r="G6277" s="1" t="s">
        <v>503</v>
      </c>
      <c r="H6277" s="4">
        <f>IFERROR(__xludf.DUMMYFUNCTION("DATE(INDEX(SPLIT(G6277,""/""),,3),INDEX(SPLIT(G6277,""/""),,2),INDEX(SPLIT(G6277,""/""),,1))"),44736.0)</f>
        <v>44736</v>
      </c>
      <c r="I6277" s="1" t="s">
        <v>317</v>
      </c>
      <c r="J6277" s="4">
        <f>IFERROR(__xludf.DUMMYFUNCTION("DATE(INDEX(SPLIT(I6277,""/""),,3),INDEX(SPLIT(I6277,""/""),,2),INDEX(SPLIT(I6277,""/""),,1))"),44862.0)</f>
        <v>44862</v>
      </c>
      <c r="L6277" s="1">
        <v>0.0</v>
      </c>
      <c r="M6277" s="1" t="s">
        <v>1723</v>
      </c>
      <c r="N6277" s="1"/>
      <c r="O6277" s="1" t="s">
        <v>30</v>
      </c>
      <c r="P6277" s="1" t="s">
        <v>31</v>
      </c>
      <c r="Q6277" s="1" t="s">
        <v>157</v>
      </c>
      <c r="R6277" s="1" t="s">
        <v>157</v>
      </c>
      <c r="S6277" s="1" t="s">
        <v>158</v>
      </c>
      <c r="U6277" s="1">
        <v>1.00654085E8</v>
      </c>
      <c r="X6277" s="1" t="s">
        <v>63</v>
      </c>
      <c r="Y6277" s="1" t="s">
        <v>5269</v>
      </c>
      <c r="Z6277" s="1" t="s">
        <v>37</v>
      </c>
    </row>
    <row r="6278" hidden="1">
      <c r="A6278" s="1" t="s">
        <v>17236</v>
      </c>
      <c r="B6278" s="1" t="s">
        <v>17237</v>
      </c>
      <c r="C6278" s="1" t="s">
        <v>17238</v>
      </c>
      <c r="D6278" s="1" t="s">
        <v>78</v>
      </c>
      <c r="E6278" s="1" t="s">
        <v>28</v>
      </c>
      <c r="F6278" s="2">
        <v>0.0</v>
      </c>
      <c r="G6278" s="1" t="s">
        <v>503</v>
      </c>
      <c r="H6278" s="4">
        <f>IFERROR(__xludf.DUMMYFUNCTION("DATE(INDEX(SPLIT(G6278,""/""),,3),INDEX(SPLIT(G6278,""/""),,2),INDEX(SPLIT(G6278,""/""),,1))"),44736.0)</f>
        <v>44736</v>
      </c>
      <c r="I6278" s="1" t="s">
        <v>317</v>
      </c>
      <c r="J6278" s="4">
        <f>IFERROR(__xludf.DUMMYFUNCTION("DATE(INDEX(SPLIT(I6278,""/""),,3),INDEX(SPLIT(I6278,""/""),,2),INDEX(SPLIT(I6278,""/""),,1))"),44862.0)</f>
        <v>44862</v>
      </c>
      <c r="L6278" s="1">
        <v>0.0</v>
      </c>
      <c r="M6278" s="1" t="s">
        <v>1723</v>
      </c>
      <c r="N6278" s="1"/>
      <c r="O6278" s="1" t="s">
        <v>30</v>
      </c>
      <c r="P6278" s="1" t="s">
        <v>31</v>
      </c>
      <c r="Q6278" s="1" t="s">
        <v>157</v>
      </c>
      <c r="R6278" s="1" t="s">
        <v>157</v>
      </c>
      <c r="S6278" s="1" t="s">
        <v>158</v>
      </c>
      <c r="U6278" s="1">
        <v>1.00654085E8</v>
      </c>
      <c r="Y6278" s="1" t="s">
        <v>5269</v>
      </c>
      <c r="Z6278" s="1" t="s">
        <v>37</v>
      </c>
    </row>
    <row r="6279">
      <c r="A6279" s="1" t="s">
        <v>17239</v>
      </c>
      <c r="B6279" s="1" t="s">
        <v>566</v>
      </c>
      <c r="C6279" s="1" t="s">
        <v>17240</v>
      </c>
      <c r="D6279" s="1" t="s">
        <v>27</v>
      </c>
      <c r="E6279" s="1" t="s">
        <v>28</v>
      </c>
      <c r="F6279" s="2">
        <v>0.0</v>
      </c>
      <c r="G6279" s="1" t="s">
        <v>1438</v>
      </c>
      <c r="H6279" s="4">
        <f>IFERROR(__xludf.DUMMYFUNCTION("DATE(INDEX(SPLIT(G6279,""/""),,3),INDEX(SPLIT(G6279,""/""),,2),INDEX(SPLIT(G6279,""/""),,1))"),44708.0)</f>
        <v>44708</v>
      </c>
      <c r="I6279" s="1" t="s">
        <v>226</v>
      </c>
      <c r="J6279" s="4">
        <f>IFERROR(__xludf.DUMMYFUNCTION("DATE(INDEX(SPLIT(I6279,""/""),,3),INDEX(SPLIT(I6279,""/""),,2),INDEX(SPLIT(I6279,""/""),,1))"),44771.0)</f>
        <v>44771</v>
      </c>
      <c r="L6279" s="1">
        <v>0.0</v>
      </c>
      <c r="M6279" s="1" t="s">
        <v>5974</v>
      </c>
      <c r="N6279" s="1"/>
      <c r="O6279" s="1" t="s">
        <v>30</v>
      </c>
      <c r="P6279" s="1" t="s">
        <v>31</v>
      </c>
      <c r="Q6279" s="1" t="s">
        <v>235</v>
      </c>
      <c r="R6279" s="1" t="s">
        <v>235</v>
      </c>
      <c r="S6279" s="1" t="s">
        <v>236</v>
      </c>
      <c r="U6279" s="1">
        <v>1.00637651E8</v>
      </c>
      <c r="X6279" s="1" t="s">
        <v>63</v>
      </c>
      <c r="Y6279" s="1" t="s">
        <v>767</v>
      </c>
      <c r="Z6279" s="1" t="s">
        <v>206</v>
      </c>
    </row>
    <row r="6280" hidden="1">
      <c r="A6280" s="1" t="s">
        <v>17241</v>
      </c>
      <c r="B6280" s="1" t="s">
        <v>17242</v>
      </c>
      <c r="C6280" s="1" t="s">
        <v>17243</v>
      </c>
      <c r="D6280" s="1" t="s">
        <v>78</v>
      </c>
      <c r="E6280" s="1" t="s">
        <v>28</v>
      </c>
      <c r="F6280" s="2">
        <v>0.0</v>
      </c>
      <c r="G6280" s="1" t="s">
        <v>503</v>
      </c>
      <c r="H6280" s="4">
        <f>IFERROR(__xludf.DUMMYFUNCTION("DATE(INDEX(SPLIT(G6280,""/""),,3),INDEX(SPLIT(G6280,""/""),,2),INDEX(SPLIT(G6280,""/""),,1))"),44736.0)</f>
        <v>44736</v>
      </c>
      <c r="I6280" s="1" t="s">
        <v>317</v>
      </c>
      <c r="J6280" s="4">
        <f>IFERROR(__xludf.DUMMYFUNCTION("DATE(INDEX(SPLIT(I6280,""/""),,3),INDEX(SPLIT(I6280,""/""),,2),INDEX(SPLIT(I6280,""/""),,1))"),44862.0)</f>
        <v>44862</v>
      </c>
      <c r="L6280" s="1">
        <v>0.0</v>
      </c>
      <c r="M6280" s="1" t="s">
        <v>1723</v>
      </c>
      <c r="N6280" s="1"/>
      <c r="O6280" s="1" t="s">
        <v>30</v>
      </c>
      <c r="P6280" s="1" t="s">
        <v>31</v>
      </c>
      <c r="Q6280" s="1" t="s">
        <v>157</v>
      </c>
      <c r="R6280" s="1" t="s">
        <v>157</v>
      </c>
      <c r="S6280" s="1" t="s">
        <v>158</v>
      </c>
      <c r="U6280" s="1">
        <v>1.00654085E8</v>
      </c>
      <c r="X6280" s="1" t="s">
        <v>74</v>
      </c>
      <c r="Y6280" s="1" t="s">
        <v>5269</v>
      </c>
      <c r="Z6280" s="1" t="s">
        <v>37</v>
      </c>
    </row>
    <row r="6281" hidden="1">
      <c r="A6281" s="1" t="s">
        <v>17244</v>
      </c>
      <c r="B6281" s="1" t="s">
        <v>17245</v>
      </c>
      <c r="C6281" s="1" t="s">
        <v>17246</v>
      </c>
      <c r="D6281" s="1" t="s">
        <v>78</v>
      </c>
      <c r="E6281" s="1" t="s">
        <v>28</v>
      </c>
      <c r="F6281" s="2">
        <v>0.0</v>
      </c>
      <c r="G6281" s="1" t="s">
        <v>503</v>
      </c>
      <c r="H6281" s="4">
        <f>IFERROR(__xludf.DUMMYFUNCTION("DATE(INDEX(SPLIT(G6281,""/""),,3),INDEX(SPLIT(G6281,""/""),,2),INDEX(SPLIT(G6281,""/""),,1))"),44736.0)</f>
        <v>44736</v>
      </c>
      <c r="I6281" s="1" t="s">
        <v>317</v>
      </c>
      <c r="J6281" s="4">
        <f>IFERROR(__xludf.DUMMYFUNCTION("DATE(INDEX(SPLIT(I6281,""/""),,3),INDEX(SPLIT(I6281,""/""),,2),INDEX(SPLIT(I6281,""/""),,1))"),44862.0)</f>
        <v>44862</v>
      </c>
      <c r="L6281" s="1">
        <v>0.0</v>
      </c>
      <c r="M6281" s="1" t="s">
        <v>1723</v>
      </c>
      <c r="N6281" s="1"/>
      <c r="O6281" s="1" t="s">
        <v>30</v>
      </c>
      <c r="P6281" s="1" t="s">
        <v>31</v>
      </c>
      <c r="Q6281" s="1" t="s">
        <v>157</v>
      </c>
      <c r="R6281" s="1" t="s">
        <v>157</v>
      </c>
      <c r="S6281" s="1" t="s">
        <v>158</v>
      </c>
      <c r="U6281" s="1">
        <v>1.00654085E8</v>
      </c>
      <c r="X6281" s="1" t="s">
        <v>74</v>
      </c>
      <c r="Y6281" s="1" t="s">
        <v>5269</v>
      </c>
      <c r="Z6281" s="1" t="s">
        <v>37</v>
      </c>
    </row>
    <row r="6282" hidden="1">
      <c r="A6282" s="1" t="s">
        <v>17247</v>
      </c>
      <c r="B6282" s="1" t="s">
        <v>434</v>
      </c>
      <c r="C6282" s="1" t="s">
        <v>17248</v>
      </c>
      <c r="D6282" s="1" t="s">
        <v>27</v>
      </c>
      <c r="E6282" s="1" t="s">
        <v>28</v>
      </c>
      <c r="F6282" s="2">
        <v>0.0</v>
      </c>
      <c r="G6282" s="4">
        <v>43929.0</v>
      </c>
      <c r="H6282" s="4">
        <f>IFERROR(__xludf.DUMMYFUNCTION("DATE(INDEX(SPLIT(G6282,""/""),,3),INDEX(SPLIT(G6282,""/""),,2),INDEX(SPLIT(G6282,""/""),,1))"),44047.0)</f>
        <v>44047</v>
      </c>
      <c r="I6282" s="1" t="s">
        <v>1097</v>
      </c>
      <c r="J6282" s="4">
        <f>IFERROR(__xludf.DUMMYFUNCTION("DATE(INDEX(SPLIT(I6282,""/""),,3),INDEX(SPLIT(I6282,""/""),,2),INDEX(SPLIT(I6282,""/""),,1))"),45107.0)</f>
        <v>45107</v>
      </c>
      <c r="L6282" s="1">
        <v>0.0</v>
      </c>
      <c r="M6282" s="1" t="s">
        <v>3123</v>
      </c>
      <c r="N6282" s="1"/>
      <c r="O6282" s="1" t="s">
        <v>30</v>
      </c>
      <c r="P6282" s="1" t="s">
        <v>31</v>
      </c>
      <c r="Q6282" s="1" t="s">
        <v>157</v>
      </c>
      <c r="R6282" s="1" t="s">
        <v>157</v>
      </c>
      <c r="S6282" s="1" t="s">
        <v>158</v>
      </c>
      <c r="T6282" s="1" t="s">
        <v>571</v>
      </c>
      <c r="U6282" s="1">
        <v>1.00875111E8</v>
      </c>
      <c r="X6282" s="1" t="s">
        <v>88</v>
      </c>
      <c r="Y6282" s="1" t="s">
        <v>3124</v>
      </c>
      <c r="Z6282" s="1" t="s">
        <v>37</v>
      </c>
    </row>
    <row r="6283">
      <c r="A6283" s="1" t="s">
        <v>17249</v>
      </c>
      <c r="B6283" s="1" t="s">
        <v>2462</v>
      </c>
      <c r="C6283" s="1" t="s">
        <v>17250</v>
      </c>
      <c r="D6283" s="1" t="s">
        <v>78</v>
      </c>
      <c r="E6283" s="1" t="s">
        <v>28</v>
      </c>
      <c r="F6283" s="2">
        <v>0.0</v>
      </c>
      <c r="G6283" s="4">
        <v>44598.0</v>
      </c>
      <c r="H6283" s="4">
        <f>IFERROR(__xludf.DUMMYFUNCTION("DATE(INDEX(SPLIT(G6283,""/""),,3),INDEX(SPLIT(G6283,""/""),,2),INDEX(SPLIT(G6283,""/""),,1))"),44714.0)</f>
        <v>44714</v>
      </c>
      <c r="I6283" s="1" t="s">
        <v>226</v>
      </c>
      <c r="J6283" s="4">
        <f>IFERROR(__xludf.DUMMYFUNCTION("DATE(INDEX(SPLIT(I6283,""/""),,3),INDEX(SPLIT(I6283,""/""),,2),INDEX(SPLIT(I6283,""/""),,1))"),44771.0)</f>
        <v>44771</v>
      </c>
      <c r="L6283" s="1">
        <v>0.0</v>
      </c>
      <c r="M6283" s="1" t="s">
        <v>2464</v>
      </c>
      <c r="N6283" s="1"/>
      <c r="O6283" s="1" t="s">
        <v>30</v>
      </c>
      <c r="P6283" s="1" t="s">
        <v>31</v>
      </c>
      <c r="Q6283" s="1" t="s">
        <v>157</v>
      </c>
      <c r="R6283" s="1" t="s">
        <v>157</v>
      </c>
      <c r="S6283" s="1" t="s">
        <v>158</v>
      </c>
      <c r="T6283" s="1" t="s">
        <v>571</v>
      </c>
      <c r="U6283" s="1">
        <v>1.00589278E8</v>
      </c>
      <c r="V6283" s="1" t="s">
        <v>2465</v>
      </c>
      <c r="W6283" s="1" t="s">
        <v>717</v>
      </c>
      <c r="Y6283" s="1" t="s">
        <v>2466</v>
      </c>
      <c r="Z6283" s="1" t="s">
        <v>37</v>
      </c>
    </row>
    <row r="6284" hidden="1">
      <c r="A6284" s="1" t="s">
        <v>17251</v>
      </c>
      <c r="B6284" s="1" t="s">
        <v>17252</v>
      </c>
      <c r="C6284" s="1" t="s">
        <v>17253</v>
      </c>
      <c r="D6284" s="1" t="s">
        <v>78</v>
      </c>
      <c r="E6284" s="1" t="s">
        <v>28</v>
      </c>
      <c r="F6284" s="2">
        <v>0.0</v>
      </c>
      <c r="G6284" s="1" t="s">
        <v>503</v>
      </c>
      <c r="H6284" s="4">
        <f>IFERROR(__xludf.DUMMYFUNCTION("DATE(INDEX(SPLIT(G6284,""/""),,3),INDEX(SPLIT(G6284,""/""),,2),INDEX(SPLIT(G6284,""/""),,1))"),44736.0)</f>
        <v>44736</v>
      </c>
      <c r="I6284" s="1" t="s">
        <v>317</v>
      </c>
      <c r="J6284" s="4">
        <f>IFERROR(__xludf.DUMMYFUNCTION("DATE(INDEX(SPLIT(I6284,""/""),,3),INDEX(SPLIT(I6284,""/""),,2),INDEX(SPLIT(I6284,""/""),,1))"),44862.0)</f>
        <v>44862</v>
      </c>
      <c r="L6284" s="1">
        <v>0.0</v>
      </c>
      <c r="M6284" s="1" t="s">
        <v>1723</v>
      </c>
      <c r="N6284" s="1"/>
      <c r="O6284" s="1" t="s">
        <v>30</v>
      </c>
      <c r="P6284" s="1" t="s">
        <v>31</v>
      </c>
      <c r="Q6284" s="1" t="s">
        <v>157</v>
      </c>
      <c r="R6284" s="1" t="s">
        <v>157</v>
      </c>
      <c r="S6284" s="1" t="s">
        <v>158</v>
      </c>
      <c r="U6284" s="1">
        <v>1.00654085E8</v>
      </c>
      <c r="Y6284" s="1" t="s">
        <v>5269</v>
      </c>
      <c r="Z6284" s="1" t="s">
        <v>37</v>
      </c>
    </row>
    <row r="6285" hidden="1">
      <c r="A6285" s="1" t="s">
        <v>17254</v>
      </c>
      <c r="B6285" s="1" t="s">
        <v>1198</v>
      </c>
      <c r="C6285" s="1" t="s">
        <v>17255</v>
      </c>
      <c r="D6285" s="1" t="s">
        <v>27</v>
      </c>
      <c r="E6285" s="1" t="s">
        <v>28</v>
      </c>
      <c r="F6285" s="2">
        <v>0.0</v>
      </c>
      <c r="G6285" s="4">
        <v>43959.0</v>
      </c>
      <c r="H6285" s="4">
        <f>IFERROR(__xludf.DUMMYFUNCTION("DATE(INDEX(SPLIT(G6285,""/""),,3),INDEX(SPLIT(G6285,""/""),,2),INDEX(SPLIT(G6285,""/""),,1))"),44048.0)</f>
        <v>44048</v>
      </c>
      <c r="I6285" s="1" t="s">
        <v>203</v>
      </c>
      <c r="J6285" s="4">
        <f>IFERROR(__xludf.DUMMYFUNCTION("DATE(INDEX(SPLIT(I6285,""/""),,3),INDEX(SPLIT(I6285,""/""),,2),INDEX(SPLIT(I6285,""/""),,1))"),44925.0)</f>
        <v>44925</v>
      </c>
      <c r="L6285" s="1">
        <v>0.0</v>
      </c>
      <c r="M6285" s="1" t="s">
        <v>3123</v>
      </c>
      <c r="N6285" s="1"/>
      <c r="O6285" s="1" t="s">
        <v>30</v>
      </c>
      <c r="P6285" s="1" t="s">
        <v>31</v>
      </c>
      <c r="Q6285" s="1" t="s">
        <v>157</v>
      </c>
      <c r="R6285" s="1" t="s">
        <v>157</v>
      </c>
      <c r="S6285" s="1" t="s">
        <v>158</v>
      </c>
      <c r="T6285" s="1" t="s">
        <v>571</v>
      </c>
      <c r="U6285" s="1">
        <v>1.00875111E8</v>
      </c>
      <c r="X6285" s="1" t="s">
        <v>88</v>
      </c>
      <c r="Y6285" s="1" t="s">
        <v>3124</v>
      </c>
      <c r="Z6285" s="1" t="s">
        <v>37</v>
      </c>
    </row>
    <row r="6286" hidden="1">
      <c r="A6286" s="1" t="s">
        <v>17256</v>
      </c>
      <c r="B6286" s="1" t="s">
        <v>1748</v>
      </c>
      <c r="C6286" s="1" t="s">
        <v>17257</v>
      </c>
      <c r="D6286" s="1" t="s">
        <v>27</v>
      </c>
      <c r="E6286" s="1" t="s">
        <v>28</v>
      </c>
      <c r="F6286" s="2">
        <v>0.0</v>
      </c>
      <c r="G6286" s="4">
        <v>43959.0</v>
      </c>
      <c r="H6286" s="4">
        <f>IFERROR(__xludf.DUMMYFUNCTION("DATE(INDEX(SPLIT(G6286,""/""),,3),INDEX(SPLIT(G6286,""/""),,2),INDEX(SPLIT(G6286,""/""),,1))"),44048.0)</f>
        <v>44048</v>
      </c>
      <c r="I6286" s="4">
        <v>44569.0</v>
      </c>
      <c r="J6286" s="4">
        <f>IFERROR(__xludf.DUMMYFUNCTION("DATE(INDEX(SPLIT(I6286,""/""),,3),INDEX(SPLIT(I6286,""/""),,2),INDEX(SPLIT(I6286,""/""),,1))"),44774.0)</f>
        <v>44774</v>
      </c>
      <c r="L6286" s="1">
        <v>0.0</v>
      </c>
      <c r="M6286" s="1" t="s">
        <v>3123</v>
      </c>
      <c r="N6286" s="1"/>
      <c r="O6286" s="1" t="s">
        <v>30</v>
      </c>
      <c r="P6286" s="1" t="s">
        <v>31</v>
      </c>
      <c r="Q6286" s="1" t="s">
        <v>157</v>
      </c>
      <c r="R6286" s="1" t="s">
        <v>157</v>
      </c>
      <c r="S6286" s="1" t="s">
        <v>158</v>
      </c>
      <c r="T6286" s="1" t="s">
        <v>571</v>
      </c>
      <c r="U6286" s="1">
        <v>1.00875111E8</v>
      </c>
      <c r="X6286" s="1" t="s">
        <v>88</v>
      </c>
      <c r="Y6286" s="1" t="s">
        <v>3124</v>
      </c>
      <c r="Z6286" s="1" t="s">
        <v>37</v>
      </c>
    </row>
    <row r="6287" hidden="1">
      <c r="A6287" s="1" t="s">
        <v>17258</v>
      </c>
      <c r="B6287" s="1" t="s">
        <v>7608</v>
      </c>
      <c r="C6287" s="1" t="s">
        <v>17259</v>
      </c>
      <c r="D6287" s="1" t="s">
        <v>78</v>
      </c>
      <c r="E6287" s="1" t="s">
        <v>28</v>
      </c>
      <c r="F6287" s="2">
        <v>0.0</v>
      </c>
      <c r="G6287" s="1" t="s">
        <v>3137</v>
      </c>
      <c r="H6287" s="4">
        <f>IFERROR(__xludf.DUMMYFUNCTION("DATE(INDEX(SPLIT(G6287,""/""),,3),INDEX(SPLIT(G6287,""/""),,2),INDEX(SPLIT(G6287,""/""),,1))"),44731.0)</f>
        <v>44731</v>
      </c>
      <c r="I6287" s="1" t="s">
        <v>85</v>
      </c>
      <c r="J6287" s="4">
        <f>IFERROR(__xludf.DUMMYFUNCTION("DATE(INDEX(SPLIT(I6287,""/""),,3),INDEX(SPLIT(I6287,""/""),,2),INDEX(SPLIT(I6287,""/""),,1))"),44799.0)</f>
        <v>44799</v>
      </c>
      <c r="L6287" s="1">
        <v>0.0</v>
      </c>
      <c r="M6287" s="1" t="s">
        <v>852</v>
      </c>
      <c r="N6287" s="1"/>
      <c r="O6287" s="1" t="s">
        <v>30</v>
      </c>
      <c r="P6287" s="1" t="s">
        <v>31</v>
      </c>
      <c r="Q6287" s="1" t="s">
        <v>157</v>
      </c>
      <c r="R6287" s="1" t="s">
        <v>157</v>
      </c>
      <c r="S6287" s="1" t="s">
        <v>158</v>
      </c>
      <c r="T6287" s="1" t="s">
        <v>442</v>
      </c>
      <c r="U6287" s="1">
        <v>1.00648457E8</v>
      </c>
      <c r="X6287" s="1" t="s">
        <v>117</v>
      </c>
      <c r="Y6287" s="1" t="s">
        <v>852</v>
      </c>
      <c r="Z6287" s="1" t="s">
        <v>37</v>
      </c>
    </row>
    <row r="6288" hidden="1">
      <c r="A6288" s="1" t="s">
        <v>17260</v>
      </c>
      <c r="B6288" s="1" t="s">
        <v>981</v>
      </c>
      <c r="C6288" s="1" t="s">
        <v>17261</v>
      </c>
      <c r="D6288" s="1" t="s">
        <v>27</v>
      </c>
      <c r="E6288" s="1" t="s">
        <v>28</v>
      </c>
      <c r="F6288" s="2">
        <v>0.0</v>
      </c>
      <c r="G6288" s="1" t="s">
        <v>779</v>
      </c>
      <c r="H6288" s="4">
        <f>IFERROR(__xludf.DUMMYFUNCTION("DATE(INDEX(SPLIT(G6288,""/""),,3),INDEX(SPLIT(G6288,""/""),,2),INDEX(SPLIT(G6288,""/""),,1))"),44734.0)</f>
        <v>44734</v>
      </c>
      <c r="I6288" s="1" t="s">
        <v>872</v>
      </c>
      <c r="J6288" s="4">
        <f>IFERROR(__xludf.DUMMYFUNCTION("DATE(INDEX(SPLIT(I6288,""/""),,3),INDEX(SPLIT(I6288,""/""),,2),INDEX(SPLIT(I6288,""/""),,1))"),44820.0)</f>
        <v>44820</v>
      </c>
      <c r="L6288" s="1">
        <v>0.0</v>
      </c>
      <c r="M6288" s="1" t="s">
        <v>1639</v>
      </c>
      <c r="N6288" s="1"/>
      <c r="O6288" s="1" t="s">
        <v>30</v>
      </c>
      <c r="P6288" s="1" t="s">
        <v>31</v>
      </c>
      <c r="Q6288" s="1" t="s">
        <v>53</v>
      </c>
      <c r="R6288" s="1" t="s">
        <v>53</v>
      </c>
      <c r="S6288" s="1" t="s">
        <v>54</v>
      </c>
      <c r="T6288" s="1" t="s">
        <v>634</v>
      </c>
      <c r="U6288" s="1">
        <v>1.0065462E8</v>
      </c>
      <c r="X6288" s="1" t="s">
        <v>490</v>
      </c>
      <c r="Y6288" s="1" t="s">
        <v>1639</v>
      </c>
      <c r="Z6288" s="1" t="s">
        <v>37</v>
      </c>
    </row>
    <row r="6289" hidden="1">
      <c r="A6289" s="1" t="s">
        <v>17262</v>
      </c>
      <c r="B6289" s="1" t="s">
        <v>1655</v>
      </c>
      <c r="C6289" s="1" t="s">
        <v>17261</v>
      </c>
      <c r="D6289" s="1" t="s">
        <v>78</v>
      </c>
      <c r="E6289" s="1" t="s">
        <v>28</v>
      </c>
      <c r="F6289" s="2">
        <v>0.0</v>
      </c>
      <c r="G6289" s="1" t="s">
        <v>779</v>
      </c>
      <c r="H6289" s="4">
        <f>IFERROR(__xludf.DUMMYFUNCTION("DATE(INDEX(SPLIT(G6289,""/""),,3),INDEX(SPLIT(G6289,""/""),,2),INDEX(SPLIT(G6289,""/""),,1))"),44734.0)</f>
        <v>44734</v>
      </c>
      <c r="I6289" s="1" t="s">
        <v>134</v>
      </c>
      <c r="J6289" s="4">
        <f>IFERROR(__xludf.DUMMYFUNCTION("DATE(INDEX(SPLIT(I6289,""/""),,3),INDEX(SPLIT(I6289,""/""),,2),INDEX(SPLIT(I6289,""/""),,1))"),44792.0)</f>
        <v>44792</v>
      </c>
      <c r="L6289" s="1">
        <v>0.0</v>
      </c>
      <c r="M6289" s="1" t="s">
        <v>5697</v>
      </c>
      <c r="N6289" s="1"/>
      <c r="O6289" s="1" t="s">
        <v>30</v>
      </c>
      <c r="P6289" s="1" t="s">
        <v>31</v>
      </c>
      <c r="Q6289" s="1" t="s">
        <v>53</v>
      </c>
      <c r="R6289" s="1" t="s">
        <v>53</v>
      </c>
      <c r="S6289" s="1" t="s">
        <v>54</v>
      </c>
      <c r="T6289" s="1" t="s">
        <v>634</v>
      </c>
      <c r="U6289" s="1">
        <v>1.0065104E8</v>
      </c>
      <c r="X6289" s="1" t="s">
        <v>490</v>
      </c>
      <c r="Y6289" s="1" t="s">
        <v>1639</v>
      </c>
      <c r="Z6289" s="1" t="s">
        <v>37</v>
      </c>
    </row>
    <row r="6290" hidden="1">
      <c r="A6290" s="1" t="s">
        <v>17263</v>
      </c>
      <c r="B6290" s="1" t="s">
        <v>1535</v>
      </c>
      <c r="C6290" s="1" t="s">
        <v>17264</v>
      </c>
      <c r="D6290" s="1" t="s">
        <v>27</v>
      </c>
      <c r="E6290" s="1" t="s">
        <v>28</v>
      </c>
      <c r="F6290" s="2">
        <v>0.0</v>
      </c>
      <c r="G6290" s="1" t="s">
        <v>779</v>
      </c>
      <c r="H6290" s="4">
        <f>IFERROR(__xludf.DUMMYFUNCTION("DATE(INDEX(SPLIT(G6290,""/""),,3),INDEX(SPLIT(G6290,""/""),,2),INDEX(SPLIT(G6290,""/""),,1))"),44734.0)</f>
        <v>44734</v>
      </c>
      <c r="I6290" s="1" t="s">
        <v>134</v>
      </c>
      <c r="J6290" s="4">
        <f>IFERROR(__xludf.DUMMYFUNCTION("DATE(INDEX(SPLIT(I6290,""/""),,3),INDEX(SPLIT(I6290,""/""),,2),INDEX(SPLIT(I6290,""/""),,1))"),44792.0)</f>
        <v>44792</v>
      </c>
      <c r="L6290" s="1">
        <v>0.0</v>
      </c>
      <c r="M6290" s="1" t="s">
        <v>1707</v>
      </c>
      <c r="N6290" s="1"/>
      <c r="O6290" s="1" t="s">
        <v>30</v>
      </c>
      <c r="P6290" s="1" t="s">
        <v>31</v>
      </c>
      <c r="Q6290" s="1" t="s">
        <v>53</v>
      </c>
      <c r="R6290" s="1" t="s">
        <v>53</v>
      </c>
      <c r="S6290" s="1" t="s">
        <v>54</v>
      </c>
      <c r="T6290" s="1" t="s">
        <v>634</v>
      </c>
      <c r="U6290" s="1">
        <v>1.00652169E8</v>
      </c>
      <c r="X6290" s="1" t="s">
        <v>490</v>
      </c>
      <c r="Y6290" s="1" t="s">
        <v>1639</v>
      </c>
      <c r="Z6290" s="1" t="s">
        <v>37</v>
      </c>
    </row>
    <row r="6291" hidden="1">
      <c r="A6291" s="1" t="s">
        <v>17265</v>
      </c>
      <c r="B6291" s="1" t="s">
        <v>896</v>
      </c>
      <c r="C6291" s="1" t="s">
        <v>17264</v>
      </c>
      <c r="D6291" s="1" t="s">
        <v>27</v>
      </c>
      <c r="E6291" s="1" t="s">
        <v>28</v>
      </c>
      <c r="F6291" s="2">
        <v>0.0</v>
      </c>
      <c r="G6291" s="1" t="s">
        <v>779</v>
      </c>
      <c r="H6291" s="4">
        <f>IFERROR(__xludf.DUMMYFUNCTION("DATE(INDEX(SPLIT(G6291,""/""),,3),INDEX(SPLIT(G6291,""/""),,2),INDEX(SPLIT(G6291,""/""),,1))"),44734.0)</f>
        <v>44734</v>
      </c>
      <c r="I6291" s="4">
        <v>44689.0</v>
      </c>
      <c r="J6291" s="4">
        <f>IFERROR(__xludf.DUMMYFUNCTION("DATE(INDEX(SPLIT(I6291,""/""),,3),INDEX(SPLIT(I6291,""/""),,2),INDEX(SPLIT(I6291,""/""),,1))"),44778.0)</f>
        <v>44778</v>
      </c>
      <c r="L6291" s="1">
        <v>0.0</v>
      </c>
      <c r="M6291" s="1" t="s">
        <v>1639</v>
      </c>
      <c r="N6291" s="1"/>
      <c r="O6291" s="1" t="s">
        <v>30</v>
      </c>
      <c r="P6291" s="1" t="s">
        <v>31</v>
      </c>
      <c r="Q6291" s="1" t="s">
        <v>53</v>
      </c>
      <c r="R6291" s="1" t="s">
        <v>53</v>
      </c>
      <c r="S6291" s="1" t="s">
        <v>54</v>
      </c>
      <c r="T6291" s="1" t="s">
        <v>634</v>
      </c>
      <c r="U6291" s="1">
        <v>1.0065462E8</v>
      </c>
      <c r="X6291" s="1" t="s">
        <v>490</v>
      </c>
      <c r="Y6291" s="1" t="s">
        <v>1639</v>
      </c>
      <c r="Z6291" s="1" t="s">
        <v>37</v>
      </c>
    </row>
    <row r="6292" hidden="1">
      <c r="A6292" s="1" t="s">
        <v>17266</v>
      </c>
      <c r="B6292" s="1" t="s">
        <v>17267</v>
      </c>
      <c r="C6292" s="1" t="s">
        <v>17268</v>
      </c>
      <c r="D6292" s="1" t="s">
        <v>68</v>
      </c>
      <c r="E6292" s="1" t="s">
        <v>28</v>
      </c>
      <c r="F6292" s="2">
        <v>0.0</v>
      </c>
      <c r="G6292" s="1" t="s">
        <v>4346</v>
      </c>
      <c r="H6292" s="4">
        <f>IFERROR(__xludf.DUMMYFUNCTION("DATE(INDEX(SPLIT(G6292,""/""),,3),INDEX(SPLIT(G6292,""/""),,2),INDEX(SPLIT(G6292,""/""),,1))"),44765.0)</f>
        <v>44765</v>
      </c>
      <c r="I6292" s="4">
        <v>44689.0</v>
      </c>
      <c r="J6292" s="4">
        <f>IFERROR(__xludf.DUMMYFUNCTION("DATE(INDEX(SPLIT(I6292,""/""),,3),INDEX(SPLIT(I6292,""/""),,2),INDEX(SPLIT(I6292,""/""),,1))"),44778.0)</f>
        <v>44778</v>
      </c>
      <c r="L6292" s="1">
        <v>0.0</v>
      </c>
      <c r="M6292" s="1" t="s">
        <v>437</v>
      </c>
      <c r="N6292" s="1"/>
      <c r="O6292" s="1" t="s">
        <v>30</v>
      </c>
      <c r="P6292" s="1" t="s">
        <v>31</v>
      </c>
      <c r="Q6292" s="1" t="s">
        <v>235</v>
      </c>
      <c r="R6292" s="1" t="s">
        <v>235</v>
      </c>
      <c r="S6292" s="1" t="s">
        <v>236</v>
      </c>
      <c r="U6292" s="1">
        <v>1.00650375E8</v>
      </c>
      <c r="X6292" s="1" t="s">
        <v>2769</v>
      </c>
      <c r="Y6292" s="1" t="s">
        <v>3670</v>
      </c>
      <c r="Z6292" s="1" t="s">
        <v>37</v>
      </c>
    </row>
    <row r="6293" hidden="1">
      <c r="A6293" s="1" t="s">
        <v>17269</v>
      </c>
      <c r="B6293" s="1" t="s">
        <v>532</v>
      </c>
      <c r="C6293" s="1" t="s">
        <v>17270</v>
      </c>
      <c r="D6293" s="1" t="s">
        <v>27</v>
      </c>
      <c r="E6293" s="1" t="s">
        <v>28</v>
      </c>
      <c r="F6293" s="2">
        <v>0.0</v>
      </c>
      <c r="G6293" s="4">
        <v>44900.0</v>
      </c>
      <c r="H6293" s="4">
        <f>IFERROR(__xludf.DUMMYFUNCTION("DATE(INDEX(SPLIT(G6293,""/""),,3),INDEX(SPLIT(G6293,""/""),,2),INDEX(SPLIT(G6293,""/""),,1))"),44693.0)</f>
        <v>44693</v>
      </c>
      <c r="I6293" s="1" t="s">
        <v>487</v>
      </c>
      <c r="J6293" s="4">
        <f>IFERROR(__xludf.DUMMYFUNCTION("DATE(INDEX(SPLIT(I6293,""/""),,3),INDEX(SPLIT(I6293,""/""),,2),INDEX(SPLIT(I6293,""/""),,1))"),44855.0)</f>
        <v>44855</v>
      </c>
      <c r="L6293" s="1">
        <v>0.0</v>
      </c>
      <c r="M6293" s="1" t="s">
        <v>614</v>
      </c>
      <c r="N6293" s="1"/>
      <c r="O6293" s="1" t="s">
        <v>30</v>
      </c>
      <c r="P6293" s="1" t="s">
        <v>31</v>
      </c>
      <c r="Q6293" s="1" t="s">
        <v>71</v>
      </c>
      <c r="R6293" s="1" t="s">
        <v>71</v>
      </c>
      <c r="S6293" s="1" t="s">
        <v>72</v>
      </c>
      <c r="U6293" s="1">
        <v>1.00869732E8</v>
      </c>
      <c r="X6293" s="1" t="s">
        <v>490</v>
      </c>
      <c r="Y6293" s="1" t="s">
        <v>1640</v>
      </c>
      <c r="Z6293" s="1" t="s">
        <v>37</v>
      </c>
    </row>
    <row r="6294" hidden="1">
      <c r="A6294" s="1" t="s">
        <v>17271</v>
      </c>
      <c r="B6294" s="1" t="s">
        <v>532</v>
      </c>
      <c r="C6294" s="1" t="s">
        <v>17272</v>
      </c>
      <c r="D6294" s="1" t="s">
        <v>27</v>
      </c>
      <c r="E6294" s="1" t="s">
        <v>28</v>
      </c>
      <c r="F6294" s="2">
        <v>0.0</v>
      </c>
      <c r="G6294" s="4">
        <v>44900.0</v>
      </c>
      <c r="H6294" s="4">
        <f>IFERROR(__xludf.DUMMYFUNCTION("DATE(INDEX(SPLIT(G6294,""/""),,3),INDEX(SPLIT(G6294,""/""),,2),INDEX(SPLIT(G6294,""/""),,1))"),44693.0)</f>
        <v>44693</v>
      </c>
      <c r="I6294" s="1" t="s">
        <v>487</v>
      </c>
      <c r="J6294" s="4">
        <f>IFERROR(__xludf.DUMMYFUNCTION("DATE(INDEX(SPLIT(I6294,""/""),,3),INDEX(SPLIT(I6294,""/""),,2),INDEX(SPLIT(I6294,""/""),,1))"),44855.0)</f>
        <v>44855</v>
      </c>
      <c r="L6294" s="1">
        <v>0.0</v>
      </c>
      <c r="M6294" s="1" t="s">
        <v>614</v>
      </c>
      <c r="N6294" s="1"/>
      <c r="O6294" s="1" t="s">
        <v>30</v>
      </c>
      <c r="P6294" s="1" t="s">
        <v>31</v>
      </c>
      <c r="Q6294" s="1" t="s">
        <v>71</v>
      </c>
      <c r="R6294" s="1" t="s">
        <v>71</v>
      </c>
      <c r="S6294" s="1" t="s">
        <v>72</v>
      </c>
      <c r="U6294" s="1">
        <v>1.00869732E8</v>
      </c>
      <c r="X6294" s="1" t="s">
        <v>490</v>
      </c>
      <c r="Y6294" s="1" t="s">
        <v>1640</v>
      </c>
      <c r="Z6294" s="1" t="s">
        <v>37</v>
      </c>
    </row>
    <row r="6295" hidden="1">
      <c r="A6295" s="1" t="s">
        <v>17273</v>
      </c>
      <c r="B6295" s="1" t="s">
        <v>532</v>
      </c>
      <c r="C6295" s="1" t="s">
        <v>17274</v>
      </c>
      <c r="D6295" s="1" t="s">
        <v>27</v>
      </c>
      <c r="E6295" s="1" t="s">
        <v>28</v>
      </c>
      <c r="F6295" s="2">
        <v>0.0</v>
      </c>
      <c r="G6295" s="4">
        <v>44900.0</v>
      </c>
      <c r="H6295" s="4">
        <f>IFERROR(__xludf.DUMMYFUNCTION("DATE(INDEX(SPLIT(G6295,""/""),,3),INDEX(SPLIT(G6295,""/""),,2),INDEX(SPLIT(G6295,""/""),,1))"),44693.0)</f>
        <v>44693</v>
      </c>
      <c r="I6295" s="1" t="s">
        <v>487</v>
      </c>
      <c r="J6295" s="4">
        <f>IFERROR(__xludf.DUMMYFUNCTION("DATE(INDEX(SPLIT(I6295,""/""),,3),INDEX(SPLIT(I6295,""/""),,2),INDEX(SPLIT(I6295,""/""),,1))"),44855.0)</f>
        <v>44855</v>
      </c>
      <c r="L6295" s="1">
        <v>0.0</v>
      </c>
      <c r="M6295" s="1" t="s">
        <v>614</v>
      </c>
      <c r="N6295" s="1"/>
      <c r="O6295" s="1" t="s">
        <v>30</v>
      </c>
      <c r="P6295" s="1" t="s">
        <v>31</v>
      </c>
      <c r="Q6295" s="1" t="s">
        <v>71</v>
      </c>
      <c r="R6295" s="1" t="s">
        <v>71</v>
      </c>
      <c r="S6295" s="1" t="s">
        <v>72</v>
      </c>
      <c r="U6295" s="1">
        <v>1.00869732E8</v>
      </c>
      <c r="X6295" s="1" t="s">
        <v>490</v>
      </c>
      <c r="Y6295" s="1" t="s">
        <v>1640</v>
      </c>
      <c r="Z6295" s="1" t="s">
        <v>37</v>
      </c>
    </row>
    <row r="6296" hidden="1">
      <c r="A6296" s="1" t="s">
        <v>17275</v>
      </c>
      <c r="B6296" s="1" t="s">
        <v>17276</v>
      </c>
      <c r="C6296" s="1" t="s">
        <v>17277</v>
      </c>
      <c r="D6296" s="1" t="s">
        <v>78</v>
      </c>
      <c r="E6296" s="1" t="s">
        <v>28</v>
      </c>
      <c r="F6296" s="2">
        <v>0.0</v>
      </c>
      <c r="G6296" s="4">
        <v>44868.0</v>
      </c>
      <c r="H6296" s="4">
        <f>IFERROR(__xludf.DUMMYFUNCTION("DATE(INDEX(SPLIT(G6296,""/""),,3),INDEX(SPLIT(G6296,""/""),,2),INDEX(SPLIT(G6296,""/""),,1))"),44631.0)</f>
        <v>44631</v>
      </c>
      <c r="I6296" s="1" t="s">
        <v>17278</v>
      </c>
      <c r="J6296" s="4">
        <f>IFERROR(__xludf.DUMMYFUNCTION("DATE(INDEX(SPLIT(I6296,""/""),,3),INDEX(SPLIT(I6296,""/""),,2),INDEX(SPLIT(I6296,""/""),,1))"),45008.0)</f>
        <v>45008</v>
      </c>
      <c r="L6296" s="1">
        <v>0.0</v>
      </c>
      <c r="M6296" s="1" t="s">
        <v>2551</v>
      </c>
      <c r="N6296" s="1"/>
      <c r="O6296" s="1" t="s">
        <v>30</v>
      </c>
      <c r="P6296" s="1" t="s">
        <v>31</v>
      </c>
      <c r="Q6296" s="1" t="s">
        <v>95</v>
      </c>
      <c r="R6296" s="1" t="s">
        <v>95</v>
      </c>
      <c r="S6296" s="1" t="s">
        <v>96</v>
      </c>
      <c r="U6296" s="1">
        <v>1.00660092E8</v>
      </c>
      <c r="X6296" s="1" t="s">
        <v>2769</v>
      </c>
      <c r="Y6296" s="1" t="s">
        <v>17279</v>
      </c>
      <c r="Z6296" s="1" t="s">
        <v>37</v>
      </c>
    </row>
    <row r="6297">
      <c r="A6297" s="1" t="s">
        <v>17280</v>
      </c>
      <c r="B6297" s="1" t="s">
        <v>8377</v>
      </c>
      <c r="C6297" s="1" t="s">
        <v>17281</v>
      </c>
      <c r="D6297" s="1" t="s">
        <v>78</v>
      </c>
      <c r="E6297" s="1" t="s">
        <v>28</v>
      </c>
      <c r="F6297" s="2">
        <v>0.0</v>
      </c>
      <c r="G6297" s="4">
        <v>44748.0</v>
      </c>
      <c r="H6297" s="4">
        <f>IFERROR(__xludf.DUMMYFUNCTION("DATE(INDEX(SPLIT(G6297,""/""),,3),INDEX(SPLIT(G6297,""/""),,2),INDEX(SPLIT(G6297,""/""),,1))"),44719.0)</f>
        <v>44719</v>
      </c>
      <c r="I6297" s="1" t="s">
        <v>226</v>
      </c>
      <c r="J6297" s="4">
        <f>IFERROR(__xludf.DUMMYFUNCTION("DATE(INDEX(SPLIT(I6297,""/""),,3),INDEX(SPLIT(I6297,""/""),,2),INDEX(SPLIT(I6297,""/""),,1))"),44771.0)</f>
        <v>44771</v>
      </c>
      <c r="L6297" s="1">
        <v>0.0</v>
      </c>
      <c r="M6297" s="1" t="s">
        <v>1723</v>
      </c>
      <c r="N6297" s="1"/>
      <c r="O6297" s="1" t="s">
        <v>30</v>
      </c>
      <c r="P6297" s="1" t="s">
        <v>31</v>
      </c>
      <c r="Q6297" s="1" t="s">
        <v>157</v>
      </c>
      <c r="R6297" s="1" t="s">
        <v>157</v>
      </c>
      <c r="S6297" s="1" t="s">
        <v>158</v>
      </c>
      <c r="U6297" s="1">
        <v>1.00654085E8</v>
      </c>
      <c r="X6297" s="1" t="s">
        <v>74</v>
      </c>
      <c r="Y6297" s="1" t="s">
        <v>5269</v>
      </c>
      <c r="Z6297" s="1" t="s">
        <v>37</v>
      </c>
    </row>
    <row r="6298">
      <c r="A6298" s="1" t="s">
        <v>17282</v>
      </c>
      <c r="B6298" s="1" t="s">
        <v>17283</v>
      </c>
      <c r="C6298" s="1" t="s">
        <v>17284</v>
      </c>
      <c r="D6298" s="1" t="s">
        <v>122</v>
      </c>
      <c r="E6298" s="1" t="s">
        <v>28</v>
      </c>
      <c r="F6298" s="2">
        <v>0.0</v>
      </c>
      <c r="G6298" s="1" t="s">
        <v>343</v>
      </c>
      <c r="H6298" s="4">
        <f>IFERROR(__xludf.DUMMYFUNCTION("DATE(INDEX(SPLIT(G6298,""/""),,3),INDEX(SPLIT(G6298,""/""),,2),INDEX(SPLIT(G6298,""/""),,1))"),44761.0)</f>
        <v>44761</v>
      </c>
      <c r="I6298" s="1" t="s">
        <v>935</v>
      </c>
      <c r="J6298" s="4">
        <f>IFERROR(__xludf.DUMMYFUNCTION("DATE(INDEX(SPLIT(I6298,""/""),,3),INDEX(SPLIT(I6298,""/""),,2),INDEX(SPLIT(I6298,""/""),,1))"),44764.0)</f>
        <v>44764</v>
      </c>
      <c r="L6298" s="1">
        <v>0.0</v>
      </c>
      <c r="M6298" s="1" t="s">
        <v>266</v>
      </c>
      <c r="N6298" s="1"/>
      <c r="O6298" s="1" t="s">
        <v>30</v>
      </c>
      <c r="P6298" s="1" t="s">
        <v>31</v>
      </c>
      <c r="Q6298" s="1" t="s">
        <v>32</v>
      </c>
      <c r="R6298" s="1" t="s">
        <v>32</v>
      </c>
      <c r="S6298" s="1" t="s">
        <v>33</v>
      </c>
      <c r="T6298" s="1" t="s">
        <v>17285</v>
      </c>
      <c r="U6298" s="1">
        <v>1.00597826E8</v>
      </c>
      <c r="Y6298" s="1" t="s">
        <v>266</v>
      </c>
      <c r="Z6298" s="1" t="s">
        <v>37</v>
      </c>
    </row>
    <row r="6299" hidden="1">
      <c r="A6299" s="1" t="s">
        <v>17286</v>
      </c>
      <c r="B6299" s="1" t="s">
        <v>4109</v>
      </c>
      <c r="C6299" s="1" t="s">
        <v>17287</v>
      </c>
      <c r="D6299" s="1" t="s">
        <v>27</v>
      </c>
      <c r="E6299" s="1" t="s">
        <v>28</v>
      </c>
      <c r="F6299" s="2">
        <v>0.0</v>
      </c>
      <c r="G6299" s="1" t="s">
        <v>12741</v>
      </c>
      <c r="H6299" s="4">
        <f>IFERROR(__xludf.DUMMYFUNCTION("DATE(INDEX(SPLIT(G6299,""/""),,3),INDEX(SPLIT(G6299,""/""),,2),INDEX(SPLIT(G6299,""/""),,1))"),43966.0)</f>
        <v>43966</v>
      </c>
      <c r="I6299" s="1" t="s">
        <v>203</v>
      </c>
      <c r="J6299" s="4">
        <f>IFERROR(__xludf.DUMMYFUNCTION("DATE(INDEX(SPLIT(I6299,""/""),,3),INDEX(SPLIT(I6299,""/""),,2),INDEX(SPLIT(I6299,""/""),,1))"),44925.0)</f>
        <v>44925</v>
      </c>
      <c r="L6299" s="1">
        <v>0.0</v>
      </c>
      <c r="M6299" s="1" t="s">
        <v>2787</v>
      </c>
      <c r="N6299" s="1"/>
      <c r="O6299" s="1" t="s">
        <v>30</v>
      </c>
      <c r="P6299" s="1" t="s">
        <v>31</v>
      </c>
      <c r="Q6299" s="1" t="s">
        <v>157</v>
      </c>
      <c r="R6299" s="1" t="s">
        <v>157</v>
      </c>
      <c r="S6299" s="1" t="s">
        <v>158</v>
      </c>
      <c r="T6299" s="1" t="s">
        <v>442</v>
      </c>
      <c r="U6299" s="1">
        <v>1.00708984E8</v>
      </c>
      <c r="X6299" s="1" t="s">
        <v>117</v>
      </c>
      <c r="Y6299" s="1" t="s">
        <v>3223</v>
      </c>
      <c r="Z6299" s="1" t="s">
        <v>37</v>
      </c>
    </row>
    <row r="6300">
      <c r="A6300" s="1" t="s">
        <v>17288</v>
      </c>
      <c r="B6300" s="1" t="s">
        <v>17289</v>
      </c>
      <c r="C6300" s="1" t="s">
        <v>16983</v>
      </c>
      <c r="D6300" s="1" t="s">
        <v>27</v>
      </c>
      <c r="E6300" s="1" t="s">
        <v>28</v>
      </c>
      <c r="F6300" s="2">
        <v>0.0</v>
      </c>
      <c r="G6300" s="4">
        <v>44238.0</v>
      </c>
      <c r="H6300" s="4">
        <f>IFERROR(__xludf.DUMMYFUNCTION("DATE(INDEX(SPLIT(G6300,""/""),,3),INDEX(SPLIT(G6300,""/""),,2),INDEX(SPLIT(G6300,""/""),,1))"),44502.0)</f>
        <v>44502</v>
      </c>
      <c r="I6300" s="1" t="s">
        <v>1244</v>
      </c>
      <c r="J6300" s="4">
        <f>IFERROR(__xludf.DUMMYFUNCTION("DATE(INDEX(SPLIT(I6300,""/""),,3),INDEX(SPLIT(I6300,""/""),,2),INDEX(SPLIT(I6300,""/""),,1))"),44742.0)</f>
        <v>44742</v>
      </c>
      <c r="L6300" s="1">
        <v>0.0</v>
      </c>
      <c r="M6300" s="1" t="s">
        <v>819</v>
      </c>
      <c r="N6300" s="1"/>
      <c r="O6300" s="1" t="s">
        <v>30</v>
      </c>
      <c r="P6300" s="1" t="s">
        <v>31</v>
      </c>
      <c r="Q6300" s="1" t="s">
        <v>53</v>
      </c>
      <c r="R6300" s="1" t="s">
        <v>53</v>
      </c>
      <c r="S6300" s="1" t="s">
        <v>54</v>
      </c>
      <c r="T6300" s="1" t="s">
        <v>634</v>
      </c>
      <c r="U6300" s="1">
        <v>1.00661738E8</v>
      </c>
      <c r="X6300" s="1" t="s">
        <v>490</v>
      </c>
      <c r="Y6300" s="1" t="s">
        <v>6272</v>
      </c>
      <c r="Z6300" s="1" t="s">
        <v>37</v>
      </c>
    </row>
    <row r="6301">
      <c r="A6301" s="1" t="s">
        <v>17290</v>
      </c>
      <c r="B6301" s="1" t="s">
        <v>816</v>
      </c>
      <c r="C6301" s="1" t="s">
        <v>16983</v>
      </c>
      <c r="D6301" s="1" t="s">
        <v>27</v>
      </c>
      <c r="E6301" s="1" t="s">
        <v>28</v>
      </c>
      <c r="F6301" s="2">
        <v>0.0</v>
      </c>
      <c r="G6301" s="4">
        <v>44238.0</v>
      </c>
      <c r="H6301" s="4">
        <f>IFERROR(__xludf.DUMMYFUNCTION("DATE(INDEX(SPLIT(G6301,""/""),,3),INDEX(SPLIT(G6301,""/""),,2),INDEX(SPLIT(G6301,""/""),,1))"),44502.0)</f>
        <v>44502</v>
      </c>
      <c r="I6301" s="1" t="s">
        <v>1244</v>
      </c>
      <c r="J6301" s="4">
        <f>IFERROR(__xludf.DUMMYFUNCTION("DATE(INDEX(SPLIT(I6301,""/""),,3),INDEX(SPLIT(I6301,""/""),,2),INDEX(SPLIT(I6301,""/""),,1))"),44742.0)</f>
        <v>44742</v>
      </c>
      <c r="L6301" s="1">
        <v>0.0</v>
      </c>
      <c r="M6301" s="1" t="s">
        <v>819</v>
      </c>
      <c r="N6301" s="1"/>
      <c r="O6301" s="1" t="s">
        <v>30</v>
      </c>
      <c r="P6301" s="1" t="s">
        <v>31</v>
      </c>
      <c r="Q6301" s="1" t="s">
        <v>53</v>
      </c>
      <c r="R6301" s="1" t="s">
        <v>53</v>
      </c>
      <c r="S6301" s="1" t="s">
        <v>54</v>
      </c>
      <c r="T6301" s="1" t="s">
        <v>634</v>
      </c>
      <c r="U6301" s="1">
        <v>1.00661738E8</v>
      </c>
      <c r="X6301" s="1" t="s">
        <v>490</v>
      </c>
      <c r="Y6301" s="1" t="s">
        <v>6272</v>
      </c>
      <c r="Z6301" s="1" t="s">
        <v>37</v>
      </c>
    </row>
    <row r="6302">
      <c r="A6302" s="1" t="s">
        <v>17291</v>
      </c>
      <c r="B6302" s="1" t="s">
        <v>4511</v>
      </c>
      <c r="C6302" s="1" t="s">
        <v>16983</v>
      </c>
      <c r="D6302" s="1" t="s">
        <v>27</v>
      </c>
      <c r="E6302" s="1" t="s">
        <v>28</v>
      </c>
      <c r="F6302" s="2">
        <v>0.0</v>
      </c>
      <c r="G6302" s="4">
        <v>44238.0</v>
      </c>
      <c r="H6302" s="4">
        <f>IFERROR(__xludf.DUMMYFUNCTION("DATE(INDEX(SPLIT(G6302,""/""),,3),INDEX(SPLIT(G6302,""/""),,2),INDEX(SPLIT(G6302,""/""),,1))"),44502.0)</f>
        <v>44502</v>
      </c>
      <c r="I6302" s="1" t="s">
        <v>1244</v>
      </c>
      <c r="J6302" s="4">
        <f>IFERROR(__xludf.DUMMYFUNCTION("DATE(INDEX(SPLIT(I6302,""/""),,3),INDEX(SPLIT(I6302,""/""),,2),INDEX(SPLIT(I6302,""/""),,1))"),44742.0)</f>
        <v>44742</v>
      </c>
      <c r="L6302" s="1">
        <v>0.0</v>
      </c>
      <c r="M6302" s="1" t="s">
        <v>819</v>
      </c>
      <c r="N6302" s="1"/>
      <c r="O6302" s="1" t="s">
        <v>30</v>
      </c>
      <c r="P6302" s="1" t="s">
        <v>31</v>
      </c>
      <c r="Q6302" s="1" t="s">
        <v>53</v>
      </c>
      <c r="R6302" s="1" t="s">
        <v>53</v>
      </c>
      <c r="S6302" s="1" t="s">
        <v>54</v>
      </c>
      <c r="T6302" s="1" t="s">
        <v>634</v>
      </c>
      <c r="U6302" s="1">
        <v>1.00661738E8</v>
      </c>
      <c r="X6302" s="1" t="s">
        <v>490</v>
      </c>
      <c r="Y6302" s="1" t="s">
        <v>6272</v>
      </c>
      <c r="Z6302" s="1" t="s">
        <v>37</v>
      </c>
    </row>
    <row r="6303" hidden="1">
      <c r="A6303" s="1" t="s">
        <v>17292</v>
      </c>
      <c r="B6303" s="1" t="s">
        <v>7339</v>
      </c>
      <c r="C6303" s="1" t="s">
        <v>17264</v>
      </c>
      <c r="D6303" s="1" t="s">
        <v>27</v>
      </c>
      <c r="E6303" s="1" t="s">
        <v>28</v>
      </c>
      <c r="F6303" s="2">
        <v>0.0</v>
      </c>
      <c r="G6303" s="1" t="s">
        <v>1259</v>
      </c>
      <c r="H6303" s="4">
        <f>IFERROR(__xludf.DUMMYFUNCTION("DATE(INDEX(SPLIT(G6303,""/""),,3),INDEX(SPLIT(G6303,""/""),,2),INDEX(SPLIT(G6303,""/""),,1))"),44763.0)</f>
        <v>44763</v>
      </c>
      <c r="I6303" s="4">
        <v>44903.0</v>
      </c>
      <c r="J6303" s="4">
        <f>IFERROR(__xludf.DUMMYFUNCTION("DATE(INDEX(SPLIT(I6303,""/""),,3),INDEX(SPLIT(I6303,""/""),,2),INDEX(SPLIT(I6303,""/""),,1))"),44785.0)</f>
        <v>44785</v>
      </c>
      <c r="L6303" s="1">
        <v>0.0</v>
      </c>
      <c r="M6303" s="1" t="s">
        <v>1639</v>
      </c>
      <c r="N6303" s="1"/>
      <c r="O6303" s="1" t="s">
        <v>30</v>
      </c>
      <c r="P6303" s="1" t="s">
        <v>31</v>
      </c>
      <c r="Q6303" s="1" t="s">
        <v>53</v>
      </c>
      <c r="R6303" s="1" t="s">
        <v>53</v>
      </c>
      <c r="S6303" s="1" t="s">
        <v>54</v>
      </c>
      <c r="T6303" s="1" t="s">
        <v>634</v>
      </c>
      <c r="U6303" s="1">
        <v>1.0065462E8</v>
      </c>
      <c r="X6303" s="1" t="s">
        <v>490</v>
      </c>
      <c r="Y6303" s="1" t="s">
        <v>1639</v>
      </c>
      <c r="Z6303" s="1" t="s">
        <v>37</v>
      </c>
    </row>
    <row r="6304">
      <c r="A6304" s="1" t="s">
        <v>17293</v>
      </c>
      <c r="B6304" s="1" t="s">
        <v>2345</v>
      </c>
      <c r="C6304" s="1" t="s">
        <v>17294</v>
      </c>
      <c r="D6304" s="1" t="s">
        <v>27</v>
      </c>
      <c r="E6304" s="1" t="s">
        <v>28</v>
      </c>
      <c r="F6304" s="2">
        <v>0.0</v>
      </c>
      <c r="G6304" s="4">
        <v>44748.0</v>
      </c>
      <c r="H6304" s="4">
        <f>IFERROR(__xludf.DUMMYFUNCTION("DATE(INDEX(SPLIT(G6304,""/""),,3),INDEX(SPLIT(G6304,""/""),,2),INDEX(SPLIT(G6304,""/""),,1))"),44719.0)</f>
        <v>44719</v>
      </c>
      <c r="I6304" s="1" t="s">
        <v>69</v>
      </c>
      <c r="J6304" s="4">
        <f>IFERROR(__xludf.DUMMYFUNCTION("DATE(INDEX(SPLIT(I6304,""/""),,3),INDEX(SPLIT(I6304,""/""),,2),INDEX(SPLIT(I6304,""/""),,1))"),44773.0)</f>
        <v>44773</v>
      </c>
      <c r="L6304" s="1">
        <v>0.0</v>
      </c>
      <c r="M6304" s="1" t="s">
        <v>2067</v>
      </c>
      <c r="N6304" s="1"/>
      <c r="O6304" s="1" t="s">
        <v>30</v>
      </c>
      <c r="P6304" s="1" t="s">
        <v>31</v>
      </c>
      <c r="Q6304" s="1" t="s">
        <v>95</v>
      </c>
      <c r="R6304" s="1" t="s">
        <v>95</v>
      </c>
      <c r="S6304" s="1" t="s">
        <v>96</v>
      </c>
      <c r="T6304" s="1" t="s">
        <v>111</v>
      </c>
      <c r="U6304" s="1">
        <v>1.00631322E8</v>
      </c>
      <c r="X6304" s="1" t="s">
        <v>63</v>
      </c>
      <c r="Y6304" s="1" t="s">
        <v>17295</v>
      </c>
      <c r="Z6304" s="1" t="s">
        <v>37</v>
      </c>
    </row>
    <row r="6305">
      <c r="A6305" s="1" t="s">
        <v>17296</v>
      </c>
      <c r="B6305" s="1" t="s">
        <v>17297</v>
      </c>
      <c r="C6305" s="1" t="s">
        <v>17298</v>
      </c>
      <c r="D6305" s="1" t="s">
        <v>78</v>
      </c>
      <c r="E6305" s="1" t="s">
        <v>28</v>
      </c>
      <c r="F6305" s="2">
        <v>0.0</v>
      </c>
      <c r="G6305" s="4">
        <v>44623.0</v>
      </c>
      <c r="H6305" s="4">
        <f>IFERROR(__xludf.DUMMYFUNCTION("DATE(INDEX(SPLIT(G6305,""/""),,3),INDEX(SPLIT(G6305,""/""),,2),INDEX(SPLIT(G6305,""/""),,1))"),44623.0)</f>
        <v>44623</v>
      </c>
      <c r="I6305" s="1" t="s">
        <v>2300</v>
      </c>
      <c r="J6305" s="4">
        <f>IFERROR(__xludf.DUMMYFUNCTION("DATE(INDEX(SPLIT(I6305,""/""),,3),INDEX(SPLIT(I6305,""/""),,2),INDEX(SPLIT(I6305,""/""),,1))"),44712.0)</f>
        <v>44712</v>
      </c>
      <c r="L6305" s="1">
        <v>0.0</v>
      </c>
      <c r="M6305" s="1" t="s">
        <v>620</v>
      </c>
      <c r="N6305" s="1"/>
      <c r="O6305" s="1" t="s">
        <v>30</v>
      </c>
      <c r="P6305" s="1" t="s">
        <v>31</v>
      </c>
      <c r="Q6305" s="1" t="s">
        <v>32</v>
      </c>
      <c r="R6305" s="1" t="s">
        <v>32</v>
      </c>
      <c r="S6305" s="1" t="s">
        <v>33</v>
      </c>
      <c r="U6305" s="1">
        <v>1.00609607E8</v>
      </c>
      <c r="X6305" s="1" t="s">
        <v>375</v>
      </c>
      <c r="Y6305" s="1" t="s">
        <v>17299</v>
      </c>
      <c r="Z6305" s="1" t="s">
        <v>37</v>
      </c>
    </row>
    <row r="6306" hidden="1">
      <c r="A6306" s="1" t="s">
        <v>17300</v>
      </c>
      <c r="B6306" s="1" t="s">
        <v>1634</v>
      </c>
      <c r="C6306" s="1" t="s">
        <v>17301</v>
      </c>
      <c r="D6306" s="1" t="s">
        <v>27</v>
      </c>
      <c r="E6306" s="1" t="s">
        <v>28</v>
      </c>
      <c r="F6306" s="2">
        <v>0.0</v>
      </c>
      <c r="G6306" s="1" t="s">
        <v>935</v>
      </c>
      <c r="H6306" s="4">
        <f>IFERROR(__xludf.DUMMYFUNCTION("DATE(INDEX(SPLIT(G6306,""/""),,3),INDEX(SPLIT(G6306,""/""),,2),INDEX(SPLIT(G6306,""/""),,1))"),44764.0)</f>
        <v>44764</v>
      </c>
      <c r="I6306" s="1" t="s">
        <v>872</v>
      </c>
      <c r="J6306" s="4">
        <f>IFERROR(__xludf.DUMMYFUNCTION("DATE(INDEX(SPLIT(I6306,""/""),,3),INDEX(SPLIT(I6306,""/""),,2),INDEX(SPLIT(I6306,""/""),,1))"),44820.0)</f>
        <v>44820</v>
      </c>
      <c r="L6306" s="1">
        <v>0.0</v>
      </c>
      <c r="M6306" s="1" t="s">
        <v>1639</v>
      </c>
      <c r="N6306" s="1"/>
      <c r="O6306" s="1" t="s">
        <v>30</v>
      </c>
      <c r="P6306" s="1" t="s">
        <v>31</v>
      </c>
      <c r="Q6306" s="1" t="s">
        <v>53</v>
      </c>
      <c r="R6306" s="1" t="s">
        <v>53</v>
      </c>
      <c r="S6306" s="1" t="s">
        <v>54</v>
      </c>
      <c r="T6306" s="1" t="s">
        <v>634</v>
      </c>
      <c r="U6306" s="1">
        <v>1.0065462E8</v>
      </c>
      <c r="X6306" s="1" t="s">
        <v>125</v>
      </c>
      <c r="Y6306" s="1" t="s">
        <v>1639</v>
      </c>
      <c r="Z6306" s="1" t="s">
        <v>37</v>
      </c>
    </row>
    <row r="6307">
      <c r="F6307" s="10"/>
    </row>
    <row r="6308">
      <c r="F6308" s="10"/>
    </row>
  </sheetData>
  <autoFilter ref="$A$1:$AB$6306">
    <filterColumn colId="9">
      <filters>
        <filter val="7/15/2022"/>
        <filter val="6/18/2022"/>
        <filter val="7/29/2022"/>
        <filter val="6/1/2022"/>
        <filter val="7/13/2022"/>
        <filter val="6/3/2022"/>
        <filter val="7/27/2022"/>
        <filter val="5/26/2022"/>
        <filter val="7/25/2022"/>
        <filter val="6/16/2022"/>
        <filter val="12/1/2021"/>
        <filter val="6/8/2022"/>
        <filter val="7/6/2022"/>
        <filter val="7/7/2022"/>
        <filter val="5/31/2022"/>
        <filter val="5/27/2022"/>
        <filter val="6/25/2022"/>
        <filter val="7/8/2022"/>
        <filter val="7/21/2022"/>
        <filter val="6/15/2022"/>
        <filter val="7/26/2022"/>
        <filter val="7/20/2022"/>
        <filter val="7/11/2022"/>
        <filter val="7/30/2022"/>
        <filter val="6/24/2022"/>
        <filter val="6/20/2022"/>
        <filter val="7/31/2021"/>
        <filter val="7/31/2022"/>
        <filter val="7/1/2022"/>
        <filter val="6/17/2022"/>
        <filter val="7/14/2022"/>
        <filter val="7/18/2022"/>
        <filter val="6/29/2022"/>
        <filter val="5/30/2022"/>
        <filter val="7/28/2022"/>
        <filter val="6/10/2022"/>
        <filter val="6/13/2022"/>
        <filter val="6/7/2022"/>
        <filter val="7/22/2022"/>
        <filter val="6/11/2022"/>
        <filter val="7/19/2022"/>
        <filter val="6/6/2022"/>
        <filter val="6/30/2022"/>
        <filter val="7/5/2022"/>
        <filter val="6/28/2022"/>
        <filter val="7/24/2022"/>
        <filter val="12/31/2021"/>
        <filter val="7/4/2022"/>
        <filter val="6/27/2022"/>
        <filter val="6/21/2022"/>
      </filters>
    </filterColumn>
    <sortState ref="A1:AB6306">
      <sortCondition descending="1" sortBy="cellColor" ref="A1:A6306" dxfId="1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1" width="12.63"/>
    <col customWidth="1" min="2" max="2" width="21.75"/>
    <col customWidth="1" min="3" max="3" width="33.38"/>
    <col customWidth="1" min="4" max="4" width="28.88"/>
  </cols>
  <sheetData>
    <row r="1">
      <c r="A1" s="11" t="s">
        <v>0</v>
      </c>
      <c r="B1" s="11" t="s">
        <v>14</v>
      </c>
      <c r="C1" s="11" t="s">
        <v>1</v>
      </c>
      <c r="D1" s="11" t="s">
        <v>2</v>
      </c>
      <c r="E1" s="11" t="s">
        <v>3</v>
      </c>
      <c r="F1" s="10" t="s">
        <v>5</v>
      </c>
      <c r="G1" s="12" t="s">
        <v>6</v>
      </c>
      <c r="H1" s="12" t="s">
        <v>7</v>
      </c>
      <c r="I1" s="11" t="s">
        <v>10</v>
      </c>
      <c r="J1" s="11" t="s">
        <v>11</v>
      </c>
      <c r="K1" s="11" t="s">
        <v>12</v>
      </c>
      <c r="L1" s="11" t="s">
        <v>13</v>
      </c>
      <c r="N1" s="11" t="s">
        <v>15</v>
      </c>
      <c r="O1" s="11" t="s">
        <v>16</v>
      </c>
      <c r="P1" s="11" t="s">
        <v>17</v>
      </c>
      <c r="Q1" s="11" t="s">
        <v>18</v>
      </c>
      <c r="R1" s="11" t="s">
        <v>19</v>
      </c>
      <c r="S1" s="11" t="s">
        <v>20</v>
      </c>
      <c r="T1" s="11" t="s">
        <v>21</v>
      </c>
      <c r="U1" s="11" t="s">
        <v>22</v>
      </c>
      <c r="V1" s="11" t="s">
        <v>23</v>
      </c>
    </row>
    <row r="2">
      <c r="A2" s="11" t="s">
        <v>65</v>
      </c>
      <c r="B2" s="11" t="s">
        <v>71</v>
      </c>
      <c r="C2" s="11" t="s">
        <v>66</v>
      </c>
      <c r="D2" s="11" t="s">
        <v>67</v>
      </c>
      <c r="E2" s="11" t="s">
        <v>68</v>
      </c>
      <c r="F2" s="10">
        <v>5.0E7</v>
      </c>
      <c r="G2" s="12">
        <v>44663.0</v>
      </c>
      <c r="H2" s="12">
        <v>44773.0</v>
      </c>
      <c r="I2" s="11" t="s">
        <v>70</v>
      </c>
      <c r="K2" s="11" t="s">
        <v>30</v>
      </c>
      <c r="L2" s="11" t="s">
        <v>31</v>
      </c>
      <c r="N2" s="11" t="s">
        <v>71</v>
      </c>
      <c r="O2" s="11" t="s">
        <v>72</v>
      </c>
      <c r="P2" s="11" t="s">
        <v>73</v>
      </c>
      <c r="Q2" s="11">
        <v>1.00640331E8</v>
      </c>
      <c r="T2" s="11" t="s">
        <v>74</v>
      </c>
      <c r="U2" s="11" t="s">
        <v>70</v>
      </c>
      <c r="V2" s="11" t="s">
        <v>37</v>
      </c>
    </row>
    <row r="3">
      <c r="A3" s="11" t="s">
        <v>694</v>
      </c>
      <c r="B3" s="11" t="s">
        <v>71</v>
      </c>
      <c r="C3" s="11" t="s">
        <v>695</v>
      </c>
      <c r="D3" s="11" t="s">
        <v>209</v>
      </c>
      <c r="E3" s="11" t="s">
        <v>27</v>
      </c>
      <c r="F3" s="10">
        <v>7000000.0</v>
      </c>
      <c r="G3" s="12">
        <v>44329.0</v>
      </c>
      <c r="H3" s="12">
        <v>44771.0</v>
      </c>
      <c r="I3" s="11" t="s">
        <v>211</v>
      </c>
      <c r="K3" s="11" t="s">
        <v>30</v>
      </c>
      <c r="L3" s="11" t="s">
        <v>31</v>
      </c>
      <c r="N3" s="11" t="s">
        <v>71</v>
      </c>
      <c r="O3" s="11" t="s">
        <v>72</v>
      </c>
      <c r="P3" s="11" t="s">
        <v>136</v>
      </c>
      <c r="Q3" s="11">
        <v>1.00590896E8</v>
      </c>
      <c r="T3" s="11" t="s">
        <v>74</v>
      </c>
      <c r="U3" s="11" t="s">
        <v>212</v>
      </c>
      <c r="V3" s="11" t="s">
        <v>37</v>
      </c>
    </row>
    <row r="4">
      <c r="A4" s="11" t="s">
        <v>725</v>
      </c>
      <c r="B4" s="11" t="s">
        <v>71</v>
      </c>
      <c r="C4" s="11" t="s">
        <v>726</v>
      </c>
      <c r="D4" s="11" t="s">
        <v>209</v>
      </c>
      <c r="E4" s="11" t="s">
        <v>27</v>
      </c>
      <c r="F4" s="10">
        <v>6000000.0</v>
      </c>
      <c r="G4" s="12">
        <v>44329.0</v>
      </c>
      <c r="H4" s="12">
        <v>44771.0</v>
      </c>
      <c r="I4" s="11" t="s">
        <v>211</v>
      </c>
      <c r="K4" s="11" t="s">
        <v>30</v>
      </c>
      <c r="L4" s="11" t="s">
        <v>31</v>
      </c>
      <c r="N4" s="11" t="s">
        <v>71</v>
      </c>
      <c r="O4" s="11" t="s">
        <v>72</v>
      </c>
      <c r="P4" s="11" t="s">
        <v>136</v>
      </c>
      <c r="Q4" s="11">
        <v>1.00590896E8</v>
      </c>
      <c r="T4" s="11" t="s">
        <v>74</v>
      </c>
      <c r="U4" s="11" t="s">
        <v>212</v>
      </c>
      <c r="V4" s="11" t="s">
        <v>37</v>
      </c>
    </row>
    <row r="5">
      <c r="A5" s="11" t="s">
        <v>764</v>
      </c>
      <c r="B5" s="11" t="s">
        <v>157</v>
      </c>
      <c r="C5" s="11" t="s">
        <v>566</v>
      </c>
      <c r="D5" s="11" t="s">
        <v>765</v>
      </c>
      <c r="E5" s="11" t="s">
        <v>27</v>
      </c>
      <c r="F5" s="10">
        <v>5000000.0</v>
      </c>
      <c r="G5" s="12">
        <v>44658.0</v>
      </c>
      <c r="H5" s="12">
        <v>44773.0</v>
      </c>
      <c r="I5" s="11" t="s">
        <v>570</v>
      </c>
      <c r="K5" s="11" t="s">
        <v>30</v>
      </c>
      <c r="L5" s="11" t="s">
        <v>31</v>
      </c>
      <c r="N5" s="11" t="s">
        <v>157</v>
      </c>
      <c r="O5" s="11" t="s">
        <v>158</v>
      </c>
      <c r="Q5" s="11">
        <v>1.00586314E8</v>
      </c>
      <c r="R5" s="11" t="s">
        <v>766</v>
      </c>
      <c r="S5" s="11" t="s">
        <v>199</v>
      </c>
      <c r="T5" s="11" t="s">
        <v>63</v>
      </c>
      <c r="U5" s="11" t="s">
        <v>767</v>
      </c>
      <c r="V5" s="11" t="s">
        <v>37</v>
      </c>
    </row>
    <row r="6">
      <c r="A6" s="11" t="s">
        <v>768</v>
      </c>
      <c r="B6" s="11" t="s">
        <v>157</v>
      </c>
      <c r="C6" s="11" t="s">
        <v>427</v>
      </c>
      <c r="D6" s="11" t="s">
        <v>769</v>
      </c>
      <c r="E6" s="11" t="s">
        <v>27</v>
      </c>
      <c r="F6" s="10">
        <v>5000000.0</v>
      </c>
      <c r="G6" s="12">
        <v>44649.0</v>
      </c>
      <c r="H6" s="12">
        <v>44772.0</v>
      </c>
      <c r="I6" s="11" t="s">
        <v>770</v>
      </c>
      <c r="K6" s="11" t="s">
        <v>30</v>
      </c>
      <c r="L6" s="11" t="s">
        <v>31</v>
      </c>
      <c r="N6" s="11" t="s">
        <v>157</v>
      </c>
      <c r="O6" s="11" t="s">
        <v>158</v>
      </c>
      <c r="P6" s="11" t="s">
        <v>442</v>
      </c>
      <c r="Q6" s="11">
        <v>1.00623421E8</v>
      </c>
      <c r="R6" s="11" t="s">
        <v>771</v>
      </c>
      <c r="S6" s="11" t="s">
        <v>199</v>
      </c>
      <c r="T6" s="11" t="s">
        <v>125</v>
      </c>
      <c r="U6" s="11" t="s">
        <v>772</v>
      </c>
      <c r="V6" s="11" t="s">
        <v>37</v>
      </c>
    </row>
    <row r="7">
      <c r="A7" s="11" t="s">
        <v>776</v>
      </c>
      <c r="B7" s="11" t="s">
        <v>157</v>
      </c>
      <c r="C7" s="11" t="s">
        <v>777</v>
      </c>
      <c r="D7" s="11" t="s">
        <v>778</v>
      </c>
      <c r="E7" s="11" t="s">
        <v>78</v>
      </c>
      <c r="F7" s="10">
        <v>4000000.0</v>
      </c>
      <c r="G7" s="12">
        <v>44734.0</v>
      </c>
      <c r="H7" s="12">
        <v>44771.0</v>
      </c>
      <c r="I7" s="11" t="s">
        <v>780</v>
      </c>
      <c r="K7" s="11" t="s">
        <v>30</v>
      </c>
      <c r="L7" s="11" t="s">
        <v>31</v>
      </c>
      <c r="N7" s="11" t="s">
        <v>157</v>
      </c>
      <c r="O7" s="11" t="s">
        <v>158</v>
      </c>
      <c r="Q7" s="11">
        <v>1.00654914E8</v>
      </c>
      <c r="T7" s="11" t="s">
        <v>781</v>
      </c>
      <c r="U7" s="11" t="s">
        <v>782</v>
      </c>
      <c r="V7" s="11" t="s">
        <v>37</v>
      </c>
    </row>
    <row r="8">
      <c r="A8" s="11" t="s">
        <v>412</v>
      </c>
      <c r="B8" s="11" t="s">
        <v>188</v>
      </c>
      <c r="C8" s="11" t="s">
        <v>341</v>
      </c>
      <c r="D8" s="11" t="s">
        <v>413</v>
      </c>
      <c r="E8" s="11" t="s">
        <v>122</v>
      </c>
      <c r="F8" s="10">
        <v>1.0E7</v>
      </c>
      <c r="G8" s="12">
        <v>44706.0</v>
      </c>
      <c r="H8" s="12">
        <v>44772.0</v>
      </c>
      <c r="I8" s="11" t="s">
        <v>344</v>
      </c>
      <c r="K8" s="11" t="s">
        <v>30</v>
      </c>
      <c r="L8" s="11" t="s">
        <v>31</v>
      </c>
      <c r="N8" s="11" t="s">
        <v>188</v>
      </c>
      <c r="O8" s="11" t="s">
        <v>189</v>
      </c>
      <c r="P8" s="11" t="s">
        <v>345</v>
      </c>
      <c r="Q8" s="11">
        <v>1.00646804E8</v>
      </c>
      <c r="T8" s="11" t="s">
        <v>239</v>
      </c>
      <c r="U8" s="11" t="s">
        <v>346</v>
      </c>
      <c r="V8" s="11" t="s">
        <v>37</v>
      </c>
    </row>
    <row r="9">
      <c r="A9" s="11" t="s">
        <v>515</v>
      </c>
      <c r="B9" s="11" t="s">
        <v>188</v>
      </c>
      <c r="C9" s="11" t="s">
        <v>516</v>
      </c>
      <c r="D9" s="11" t="s">
        <v>517</v>
      </c>
      <c r="E9" s="11" t="s">
        <v>122</v>
      </c>
      <c r="F9" s="10">
        <v>9400000.0</v>
      </c>
      <c r="G9" s="12">
        <v>44713.0</v>
      </c>
      <c r="H9" s="12">
        <v>44757.0</v>
      </c>
      <c r="I9" s="11" t="s">
        <v>187</v>
      </c>
      <c r="K9" s="11" t="s">
        <v>30</v>
      </c>
      <c r="L9" s="11" t="s">
        <v>31</v>
      </c>
      <c r="N9" s="11" t="s">
        <v>188</v>
      </c>
      <c r="O9" s="11" t="s">
        <v>189</v>
      </c>
      <c r="Q9" s="11">
        <v>1.00613095E8</v>
      </c>
      <c r="U9" s="11" t="s">
        <v>519</v>
      </c>
      <c r="V9" s="11" t="s">
        <v>37</v>
      </c>
    </row>
    <row r="10">
      <c r="A10" s="11" t="s">
        <v>689</v>
      </c>
      <c r="B10" s="11" t="s">
        <v>188</v>
      </c>
      <c r="C10" s="11" t="s">
        <v>690</v>
      </c>
      <c r="D10" s="11" t="s">
        <v>691</v>
      </c>
      <c r="E10" s="11" t="s">
        <v>78</v>
      </c>
      <c r="F10" s="10">
        <v>7000000.0</v>
      </c>
      <c r="G10" s="12">
        <v>44680.0</v>
      </c>
      <c r="H10" s="12">
        <v>44771.0</v>
      </c>
      <c r="I10" s="11" t="s">
        <v>692</v>
      </c>
      <c r="K10" s="11" t="s">
        <v>30</v>
      </c>
      <c r="L10" s="11" t="s">
        <v>31</v>
      </c>
      <c r="N10" s="11" t="s">
        <v>188</v>
      </c>
      <c r="O10" s="11" t="s">
        <v>189</v>
      </c>
      <c r="P10" s="11" t="s">
        <v>345</v>
      </c>
      <c r="Q10" s="11">
        <v>1.00904602E8</v>
      </c>
      <c r="T10" s="11" t="s">
        <v>88</v>
      </c>
      <c r="U10" s="11" t="s">
        <v>693</v>
      </c>
      <c r="V10" s="11" t="s">
        <v>37</v>
      </c>
    </row>
    <row r="11">
      <c r="A11" s="11" t="s">
        <v>574</v>
      </c>
      <c r="B11" s="11" t="s">
        <v>53</v>
      </c>
      <c r="C11" s="11" t="s">
        <v>162</v>
      </c>
      <c r="D11" s="11" t="s">
        <v>575</v>
      </c>
      <c r="E11" s="11" t="s">
        <v>68</v>
      </c>
      <c r="F11" s="10">
        <v>8000000.0</v>
      </c>
      <c r="G11" s="12">
        <v>44614.0</v>
      </c>
      <c r="H11" s="12">
        <v>44771.0</v>
      </c>
      <c r="I11" s="11" t="s">
        <v>577</v>
      </c>
      <c r="K11" s="11" t="s">
        <v>30</v>
      </c>
      <c r="L11" s="11" t="s">
        <v>31</v>
      </c>
      <c r="N11" s="11" t="s">
        <v>53</v>
      </c>
      <c r="O11" s="11" t="s">
        <v>54</v>
      </c>
      <c r="P11" s="11" t="s">
        <v>73</v>
      </c>
      <c r="Q11" s="11">
        <v>1.00579505E8</v>
      </c>
      <c r="T11" s="11" t="s">
        <v>117</v>
      </c>
      <c r="U11" s="11" t="s">
        <v>578</v>
      </c>
      <c r="V11" s="11" t="s">
        <v>37</v>
      </c>
    </row>
    <row r="12">
      <c r="A12" s="11" t="s">
        <v>723</v>
      </c>
      <c r="B12" s="11" t="s">
        <v>53</v>
      </c>
      <c r="C12" s="11" t="s">
        <v>48</v>
      </c>
      <c r="D12" s="11" t="s">
        <v>724</v>
      </c>
      <c r="E12" s="11" t="s">
        <v>122</v>
      </c>
      <c r="F12" s="10">
        <v>6582000.0</v>
      </c>
      <c r="G12" s="12">
        <v>44622.0</v>
      </c>
      <c r="H12" s="12">
        <v>44750.0</v>
      </c>
      <c r="I12" s="11" t="s">
        <v>52</v>
      </c>
      <c r="K12" s="11" t="s">
        <v>30</v>
      </c>
      <c r="L12" s="11" t="s">
        <v>31</v>
      </c>
      <c r="N12" s="11" t="s">
        <v>53</v>
      </c>
      <c r="O12" s="11" t="s">
        <v>54</v>
      </c>
      <c r="P12" s="11" t="s">
        <v>55</v>
      </c>
      <c r="Q12" s="11">
        <v>1.01059432E8</v>
      </c>
      <c r="R12" s="11" t="s">
        <v>49</v>
      </c>
      <c r="S12" s="11" t="s">
        <v>199</v>
      </c>
      <c r="T12" s="11" t="s">
        <v>46</v>
      </c>
      <c r="U12" s="11" t="s">
        <v>57</v>
      </c>
      <c r="V12" s="11" t="s">
        <v>37</v>
      </c>
    </row>
    <row r="13">
      <c r="A13" s="11" t="s">
        <v>755</v>
      </c>
      <c r="B13" s="11" t="s">
        <v>53</v>
      </c>
      <c r="C13" s="11" t="s">
        <v>756</v>
      </c>
      <c r="D13" s="11" t="s">
        <v>757</v>
      </c>
      <c r="E13" s="11" t="s">
        <v>68</v>
      </c>
      <c r="F13" s="10">
        <v>5350000.0</v>
      </c>
      <c r="G13" s="12">
        <v>44688.0</v>
      </c>
      <c r="H13" s="12">
        <v>44757.0</v>
      </c>
      <c r="I13" s="11" t="s">
        <v>459</v>
      </c>
      <c r="K13" s="11" t="s">
        <v>30</v>
      </c>
      <c r="L13" s="11" t="s">
        <v>31</v>
      </c>
      <c r="N13" s="11" t="s">
        <v>53</v>
      </c>
      <c r="O13" s="11" t="s">
        <v>54</v>
      </c>
      <c r="P13" s="11" t="s">
        <v>87</v>
      </c>
      <c r="Q13" s="11">
        <v>1.00653756E8</v>
      </c>
      <c r="T13" s="11" t="s">
        <v>88</v>
      </c>
      <c r="U13" s="11" t="s">
        <v>758</v>
      </c>
      <c r="V13" s="11" t="s">
        <v>37</v>
      </c>
    </row>
    <row r="14">
      <c r="A14" s="11" t="s">
        <v>250</v>
      </c>
      <c r="B14" s="11" t="s">
        <v>95</v>
      </c>
      <c r="C14" s="11" t="s">
        <v>251</v>
      </c>
      <c r="D14" s="11" t="s">
        <v>252</v>
      </c>
      <c r="E14" s="11" t="s">
        <v>122</v>
      </c>
      <c r="F14" s="10">
        <v>1.65E7</v>
      </c>
      <c r="G14" s="12">
        <v>44721.0</v>
      </c>
      <c r="H14" s="12">
        <v>44771.0</v>
      </c>
      <c r="I14" s="11" t="s">
        <v>253</v>
      </c>
      <c r="K14" s="11" t="s">
        <v>30</v>
      </c>
      <c r="L14" s="11" t="s">
        <v>31</v>
      </c>
      <c r="N14" s="11" t="s">
        <v>95</v>
      </c>
      <c r="O14" s="11" t="s">
        <v>96</v>
      </c>
      <c r="P14" s="11" t="s">
        <v>111</v>
      </c>
      <c r="Q14" s="11">
        <v>1.00640433E8</v>
      </c>
      <c r="T14" s="11" t="s">
        <v>254</v>
      </c>
      <c r="U14" s="11" t="s">
        <v>255</v>
      </c>
      <c r="V14" s="11" t="s">
        <v>37</v>
      </c>
    </row>
    <row r="15">
      <c r="A15" s="11" t="s">
        <v>491</v>
      </c>
      <c r="B15" s="11" t="s">
        <v>95</v>
      </c>
      <c r="C15" s="11" t="s">
        <v>492</v>
      </c>
      <c r="D15" s="11" t="s">
        <v>493</v>
      </c>
      <c r="E15" s="11" t="s">
        <v>78</v>
      </c>
      <c r="F15" s="10">
        <v>1.0E7</v>
      </c>
      <c r="G15" s="12">
        <v>44740.0</v>
      </c>
      <c r="H15" s="12">
        <v>44771.0</v>
      </c>
      <c r="I15" s="11" t="s">
        <v>494</v>
      </c>
      <c r="K15" s="11" t="s">
        <v>30</v>
      </c>
      <c r="L15" s="11" t="s">
        <v>31</v>
      </c>
      <c r="N15" s="11" t="s">
        <v>95</v>
      </c>
      <c r="O15" s="11" t="s">
        <v>96</v>
      </c>
      <c r="P15" s="11" t="s">
        <v>62</v>
      </c>
      <c r="Q15" s="11">
        <v>1.0062347E8</v>
      </c>
      <c r="T15" s="11" t="s">
        <v>46</v>
      </c>
      <c r="U15" s="11" t="s">
        <v>495</v>
      </c>
      <c r="V15" s="11" t="s">
        <v>37</v>
      </c>
    </row>
    <row r="16">
      <c r="A16" s="11" t="s">
        <v>696</v>
      </c>
      <c r="B16" s="11" t="s">
        <v>95</v>
      </c>
      <c r="C16" s="11" t="s">
        <v>492</v>
      </c>
      <c r="D16" s="11" t="s">
        <v>697</v>
      </c>
      <c r="E16" s="11" t="s">
        <v>68</v>
      </c>
      <c r="F16" s="10">
        <v>6700000.0</v>
      </c>
      <c r="G16" s="12">
        <v>44586.0</v>
      </c>
      <c r="H16" s="12">
        <v>44771.0</v>
      </c>
      <c r="I16" s="11" t="s">
        <v>303</v>
      </c>
      <c r="K16" s="11" t="s">
        <v>30</v>
      </c>
      <c r="L16" s="11" t="s">
        <v>31</v>
      </c>
      <c r="N16" s="11" t="s">
        <v>95</v>
      </c>
      <c r="O16" s="11" t="s">
        <v>96</v>
      </c>
      <c r="P16" s="11" t="s">
        <v>304</v>
      </c>
      <c r="Q16" s="11">
        <v>1.00623914E8</v>
      </c>
      <c r="T16" s="11" t="s">
        <v>46</v>
      </c>
      <c r="U16" s="11" t="s">
        <v>698</v>
      </c>
      <c r="V16" s="11" t="s">
        <v>37</v>
      </c>
    </row>
    <row r="17">
      <c r="A17" s="11" t="s">
        <v>240</v>
      </c>
      <c r="B17" s="11" t="s">
        <v>32</v>
      </c>
      <c r="C17" s="11" t="s">
        <v>241</v>
      </c>
      <c r="D17" s="11" t="s">
        <v>242</v>
      </c>
      <c r="E17" s="11" t="s">
        <v>122</v>
      </c>
      <c r="F17" s="10">
        <v>1.925E7</v>
      </c>
      <c r="G17" s="12">
        <v>44321.0</v>
      </c>
      <c r="H17" s="12">
        <v>44771.0</v>
      </c>
      <c r="I17" s="11" t="s">
        <v>243</v>
      </c>
      <c r="K17" s="11" t="s">
        <v>30</v>
      </c>
      <c r="L17" s="11" t="s">
        <v>31</v>
      </c>
      <c r="N17" s="11" t="s">
        <v>32</v>
      </c>
      <c r="O17" s="11" t="s">
        <v>33</v>
      </c>
      <c r="P17" s="11" t="s">
        <v>34</v>
      </c>
      <c r="Q17" s="11">
        <v>1.00651722E8</v>
      </c>
      <c r="S17" s="11" t="s">
        <v>56</v>
      </c>
      <c r="T17" s="11" t="s">
        <v>35</v>
      </c>
      <c r="U17" s="11" t="s">
        <v>244</v>
      </c>
      <c r="V17" s="11" t="s">
        <v>37</v>
      </c>
    </row>
    <row r="18">
      <c r="A18" s="11" t="s">
        <v>463</v>
      </c>
      <c r="B18" s="11" t="s">
        <v>32</v>
      </c>
      <c r="C18" s="11" t="s">
        <v>464</v>
      </c>
      <c r="D18" s="11" t="s">
        <v>465</v>
      </c>
      <c r="E18" s="11" t="s">
        <v>122</v>
      </c>
      <c r="F18" s="10">
        <v>1.0E7</v>
      </c>
      <c r="G18" s="12">
        <v>44413.0</v>
      </c>
      <c r="H18" s="12">
        <v>44771.0</v>
      </c>
      <c r="I18" s="11" t="s">
        <v>467</v>
      </c>
      <c r="K18" s="11" t="s">
        <v>30</v>
      </c>
      <c r="L18" s="11" t="s">
        <v>31</v>
      </c>
      <c r="N18" s="11" t="s">
        <v>32</v>
      </c>
      <c r="O18" s="11" t="s">
        <v>33</v>
      </c>
      <c r="P18" s="11" t="s">
        <v>103</v>
      </c>
      <c r="Q18" s="11">
        <v>1.00619817E8</v>
      </c>
      <c r="T18" s="11" t="s">
        <v>468</v>
      </c>
      <c r="U18" s="11" t="s">
        <v>467</v>
      </c>
      <c r="V18" s="11" t="s">
        <v>37</v>
      </c>
    </row>
    <row r="19">
      <c r="A19" s="11" t="s">
        <v>478</v>
      </c>
      <c r="B19" s="11" t="s">
        <v>32</v>
      </c>
      <c r="C19" s="11" t="s">
        <v>479</v>
      </c>
      <c r="D19" s="11" t="s">
        <v>480</v>
      </c>
      <c r="E19" s="11" t="s">
        <v>122</v>
      </c>
      <c r="F19" s="10">
        <v>1.0E7</v>
      </c>
      <c r="G19" s="12">
        <v>44652.0</v>
      </c>
      <c r="H19" s="12">
        <v>44771.0</v>
      </c>
      <c r="I19" s="11" t="s">
        <v>277</v>
      </c>
      <c r="K19" s="11" t="s">
        <v>30</v>
      </c>
      <c r="L19" s="11" t="s">
        <v>31</v>
      </c>
      <c r="N19" s="11" t="s">
        <v>32</v>
      </c>
      <c r="O19" s="11" t="s">
        <v>33</v>
      </c>
      <c r="P19" s="11" t="s">
        <v>103</v>
      </c>
      <c r="Q19" s="11">
        <v>1.00608828E8</v>
      </c>
      <c r="R19" s="11" t="s">
        <v>481</v>
      </c>
      <c r="S19" s="11" t="s">
        <v>45</v>
      </c>
      <c r="T19" s="11" t="s">
        <v>312</v>
      </c>
      <c r="U19" s="11" t="s">
        <v>482</v>
      </c>
      <c r="V19" s="11" t="s">
        <v>37</v>
      </c>
    </row>
    <row r="20">
      <c r="A20" s="11" t="s">
        <v>604</v>
      </c>
      <c r="B20" s="11" t="s">
        <v>235</v>
      </c>
      <c r="C20" s="11" t="s">
        <v>605</v>
      </c>
      <c r="D20" s="11" t="s">
        <v>606</v>
      </c>
      <c r="E20" s="11" t="s">
        <v>78</v>
      </c>
      <c r="F20" s="10">
        <v>8000000.0</v>
      </c>
      <c r="G20" s="12">
        <v>44656.0</v>
      </c>
      <c r="H20" s="12">
        <v>44770.0</v>
      </c>
      <c r="I20" s="11" t="s">
        <v>608</v>
      </c>
      <c r="K20" s="11" t="s">
        <v>30</v>
      </c>
      <c r="L20" s="11" t="s">
        <v>31</v>
      </c>
      <c r="N20" s="11" t="s">
        <v>235</v>
      </c>
      <c r="O20" s="11" t="s">
        <v>236</v>
      </c>
      <c r="P20" s="11" t="s">
        <v>237</v>
      </c>
      <c r="Q20" s="11">
        <v>1.00660495E8</v>
      </c>
      <c r="T20" s="11" t="s">
        <v>609</v>
      </c>
      <c r="U20" s="11" t="s">
        <v>610</v>
      </c>
      <c r="V20" s="11" t="s">
        <v>37</v>
      </c>
    </row>
    <row r="21">
      <c r="A21" s="11" t="s">
        <v>744</v>
      </c>
      <c r="B21" s="11" t="s">
        <v>235</v>
      </c>
      <c r="C21" s="11" t="s">
        <v>301</v>
      </c>
      <c r="D21" s="11" t="s">
        <v>745</v>
      </c>
      <c r="E21" s="11" t="s">
        <v>27</v>
      </c>
      <c r="F21" s="10">
        <v>6000000.0</v>
      </c>
      <c r="G21" s="12">
        <v>44601.0</v>
      </c>
      <c r="H21" s="12">
        <v>44771.0</v>
      </c>
      <c r="I21" s="11" t="s">
        <v>746</v>
      </c>
      <c r="K21" s="11" t="s">
        <v>30</v>
      </c>
      <c r="L21" s="11" t="s">
        <v>31</v>
      </c>
      <c r="N21" s="11" t="s">
        <v>235</v>
      </c>
      <c r="O21" s="11" t="s">
        <v>236</v>
      </c>
      <c r="P21" s="11" t="s">
        <v>197</v>
      </c>
      <c r="Q21" s="11">
        <v>1.00616656E8</v>
      </c>
      <c r="T21" s="11" t="s">
        <v>305</v>
      </c>
      <c r="U21" s="11" t="s">
        <v>747</v>
      </c>
      <c r="V21" s="11" t="s">
        <v>206</v>
      </c>
    </row>
    <row r="22">
      <c r="A22" s="11" t="s">
        <v>759</v>
      </c>
      <c r="B22" s="11" t="s">
        <v>235</v>
      </c>
      <c r="C22" s="11" t="s">
        <v>760</v>
      </c>
      <c r="D22" s="11" t="s">
        <v>761</v>
      </c>
      <c r="E22" s="11" t="s">
        <v>78</v>
      </c>
      <c r="F22" s="10">
        <v>5070000.0</v>
      </c>
      <c r="G22" s="12">
        <v>44691.0</v>
      </c>
      <c r="H22" s="12">
        <v>44713.0</v>
      </c>
      <c r="I22" s="11" t="s">
        <v>762</v>
      </c>
      <c r="K22" s="11" t="s">
        <v>30</v>
      </c>
      <c r="L22" s="11" t="s">
        <v>31</v>
      </c>
      <c r="N22" s="11" t="s">
        <v>235</v>
      </c>
      <c r="O22" s="11" t="s">
        <v>236</v>
      </c>
      <c r="Q22" s="11">
        <v>1.00647674E8</v>
      </c>
      <c r="T22" s="11" t="s">
        <v>239</v>
      </c>
      <c r="U22" s="11" t="s">
        <v>763</v>
      </c>
      <c r="V22" s="11" t="s">
        <v>37</v>
      </c>
    </row>
    <row r="23">
      <c r="A23" s="11" t="s">
        <v>222</v>
      </c>
      <c r="B23" s="11" t="s">
        <v>228</v>
      </c>
      <c r="C23" s="11" t="s">
        <v>223</v>
      </c>
      <c r="D23" s="11" t="s">
        <v>224</v>
      </c>
      <c r="E23" s="11" t="s">
        <v>27</v>
      </c>
      <c r="F23" s="10">
        <v>2.0E7</v>
      </c>
      <c r="G23" s="12">
        <v>44518.0</v>
      </c>
      <c r="H23" s="12">
        <v>44771.0</v>
      </c>
      <c r="I23" s="11" t="s">
        <v>227</v>
      </c>
      <c r="K23" s="11" t="s">
        <v>30</v>
      </c>
      <c r="L23" s="11" t="s">
        <v>31</v>
      </c>
      <c r="N23" s="11" t="s">
        <v>228</v>
      </c>
      <c r="O23" s="11" t="s">
        <v>229</v>
      </c>
      <c r="Q23" s="11">
        <v>1.00660017E8</v>
      </c>
      <c r="T23" s="11" t="s">
        <v>81</v>
      </c>
      <c r="U23" s="11" t="s">
        <v>227</v>
      </c>
      <c r="V23" s="11" t="s">
        <v>37</v>
      </c>
    </row>
    <row r="24">
      <c r="A24" s="11" t="s">
        <v>500</v>
      </c>
      <c r="B24" s="11" t="s">
        <v>228</v>
      </c>
      <c r="C24" s="11" t="s">
        <v>501</v>
      </c>
      <c r="D24" s="11" t="s">
        <v>502</v>
      </c>
      <c r="E24" s="11" t="s">
        <v>122</v>
      </c>
      <c r="F24" s="10">
        <v>9600000.0</v>
      </c>
      <c r="G24" s="12">
        <v>44736.0</v>
      </c>
      <c r="H24" s="12">
        <v>44771.0</v>
      </c>
      <c r="I24" s="11" t="s">
        <v>504</v>
      </c>
      <c r="K24" s="11" t="s">
        <v>30</v>
      </c>
      <c r="L24" s="11" t="s">
        <v>31</v>
      </c>
      <c r="N24" s="11" t="s">
        <v>228</v>
      </c>
      <c r="O24" s="11" t="s">
        <v>229</v>
      </c>
      <c r="P24" s="11" t="s">
        <v>505</v>
      </c>
      <c r="Q24" s="11">
        <v>1.00901211E8</v>
      </c>
      <c r="R24" s="11" t="s">
        <v>506</v>
      </c>
      <c r="S24" s="11" t="s">
        <v>199</v>
      </c>
      <c r="T24" s="11" t="s">
        <v>410</v>
      </c>
      <c r="U24" s="11" t="s">
        <v>507</v>
      </c>
      <c r="V24" s="11" t="s">
        <v>37</v>
      </c>
    </row>
    <row r="25">
      <c r="A25" s="11" t="s">
        <v>805</v>
      </c>
      <c r="B25" s="11" t="s">
        <v>228</v>
      </c>
      <c r="C25" s="11" t="s">
        <v>806</v>
      </c>
      <c r="D25" s="11" t="s">
        <v>807</v>
      </c>
      <c r="E25" s="11" t="s">
        <v>78</v>
      </c>
      <c r="F25" s="10">
        <v>4000000.0</v>
      </c>
      <c r="G25" s="12">
        <v>44532.0</v>
      </c>
      <c r="H25" s="12">
        <v>44773.0</v>
      </c>
      <c r="I25" s="11" t="s">
        <v>808</v>
      </c>
      <c r="K25" s="11" t="s">
        <v>30</v>
      </c>
      <c r="L25" s="11" t="s">
        <v>31</v>
      </c>
      <c r="N25" s="11" t="s">
        <v>228</v>
      </c>
      <c r="O25" s="11" t="s">
        <v>229</v>
      </c>
      <c r="P25" s="11" t="s">
        <v>505</v>
      </c>
      <c r="Q25" s="11">
        <v>1.00609871E8</v>
      </c>
      <c r="S25" s="11" t="s">
        <v>389</v>
      </c>
      <c r="T25" s="11" t="s">
        <v>117</v>
      </c>
      <c r="U25" s="11" t="s">
        <v>809</v>
      </c>
      <c r="V25" s="11" t="s">
        <v>37</v>
      </c>
    </row>
    <row r="26">
      <c r="F26" s="10"/>
      <c r="G26" s="12"/>
      <c r="H26" s="12"/>
    </row>
    <row r="27">
      <c r="F27" s="10"/>
      <c r="G27" s="12"/>
      <c r="H27" s="12"/>
    </row>
    <row r="28">
      <c r="F28" s="10"/>
      <c r="G28" s="12"/>
      <c r="H28" s="12"/>
    </row>
    <row r="29">
      <c r="F29" s="10"/>
      <c r="G29" s="12"/>
      <c r="H29" s="12"/>
    </row>
    <row r="30">
      <c r="F30" s="10"/>
      <c r="G30" s="12"/>
      <c r="H30" s="12"/>
    </row>
    <row r="31">
      <c r="F31" s="10"/>
      <c r="G31" s="12"/>
      <c r="H31" s="12"/>
    </row>
    <row r="32">
      <c r="F32" s="10"/>
      <c r="G32" s="12"/>
      <c r="H32" s="12"/>
    </row>
    <row r="33">
      <c r="F33" s="10"/>
      <c r="G33" s="12"/>
      <c r="H33" s="12"/>
    </row>
    <row r="34">
      <c r="F34" s="10"/>
      <c r="G34" s="12"/>
      <c r="H34" s="12"/>
    </row>
    <row r="35">
      <c r="F35" s="10"/>
      <c r="G35" s="12"/>
      <c r="H35" s="12"/>
    </row>
    <row r="36">
      <c r="F36" s="10"/>
      <c r="G36" s="12"/>
      <c r="H36" s="12"/>
    </row>
    <row r="37">
      <c r="F37" s="10"/>
      <c r="G37" s="12"/>
      <c r="H37" s="12"/>
    </row>
    <row r="38">
      <c r="F38" s="10"/>
      <c r="G38" s="12"/>
      <c r="H38" s="12"/>
    </row>
    <row r="39">
      <c r="F39" s="10"/>
      <c r="G39" s="12"/>
      <c r="H39" s="12"/>
    </row>
    <row r="40">
      <c r="F40" s="10"/>
      <c r="G40" s="12"/>
      <c r="H40" s="12"/>
    </row>
    <row r="41">
      <c r="F41" s="10"/>
      <c r="G41" s="12"/>
      <c r="H41" s="12"/>
    </row>
    <row r="42">
      <c r="F42" s="10"/>
      <c r="G42" s="12"/>
      <c r="H42" s="12"/>
    </row>
    <row r="43">
      <c r="F43" s="10"/>
      <c r="G43" s="12"/>
      <c r="H43" s="12"/>
    </row>
    <row r="44">
      <c r="F44" s="10"/>
      <c r="G44" s="12"/>
      <c r="H44" s="12"/>
    </row>
    <row r="45">
      <c r="F45" s="10"/>
      <c r="G45" s="12"/>
      <c r="H45" s="12"/>
    </row>
    <row r="46">
      <c r="F46" s="10"/>
      <c r="G46" s="12"/>
      <c r="H46" s="12"/>
    </row>
    <row r="47">
      <c r="F47" s="10"/>
      <c r="G47" s="12"/>
      <c r="H47" s="12"/>
    </row>
    <row r="48">
      <c r="F48" s="10"/>
      <c r="G48" s="12"/>
      <c r="H48" s="12"/>
    </row>
    <row r="49">
      <c r="F49" s="10"/>
      <c r="G49" s="12"/>
      <c r="H49" s="12"/>
    </row>
    <row r="50">
      <c r="F50" s="10"/>
      <c r="G50" s="12"/>
      <c r="H50" s="12"/>
    </row>
    <row r="51">
      <c r="F51" s="10"/>
      <c r="G51" s="12"/>
      <c r="H51" s="12"/>
    </row>
    <row r="52">
      <c r="F52" s="10"/>
      <c r="G52" s="12"/>
      <c r="H52" s="12"/>
    </row>
    <row r="53">
      <c r="F53" s="10"/>
      <c r="G53" s="12"/>
      <c r="H53" s="12"/>
    </row>
    <row r="54">
      <c r="F54" s="10"/>
      <c r="G54" s="12"/>
      <c r="H54" s="12"/>
    </row>
    <row r="55">
      <c r="F55" s="10"/>
      <c r="G55" s="12"/>
      <c r="H55" s="12"/>
    </row>
    <row r="56">
      <c r="F56" s="10"/>
      <c r="G56" s="12"/>
      <c r="H56" s="12"/>
    </row>
    <row r="57">
      <c r="F57" s="10"/>
      <c r="G57" s="12"/>
      <c r="H57" s="12"/>
    </row>
    <row r="58">
      <c r="F58" s="10"/>
      <c r="G58" s="12"/>
      <c r="H58" s="12"/>
    </row>
    <row r="59">
      <c r="F59" s="10"/>
      <c r="G59" s="12"/>
      <c r="H59" s="12"/>
    </row>
    <row r="60">
      <c r="F60" s="10"/>
      <c r="G60" s="12"/>
      <c r="H60" s="12"/>
    </row>
    <row r="61">
      <c r="F61" s="10"/>
      <c r="G61" s="12"/>
      <c r="H61" s="12"/>
    </row>
    <row r="62">
      <c r="F62" s="10"/>
      <c r="G62" s="12"/>
      <c r="H62" s="12"/>
    </row>
    <row r="63">
      <c r="F63" s="10"/>
      <c r="G63" s="12"/>
      <c r="H63" s="12"/>
    </row>
    <row r="64">
      <c r="F64" s="10"/>
      <c r="G64" s="12"/>
      <c r="H64" s="12"/>
    </row>
    <row r="65">
      <c r="F65" s="10"/>
      <c r="G65" s="12"/>
      <c r="H65" s="12"/>
    </row>
    <row r="66">
      <c r="F66" s="10"/>
      <c r="G66" s="12"/>
      <c r="H66" s="12"/>
    </row>
    <row r="67">
      <c r="F67" s="10"/>
      <c r="G67" s="12"/>
      <c r="H67" s="12"/>
    </row>
    <row r="68">
      <c r="F68" s="10"/>
      <c r="G68" s="12"/>
      <c r="H68" s="12"/>
    </row>
    <row r="69">
      <c r="F69" s="10"/>
      <c r="G69" s="12"/>
      <c r="H69" s="12"/>
    </row>
    <row r="70">
      <c r="F70" s="10"/>
      <c r="G70" s="12"/>
      <c r="H70" s="12"/>
    </row>
    <row r="71">
      <c r="F71" s="10"/>
      <c r="G71" s="12"/>
      <c r="H71" s="12"/>
    </row>
    <row r="72">
      <c r="F72" s="10"/>
      <c r="G72" s="12"/>
      <c r="H72" s="12"/>
    </row>
    <row r="73">
      <c r="F73" s="10"/>
      <c r="G73" s="12"/>
      <c r="H73" s="12"/>
    </row>
    <row r="74">
      <c r="F74" s="10"/>
      <c r="G74" s="12"/>
      <c r="H74" s="12"/>
    </row>
    <row r="75">
      <c r="F75" s="10"/>
      <c r="G75" s="12"/>
      <c r="H75" s="12"/>
    </row>
    <row r="76">
      <c r="F76" s="10"/>
      <c r="G76" s="12"/>
      <c r="H76" s="12"/>
    </row>
    <row r="77">
      <c r="F77" s="10"/>
      <c r="G77" s="12"/>
      <c r="H77" s="12"/>
    </row>
    <row r="78">
      <c r="F78" s="10"/>
      <c r="G78" s="12"/>
      <c r="H78" s="12"/>
    </row>
    <row r="79">
      <c r="F79" s="10"/>
      <c r="G79" s="12"/>
      <c r="H79" s="12"/>
    </row>
    <row r="80">
      <c r="F80" s="10"/>
      <c r="G80" s="12"/>
      <c r="H80" s="12"/>
    </row>
    <row r="81">
      <c r="F81" s="10"/>
      <c r="G81" s="12"/>
      <c r="H81" s="12"/>
    </row>
    <row r="82">
      <c r="F82" s="10"/>
      <c r="G82" s="12"/>
      <c r="H82" s="12"/>
    </row>
    <row r="83">
      <c r="F83" s="10"/>
      <c r="G83" s="12"/>
      <c r="H83" s="12"/>
    </row>
    <row r="84">
      <c r="F84" s="10"/>
      <c r="G84" s="12"/>
      <c r="H84" s="12"/>
    </row>
    <row r="85">
      <c r="F85" s="10"/>
      <c r="G85" s="12"/>
      <c r="H85" s="12"/>
    </row>
    <row r="86">
      <c r="F86" s="10"/>
      <c r="G86" s="12"/>
      <c r="H86" s="12"/>
    </row>
    <row r="87">
      <c r="F87" s="10"/>
      <c r="G87" s="12"/>
      <c r="H87" s="12"/>
    </row>
    <row r="88">
      <c r="F88" s="10"/>
      <c r="G88" s="12"/>
      <c r="H88" s="12"/>
    </row>
    <row r="89">
      <c r="F89" s="10"/>
      <c r="G89" s="12"/>
      <c r="H89" s="12"/>
    </row>
    <row r="90">
      <c r="F90" s="10"/>
      <c r="G90" s="12"/>
      <c r="H90" s="12"/>
    </row>
    <row r="91">
      <c r="F91" s="10"/>
      <c r="G91" s="12"/>
      <c r="H91" s="12"/>
    </row>
    <row r="92">
      <c r="F92" s="10"/>
      <c r="G92" s="12"/>
      <c r="H92" s="12"/>
    </row>
    <row r="93">
      <c r="F93" s="10"/>
      <c r="G93" s="12"/>
      <c r="H93" s="12"/>
    </row>
    <row r="94">
      <c r="F94" s="10"/>
      <c r="G94" s="12"/>
      <c r="H94" s="12"/>
    </row>
    <row r="95">
      <c r="F95" s="10"/>
      <c r="G95" s="12"/>
      <c r="H95" s="12"/>
    </row>
    <row r="96">
      <c r="F96" s="10"/>
      <c r="G96" s="12"/>
      <c r="H96" s="12"/>
    </row>
    <row r="97">
      <c r="F97" s="10"/>
      <c r="G97" s="12"/>
      <c r="H97" s="12"/>
    </row>
    <row r="98">
      <c r="F98" s="10"/>
      <c r="G98" s="12"/>
      <c r="H98" s="12"/>
    </row>
    <row r="99">
      <c r="F99" s="10"/>
      <c r="G99" s="12"/>
      <c r="H99" s="12"/>
    </row>
    <row r="100">
      <c r="F100" s="10"/>
      <c r="G100" s="12"/>
      <c r="H100" s="12"/>
    </row>
    <row r="101">
      <c r="F101" s="10"/>
      <c r="G101" s="12"/>
      <c r="H101" s="12"/>
    </row>
    <row r="102">
      <c r="F102" s="10"/>
      <c r="G102" s="12"/>
      <c r="H102" s="12"/>
    </row>
    <row r="103">
      <c r="F103" s="10"/>
      <c r="G103" s="12"/>
      <c r="H103" s="12"/>
    </row>
    <row r="104">
      <c r="F104" s="10"/>
      <c r="G104" s="12"/>
      <c r="H104" s="12"/>
    </row>
    <row r="105">
      <c r="F105" s="10"/>
      <c r="G105" s="12"/>
      <c r="H105" s="12"/>
    </row>
    <row r="106">
      <c r="F106" s="10"/>
      <c r="G106" s="12"/>
      <c r="H106" s="12"/>
    </row>
    <row r="107">
      <c r="F107" s="10"/>
      <c r="G107" s="12"/>
      <c r="H107" s="12"/>
    </row>
    <row r="108">
      <c r="F108" s="10"/>
      <c r="G108" s="12"/>
      <c r="H108" s="12"/>
    </row>
    <row r="109">
      <c r="F109" s="10"/>
      <c r="G109" s="12"/>
      <c r="H109" s="12"/>
    </row>
    <row r="110">
      <c r="F110" s="10"/>
      <c r="G110" s="12"/>
      <c r="H110" s="12"/>
    </row>
    <row r="111">
      <c r="F111" s="10"/>
      <c r="G111" s="12"/>
      <c r="H111" s="12"/>
    </row>
    <row r="112">
      <c r="F112" s="10"/>
      <c r="G112" s="12"/>
      <c r="H112" s="12"/>
    </row>
    <row r="113">
      <c r="F113" s="10"/>
      <c r="G113" s="12"/>
      <c r="H113" s="12"/>
    </row>
    <row r="114">
      <c r="F114" s="10"/>
      <c r="G114" s="12"/>
      <c r="H114" s="12"/>
    </row>
    <row r="115">
      <c r="F115" s="10"/>
      <c r="G115" s="12"/>
      <c r="H115" s="12"/>
    </row>
    <row r="116">
      <c r="F116" s="10"/>
      <c r="G116" s="12"/>
      <c r="H116" s="12"/>
    </row>
    <row r="117">
      <c r="F117" s="10"/>
      <c r="G117" s="12"/>
      <c r="H117" s="12"/>
    </row>
    <row r="118">
      <c r="F118" s="10"/>
      <c r="G118" s="12"/>
      <c r="H118" s="12"/>
    </row>
    <row r="119">
      <c r="F119" s="10"/>
      <c r="G119" s="12"/>
      <c r="H119" s="12"/>
    </row>
    <row r="120">
      <c r="F120" s="10"/>
      <c r="G120" s="12"/>
      <c r="H120" s="12"/>
    </row>
    <row r="121">
      <c r="F121" s="10"/>
      <c r="G121" s="12"/>
      <c r="H121" s="12"/>
    </row>
    <row r="122">
      <c r="F122" s="10"/>
      <c r="G122" s="12"/>
      <c r="H122" s="12"/>
    </row>
    <row r="123">
      <c r="F123" s="10"/>
      <c r="G123" s="12"/>
      <c r="H123" s="12"/>
    </row>
    <row r="124">
      <c r="F124" s="10"/>
      <c r="G124" s="12"/>
      <c r="H124" s="12"/>
    </row>
    <row r="125">
      <c r="F125" s="10"/>
      <c r="G125" s="12"/>
      <c r="H125" s="12"/>
    </row>
    <row r="126">
      <c r="F126" s="10"/>
      <c r="G126" s="12"/>
      <c r="H126" s="12"/>
    </row>
    <row r="127">
      <c r="F127" s="10"/>
      <c r="G127" s="12"/>
      <c r="H127" s="12"/>
    </row>
    <row r="128">
      <c r="F128" s="10"/>
      <c r="G128" s="12"/>
      <c r="H128" s="12"/>
    </row>
    <row r="129">
      <c r="F129" s="10"/>
      <c r="G129" s="12"/>
      <c r="H129" s="12"/>
    </row>
    <row r="130">
      <c r="F130" s="10"/>
      <c r="G130" s="12"/>
      <c r="H130" s="12"/>
    </row>
    <row r="131">
      <c r="F131" s="10"/>
      <c r="G131" s="12"/>
      <c r="H131" s="12"/>
    </row>
    <row r="132">
      <c r="F132" s="10"/>
      <c r="G132" s="12"/>
      <c r="H132" s="12"/>
    </row>
    <row r="133">
      <c r="F133" s="10"/>
      <c r="G133" s="12"/>
      <c r="H133" s="12"/>
    </row>
    <row r="134">
      <c r="F134" s="10"/>
      <c r="G134" s="12"/>
      <c r="H134" s="12"/>
    </row>
    <row r="135">
      <c r="F135" s="10"/>
      <c r="G135" s="12"/>
      <c r="H135" s="12"/>
    </row>
    <row r="136">
      <c r="F136" s="10"/>
      <c r="G136" s="12"/>
      <c r="H136" s="12"/>
    </row>
    <row r="137">
      <c r="F137" s="10"/>
      <c r="G137" s="12"/>
      <c r="H137" s="12"/>
    </row>
    <row r="138">
      <c r="F138" s="10"/>
      <c r="G138" s="12"/>
      <c r="H138" s="12"/>
    </row>
    <row r="139">
      <c r="F139" s="10"/>
      <c r="G139" s="12"/>
      <c r="H139" s="12"/>
    </row>
    <row r="140">
      <c r="F140" s="10"/>
      <c r="G140" s="12"/>
      <c r="H140" s="12"/>
    </row>
    <row r="141">
      <c r="F141" s="10"/>
      <c r="G141" s="12"/>
      <c r="H141" s="12"/>
    </row>
    <row r="142">
      <c r="F142" s="10"/>
      <c r="G142" s="12"/>
      <c r="H142" s="12"/>
    </row>
    <row r="143">
      <c r="F143" s="10"/>
      <c r="G143" s="12"/>
      <c r="H143" s="12"/>
    </row>
    <row r="144">
      <c r="F144" s="10"/>
      <c r="G144" s="12"/>
      <c r="H144" s="12"/>
    </row>
    <row r="145">
      <c r="F145" s="10"/>
      <c r="G145" s="12"/>
      <c r="H145" s="12"/>
    </row>
    <row r="146">
      <c r="F146" s="10"/>
      <c r="G146" s="12"/>
      <c r="H146" s="12"/>
    </row>
    <row r="147">
      <c r="F147" s="10"/>
      <c r="G147" s="12"/>
      <c r="H147" s="12"/>
    </row>
    <row r="148">
      <c r="F148" s="10"/>
      <c r="G148" s="12"/>
      <c r="H148" s="12"/>
    </row>
    <row r="149">
      <c r="F149" s="10"/>
      <c r="G149" s="12"/>
      <c r="H149" s="12"/>
    </row>
    <row r="150">
      <c r="F150" s="10"/>
      <c r="G150" s="12"/>
      <c r="H150" s="12"/>
    </row>
    <row r="151">
      <c r="F151" s="10"/>
      <c r="G151" s="12"/>
      <c r="H151" s="12"/>
    </row>
    <row r="152">
      <c r="F152" s="10"/>
      <c r="G152" s="12"/>
      <c r="H152" s="12"/>
    </row>
    <row r="153">
      <c r="F153" s="10"/>
      <c r="G153" s="12"/>
      <c r="H153" s="12"/>
    </row>
    <row r="154">
      <c r="F154" s="10"/>
      <c r="G154" s="12"/>
      <c r="H154" s="12"/>
    </row>
    <row r="155">
      <c r="F155" s="10"/>
      <c r="G155" s="12"/>
      <c r="H155" s="12"/>
    </row>
    <row r="156">
      <c r="F156" s="10"/>
      <c r="G156" s="12"/>
      <c r="H156" s="12"/>
    </row>
    <row r="157">
      <c r="F157" s="10"/>
      <c r="G157" s="12"/>
      <c r="H157" s="12"/>
    </row>
    <row r="158">
      <c r="F158" s="10"/>
      <c r="G158" s="12"/>
      <c r="H158" s="12"/>
    </row>
    <row r="159">
      <c r="F159" s="10"/>
      <c r="G159" s="12"/>
      <c r="H159" s="12"/>
    </row>
    <row r="160">
      <c r="F160" s="10"/>
      <c r="G160" s="12"/>
      <c r="H160" s="12"/>
    </row>
    <row r="161">
      <c r="F161" s="10"/>
      <c r="G161" s="12"/>
      <c r="H161" s="12"/>
    </row>
    <row r="162">
      <c r="F162" s="10"/>
      <c r="G162" s="12"/>
      <c r="H162" s="12"/>
    </row>
    <row r="163">
      <c r="F163" s="10"/>
      <c r="G163" s="12"/>
      <c r="H163" s="12"/>
    </row>
    <row r="164">
      <c r="F164" s="10"/>
      <c r="G164" s="12"/>
      <c r="H164" s="12"/>
    </row>
    <row r="165">
      <c r="F165" s="10"/>
      <c r="G165" s="12"/>
      <c r="H165" s="12"/>
    </row>
    <row r="166">
      <c r="F166" s="10"/>
      <c r="G166" s="12"/>
      <c r="H166" s="12"/>
    </row>
    <row r="167">
      <c r="F167" s="10"/>
      <c r="G167" s="12"/>
      <c r="H167" s="12"/>
    </row>
    <row r="168">
      <c r="F168" s="10"/>
      <c r="G168" s="12"/>
      <c r="H168" s="12"/>
    </row>
    <row r="169">
      <c r="F169" s="10"/>
      <c r="G169" s="12"/>
      <c r="H169" s="12"/>
    </row>
    <row r="170">
      <c r="F170" s="10"/>
      <c r="G170" s="12"/>
      <c r="H170" s="12"/>
    </row>
    <row r="171">
      <c r="F171" s="10"/>
      <c r="G171" s="12"/>
      <c r="H171" s="12"/>
    </row>
    <row r="172">
      <c r="F172" s="10"/>
      <c r="G172" s="12"/>
      <c r="H172" s="12"/>
    </row>
    <row r="173">
      <c r="F173" s="10"/>
      <c r="G173" s="12"/>
      <c r="H173" s="12"/>
    </row>
    <row r="174">
      <c r="F174" s="10"/>
      <c r="G174" s="12"/>
      <c r="H174" s="12"/>
    </row>
    <row r="175">
      <c r="F175" s="10"/>
      <c r="G175" s="12"/>
      <c r="H175" s="12"/>
    </row>
    <row r="176">
      <c r="F176" s="10"/>
      <c r="G176" s="12"/>
      <c r="H176" s="12"/>
    </row>
    <row r="177">
      <c r="F177" s="10"/>
      <c r="G177" s="12"/>
      <c r="H177" s="12"/>
    </row>
    <row r="178">
      <c r="F178" s="10"/>
      <c r="G178" s="12"/>
      <c r="H178" s="12"/>
    </row>
    <row r="179">
      <c r="F179" s="10"/>
      <c r="G179" s="12"/>
      <c r="H179" s="12"/>
    </row>
    <row r="180">
      <c r="F180" s="10"/>
      <c r="G180" s="12"/>
      <c r="H180" s="12"/>
    </row>
    <row r="181">
      <c r="F181" s="10"/>
      <c r="G181" s="12"/>
      <c r="H181" s="12"/>
    </row>
    <row r="182">
      <c r="F182" s="10"/>
      <c r="G182" s="12"/>
      <c r="H182" s="12"/>
    </row>
    <row r="183">
      <c r="F183" s="10"/>
      <c r="G183" s="12"/>
      <c r="H183" s="12"/>
    </row>
    <row r="184">
      <c r="F184" s="10"/>
      <c r="G184" s="12"/>
      <c r="H184" s="12"/>
    </row>
    <row r="185">
      <c r="F185" s="10"/>
      <c r="G185" s="12"/>
      <c r="H185" s="12"/>
    </row>
    <row r="186">
      <c r="F186" s="10"/>
      <c r="G186" s="12"/>
      <c r="H186" s="12"/>
    </row>
    <row r="187">
      <c r="F187" s="10"/>
      <c r="G187" s="12"/>
      <c r="H187" s="12"/>
    </row>
    <row r="188">
      <c r="F188" s="10"/>
      <c r="G188" s="12"/>
      <c r="H188" s="12"/>
    </row>
    <row r="189">
      <c r="F189" s="10"/>
      <c r="G189" s="12"/>
      <c r="H189" s="12"/>
    </row>
    <row r="190">
      <c r="F190" s="10"/>
      <c r="G190" s="12"/>
      <c r="H190" s="12"/>
    </row>
    <row r="191">
      <c r="F191" s="10"/>
      <c r="G191" s="12"/>
      <c r="H191" s="12"/>
    </row>
    <row r="192">
      <c r="F192" s="10"/>
      <c r="G192" s="12"/>
      <c r="H192" s="12"/>
    </row>
    <row r="193">
      <c r="F193" s="10"/>
      <c r="G193" s="12"/>
      <c r="H193" s="12"/>
    </row>
    <row r="194">
      <c r="F194" s="10"/>
      <c r="G194" s="12"/>
      <c r="H194" s="12"/>
    </row>
    <row r="195">
      <c r="F195" s="10"/>
      <c r="G195" s="12"/>
      <c r="H195" s="12"/>
    </row>
    <row r="196">
      <c r="F196" s="10"/>
      <c r="G196" s="12"/>
      <c r="H196" s="12"/>
    </row>
    <row r="197">
      <c r="F197" s="10"/>
      <c r="G197" s="12"/>
      <c r="H197" s="12"/>
    </row>
    <row r="198">
      <c r="F198" s="10"/>
      <c r="G198" s="12"/>
      <c r="H198" s="12"/>
    </row>
    <row r="199">
      <c r="F199" s="10"/>
      <c r="G199" s="12"/>
      <c r="H199" s="12"/>
    </row>
    <row r="200">
      <c r="F200" s="10"/>
      <c r="G200" s="12"/>
      <c r="H200" s="12"/>
    </row>
    <row r="201">
      <c r="F201" s="10"/>
      <c r="G201" s="12"/>
      <c r="H201" s="12"/>
    </row>
    <row r="202">
      <c r="F202" s="10"/>
      <c r="G202" s="12"/>
      <c r="H202" s="12"/>
    </row>
    <row r="203">
      <c r="F203" s="10"/>
      <c r="G203" s="12"/>
      <c r="H203" s="12"/>
    </row>
    <row r="204">
      <c r="F204" s="10"/>
      <c r="G204" s="12"/>
      <c r="H204" s="12"/>
    </row>
    <row r="205">
      <c r="F205" s="10"/>
      <c r="G205" s="12"/>
      <c r="H205" s="12"/>
    </row>
    <row r="206">
      <c r="F206" s="10"/>
      <c r="G206" s="12"/>
      <c r="H206" s="12"/>
    </row>
    <row r="207">
      <c r="F207" s="10"/>
      <c r="G207" s="12"/>
      <c r="H207" s="12"/>
    </row>
    <row r="208">
      <c r="F208" s="10"/>
      <c r="G208" s="12"/>
      <c r="H208" s="12"/>
    </row>
    <row r="209">
      <c r="F209" s="10"/>
      <c r="G209" s="12"/>
      <c r="H209" s="12"/>
    </row>
    <row r="210">
      <c r="F210" s="10"/>
      <c r="G210" s="12"/>
      <c r="H210" s="12"/>
    </row>
    <row r="211">
      <c r="F211" s="10"/>
      <c r="G211" s="12"/>
      <c r="H211" s="12"/>
    </row>
    <row r="212">
      <c r="F212" s="10"/>
      <c r="G212" s="12"/>
      <c r="H212" s="12"/>
    </row>
    <row r="213">
      <c r="F213" s="10"/>
      <c r="G213" s="12"/>
      <c r="H213" s="12"/>
    </row>
    <row r="214">
      <c r="F214" s="10"/>
      <c r="G214" s="12"/>
      <c r="H214" s="12"/>
    </row>
    <row r="215">
      <c r="F215" s="10"/>
      <c r="G215" s="12"/>
      <c r="H215" s="12"/>
    </row>
    <row r="216">
      <c r="F216" s="10"/>
      <c r="G216" s="12"/>
      <c r="H216" s="12"/>
    </row>
    <row r="217">
      <c r="F217" s="10"/>
      <c r="G217" s="12"/>
      <c r="H217" s="12"/>
    </row>
    <row r="218">
      <c r="F218" s="10"/>
      <c r="G218" s="12"/>
      <c r="H218" s="12"/>
    </row>
    <row r="219">
      <c r="F219" s="10"/>
      <c r="G219" s="12"/>
      <c r="H219" s="12"/>
    </row>
    <row r="220">
      <c r="F220" s="10"/>
      <c r="G220" s="12"/>
      <c r="H220" s="12"/>
    </row>
    <row r="221">
      <c r="F221" s="10"/>
      <c r="G221" s="12"/>
      <c r="H221" s="12"/>
    </row>
    <row r="222">
      <c r="F222" s="10"/>
      <c r="G222" s="12"/>
      <c r="H222" s="12"/>
    </row>
    <row r="223">
      <c r="F223" s="10"/>
      <c r="G223" s="12"/>
      <c r="H223" s="12"/>
    </row>
    <row r="224">
      <c r="F224" s="10"/>
      <c r="G224" s="12"/>
      <c r="H224" s="12"/>
    </row>
    <row r="225">
      <c r="F225" s="10"/>
      <c r="G225" s="12"/>
      <c r="H225" s="12"/>
    </row>
    <row r="226">
      <c r="F226" s="10"/>
      <c r="G226" s="12"/>
      <c r="H226" s="12"/>
    </row>
    <row r="227">
      <c r="F227" s="10"/>
      <c r="G227" s="12"/>
      <c r="H227" s="12"/>
    </row>
    <row r="228">
      <c r="F228" s="10"/>
      <c r="G228" s="12"/>
      <c r="H228" s="12"/>
    </row>
    <row r="229">
      <c r="F229" s="10"/>
      <c r="G229" s="12"/>
      <c r="H229" s="12"/>
    </row>
    <row r="230">
      <c r="F230" s="10"/>
      <c r="G230" s="12"/>
      <c r="H230" s="12"/>
    </row>
    <row r="231">
      <c r="F231" s="10"/>
      <c r="G231" s="12"/>
      <c r="H231" s="12"/>
    </row>
    <row r="232">
      <c r="F232" s="10"/>
      <c r="G232" s="12"/>
      <c r="H232" s="12"/>
    </row>
    <row r="233">
      <c r="F233" s="10"/>
      <c r="G233" s="12"/>
      <c r="H233" s="12"/>
    </row>
    <row r="234">
      <c r="F234" s="10"/>
      <c r="G234" s="12"/>
      <c r="H234" s="12"/>
    </row>
    <row r="235">
      <c r="F235" s="10"/>
      <c r="G235" s="12"/>
      <c r="H235" s="12"/>
    </row>
    <row r="236">
      <c r="F236" s="10"/>
      <c r="G236" s="12"/>
      <c r="H236" s="12"/>
    </row>
    <row r="237">
      <c r="F237" s="10"/>
      <c r="G237" s="12"/>
      <c r="H237" s="12"/>
    </row>
    <row r="238">
      <c r="F238" s="10"/>
      <c r="G238" s="12"/>
      <c r="H238" s="12"/>
    </row>
    <row r="239">
      <c r="F239" s="10"/>
      <c r="G239" s="12"/>
      <c r="H239" s="12"/>
    </row>
    <row r="240">
      <c r="F240" s="10"/>
      <c r="G240" s="12"/>
      <c r="H240" s="12"/>
    </row>
    <row r="241">
      <c r="F241" s="10"/>
      <c r="G241" s="12"/>
      <c r="H241" s="12"/>
    </row>
    <row r="242">
      <c r="F242" s="10"/>
      <c r="G242" s="12"/>
      <c r="H242" s="12"/>
    </row>
    <row r="243">
      <c r="F243" s="10"/>
      <c r="G243" s="12"/>
      <c r="H243" s="12"/>
    </row>
    <row r="244">
      <c r="F244" s="10"/>
      <c r="G244" s="12"/>
      <c r="H244" s="12"/>
    </row>
    <row r="245">
      <c r="F245" s="10"/>
      <c r="G245" s="12"/>
      <c r="H245" s="12"/>
    </row>
    <row r="246">
      <c r="F246" s="10"/>
      <c r="G246" s="12"/>
      <c r="H246" s="12"/>
    </row>
    <row r="247">
      <c r="F247" s="10"/>
      <c r="G247" s="12"/>
      <c r="H247" s="12"/>
    </row>
    <row r="248">
      <c r="F248" s="10"/>
      <c r="G248" s="12"/>
      <c r="H248" s="12"/>
    </row>
    <row r="249">
      <c r="F249" s="10"/>
      <c r="G249" s="12"/>
      <c r="H249" s="12"/>
    </row>
    <row r="250">
      <c r="F250" s="10"/>
      <c r="G250" s="12"/>
      <c r="H250" s="12"/>
    </row>
    <row r="251">
      <c r="F251" s="10"/>
      <c r="G251" s="12"/>
      <c r="H251" s="12"/>
    </row>
    <row r="252">
      <c r="F252" s="10"/>
      <c r="G252" s="12"/>
      <c r="H252" s="12"/>
    </row>
    <row r="253">
      <c r="F253" s="10"/>
      <c r="G253" s="12"/>
      <c r="H253" s="12"/>
    </row>
    <row r="254">
      <c r="F254" s="10"/>
      <c r="G254" s="12"/>
      <c r="H254" s="12"/>
    </row>
    <row r="255">
      <c r="F255" s="10"/>
      <c r="G255" s="12"/>
      <c r="H255" s="12"/>
    </row>
    <row r="256">
      <c r="F256" s="10"/>
      <c r="G256" s="12"/>
      <c r="H256" s="12"/>
    </row>
    <row r="257">
      <c r="F257" s="10"/>
      <c r="G257" s="12"/>
      <c r="H257" s="12"/>
    </row>
    <row r="258">
      <c r="F258" s="10"/>
      <c r="G258" s="12"/>
      <c r="H258" s="12"/>
    </row>
    <row r="259">
      <c r="F259" s="10"/>
      <c r="G259" s="12"/>
      <c r="H259" s="12"/>
    </row>
    <row r="260">
      <c r="F260" s="10"/>
      <c r="G260" s="12"/>
      <c r="H260" s="12"/>
    </row>
    <row r="261">
      <c r="F261" s="10"/>
      <c r="G261" s="12"/>
      <c r="H261" s="12"/>
    </row>
    <row r="262">
      <c r="F262" s="10"/>
      <c r="G262" s="12"/>
      <c r="H262" s="12"/>
    </row>
    <row r="263">
      <c r="F263" s="10"/>
      <c r="G263" s="12"/>
      <c r="H263" s="12"/>
    </row>
    <row r="264">
      <c r="F264" s="10"/>
      <c r="G264" s="12"/>
      <c r="H264" s="12"/>
    </row>
    <row r="265">
      <c r="F265" s="10"/>
      <c r="G265" s="12"/>
      <c r="H265" s="12"/>
    </row>
    <row r="266">
      <c r="F266" s="10"/>
      <c r="G266" s="12"/>
      <c r="H266" s="12"/>
    </row>
    <row r="267">
      <c r="F267" s="10"/>
      <c r="G267" s="12"/>
      <c r="H267" s="12"/>
    </row>
    <row r="268">
      <c r="F268" s="10"/>
      <c r="G268" s="12"/>
      <c r="H268" s="12"/>
    </row>
    <row r="269">
      <c r="F269" s="10"/>
      <c r="G269" s="12"/>
      <c r="H269" s="12"/>
    </row>
    <row r="270">
      <c r="F270" s="10"/>
      <c r="G270" s="12"/>
      <c r="H270" s="12"/>
    </row>
    <row r="271">
      <c r="F271" s="10"/>
      <c r="G271" s="12"/>
      <c r="H271" s="12"/>
    </row>
    <row r="272">
      <c r="F272" s="10"/>
      <c r="G272" s="12"/>
      <c r="H272" s="12"/>
    </row>
    <row r="273">
      <c r="F273" s="10"/>
      <c r="G273" s="12"/>
      <c r="H273" s="12"/>
    </row>
    <row r="274">
      <c r="F274" s="10"/>
      <c r="G274" s="12"/>
      <c r="H274" s="12"/>
    </row>
    <row r="275">
      <c r="F275" s="10"/>
      <c r="G275" s="12"/>
      <c r="H275" s="12"/>
    </row>
    <row r="276">
      <c r="F276" s="10"/>
      <c r="G276" s="12"/>
      <c r="H276" s="12"/>
    </row>
    <row r="277">
      <c r="F277" s="10"/>
      <c r="G277" s="12"/>
      <c r="H277" s="12"/>
    </row>
    <row r="278">
      <c r="F278" s="10"/>
      <c r="G278" s="12"/>
      <c r="H278" s="12"/>
    </row>
    <row r="279">
      <c r="F279" s="10"/>
      <c r="G279" s="12"/>
      <c r="H279" s="12"/>
    </row>
    <row r="280">
      <c r="F280" s="10"/>
      <c r="G280" s="12"/>
      <c r="H280" s="12"/>
    </row>
    <row r="281">
      <c r="F281" s="10"/>
      <c r="G281" s="12"/>
      <c r="H281" s="12"/>
    </row>
    <row r="282">
      <c r="F282" s="10"/>
      <c r="G282" s="12"/>
      <c r="H282" s="12"/>
    </row>
    <row r="283">
      <c r="F283" s="10"/>
      <c r="G283" s="12"/>
      <c r="H283" s="12"/>
    </row>
    <row r="284">
      <c r="F284" s="10"/>
      <c r="G284" s="12"/>
      <c r="H284" s="12"/>
    </row>
    <row r="285">
      <c r="F285" s="10"/>
      <c r="G285" s="12"/>
      <c r="H285" s="12"/>
    </row>
    <row r="286">
      <c r="F286" s="10"/>
      <c r="G286" s="12"/>
      <c r="H286" s="12"/>
    </row>
    <row r="287">
      <c r="F287" s="10"/>
      <c r="G287" s="12"/>
      <c r="H287" s="12"/>
    </row>
    <row r="288">
      <c r="F288" s="10"/>
      <c r="G288" s="12"/>
      <c r="H288" s="12"/>
    </row>
    <row r="289">
      <c r="F289" s="10"/>
      <c r="G289" s="12"/>
      <c r="H289" s="12"/>
    </row>
    <row r="290">
      <c r="F290" s="10"/>
      <c r="G290" s="12"/>
      <c r="H290" s="12"/>
    </row>
    <row r="291">
      <c r="F291" s="10"/>
      <c r="G291" s="12"/>
      <c r="H291" s="12"/>
    </row>
    <row r="292">
      <c r="F292" s="10"/>
      <c r="G292" s="12"/>
      <c r="H292" s="12"/>
    </row>
    <row r="293">
      <c r="F293" s="10"/>
      <c r="G293" s="12"/>
      <c r="H293" s="12"/>
    </row>
    <row r="294">
      <c r="F294" s="10"/>
      <c r="G294" s="12"/>
      <c r="H294" s="12"/>
    </row>
    <row r="295">
      <c r="F295" s="10"/>
      <c r="G295" s="12"/>
      <c r="H295" s="12"/>
    </row>
    <row r="296">
      <c r="F296" s="10"/>
      <c r="G296" s="12"/>
      <c r="H296" s="12"/>
    </row>
    <row r="297">
      <c r="F297" s="10"/>
      <c r="G297" s="12"/>
      <c r="H297" s="12"/>
    </row>
    <row r="298">
      <c r="F298" s="10"/>
      <c r="G298" s="12"/>
      <c r="H298" s="12"/>
    </row>
    <row r="299">
      <c r="F299" s="10"/>
      <c r="G299" s="12"/>
      <c r="H299" s="12"/>
    </row>
    <row r="300">
      <c r="F300" s="10"/>
      <c r="G300" s="12"/>
      <c r="H300" s="12"/>
    </row>
    <row r="301">
      <c r="F301" s="10"/>
      <c r="G301" s="12"/>
      <c r="H301" s="12"/>
    </row>
    <row r="302">
      <c r="F302" s="10"/>
      <c r="G302" s="12"/>
      <c r="H302" s="12"/>
    </row>
    <row r="303">
      <c r="F303" s="10"/>
      <c r="G303" s="12"/>
      <c r="H303" s="12"/>
    </row>
    <row r="304">
      <c r="F304" s="10"/>
      <c r="G304" s="12"/>
      <c r="H304" s="12"/>
    </row>
    <row r="305">
      <c r="F305" s="10"/>
      <c r="G305" s="12"/>
      <c r="H305" s="12"/>
    </row>
    <row r="306">
      <c r="F306" s="10"/>
      <c r="G306" s="12"/>
      <c r="H306" s="12"/>
    </row>
    <row r="307">
      <c r="F307" s="10"/>
      <c r="G307" s="12"/>
      <c r="H307" s="12"/>
    </row>
    <row r="308">
      <c r="F308" s="10"/>
      <c r="G308" s="12"/>
      <c r="H308" s="12"/>
    </row>
    <row r="309">
      <c r="F309" s="10"/>
      <c r="G309" s="12"/>
      <c r="H309" s="12"/>
    </row>
    <row r="310">
      <c r="F310" s="10"/>
      <c r="G310" s="12"/>
      <c r="H310" s="12"/>
    </row>
    <row r="311">
      <c r="F311" s="10"/>
      <c r="G311" s="12"/>
      <c r="H311" s="12"/>
    </row>
    <row r="312">
      <c r="F312" s="10"/>
      <c r="G312" s="12"/>
      <c r="H312" s="12"/>
    </row>
    <row r="313">
      <c r="F313" s="10"/>
      <c r="G313" s="12"/>
      <c r="H313" s="12"/>
    </row>
    <row r="314">
      <c r="F314" s="10"/>
      <c r="G314" s="12"/>
      <c r="H314" s="12"/>
    </row>
    <row r="315">
      <c r="F315" s="10"/>
      <c r="G315" s="12"/>
      <c r="H315" s="12"/>
    </row>
    <row r="316">
      <c r="F316" s="10"/>
      <c r="G316" s="12"/>
      <c r="H316" s="12"/>
    </row>
    <row r="317">
      <c r="F317" s="10"/>
      <c r="G317" s="12"/>
      <c r="H317" s="12"/>
    </row>
    <row r="318">
      <c r="F318" s="10"/>
      <c r="G318" s="12"/>
      <c r="H318" s="12"/>
    </row>
    <row r="319">
      <c r="F319" s="10"/>
      <c r="G319" s="12"/>
      <c r="H319" s="12"/>
    </row>
    <row r="320">
      <c r="F320" s="10"/>
      <c r="G320" s="12"/>
      <c r="H320" s="12"/>
    </row>
    <row r="321">
      <c r="F321" s="10"/>
      <c r="G321" s="12"/>
      <c r="H321" s="12"/>
    </row>
    <row r="322">
      <c r="F322" s="10"/>
      <c r="G322" s="12"/>
      <c r="H322" s="12"/>
    </row>
    <row r="323">
      <c r="F323" s="10"/>
      <c r="G323" s="12"/>
      <c r="H323" s="12"/>
    </row>
    <row r="324">
      <c r="F324" s="10"/>
      <c r="G324" s="12"/>
      <c r="H324" s="12"/>
    </row>
    <row r="325">
      <c r="F325" s="10"/>
      <c r="G325" s="12"/>
      <c r="H325" s="12"/>
    </row>
    <row r="326">
      <c r="F326" s="10"/>
      <c r="G326" s="12"/>
      <c r="H326" s="12"/>
    </row>
    <row r="327">
      <c r="F327" s="10"/>
      <c r="G327" s="12"/>
      <c r="H327" s="12"/>
    </row>
    <row r="328">
      <c r="F328" s="10"/>
      <c r="G328" s="12"/>
      <c r="H328" s="12"/>
    </row>
    <row r="329">
      <c r="F329" s="10"/>
      <c r="G329" s="12"/>
      <c r="H329" s="12"/>
    </row>
    <row r="330">
      <c r="F330" s="10"/>
      <c r="G330" s="12"/>
      <c r="H330" s="12"/>
    </row>
    <row r="331">
      <c r="F331" s="10"/>
      <c r="G331" s="12"/>
      <c r="H331" s="12"/>
    </row>
    <row r="332">
      <c r="F332" s="10"/>
      <c r="G332" s="12"/>
      <c r="H332" s="12"/>
    </row>
    <row r="333">
      <c r="F333" s="10"/>
      <c r="G333" s="12"/>
      <c r="H333" s="12"/>
    </row>
    <row r="334">
      <c r="F334" s="10"/>
      <c r="G334" s="12"/>
      <c r="H334" s="12"/>
    </row>
    <row r="335">
      <c r="F335" s="10"/>
      <c r="G335" s="12"/>
      <c r="H335" s="12"/>
    </row>
    <row r="336">
      <c r="F336" s="10"/>
      <c r="G336" s="12"/>
      <c r="H336" s="12"/>
    </row>
    <row r="337">
      <c r="F337" s="10"/>
      <c r="G337" s="12"/>
      <c r="H337" s="12"/>
    </row>
    <row r="338">
      <c r="F338" s="10"/>
      <c r="G338" s="12"/>
      <c r="H338" s="12"/>
    </row>
    <row r="339">
      <c r="F339" s="10"/>
      <c r="G339" s="12"/>
      <c r="H339" s="12"/>
    </row>
    <row r="340">
      <c r="F340" s="10"/>
      <c r="G340" s="12"/>
      <c r="H340" s="12"/>
    </row>
    <row r="341">
      <c r="F341" s="10"/>
      <c r="G341" s="12"/>
      <c r="H341" s="12"/>
    </row>
    <row r="342">
      <c r="F342" s="10"/>
      <c r="G342" s="12"/>
      <c r="H342" s="12"/>
    </row>
    <row r="343">
      <c r="F343" s="10"/>
      <c r="G343" s="12"/>
      <c r="H343" s="12"/>
    </row>
    <row r="344">
      <c r="F344" s="10"/>
      <c r="G344" s="12"/>
      <c r="H344" s="12"/>
    </row>
    <row r="345">
      <c r="F345" s="10"/>
      <c r="G345" s="12"/>
      <c r="H345" s="12"/>
    </row>
    <row r="346">
      <c r="F346" s="10"/>
      <c r="G346" s="12"/>
      <c r="H346" s="12"/>
    </row>
    <row r="347">
      <c r="F347" s="10"/>
      <c r="G347" s="12"/>
      <c r="H347" s="12"/>
    </row>
    <row r="348">
      <c r="F348" s="10"/>
      <c r="G348" s="12"/>
      <c r="H348" s="12"/>
    </row>
    <row r="349">
      <c r="F349" s="10"/>
      <c r="G349" s="12"/>
      <c r="H349" s="12"/>
    </row>
    <row r="350">
      <c r="F350" s="10"/>
      <c r="G350" s="12"/>
      <c r="H350" s="12"/>
    </row>
    <row r="351">
      <c r="F351" s="10"/>
      <c r="G351" s="12"/>
      <c r="H351" s="12"/>
    </row>
    <row r="352">
      <c r="F352" s="10"/>
      <c r="G352" s="12"/>
      <c r="H352" s="12"/>
    </row>
    <row r="353">
      <c r="F353" s="10"/>
      <c r="G353" s="12"/>
      <c r="H353" s="12"/>
    </row>
    <row r="354">
      <c r="F354" s="10"/>
      <c r="G354" s="12"/>
      <c r="H354" s="12"/>
    </row>
    <row r="355">
      <c r="F355" s="10"/>
      <c r="G355" s="12"/>
      <c r="H355" s="12"/>
    </row>
    <row r="356">
      <c r="F356" s="10"/>
      <c r="G356" s="12"/>
      <c r="H356" s="12"/>
    </row>
    <row r="357">
      <c r="F357" s="10"/>
      <c r="G357" s="12"/>
      <c r="H357" s="12"/>
    </row>
    <row r="358">
      <c r="F358" s="10"/>
      <c r="G358" s="12"/>
      <c r="H358" s="12"/>
    </row>
    <row r="359">
      <c r="F359" s="10"/>
      <c r="G359" s="12"/>
      <c r="H359" s="12"/>
    </row>
    <row r="360">
      <c r="F360" s="10"/>
      <c r="G360" s="12"/>
      <c r="H360" s="12"/>
    </row>
    <row r="361">
      <c r="F361" s="10"/>
      <c r="G361" s="12"/>
      <c r="H361" s="12"/>
    </row>
    <row r="362">
      <c r="F362" s="10"/>
      <c r="G362" s="12"/>
      <c r="H362" s="12"/>
    </row>
    <row r="363">
      <c r="F363" s="10"/>
      <c r="G363" s="12"/>
      <c r="H363" s="12"/>
    </row>
    <row r="364">
      <c r="F364" s="10"/>
      <c r="G364" s="12"/>
      <c r="H364" s="12"/>
    </row>
    <row r="365">
      <c r="F365" s="10"/>
      <c r="G365" s="12"/>
      <c r="H365" s="12"/>
    </row>
    <row r="366">
      <c r="F366" s="10"/>
      <c r="G366" s="12"/>
      <c r="H366" s="12"/>
    </row>
    <row r="367">
      <c r="F367" s="10"/>
      <c r="G367" s="12"/>
      <c r="H367" s="12"/>
    </row>
    <row r="368">
      <c r="F368" s="10"/>
      <c r="G368" s="12"/>
      <c r="H368" s="12"/>
    </row>
    <row r="369">
      <c r="F369" s="10"/>
      <c r="G369" s="12"/>
      <c r="H369" s="12"/>
    </row>
    <row r="370">
      <c r="F370" s="10"/>
      <c r="G370" s="12"/>
      <c r="H370" s="12"/>
    </row>
    <row r="371">
      <c r="F371" s="10"/>
      <c r="G371" s="12"/>
      <c r="H371" s="12"/>
    </row>
    <row r="372">
      <c r="F372" s="10"/>
      <c r="G372" s="12"/>
      <c r="H372" s="12"/>
    </row>
    <row r="373">
      <c r="F373" s="10"/>
      <c r="G373" s="12"/>
      <c r="H373" s="12"/>
    </row>
    <row r="374">
      <c r="F374" s="10"/>
      <c r="G374" s="12"/>
      <c r="H374" s="12"/>
    </row>
    <row r="375">
      <c r="F375" s="10"/>
      <c r="G375" s="12"/>
      <c r="H375" s="12"/>
    </row>
    <row r="376">
      <c r="F376" s="10"/>
      <c r="G376" s="12"/>
      <c r="H376" s="12"/>
    </row>
    <row r="377">
      <c r="F377" s="10"/>
      <c r="G377" s="12"/>
      <c r="H377" s="12"/>
    </row>
    <row r="378">
      <c r="F378" s="10"/>
      <c r="G378" s="12"/>
      <c r="H378" s="12"/>
    </row>
    <row r="379">
      <c r="F379" s="10"/>
      <c r="G379" s="12"/>
      <c r="H379" s="12"/>
    </row>
    <row r="380">
      <c r="F380" s="10"/>
      <c r="G380" s="12"/>
      <c r="H380" s="12"/>
    </row>
    <row r="381">
      <c r="F381" s="10"/>
      <c r="G381" s="12"/>
      <c r="H381" s="12"/>
    </row>
    <row r="382">
      <c r="F382" s="10"/>
      <c r="G382" s="12"/>
      <c r="H382" s="12"/>
    </row>
    <row r="383">
      <c r="F383" s="10"/>
      <c r="G383" s="12"/>
      <c r="H383" s="12"/>
    </row>
    <row r="384">
      <c r="F384" s="10"/>
      <c r="G384" s="12"/>
      <c r="H384" s="12"/>
    </row>
    <row r="385">
      <c r="F385" s="10"/>
      <c r="G385" s="12"/>
      <c r="H385" s="12"/>
    </row>
    <row r="386">
      <c r="F386" s="10"/>
      <c r="G386" s="12"/>
      <c r="H386" s="12"/>
    </row>
    <row r="387">
      <c r="F387" s="10"/>
      <c r="G387" s="12"/>
      <c r="H387" s="12"/>
    </row>
    <row r="388">
      <c r="F388" s="10"/>
      <c r="G388" s="12"/>
      <c r="H388" s="12"/>
    </row>
    <row r="389">
      <c r="F389" s="10"/>
      <c r="G389" s="12"/>
      <c r="H389" s="12"/>
    </row>
    <row r="390">
      <c r="F390" s="10"/>
      <c r="G390" s="12"/>
      <c r="H390" s="12"/>
    </row>
    <row r="391">
      <c r="F391" s="10"/>
      <c r="G391" s="12"/>
      <c r="H391" s="12"/>
    </row>
    <row r="392">
      <c r="F392" s="10"/>
      <c r="G392" s="12"/>
      <c r="H392" s="12"/>
    </row>
    <row r="393">
      <c r="F393" s="10"/>
      <c r="G393" s="12"/>
      <c r="H393" s="12"/>
    </row>
    <row r="394">
      <c r="F394" s="10"/>
      <c r="G394" s="12"/>
      <c r="H394" s="12"/>
    </row>
    <row r="395">
      <c r="F395" s="10"/>
      <c r="G395" s="12"/>
      <c r="H395" s="12"/>
    </row>
    <row r="396">
      <c r="F396" s="10"/>
      <c r="G396" s="12"/>
      <c r="H396" s="12"/>
    </row>
    <row r="397">
      <c r="F397" s="10"/>
      <c r="G397" s="12"/>
      <c r="H397" s="12"/>
    </row>
    <row r="398">
      <c r="F398" s="10"/>
      <c r="G398" s="12"/>
      <c r="H398" s="12"/>
    </row>
    <row r="399">
      <c r="F399" s="10"/>
      <c r="G399" s="12"/>
      <c r="H399" s="12"/>
    </row>
    <row r="400">
      <c r="F400" s="10"/>
      <c r="G400" s="12"/>
      <c r="H400" s="12"/>
    </row>
    <row r="401">
      <c r="F401" s="10"/>
      <c r="G401" s="12"/>
      <c r="H401" s="12"/>
    </row>
    <row r="402">
      <c r="F402" s="10"/>
      <c r="G402" s="12"/>
      <c r="H402" s="12"/>
    </row>
    <row r="403">
      <c r="F403" s="10"/>
      <c r="G403" s="12"/>
      <c r="H403" s="12"/>
    </row>
    <row r="404">
      <c r="F404" s="10"/>
      <c r="G404" s="12"/>
      <c r="H404" s="12"/>
    </row>
    <row r="405">
      <c r="F405" s="10"/>
      <c r="G405" s="12"/>
      <c r="H405" s="12"/>
    </row>
    <row r="406">
      <c r="F406" s="10"/>
      <c r="G406" s="12"/>
      <c r="H406" s="12"/>
    </row>
    <row r="407">
      <c r="F407" s="10"/>
      <c r="G407" s="12"/>
      <c r="H407" s="12"/>
    </row>
    <row r="408">
      <c r="F408" s="10"/>
      <c r="G408" s="12"/>
      <c r="H408" s="12"/>
    </row>
    <row r="409">
      <c r="F409" s="10"/>
      <c r="G409" s="12"/>
      <c r="H409" s="12"/>
    </row>
    <row r="410">
      <c r="F410" s="10"/>
      <c r="G410" s="12"/>
      <c r="H410" s="12"/>
    </row>
    <row r="411">
      <c r="F411" s="10"/>
      <c r="G411" s="12"/>
      <c r="H411" s="12"/>
    </row>
    <row r="412">
      <c r="F412" s="10"/>
      <c r="G412" s="12"/>
      <c r="H412" s="12"/>
    </row>
    <row r="413">
      <c r="F413" s="10"/>
      <c r="G413" s="12"/>
      <c r="H413" s="12"/>
    </row>
    <row r="414">
      <c r="F414" s="10"/>
      <c r="G414" s="12"/>
      <c r="H414" s="12"/>
    </row>
    <row r="415">
      <c r="F415" s="10"/>
      <c r="G415" s="12"/>
      <c r="H415" s="12"/>
    </row>
    <row r="416">
      <c r="F416" s="10"/>
      <c r="G416" s="12"/>
      <c r="H416" s="12"/>
    </row>
    <row r="417">
      <c r="F417" s="10"/>
      <c r="G417" s="12"/>
      <c r="H417" s="12"/>
    </row>
    <row r="418">
      <c r="F418" s="10"/>
      <c r="G418" s="12"/>
      <c r="H418" s="12"/>
    </row>
    <row r="419">
      <c r="F419" s="10"/>
      <c r="G419" s="12"/>
      <c r="H419" s="12"/>
    </row>
    <row r="420">
      <c r="F420" s="10"/>
      <c r="G420" s="12"/>
      <c r="H420" s="12"/>
    </row>
    <row r="421">
      <c r="F421" s="10"/>
      <c r="G421" s="12"/>
      <c r="H421" s="12"/>
    </row>
    <row r="422">
      <c r="F422" s="10"/>
      <c r="G422" s="12"/>
      <c r="H422" s="12"/>
    </row>
    <row r="423">
      <c r="F423" s="10"/>
      <c r="G423" s="12"/>
      <c r="H423" s="12"/>
    </row>
    <row r="424">
      <c r="F424" s="10"/>
      <c r="G424" s="12"/>
      <c r="H424" s="12"/>
    </row>
    <row r="425">
      <c r="F425" s="10"/>
      <c r="G425" s="12"/>
      <c r="H425" s="12"/>
    </row>
    <row r="426">
      <c r="F426" s="10"/>
      <c r="G426" s="12"/>
      <c r="H426" s="12"/>
    </row>
    <row r="427">
      <c r="F427" s="10"/>
      <c r="G427" s="12"/>
      <c r="H427" s="12"/>
    </row>
    <row r="428">
      <c r="F428" s="10"/>
      <c r="G428" s="12"/>
      <c r="H428" s="12"/>
    </row>
    <row r="429">
      <c r="F429" s="10"/>
      <c r="G429" s="12"/>
      <c r="H429" s="12"/>
    </row>
    <row r="430">
      <c r="F430" s="10"/>
      <c r="G430" s="12"/>
      <c r="H430" s="12"/>
    </row>
    <row r="431">
      <c r="F431" s="10"/>
      <c r="G431" s="12"/>
      <c r="H431" s="12"/>
    </row>
    <row r="432">
      <c r="F432" s="10"/>
      <c r="G432" s="12"/>
      <c r="H432" s="12"/>
    </row>
    <row r="433">
      <c r="F433" s="10"/>
      <c r="G433" s="12"/>
      <c r="H433" s="12"/>
    </row>
    <row r="434">
      <c r="F434" s="10"/>
      <c r="G434" s="12"/>
      <c r="H434" s="12"/>
    </row>
    <row r="435">
      <c r="F435" s="10"/>
      <c r="G435" s="12"/>
      <c r="H435" s="12"/>
    </row>
    <row r="436">
      <c r="F436" s="10"/>
      <c r="G436" s="12"/>
      <c r="H436" s="12"/>
    </row>
    <row r="437">
      <c r="F437" s="10"/>
      <c r="G437" s="12"/>
      <c r="H437" s="12"/>
    </row>
    <row r="438">
      <c r="F438" s="10"/>
      <c r="G438" s="12"/>
      <c r="H438" s="12"/>
    </row>
    <row r="439">
      <c r="F439" s="10"/>
      <c r="G439" s="12"/>
      <c r="H439" s="12"/>
    </row>
    <row r="440">
      <c r="F440" s="10"/>
      <c r="G440" s="12"/>
      <c r="H440" s="12"/>
    </row>
    <row r="441">
      <c r="F441" s="10"/>
      <c r="G441" s="12"/>
      <c r="H441" s="12"/>
    </row>
    <row r="442">
      <c r="F442" s="10"/>
      <c r="G442" s="12"/>
      <c r="H442" s="12"/>
    </row>
    <row r="443">
      <c r="F443" s="10"/>
      <c r="G443" s="12"/>
      <c r="H443" s="12"/>
    </row>
    <row r="444">
      <c r="F444" s="10"/>
      <c r="G444" s="12"/>
      <c r="H444" s="12"/>
    </row>
    <row r="445">
      <c r="F445" s="10"/>
      <c r="G445" s="12"/>
      <c r="H445" s="12"/>
    </row>
    <row r="446">
      <c r="F446" s="10"/>
      <c r="G446" s="12"/>
      <c r="H446" s="12"/>
    </row>
    <row r="447">
      <c r="F447" s="10"/>
      <c r="G447" s="12"/>
      <c r="H447" s="12"/>
    </row>
    <row r="448">
      <c r="F448" s="10"/>
      <c r="G448" s="12"/>
      <c r="H448" s="12"/>
    </row>
    <row r="449">
      <c r="F449" s="10"/>
      <c r="G449" s="12"/>
      <c r="H449" s="12"/>
    </row>
    <row r="450">
      <c r="F450" s="10"/>
      <c r="G450" s="12"/>
      <c r="H450" s="12"/>
    </row>
    <row r="451">
      <c r="F451" s="10"/>
      <c r="G451" s="12"/>
      <c r="H451" s="12"/>
    </row>
    <row r="452">
      <c r="F452" s="10"/>
      <c r="G452" s="12"/>
      <c r="H452" s="12"/>
    </row>
    <row r="453">
      <c r="F453" s="10"/>
      <c r="G453" s="12"/>
      <c r="H453" s="12"/>
    </row>
    <row r="454">
      <c r="F454" s="10"/>
      <c r="G454" s="12"/>
      <c r="H454" s="12"/>
    </row>
    <row r="455">
      <c r="F455" s="10"/>
      <c r="G455" s="12"/>
      <c r="H455" s="12"/>
    </row>
    <row r="456">
      <c r="F456" s="10"/>
      <c r="G456" s="12"/>
      <c r="H456" s="12"/>
    </row>
    <row r="457">
      <c r="F457" s="10"/>
      <c r="G457" s="12"/>
      <c r="H457" s="12"/>
    </row>
    <row r="458">
      <c r="F458" s="10"/>
      <c r="G458" s="12"/>
      <c r="H458" s="12"/>
    </row>
    <row r="459">
      <c r="F459" s="10"/>
      <c r="G459" s="12"/>
      <c r="H459" s="12"/>
    </row>
    <row r="460">
      <c r="F460" s="10"/>
      <c r="G460" s="12"/>
      <c r="H460" s="12"/>
    </row>
    <row r="461">
      <c r="F461" s="10"/>
      <c r="G461" s="12"/>
      <c r="H461" s="12"/>
    </row>
    <row r="462">
      <c r="F462" s="10"/>
      <c r="G462" s="12"/>
      <c r="H462" s="12"/>
    </row>
    <row r="463">
      <c r="F463" s="10"/>
      <c r="G463" s="12"/>
      <c r="H463" s="12"/>
    </row>
    <row r="464">
      <c r="F464" s="10"/>
      <c r="G464" s="12"/>
      <c r="H464" s="12"/>
    </row>
    <row r="465">
      <c r="F465" s="10"/>
      <c r="G465" s="12"/>
      <c r="H465" s="12"/>
    </row>
    <row r="466">
      <c r="F466" s="10"/>
      <c r="G466" s="12"/>
      <c r="H466" s="12"/>
    </row>
    <row r="467">
      <c r="F467" s="10"/>
      <c r="G467" s="12"/>
      <c r="H467" s="12"/>
    </row>
    <row r="468">
      <c r="F468" s="10"/>
      <c r="G468" s="12"/>
      <c r="H468" s="12"/>
    </row>
    <row r="469">
      <c r="F469" s="10"/>
      <c r="G469" s="12"/>
      <c r="H469" s="12"/>
    </row>
    <row r="470">
      <c r="F470" s="10"/>
      <c r="G470" s="12"/>
      <c r="H470" s="12"/>
    </row>
    <row r="471">
      <c r="F471" s="10"/>
      <c r="G471" s="12"/>
      <c r="H471" s="12"/>
    </row>
    <row r="472">
      <c r="F472" s="10"/>
      <c r="G472" s="12"/>
      <c r="H472" s="12"/>
    </row>
    <row r="473">
      <c r="F473" s="10"/>
      <c r="G473" s="12"/>
      <c r="H473" s="12"/>
    </row>
    <row r="474">
      <c r="F474" s="10"/>
      <c r="G474" s="12"/>
      <c r="H474" s="12"/>
    </row>
    <row r="475">
      <c r="F475" s="10"/>
      <c r="G475" s="12"/>
      <c r="H475" s="12"/>
    </row>
    <row r="476">
      <c r="F476" s="10"/>
      <c r="G476" s="12"/>
      <c r="H476" s="12"/>
    </row>
    <row r="477">
      <c r="F477" s="10"/>
      <c r="G477" s="12"/>
      <c r="H477" s="12"/>
    </row>
    <row r="478">
      <c r="F478" s="10"/>
      <c r="G478" s="12"/>
      <c r="H478" s="12"/>
    </row>
    <row r="479">
      <c r="F479" s="10"/>
      <c r="G479" s="12"/>
      <c r="H479" s="12"/>
    </row>
    <row r="480">
      <c r="F480" s="10"/>
      <c r="G480" s="12"/>
      <c r="H480" s="12"/>
    </row>
    <row r="481">
      <c r="F481" s="10"/>
      <c r="G481" s="12"/>
      <c r="H481" s="12"/>
    </row>
    <row r="482">
      <c r="F482" s="10"/>
      <c r="G482" s="12"/>
      <c r="H482" s="12"/>
    </row>
    <row r="483">
      <c r="F483" s="10"/>
      <c r="G483" s="12"/>
      <c r="H483" s="12"/>
    </row>
    <row r="484">
      <c r="F484" s="10"/>
      <c r="G484" s="12"/>
      <c r="H484" s="12"/>
    </row>
    <row r="485">
      <c r="F485" s="10"/>
      <c r="G485" s="12"/>
      <c r="H485" s="12"/>
    </row>
    <row r="486">
      <c r="F486" s="10"/>
      <c r="G486" s="12"/>
      <c r="H486" s="12"/>
    </row>
    <row r="487">
      <c r="F487" s="10"/>
      <c r="G487" s="12"/>
      <c r="H487" s="12"/>
    </row>
    <row r="488">
      <c r="F488" s="10"/>
      <c r="G488" s="12"/>
      <c r="H488" s="12"/>
    </row>
    <row r="489">
      <c r="F489" s="10"/>
      <c r="G489" s="12"/>
      <c r="H489" s="12"/>
    </row>
    <row r="490">
      <c r="F490" s="10"/>
      <c r="G490" s="12"/>
      <c r="H490" s="12"/>
    </row>
    <row r="491">
      <c r="F491" s="10"/>
      <c r="G491" s="12"/>
      <c r="H491" s="12"/>
    </row>
    <row r="492">
      <c r="F492" s="10"/>
      <c r="G492" s="12"/>
      <c r="H492" s="12"/>
    </row>
    <row r="493">
      <c r="F493" s="10"/>
      <c r="G493" s="12"/>
      <c r="H493" s="12"/>
    </row>
    <row r="494">
      <c r="F494" s="10"/>
      <c r="G494" s="12"/>
      <c r="H494" s="12"/>
    </row>
    <row r="495">
      <c r="F495" s="10"/>
      <c r="G495" s="12"/>
      <c r="H495" s="12"/>
    </row>
    <row r="496">
      <c r="F496" s="10"/>
      <c r="G496" s="12"/>
      <c r="H496" s="12"/>
    </row>
    <row r="497">
      <c r="F497" s="10"/>
      <c r="G497" s="12"/>
      <c r="H497" s="12"/>
    </row>
    <row r="498">
      <c r="F498" s="10"/>
      <c r="G498" s="12"/>
      <c r="H498" s="12"/>
    </row>
    <row r="499">
      <c r="F499" s="10"/>
      <c r="G499" s="12"/>
      <c r="H499" s="12"/>
    </row>
    <row r="500">
      <c r="F500" s="10"/>
      <c r="G500" s="12"/>
      <c r="H500" s="12"/>
    </row>
    <row r="501">
      <c r="F501" s="10"/>
      <c r="G501" s="12"/>
      <c r="H501" s="12"/>
    </row>
    <row r="502">
      <c r="F502" s="10"/>
      <c r="G502" s="12"/>
      <c r="H502" s="12"/>
    </row>
    <row r="503">
      <c r="F503" s="10"/>
      <c r="G503" s="12"/>
      <c r="H503" s="12"/>
    </row>
    <row r="504">
      <c r="F504" s="10"/>
      <c r="G504" s="12"/>
      <c r="H504" s="12"/>
    </row>
    <row r="505">
      <c r="F505" s="10"/>
      <c r="G505" s="12"/>
      <c r="H505" s="12"/>
    </row>
    <row r="506">
      <c r="F506" s="10"/>
      <c r="G506" s="12"/>
      <c r="H506" s="12"/>
    </row>
    <row r="507">
      <c r="F507" s="10"/>
      <c r="G507" s="12"/>
      <c r="H507" s="12"/>
    </row>
    <row r="508">
      <c r="F508" s="10"/>
      <c r="G508" s="12"/>
      <c r="H508" s="12"/>
    </row>
    <row r="509">
      <c r="F509" s="10"/>
      <c r="G509" s="12"/>
      <c r="H509" s="12"/>
    </row>
    <row r="510">
      <c r="F510" s="10"/>
      <c r="G510" s="12"/>
      <c r="H510" s="12"/>
    </row>
    <row r="511">
      <c r="F511" s="10"/>
      <c r="G511" s="12"/>
      <c r="H511" s="12"/>
    </row>
    <row r="512">
      <c r="F512" s="10"/>
      <c r="G512" s="12"/>
      <c r="H512" s="12"/>
    </row>
    <row r="513">
      <c r="F513" s="10"/>
      <c r="G513" s="12"/>
      <c r="H513" s="12"/>
    </row>
    <row r="514">
      <c r="F514" s="10"/>
      <c r="G514" s="12"/>
      <c r="H514" s="12"/>
    </row>
    <row r="515">
      <c r="F515" s="10"/>
      <c r="G515" s="12"/>
      <c r="H515" s="12"/>
    </row>
    <row r="516">
      <c r="F516" s="10"/>
      <c r="G516" s="12"/>
      <c r="H516" s="12"/>
    </row>
    <row r="517">
      <c r="F517" s="10"/>
      <c r="G517" s="12"/>
      <c r="H517" s="12"/>
    </row>
    <row r="518">
      <c r="F518" s="10"/>
      <c r="G518" s="12"/>
      <c r="H518" s="12"/>
    </row>
    <row r="519">
      <c r="F519" s="10"/>
      <c r="G519" s="12"/>
      <c r="H519" s="12"/>
    </row>
    <row r="520">
      <c r="F520" s="10"/>
      <c r="G520" s="12"/>
      <c r="H520" s="12"/>
    </row>
    <row r="521">
      <c r="F521" s="10"/>
      <c r="G521" s="12"/>
      <c r="H521" s="12"/>
    </row>
    <row r="522">
      <c r="F522" s="10"/>
      <c r="G522" s="12"/>
      <c r="H522" s="12"/>
    </row>
    <row r="523">
      <c r="F523" s="10"/>
      <c r="G523" s="12"/>
      <c r="H523" s="12"/>
    </row>
    <row r="524">
      <c r="F524" s="10"/>
      <c r="G524" s="12"/>
      <c r="H524" s="12"/>
    </row>
    <row r="525">
      <c r="F525" s="10"/>
      <c r="G525" s="12"/>
      <c r="H525" s="12"/>
    </row>
    <row r="526">
      <c r="F526" s="10"/>
      <c r="G526" s="12"/>
      <c r="H526" s="12"/>
    </row>
    <row r="527">
      <c r="F527" s="10"/>
      <c r="G527" s="12"/>
      <c r="H527" s="12"/>
    </row>
    <row r="528">
      <c r="F528" s="10"/>
      <c r="G528" s="12"/>
      <c r="H528" s="12"/>
    </row>
    <row r="529">
      <c r="F529" s="10"/>
      <c r="G529" s="12"/>
      <c r="H529" s="12"/>
    </row>
    <row r="530">
      <c r="F530" s="10"/>
      <c r="G530" s="12"/>
      <c r="H530" s="12"/>
    </row>
    <row r="531">
      <c r="F531" s="10"/>
      <c r="G531" s="12"/>
      <c r="H531" s="12"/>
    </row>
    <row r="532">
      <c r="F532" s="10"/>
      <c r="G532" s="12"/>
      <c r="H532" s="12"/>
    </row>
    <row r="533">
      <c r="F533" s="10"/>
      <c r="G533" s="12"/>
      <c r="H533" s="12"/>
    </row>
    <row r="534">
      <c r="F534" s="10"/>
      <c r="G534" s="12"/>
      <c r="H534" s="12"/>
    </row>
    <row r="535">
      <c r="F535" s="10"/>
      <c r="G535" s="12"/>
      <c r="H535" s="12"/>
    </row>
    <row r="536">
      <c r="F536" s="10"/>
      <c r="G536" s="12"/>
      <c r="H536" s="12"/>
    </row>
    <row r="537">
      <c r="F537" s="10"/>
      <c r="G537" s="12"/>
      <c r="H537" s="12"/>
    </row>
    <row r="538">
      <c r="F538" s="10"/>
      <c r="G538" s="12"/>
      <c r="H538" s="12"/>
    </row>
    <row r="539">
      <c r="F539" s="10"/>
      <c r="G539" s="12"/>
      <c r="H539" s="12"/>
    </row>
    <row r="540">
      <c r="F540" s="10"/>
      <c r="G540" s="12"/>
      <c r="H540" s="12"/>
    </row>
    <row r="541">
      <c r="F541" s="10"/>
      <c r="G541" s="12"/>
      <c r="H541" s="12"/>
    </row>
    <row r="542">
      <c r="F542" s="10"/>
      <c r="G542" s="12"/>
      <c r="H542" s="12"/>
    </row>
    <row r="543">
      <c r="F543" s="10"/>
      <c r="G543" s="12"/>
      <c r="H543" s="12"/>
    </row>
    <row r="544">
      <c r="F544" s="10"/>
      <c r="G544" s="12"/>
      <c r="H544" s="12"/>
    </row>
    <row r="545">
      <c r="F545" s="10"/>
      <c r="G545" s="12"/>
      <c r="H545" s="12"/>
    </row>
    <row r="546">
      <c r="F546" s="10"/>
      <c r="G546" s="12"/>
      <c r="H546" s="12"/>
    </row>
    <row r="547">
      <c r="F547" s="10"/>
      <c r="G547" s="12"/>
      <c r="H547" s="12"/>
    </row>
    <row r="548">
      <c r="F548" s="10"/>
      <c r="G548" s="12"/>
      <c r="H548" s="12"/>
    </row>
    <row r="549">
      <c r="F549" s="10"/>
      <c r="G549" s="12"/>
      <c r="H549" s="12"/>
    </row>
    <row r="550">
      <c r="F550" s="10"/>
      <c r="G550" s="12"/>
      <c r="H550" s="12"/>
    </row>
    <row r="551">
      <c r="F551" s="10"/>
      <c r="G551" s="12"/>
      <c r="H551" s="12"/>
    </row>
    <row r="552">
      <c r="F552" s="10"/>
      <c r="G552" s="12"/>
      <c r="H552" s="12"/>
    </row>
    <row r="553">
      <c r="F553" s="10"/>
      <c r="G553" s="12"/>
      <c r="H553" s="12"/>
    </row>
    <row r="554">
      <c r="F554" s="10"/>
      <c r="G554" s="12"/>
      <c r="H554" s="12"/>
    </row>
    <row r="555">
      <c r="F555" s="10"/>
      <c r="G555" s="12"/>
      <c r="H555" s="12"/>
    </row>
    <row r="556">
      <c r="F556" s="10"/>
      <c r="G556" s="12"/>
      <c r="H556" s="12"/>
    </row>
    <row r="557">
      <c r="F557" s="10"/>
      <c r="G557" s="12"/>
      <c r="H557" s="12"/>
    </row>
    <row r="558">
      <c r="F558" s="10"/>
      <c r="G558" s="12"/>
      <c r="H558" s="12"/>
    </row>
    <row r="559">
      <c r="F559" s="10"/>
      <c r="G559" s="12"/>
      <c r="H559" s="12"/>
    </row>
    <row r="560">
      <c r="F560" s="10"/>
      <c r="G560" s="12"/>
      <c r="H560" s="12"/>
    </row>
    <row r="561">
      <c r="F561" s="10"/>
      <c r="G561" s="12"/>
      <c r="H561" s="12"/>
    </row>
    <row r="562">
      <c r="F562" s="10"/>
      <c r="G562" s="12"/>
      <c r="H562" s="12"/>
    </row>
    <row r="563">
      <c r="F563" s="10"/>
      <c r="G563" s="12"/>
      <c r="H563" s="12"/>
    </row>
    <row r="564">
      <c r="F564" s="10"/>
      <c r="G564" s="12"/>
      <c r="H564" s="12"/>
    </row>
    <row r="565">
      <c r="F565" s="10"/>
      <c r="G565" s="12"/>
      <c r="H565" s="12"/>
    </row>
    <row r="566">
      <c r="F566" s="10"/>
      <c r="G566" s="12"/>
      <c r="H566" s="12"/>
    </row>
    <row r="567">
      <c r="F567" s="10"/>
      <c r="G567" s="12"/>
      <c r="H567" s="12"/>
    </row>
    <row r="568">
      <c r="F568" s="10"/>
      <c r="G568" s="12"/>
      <c r="H568" s="12"/>
    </row>
    <row r="569">
      <c r="F569" s="10"/>
      <c r="G569" s="12"/>
      <c r="H569" s="12"/>
    </row>
    <row r="570">
      <c r="F570" s="10"/>
      <c r="G570" s="12"/>
      <c r="H570" s="12"/>
    </row>
    <row r="571">
      <c r="F571" s="10"/>
      <c r="G571" s="12"/>
      <c r="H571" s="12"/>
    </row>
    <row r="572">
      <c r="F572" s="10"/>
      <c r="G572" s="12"/>
      <c r="H572" s="12"/>
    </row>
    <row r="573">
      <c r="F573" s="10"/>
      <c r="G573" s="12"/>
      <c r="H573" s="12"/>
    </row>
    <row r="574">
      <c r="F574" s="10"/>
      <c r="G574" s="12"/>
      <c r="H574" s="12"/>
    </row>
    <row r="575">
      <c r="F575" s="10"/>
      <c r="G575" s="12"/>
      <c r="H575" s="12"/>
    </row>
    <row r="576">
      <c r="F576" s="10"/>
      <c r="G576" s="12"/>
      <c r="H576" s="12"/>
    </row>
    <row r="577">
      <c r="F577" s="10"/>
      <c r="G577" s="12"/>
      <c r="H577" s="12"/>
    </row>
    <row r="578">
      <c r="F578" s="10"/>
      <c r="G578" s="12"/>
      <c r="H578" s="12"/>
    </row>
    <row r="579">
      <c r="F579" s="10"/>
      <c r="G579" s="12"/>
      <c r="H579" s="12"/>
    </row>
    <row r="580">
      <c r="F580" s="10"/>
      <c r="G580" s="12"/>
      <c r="H580" s="12"/>
    </row>
    <row r="581">
      <c r="F581" s="10"/>
      <c r="G581" s="12"/>
      <c r="H581" s="12"/>
    </row>
    <row r="582">
      <c r="F582" s="10"/>
      <c r="G582" s="12"/>
      <c r="H582" s="12"/>
    </row>
    <row r="583">
      <c r="F583" s="10"/>
      <c r="G583" s="12"/>
      <c r="H583" s="12"/>
    </row>
    <row r="584">
      <c r="F584" s="10"/>
      <c r="G584" s="12"/>
      <c r="H584" s="12"/>
    </row>
    <row r="585">
      <c r="F585" s="10"/>
      <c r="G585" s="12"/>
      <c r="H585" s="12"/>
    </row>
    <row r="586">
      <c r="F586" s="10"/>
      <c r="G586" s="12"/>
      <c r="H586" s="12"/>
    </row>
    <row r="587">
      <c r="F587" s="10"/>
      <c r="G587" s="12"/>
      <c r="H587" s="12"/>
    </row>
    <row r="588">
      <c r="F588" s="10"/>
      <c r="G588" s="12"/>
      <c r="H588" s="12"/>
    </row>
    <row r="589">
      <c r="F589" s="10"/>
      <c r="G589" s="12"/>
      <c r="H589" s="12"/>
    </row>
    <row r="590">
      <c r="F590" s="10"/>
      <c r="G590" s="12"/>
      <c r="H590" s="12"/>
    </row>
    <row r="591">
      <c r="F591" s="10"/>
      <c r="G591" s="12"/>
      <c r="H591" s="12"/>
    </row>
    <row r="592">
      <c r="F592" s="10"/>
      <c r="G592" s="12"/>
      <c r="H592" s="12"/>
    </row>
    <row r="593">
      <c r="F593" s="10"/>
      <c r="G593" s="12"/>
      <c r="H593" s="12"/>
    </row>
    <row r="594">
      <c r="F594" s="10"/>
      <c r="G594" s="12"/>
      <c r="H594" s="12"/>
    </row>
    <row r="595">
      <c r="F595" s="10"/>
      <c r="G595" s="12"/>
      <c r="H595" s="12"/>
    </row>
    <row r="596">
      <c r="F596" s="10"/>
      <c r="G596" s="12"/>
      <c r="H596" s="12"/>
    </row>
    <row r="597">
      <c r="F597" s="10"/>
      <c r="G597" s="12"/>
      <c r="H597" s="12"/>
    </row>
    <row r="598">
      <c r="F598" s="10"/>
      <c r="G598" s="12"/>
      <c r="H598" s="12"/>
    </row>
    <row r="599">
      <c r="F599" s="10"/>
      <c r="G599" s="12"/>
      <c r="H599" s="12"/>
    </row>
    <row r="600">
      <c r="F600" s="10"/>
      <c r="G600" s="12"/>
      <c r="H600" s="12"/>
    </row>
    <row r="601">
      <c r="F601" s="10"/>
      <c r="G601" s="12"/>
      <c r="H601" s="12"/>
    </row>
    <row r="602">
      <c r="F602" s="10"/>
      <c r="G602" s="12"/>
      <c r="H602" s="12"/>
    </row>
    <row r="603">
      <c r="F603" s="10"/>
      <c r="G603" s="12"/>
      <c r="H603" s="12"/>
    </row>
    <row r="604">
      <c r="F604" s="10"/>
      <c r="G604" s="12"/>
      <c r="H604" s="12"/>
    </row>
    <row r="605">
      <c r="F605" s="10"/>
      <c r="G605" s="12"/>
      <c r="H605" s="12"/>
    </row>
    <row r="606">
      <c r="F606" s="10"/>
      <c r="G606" s="12"/>
      <c r="H606" s="12"/>
    </row>
    <row r="607">
      <c r="F607" s="10"/>
      <c r="G607" s="12"/>
      <c r="H607" s="12"/>
    </row>
    <row r="608">
      <c r="F608" s="10"/>
      <c r="G608" s="12"/>
      <c r="H608" s="12"/>
    </row>
    <row r="609">
      <c r="F609" s="10"/>
      <c r="G609" s="12"/>
      <c r="H609" s="12"/>
    </row>
    <row r="610">
      <c r="F610" s="10"/>
      <c r="G610" s="12"/>
      <c r="H610" s="12"/>
    </row>
    <row r="611">
      <c r="F611" s="10"/>
      <c r="G611" s="12"/>
      <c r="H611" s="12"/>
    </row>
    <row r="612">
      <c r="F612" s="10"/>
      <c r="G612" s="12"/>
      <c r="H612" s="12"/>
    </row>
    <row r="613">
      <c r="F613" s="10"/>
      <c r="G613" s="12"/>
      <c r="H613" s="12"/>
    </row>
    <row r="614">
      <c r="F614" s="10"/>
      <c r="G614" s="12"/>
      <c r="H614" s="12"/>
    </row>
    <row r="615">
      <c r="F615" s="10"/>
      <c r="G615" s="12"/>
      <c r="H615" s="12"/>
    </row>
    <row r="616">
      <c r="F616" s="10"/>
      <c r="G616" s="12"/>
      <c r="H616" s="12"/>
    </row>
    <row r="617">
      <c r="F617" s="10"/>
      <c r="G617" s="12"/>
      <c r="H617" s="12"/>
    </row>
    <row r="618">
      <c r="F618" s="10"/>
      <c r="G618" s="12"/>
      <c r="H618" s="12"/>
    </row>
    <row r="619">
      <c r="F619" s="10"/>
      <c r="G619" s="12"/>
      <c r="H619" s="12"/>
    </row>
    <row r="620">
      <c r="F620" s="10"/>
      <c r="G620" s="12"/>
      <c r="H620" s="12"/>
    </row>
    <row r="621">
      <c r="F621" s="10"/>
      <c r="G621" s="12"/>
      <c r="H621" s="12"/>
    </row>
    <row r="622">
      <c r="F622" s="10"/>
      <c r="G622" s="12"/>
      <c r="H622" s="12"/>
    </row>
    <row r="623">
      <c r="F623" s="10"/>
      <c r="G623" s="12"/>
      <c r="H623" s="12"/>
    </row>
    <row r="624">
      <c r="F624" s="10"/>
      <c r="G624" s="12"/>
      <c r="H624" s="12"/>
    </row>
    <row r="625">
      <c r="F625" s="10"/>
      <c r="G625" s="12"/>
      <c r="H625" s="12"/>
    </row>
    <row r="626">
      <c r="F626" s="10"/>
      <c r="G626" s="12"/>
      <c r="H626" s="12"/>
    </row>
    <row r="627">
      <c r="F627" s="10"/>
      <c r="G627" s="12"/>
      <c r="H627" s="12"/>
    </row>
    <row r="628">
      <c r="F628" s="10"/>
      <c r="G628" s="12"/>
      <c r="H628" s="12"/>
    </row>
    <row r="629">
      <c r="F629" s="10"/>
      <c r="G629" s="12"/>
      <c r="H629" s="12"/>
    </row>
    <row r="630">
      <c r="F630" s="10"/>
      <c r="G630" s="12"/>
      <c r="H630" s="12"/>
    </row>
    <row r="631">
      <c r="F631" s="10"/>
      <c r="G631" s="12"/>
      <c r="H631" s="12"/>
    </row>
    <row r="632">
      <c r="F632" s="10"/>
      <c r="G632" s="12"/>
      <c r="H632" s="12"/>
    </row>
    <row r="633">
      <c r="F633" s="10"/>
      <c r="G633" s="12"/>
      <c r="H633" s="12"/>
    </row>
    <row r="634">
      <c r="F634" s="10"/>
      <c r="G634" s="12"/>
      <c r="H634" s="12"/>
    </row>
    <row r="635">
      <c r="F635" s="10"/>
      <c r="G635" s="12"/>
      <c r="H635" s="12"/>
    </row>
    <row r="636">
      <c r="F636" s="10"/>
      <c r="G636" s="12"/>
      <c r="H636" s="12"/>
    </row>
    <row r="637">
      <c r="F637" s="10"/>
      <c r="G637" s="12"/>
      <c r="H637" s="12"/>
    </row>
    <row r="638">
      <c r="F638" s="10"/>
      <c r="G638" s="12"/>
      <c r="H638" s="12"/>
    </row>
    <row r="639">
      <c r="F639" s="10"/>
      <c r="G639" s="12"/>
      <c r="H639" s="12"/>
    </row>
    <row r="640">
      <c r="F640" s="10"/>
      <c r="G640" s="12"/>
      <c r="H640" s="12"/>
    </row>
    <row r="641">
      <c r="F641" s="10"/>
      <c r="G641" s="12"/>
      <c r="H641" s="12"/>
    </row>
    <row r="642">
      <c r="F642" s="10"/>
      <c r="G642" s="12"/>
      <c r="H642" s="12"/>
    </row>
    <row r="643">
      <c r="F643" s="10"/>
      <c r="G643" s="12"/>
      <c r="H643" s="12"/>
    </row>
    <row r="644">
      <c r="F644" s="10"/>
      <c r="G644" s="12"/>
      <c r="H644" s="12"/>
    </row>
    <row r="645">
      <c r="F645" s="10"/>
      <c r="G645" s="12"/>
      <c r="H645" s="12"/>
    </row>
    <row r="646">
      <c r="F646" s="10"/>
      <c r="G646" s="12"/>
      <c r="H646" s="12"/>
    </row>
    <row r="647">
      <c r="F647" s="10"/>
      <c r="G647" s="12"/>
      <c r="H647" s="12"/>
    </row>
    <row r="648">
      <c r="F648" s="10"/>
      <c r="G648" s="12"/>
      <c r="H648" s="12"/>
    </row>
    <row r="649">
      <c r="F649" s="10"/>
      <c r="G649" s="12"/>
      <c r="H649" s="12"/>
    </row>
    <row r="650">
      <c r="F650" s="10"/>
      <c r="G650" s="12"/>
      <c r="H650" s="12"/>
    </row>
    <row r="651">
      <c r="F651" s="10"/>
      <c r="G651" s="12"/>
      <c r="H651" s="12"/>
    </row>
    <row r="652">
      <c r="F652" s="10"/>
      <c r="G652" s="12"/>
      <c r="H652" s="12"/>
    </row>
    <row r="653">
      <c r="F653" s="10"/>
      <c r="G653" s="12"/>
      <c r="H653" s="12"/>
    </row>
    <row r="654">
      <c r="F654" s="10"/>
      <c r="G654" s="12"/>
      <c r="H654" s="12"/>
    </row>
    <row r="655">
      <c r="F655" s="10"/>
      <c r="G655" s="12"/>
      <c r="H655" s="12"/>
    </row>
    <row r="656">
      <c r="F656" s="10"/>
      <c r="G656" s="12"/>
      <c r="H656" s="12"/>
    </row>
    <row r="657">
      <c r="F657" s="10"/>
      <c r="G657" s="12"/>
      <c r="H657" s="12"/>
    </row>
    <row r="658">
      <c r="F658" s="10"/>
      <c r="G658" s="12"/>
      <c r="H658" s="12"/>
    </row>
    <row r="659">
      <c r="F659" s="10"/>
      <c r="G659" s="12"/>
      <c r="H659" s="12"/>
    </row>
    <row r="660">
      <c r="F660" s="10"/>
      <c r="G660" s="12"/>
      <c r="H660" s="12"/>
    </row>
    <row r="661">
      <c r="F661" s="10"/>
      <c r="G661" s="12"/>
      <c r="H661" s="12"/>
    </row>
    <row r="662">
      <c r="F662" s="10"/>
      <c r="G662" s="12"/>
      <c r="H662" s="12"/>
    </row>
    <row r="663">
      <c r="F663" s="10"/>
      <c r="G663" s="12"/>
      <c r="H663" s="12"/>
    </row>
    <row r="664">
      <c r="F664" s="10"/>
      <c r="G664" s="12"/>
      <c r="H664" s="12"/>
    </row>
    <row r="665">
      <c r="F665" s="10"/>
      <c r="G665" s="12"/>
      <c r="H665" s="12"/>
    </row>
    <row r="666">
      <c r="F666" s="10"/>
      <c r="G666" s="12"/>
      <c r="H666" s="12"/>
    </row>
    <row r="667">
      <c r="F667" s="10"/>
      <c r="G667" s="12"/>
      <c r="H667" s="12"/>
    </row>
    <row r="668">
      <c r="F668" s="10"/>
      <c r="G668" s="12"/>
      <c r="H668" s="12"/>
    </row>
    <row r="669">
      <c r="F669" s="10"/>
      <c r="G669" s="12"/>
      <c r="H669" s="12"/>
    </row>
    <row r="670">
      <c r="F670" s="10"/>
      <c r="G670" s="12"/>
      <c r="H670" s="12"/>
    </row>
    <row r="671">
      <c r="F671" s="10"/>
      <c r="G671" s="12"/>
      <c r="H671" s="12"/>
    </row>
    <row r="672">
      <c r="F672" s="10"/>
      <c r="G672" s="12"/>
      <c r="H672" s="12"/>
    </row>
    <row r="673">
      <c r="F673" s="10"/>
      <c r="G673" s="12"/>
      <c r="H673" s="12"/>
    </row>
    <row r="674">
      <c r="F674" s="10"/>
      <c r="G674" s="12"/>
      <c r="H674" s="12"/>
    </row>
    <row r="675">
      <c r="F675" s="10"/>
      <c r="G675" s="12"/>
      <c r="H675" s="12"/>
    </row>
    <row r="676">
      <c r="F676" s="10"/>
      <c r="G676" s="12"/>
      <c r="H676" s="12"/>
    </row>
    <row r="677">
      <c r="F677" s="10"/>
      <c r="G677" s="12"/>
      <c r="H677" s="12"/>
    </row>
    <row r="678">
      <c r="F678" s="10"/>
      <c r="G678" s="12"/>
      <c r="H678" s="12"/>
    </row>
    <row r="679">
      <c r="F679" s="10"/>
      <c r="G679" s="12"/>
      <c r="H679" s="12"/>
    </row>
    <row r="680">
      <c r="F680" s="10"/>
      <c r="G680" s="12"/>
      <c r="H680" s="12"/>
    </row>
    <row r="681">
      <c r="F681" s="10"/>
      <c r="G681" s="12"/>
      <c r="H681" s="12"/>
    </row>
    <row r="682">
      <c r="F682" s="10"/>
      <c r="G682" s="12"/>
      <c r="H682" s="12"/>
    </row>
    <row r="683">
      <c r="F683" s="10"/>
      <c r="G683" s="12"/>
      <c r="H683" s="12"/>
    </row>
    <row r="684">
      <c r="F684" s="10"/>
      <c r="G684" s="12"/>
      <c r="H684" s="12"/>
    </row>
    <row r="685">
      <c r="F685" s="10"/>
      <c r="G685" s="12"/>
      <c r="H685" s="12"/>
    </row>
    <row r="686">
      <c r="F686" s="10"/>
      <c r="G686" s="12"/>
      <c r="H686" s="12"/>
    </row>
    <row r="687">
      <c r="F687" s="10"/>
      <c r="G687" s="12"/>
      <c r="H687" s="12"/>
    </row>
    <row r="688">
      <c r="F688" s="10"/>
      <c r="G688" s="12"/>
      <c r="H688" s="12"/>
    </row>
    <row r="689">
      <c r="F689" s="10"/>
      <c r="G689" s="12"/>
      <c r="H689" s="12"/>
    </row>
    <row r="690">
      <c r="F690" s="10"/>
      <c r="G690" s="12"/>
      <c r="H690" s="12"/>
    </row>
    <row r="691">
      <c r="F691" s="10"/>
      <c r="G691" s="12"/>
      <c r="H691" s="12"/>
    </row>
    <row r="692">
      <c r="F692" s="10"/>
      <c r="G692" s="12"/>
      <c r="H692" s="12"/>
    </row>
    <row r="693">
      <c r="F693" s="10"/>
      <c r="G693" s="12"/>
      <c r="H693" s="12"/>
    </row>
    <row r="694">
      <c r="F694" s="10"/>
      <c r="G694" s="12"/>
      <c r="H694" s="12"/>
    </row>
    <row r="695">
      <c r="F695" s="10"/>
      <c r="G695" s="12"/>
      <c r="H695" s="12"/>
    </row>
    <row r="696">
      <c r="F696" s="10"/>
      <c r="G696" s="12"/>
      <c r="H696" s="12"/>
    </row>
    <row r="697">
      <c r="F697" s="10"/>
      <c r="G697" s="12"/>
      <c r="H697" s="12"/>
    </row>
    <row r="698">
      <c r="F698" s="10"/>
      <c r="G698" s="12"/>
      <c r="H698" s="12"/>
    </row>
    <row r="699">
      <c r="F699" s="10"/>
      <c r="G699" s="12"/>
      <c r="H699" s="12"/>
    </row>
    <row r="700">
      <c r="F700" s="10"/>
      <c r="G700" s="12"/>
      <c r="H700" s="12"/>
    </row>
    <row r="701">
      <c r="F701" s="10"/>
      <c r="G701" s="12"/>
      <c r="H701" s="12"/>
    </row>
    <row r="702">
      <c r="F702" s="10"/>
      <c r="G702" s="12"/>
      <c r="H702" s="12"/>
    </row>
    <row r="703">
      <c r="F703" s="10"/>
      <c r="G703" s="12"/>
      <c r="H703" s="12"/>
    </row>
    <row r="704">
      <c r="F704" s="10"/>
      <c r="G704" s="12"/>
      <c r="H704" s="12"/>
    </row>
    <row r="705">
      <c r="F705" s="10"/>
      <c r="G705" s="12"/>
      <c r="H705" s="12"/>
    </row>
    <row r="706">
      <c r="F706" s="10"/>
      <c r="G706" s="12"/>
      <c r="H706" s="12"/>
    </row>
    <row r="707">
      <c r="F707" s="10"/>
      <c r="G707" s="12"/>
      <c r="H707" s="12"/>
    </row>
    <row r="708">
      <c r="F708" s="10"/>
      <c r="G708" s="12"/>
      <c r="H708" s="12"/>
    </row>
    <row r="709">
      <c r="F709" s="10"/>
      <c r="G709" s="12"/>
      <c r="H709" s="12"/>
    </row>
    <row r="710">
      <c r="F710" s="10"/>
      <c r="G710" s="12"/>
      <c r="H710" s="12"/>
    </row>
    <row r="711">
      <c r="F711" s="10"/>
      <c r="G711" s="12"/>
      <c r="H711" s="12"/>
    </row>
    <row r="712">
      <c r="F712" s="10"/>
      <c r="G712" s="12"/>
      <c r="H712" s="12"/>
    </row>
    <row r="713">
      <c r="F713" s="10"/>
      <c r="G713" s="12"/>
      <c r="H713" s="12"/>
    </row>
    <row r="714">
      <c r="F714" s="10"/>
      <c r="G714" s="12"/>
      <c r="H714" s="12"/>
    </row>
    <row r="715">
      <c r="F715" s="10"/>
      <c r="G715" s="12"/>
      <c r="H715" s="12"/>
    </row>
    <row r="716">
      <c r="F716" s="10"/>
      <c r="G716" s="12"/>
      <c r="H716" s="12"/>
    </row>
    <row r="717">
      <c r="F717" s="10"/>
      <c r="G717" s="12"/>
      <c r="H717" s="12"/>
    </row>
    <row r="718">
      <c r="F718" s="10"/>
      <c r="G718" s="12"/>
      <c r="H718" s="12"/>
    </row>
    <row r="719">
      <c r="F719" s="10"/>
      <c r="G719" s="12"/>
      <c r="H719" s="12"/>
    </row>
    <row r="720">
      <c r="F720" s="10"/>
      <c r="G720" s="12"/>
      <c r="H720" s="12"/>
    </row>
    <row r="721">
      <c r="F721" s="10"/>
      <c r="G721" s="12"/>
      <c r="H721" s="12"/>
    </row>
    <row r="722">
      <c r="F722" s="10"/>
      <c r="G722" s="12"/>
      <c r="H722" s="12"/>
    </row>
    <row r="723">
      <c r="F723" s="10"/>
      <c r="G723" s="12"/>
      <c r="H723" s="12"/>
    </row>
    <row r="724">
      <c r="F724" s="10"/>
      <c r="G724" s="12"/>
      <c r="H724" s="12"/>
    </row>
    <row r="725">
      <c r="F725" s="10"/>
      <c r="G725" s="12"/>
      <c r="H725" s="12"/>
    </row>
    <row r="726">
      <c r="F726" s="10"/>
      <c r="G726" s="12"/>
      <c r="H726" s="12"/>
    </row>
    <row r="727">
      <c r="F727" s="10"/>
      <c r="G727" s="12"/>
      <c r="H727" s="12"/>
    </row>
    <row r="728">
      <c r="F728" s="10"/>
      <c r="G728" s="12"/>
      <c r="H728" s="12"/>
    </row>
    <row r="729">
      <c r="F729" s="10"/>
      <c r="G729" s="12"/>
      <c r="H729" s="12"/>
    </row>
    <row r="730">
      <c r="F730" s="10"/>
      <c r="G730" s="12"/>
      <c r="H730" s="12"/>
    </row>
    <row r="731">
      <c r="F731" s="10"/>
      <c r="G731" s="12"/>
      <c r="H731" s="12"/>
    </row>
    <row r="732">
      <c r="F732" s="10"/>
      <c r="G732" s="12"/>
      <c r="H732" s="12"/>
    </row>
    <row r="733">
      <c r="F733" s="10"/>
      <c r="G733" s="12"/>
      <c r="H733" s="12"/>
    </row>
    <row r="734">
      <c r="F734" s="10"/>
      <c r="G734" s="12"/>
      <c r="H734" s="12"/>
    </row>
    <row r="735">
      <c r="F735" s="10"/>
      <c r="G735" s="12"/>
      <c r="H735" s="12"/>
    </row>
    <row r="736">
      <c r="F736" s="10"/>
      <c r="G736" s="12"/>
      <c r="H736" s="12"/>
    </row>
    <row r="737">
      <c r="F737" s="10"/>
      <c r="G737" s="12"/>
      <c r="H737" s="12"/>
    </row>
    <row r="738">
      <c r="F738" s="10"/>
      <c r="G738" s="12"/>
      <c r="H738" s="12"/>
    </row>
    <row r="739">
      <c r="F739" s="10"/>
      <c r="G739" s="12"/>
      <c r="H739" s="12"/>
    </row>
    <row r="740">
      <c r="F740" s="10"/>
      <c r="G740" s="12"/>
      <c r="H740" s="12"/>
    </row>
    <row r="741">
      <c r="F741" s="10"/>
      <c r="G741" s="12"/>
      <c r="H741" s="12"/>
    </row>
    <row r="742">
      <c r="F742" s="10"/>
      <c r="G742" s="12"/>
      <c r="H742" s="12"/>
    </row>
    <row r="743">
      <c r="F743" s="10"/>
      <c r="G743" s="12"/>
      <c r="H743" s="12"/>
    </row>
    <row r="744">
      <c r="F744" s="10"/>
      <c r="G744" s="12"/>
      <c r="H744" s="12"/>
    </row>
    <row r="745">
      <c r="F745" s="10"/>
      <c r="G745" s="12"/>
      <c r="H745" s="12"/>
    </row>
    <row r="746">
      <c r="F746" s="10"/>
      <c r="G746" s="12"/>
      <c r="H746" s="12"/>
    </row>
    <row r="747">
      <c r="F747" s="10"/>
      <c r="G747" s="12"/>
      <c r="H747" s="12"/>
    </row>
    <row r="748">
      <c r="F748" s="10"/>
      <c r="G748" s="12"/>
      <c r="H748" s="12"/>
    </row>
    <row r="749">
      <c r="F749" s="10"/>
      <c r="G749" s="12"/>
      <c r="H749" s="12"/>
    </row>
    <row r="750">
      <c r="F750" s="10"/>
      <c r="G750" s="12"/>
      <c r="H750" s="12"/>
    </row>
    <row r="751">
      <c r="F751" s="10"/>
      <c r="G751" s="12"/>
      <c r="H751" s="12"/>
    </row>
    <row r="752">
      <c r="F752" s="10"/>
      <c r="G752" s="12"/>
      <c r="H752" s="12"/>
    </row>
    <row r="753">
      <c r="F753" s="10"/>
      <c r="G753" s="12"/>
      <c r="H753" s="12"/>
    </row>
    <row r="754">
      <c r="F754" s="10"/>
      <c r="G754" s="12"/>
      <c r="H754" s="12"/>
    </row>
    <row r="755">
      <c r="F755" s="10"/>
      <c r="G755" s="12"/>
      <c r="H755" s="12"/>
    </row>
    <row r="756">
      <c r="F756" s="10"/>
      <c r="G756" s="12"/>
      <c r="H756" s="12"/>
    </row>
    <row r="757">
      <c r="F757" s="10"/>
      <c r="G757" s="12"/>
      <c r="H757" s="12"/>
    </row>
    <row r="758">
      <c r="F758" s="10"/>
      <c r="G758" s="12"/>
      <c r="H758" s="12"/>
    </row>
    <row r="759">
      <c r="F759" s="10"/>
      <c r="G759" s="12"/>
      <c r="H759" s="12"/>
    </row>
    <row r="760">
      <c r="F760" s="10"/>
      <c r="G760" s="12"/>
      <c r="H760" s="12"/>
    </row>
    <row r="761">
      <c r="F761" s="10"/>
      <c r="G761" s="12"/>
      <c r="H761" s="12"/>
    </row>
    <row r="762">
      <c r="F762" s="10"/>
      <c r="G762" s="12"/>
      <c r="H762" s="12"/>
    </row>
    <row r="763">
      <c r="F763" s="10"/>
      <c r="G763" s="12"/>
      <c r="H763" s="12"/>
    </row>
    <row r="764">
      <c r="F764" s="10"/>
      <c r="G764" s="12"/>
      <c r="H764" s="12"/>
    </row>
    <row r="765">
      <c r="F765" s="10"/>
      <c r="G765" s="12"/>
      <c r="H765" s="12"/>
    </row>
    <row r="766">
      <c r="F766" s="10"/>
      <c r="G766" s="12"/>
      <c r="H766" s="12"/>
    </row>
    <row r="767">
      <c r="F767" s="10"/>
      <c r="G767" s="12"/>
      <c r="H767" s="12"/>
    </row>
    <row r="768">
      <c r="F768" s="10"/>
      <c r="G768" s="12"/>
      <c r="H768" s="12"/>
    </row>
    <row r="769">
      <c r="F769" s="10"/>
      <c r="G769" s="12"/>
      <c r="H769" s="12"/>
    </row>
    <row r="770">
      <c r="F770" s="10"/>
      <c r="G770" s="12"/>
      <c r="H770" s="12"/>
    </row>
    <row r="771">
      <c r="F771" s="10"/>
      <c r="G771" s="12"/>
      <c r="H771" s="12"/>
    </row>
    <row r="772">
      <c r="F772" s="10"/>
      <c r="G772" s="12"/>
      <c r="H772" s="12"/>
    </row>
    <row r="773">
      <c r="F773" s="10"/>
      <c r="G773" s="12"/>
      <c r="H773" s="12"/>
    </row>
    <row r="774">
      <c r="F774" s="10"/>
      <c r="G774" s="12"/>
      <c r="H774" s="12"/>
    </row>
    <row r="775">
      <c r="F775" s="10"/>
      <c r="G775" s="12"/>
      <c r="H775" s="12"/>
    </row>
    <row r="776">
      <c r="F776" s="10"/>
      <c r="G776" s="12"/>
      <c r="H776" s="12"/>
    </row>
    <row r="777">
      <c r="F777" s="10"/>
      <c r="G777" s="12"/>
      <c r="H777" s="12"/>
    </row>
    <row r="778">
      <c r="F778" s="10"/>
      <c r="G778" s="12"/>
      <c r="H778" s="12"/>
    </row>
    <row r="779">
      <c r="F779" s="10"/>
      <c r="G779" s="12"/>
      <c r="H779" s="12"/>
    </row>
    <row r="780">
      <c r="F780" s="10"/>
      <c r="G780" s="12"/>
      <c r="H780" s="12"/>
    </row>
    <row r="781">
      <c r="F781" s="10"/>
      <c r="G781" s="12"/>
      <c r="H781" s="12"/>
    </row>
    <row r="782">
      <c r="F782" s="10"/>
      <c r="G782" s="12"/>
      <c r="H782" s="12"/>
    </row>
    <row r="783">
      <c r="F783" s="10"/>
      <c r="G783" s="12"/>
      <c r="H783" s="12"/>
    </row>
    <row r="784">
      <c r="F784" s="10"/>
      <c r="G784" s="12"/>
      <c r="H784" s="12"/>
    </row>
    <row r="785">
      <c r="F785" s="10"/>
      <c r="G785" s="12"/>
      <c r="H785" s="12"/>
    </row>
    <row r="786">
      <c r="F786" s="10"/>
      <c r="G786" s="12"/>
      <c r="H786" s="12"/>
    </row>
    <row r="787">
      <c r="F787" s="10"/>
      <c r="G787" s="12"/>
      <c r="H787" s="12"/>
    </row>
    <row r="788">
      <c r="F788" s="10"/>
      <c r="G788" s="12"/>
      <c r="H788" s="12"/>
    </row>
    <row r="789">
      <c r="F789" s="10"/>
      <c r="G789" s="12"/>
      <c r="H789" s="12"/>
    </row>
    <row r="790">
      <c r="F790" s="10"/>
      <c r="G790" s="12"/>
      <c r="H790" s="12"/>
    </row>
    <row r="791">
      <c r="F791" s="10"/>
      <c r="G791" s="12"/>
      <c r="H791" s="12"/>
    </row>
    <row r="792">
      <c r="F792" s="10"/>
      <c r="G792" s="12"/>
      <c r="H792" s="12"/>
    </row>
    <row r="793">
      <c r="F793" s="10"/>
      <c r="G793" s="12"/>
      <c r="H793" s="12"/>
    </row>
    <row r="794">
      <c r="F794" s="10"/>
      <c r="G794" s="12"/>
      <c r="H794" s="12"/>
    </row>
    <row r="795">
      <c r="F795" s="10"/>
      <c r="G795" s="12"/>
      <c r="H795" s="12"/>
    </row>
    <row r="796">
      <c r="F796" s="10"/>
      <c r="G796" s="12"/>
      <c r="H796" s="12"/>
    </row>
    <row r="797">
      <c r="F797" s="10"/>
      <c r="G797" s="12"/>
      <c r="H797" s="12"/>
    </row>
    <row r="798">
      <c r="F798" s="10"/>
      <c r="G798" s="12"/>
      <c r="H798" s="12"/>
    </row>
    <row r="799">
      <c r="F799" s="10"/>
      <c r="G799" s="12"/>
      <c r="H799" s="12"/>
    </row>
    <row r="800">
      <c r="F800" s="10"/>
      <c r="G800" s="12"/>
      <c r="H800" s="12"/>
    </row>
    <row r="801">
      <c r="F801" s="10"/>
      <c r="G801" s="12"/>
      <c r="H801" s="12"/>
    </row>
    <row r="802">
      <c r="F802" s="10"/>
      <c r="G802" s="12"/>
      <c r="H802" s="12"/>
    </row>
    <row r="803">
      <c r="F803" s="10"/>
      <c r="G803" s="12"/>
      <c r="H803" s="12"/>
    </row>
    <row r="804">
      <c r="F804" s="10"/>
      <c r="G804" s="12"/>
      <c r="H804" s="12"/>
    </row>
    <row r="805">
      <c r="F805" s="10"/>
      <c r="G805" s="12"/>
      <c r="H805" s="12"/>
    </row>
    <row r="806">
      <c r="F806" s="10"/>
      <c r="G806" s="12"/>
      <c r="H806" s="12"/>
    </row>
    <row r="807">
      <c r="F807" s="10"/>
      <c r="G807" s="12"/>
      <c r="H807" s="12"/>
    </row>
    <row r="808">
      <c r="F808" s="10"/>
      <c r="G808" s="12"/>
      <c r="H808" s="12"/>
    </row>
    <row r="809">
      <c r="F809" s="10"/>
      <c r="G809" s="12"/>
      <c r="H809" s="12"/>
    </row>
    <row r="810">
      <c r="F810" s="10"/>
      <c r="G810" s="12"/>
      <c r="H810" s="12"/>
    </row>
    <row r="811">
      <c r="F811" s="10"/>
      <c r="G811" s="12"/>
      <c r="H811" s="12"/>
    </row>
    <row r="812">
      <c r="F812" s="10"/>
      <c r="G812" s="12"/>
      <c r="H812" s="12"/>
    </row>
    <row r="813">
      <c r="F813" s="10"/>
      <c r="G813" s="12"/>
      <c r="H813" s="12"/>
    </row>
    <row r="814">
      <c r="F814" s="10"/>
      <c r="G814" s="12"/>
      <c r="H814" s="12"/>
    </row>
    <row r="815">
      <c r="F815" s="10"/>
      <c r="G815" s="12"/>
      <c r="H815" s="12"/>
    </row>
    <row r="816">
      <c r="F816" s="10"/>
      <c r="G816" s="12"/>
      <c r="H816" s="12"/>
    </row>
    <row r="817">
      <c r="F817" s="10"/>
      <c r="G817" s="12"/>
      <c r="H817" s="12"/>
    </row>
    <row r="818">
      <c r="F818" s="10"/>
      <c r="G818" s="12"/>
      <c r="H818" s="12"/>
    </row>
    <row r="819">
      <c r="F819" s="10"/>
      <c r="G819" s="12"/>
      <c r="H819" s="12"/>
    </row>
    <row r="820">
      <c r="F820" s="10"/>
      <c r="G820" s="12"/>
      <c r="H820" s="12"/>
    </row>
    <row r="821">
      <c r="F821" s="10"/>
      <c r="G821" s="12"/>
      <c r="H821" s="12"/>
    </row>
    <row r="822">
      <c r="F822" s="10"/>
      <c r="G822" s="12"/>
      <c r="H822" s="12"/>
    </row>
    <row r="823">
      <c r="F823" s="10"/>
      <c r="G823" s="12"/>
      <c r="H823" s="12"/>
    </row>
    <row r="824">
      <c r="F824" s="10"/>
      <c r="G824" s="12"/>
      <c r="H824" s="12"/>
    </row>
    <row r="825">
      <c r="F825" s="10"/>
      <c r="G825" s="12"/>
      <c r="H825" s="12"/>
    </row>
    <row r="826">
      <c r="F826" s="10"/>
      <c r="G826" s="12"/>
      <c r="H826" s="12"/>
    </row>
    <row r="827">
      <c r="F827" s="10"/>
      <c r="G827" s="12"/>
      <c r="H827" s="12"/>
    </row>
    <row r="828">
      <c r="F828" s="10"/>
      <c r="G828" s="12"/>
      <c r="H828" s="12"/>
    </row>
    <row r="829">
      <c r="F829" s="10"/>
      <c r="G829" s="12"/>
      <c r="H829" s="12"/>
    </row>
    <row r="830">
      <c r="F830" s="10"/>
      <c r="G830" s="12"/>
      <c r="H830" s="12"/>
    </row>
    <row r="831">
      <c r="F831" s="10"/>
      <c r="G831" s="12"/>
      <c r="H831" s="12"/>
    </row>
    <row r="832">
      <c r="F832" s="10"/>
      <c r="G832" s="12"/>
      <c r="H832" s="12"/>
    </row>
    <row r="833">
      <c r="F833" s="10"/>
      <c r="G833" s="12"/>
      <c r="H833" s="12"/>
    </row>
    <row r="834">
      <c r="F834" s="10"/>
      <c r="G834" s="12"/>
      <c r="H834" s="12"/>
    </row>
    <row r="835">
      <c r="F835" s="10"/>
      <c r="G835" s="12"/>
      <c r="H835" s="12"/>
    </row>
    <row r="836">
      <c r="F836" s="10"/>
      <c r="G836" s="12"/>
      <c r="H836" s="12"/>
    </row>
    <row r="837">
      <c r="F837" s="10"/>
      <c r="G837" s="12"/>
      <c r="H837" s="12"/>
    </row>
    <row r="838">
      <c r="F838" s="10"/>
      <c r="G838" s="12"/>
      <c r="H838" s="12"/>
    </row>
    <row r="839">
      <c r="F839" s="10"/>
      <c r="G839" s="12"/>
      <c r="H839" s="12"/>
    </row>
    <row r="840">
      <c r="F840" s="10"/>
      <c r="G840" s="12"/>
      <c r="H840" s="12"/>
    </row>
    <row r="841">
      <c r="F841" s="10"/>
      <c r="G841" s="12"/>
      <c r="H841" s="12"/>
    </row>
    <row r="842">
      <c r="F842" s="10"/>
      <c r="G842" s="12"/>
      <c r="H842" s="12"/>
    </row>
    <row r="843">
      <c r="F843" s="10"/>
      <c r="G843" s="12"/>
      <c r="H843" s="12"/>
    </row>
    <row r="844">
      <c r="F844" s="10"/>
      <c r="G844" s="12"/>
      <c r="H844" s="12"/>
    </row>
    <row r="845">
      <c r="F845" s="10"/>
      <c r="G845" s="12"/>
      <c r="H845" s="12"/>
    </row>
    <row r="846">
      <c r="F846" s="10"/>
      <c r="G846" s="12"/>
      <c r="H846" s="12"/>
    </row>
    <row r="847">
      <c r="F847" s="10"/>
      <c r="G847" s="12"/>
      <c r="H847" s="12"/>
    </row>
    <row r="848">
      <c r="F848" s="10"/>
      <c r="G848" s="12"/>
      <c r="H848" s="12"/>
    </row>
    <row r="849">
      <c r="F849" s="10"/>
      <c r="G849" s="12"/>
      <c r="H849" s="12"/>
    </row>
    <row r="850">
      <c r="F850" s="10"/>
      <c r="G850" s="12"/>
      <c r="H850" s="12"/>
    </row>
    <row r="851">
      <c r="F851" s="10"/>
      <c r="G851" s="12"/>
      <c r="H851" s="12"/>
    </row>
    <row r="852">
      <c r="F852" s="10"/>
      <c r="G852" s="12"/>
      <c r="H852" s="12"/>
    </row>
    <row r="853">
      <c r="F853" s="10"/>
      <c r="G853" s="12"/>
      <c r="H853" s="12"/>
    </row>
    <row r="854">
      <c r="F854" s="10"/>
      <c r="G854" s="12"/>
      <c r="H854" s="12"/>
    </row>
    <row r="855">
      <c r="F855" s="10"/>
      <c r="G855" s="12"/>
      <c r="H855" s="12"/>
    </row>
    <row r="856">
      <c r="F856" s="10"/>
      <c r="G856" s="12"/>
      <c r="H856" s="12"/>
    </row>
    <row r="857">
      <c r="F857" s="10"/>
      <c r="G857" s="12"/>
      <c r="H857" s="12"/>
    </row>
    <row r="858">
      <c r="F858" s="10"/>
      <c r="G858" s="12"/>
      <c r="H858" s="12"/>
    </row>
    <row r="859">
      <c r="F859" s="10"/>
      <c r="G859" s="12"/>
      <c r="H859" s="12"/>
    </row>
    <row r="860">
      <c r="F860" s="10"/>
      <c r="G860" s="12"/>
      <c r="H860" s="12"/>
    </row>
    <row r="861">
      <c r="F861" s="10"/>
      <c r="G861" s="12"/>
      <c r="H861" s="12"/>
    </row>
    <row r="862">
      <c r="F862" s="10"/>
      <c r="G862" s="12"/>
      <c r="H862" s="12"/>
    </row>
    <row r="863">
      <c r="F863" s="10"/>
      <c r="G863" s="12"/>
      <c r="H863" s="12"/>
    </row>
    <row r="864">
      <c r="F864" s="10"/>
      <c r="G864" s="12"/>
      <c r="H864" s="12"/>
    </row>
    <row r="865">
      <c r="F865" s="10"/>
      <c r="G865" s="12"/>
      <c r="H865" s="12"/>
    </row>
    <row r="866">
      <c r="F866" s="10"/>
      <c r="G866" s="12"/>
      <c r="H866" s="12"/>
    </row>
    <row r="867">
      <c r="F867" s="10"/>
      <c r="G867" s="12"/>
      <c r="H867" s="12"/>
    </row>
    <row r="868">
      <c r="F868" s="10"/>
      <c r="G868" s="12"/>
      <c r="H868" s="12"/>
    </row>
    <row r="869">
      <c r="F869" s="10"/>
      <c r="G869" s="12"/>
      <c r="H869" s="12"/>
    </row>
    <row r="870">
      <c r="F870" s="10"/>
      <c r="G870" s="12"/>
      <c r="H870" s="12"/>
    </row>
    <row r="871">
      <c r="F871" s="10"/>
      <c r="G871" s="12"/>
      <c r="H871" s="12"/>
    </row>
    <row r="872">
      <c r="F872" s="10"/>
      <c r="G872" s="12"/>
      <c r="H872" s="12"/>
    </row>
    <row r="873">
      <c r="F873" s="10"/>
      <c r="G873" s="12"/>
      <c r="H873" s="12"/>
    </row>
    <row r="874">
      <c r="F874" s="10"/>
      <c r="G874" s="12"/>
      <c r="H874" s="12"/>
    </row>
    <row r="875">
      <c r="F875" s="10"/>
      <c r="G875" s="12"/>
      <c r="H875" s="12"/>
    </row>
    <row r="876">
      <c r="F876" s="10"/>
      <c r="G876" s="12"/>
      <c r="H876" s="12"/>
    </row>
    <row r="877">
      <c r="F877" s="10"/>
      <c r="G877" s="12"/>
      <c r="H877" s="12"/>
    </row>
    <row r="878">
      <c r="F878" s="10"/>
      <c r="G878" s="12"/>
      <c r="H878" s="12"/>
    </row>
    <row r="879">
      <c r="F879" s="10"/>
      <c r="G879" s="12"/>
      <c r="H879" s="12"/>
    </row>
    <row r="880">
      <c r="F880" s="10"/>
      <c r="G880" s="12"/>
      <c r="H880" s="12"/>
    </row>
    <row r="881">
      <c r="F881" s="10"/>
      <c r="G881" s="12"/>
      <c r="H881" s="12"/>
    </row>
    <row r="882">
      <c r="F882" s="10"/>
      <c r="G882" s="12"/>
      <c r="H882" s="12"/>
    </row>
    <row r="883">
      <c r="F883" s="10"/>
      <c r="G883" s="12"/>
      <c r="H883" s="12"/>
    </row>
    <row r="884">
      <c r="F884" s="10"/>
      <c r="G884" s="12"/>
      <c r="H884" s="12"/>
    </row>
    <row r="885">
      <c r="F885" s="10"/>
      <c r="G885" s="12"/>
      <c r="H885" s="12"/>
    </row>
    <row r="886">
      <c r="F886" s="10"/>
      <c r="G886" s="12"/>
      <c r="H886" s="12"/>
    </row>
    <row r="887">
      <c r="F887" s="10"/>
      <c r="G887" s="12"/>
      <c r="H887" s="12"/>
    </row>
    <row r="888">
      <c r="F888" s="10"/>
      <c r="G888" s="12"/>
      <c r="H888" s="12"/>
    </row>
    <row r="889">
      <c r="F889" s="10"/>
      <c r="G889" s="12"/>
      <c r="H889" s="12"/>
    </row>
    <row r="890">
      <c r="F890" s="10"/>
      <c r="G890" s="12"/>
      <c r="H890" s="12"/>
    </row>
    <row r="891">
      <c r="F891" s="10"/>
      <c r="G891" s="12"/>
      <c r="H891" s="12"/>
    </row>
    <row r="892">
      <c r="F892" s="10"/>
      <c r="G892" s="12"/>
      <c r="H892" s="12"/>
    </row>
    <row r="893">
      <c r="F893" s="10"/>
      <c r="G893" s="12"/>
      <c r="H893" s="12"/>
    </row>
    <row r="894">
      <c r="F894" s="10"/>
      <c r="G894" s="12"/>
      <c r="H894" s="12"/>
    </row>
    <row r="895">
      <c r="F895" s="10"/>
      <c r="G895" s="12"/>
      <c r="H895" s="12"/>
    </row>
    <row r="896">
      <c r="F896" s="10"/>
      <c r="G896" s="12"/>
      <c r="H896" s="12"/>
    </row>
    <row r="897">
      <c r="F897" s="10"/>
      <c r="G897" s="12"/>
      <c r="H897" s="12"/>
    </row>
    <row r="898">
      <c r="F898" s="10"/>
      <c r="G898" s="12"/>
      <c r="H898" s="12"/>
    </row>
    <row r="899">
      <c r="F899" s="10"/>
      <c r="G899" s="12"/>
      <c r="H899" s="12"/>
    </row>
    <row r="900">
      <c r="F900" s="10"/>
      <c r="G900" s="12"/>
      <c r="H900" s="12"/>
    </row>
    <row r="901">
      <c r="F901" s="10"/>
      <c r="G901" s="12"/>
      <c r="H901" s="12"/>
    </row>
    <row r="902">
      <c r="F902" s="10"/>
      <c r="G902" s="12"/>
      <c r="H902" s="12"/>
    </row>
    <row r="903">
      <c r="F903" s="10"/>
      <c r="G903" s="12"/>
      <c r="H903" s="12"/>
    </row>
    <row r="904">
      <c r="F904" s="10"/>
      <c r="G904" s="12"/>
      <c r="H904" s="12"/>
    </row>
    <row r="905">
      <c r="F905" s="10"/>
      <c r="G905" s="12"/>
      <c r="H905" s="12"/>
    </row>
    <row r="906">
      <c r="F906" s="10"/>
      <c r="G906" s="12"/>
      <c r="H906" s="12"/>
    </row>
    <row r="907">
      <c r="F907" s="10"/>
      <c r="G907" s="12"/>
      <c r="H907" s="12"/>
    </row>
    <row r="908">
      <c r="F908" s="10"/>
      <c r="G908" s="12"/>
      <c r="H908" s="12"/>
    </row>
    <row r="909">
      <c r="F909" s="10"/>
      <c r="G909" s="12"/>
      <c r="H909" s="12"/>
    </row>
    <row r="910">
      <c r="F910" s="10"/>
      <c r="G910" s="12"/>
      <c r="H910" s="12"/>
    </row>
    <row r="911">
      <c r="F911" s="10"/>
      <c r="G911" s="12"/>
      <c r="H911" s="12"/>
    </row>
    <row r="912">
      <c r="F912" s="10"/>
      <c r="G912" s="12"/>
      <c r="H912" s="12"/>
    </row>
    <row r="913">
      <c r="F913" s="10"/>
      <c r="G913" s="12"/>
      <c r="H913" s="12"/>
    </row>
    <row r="914">
      <c r="F914" s="10"/>
      <c r="G914" s="12"/>
      <c r="H914" s="12"/>
    </row>
    <row r="915">
      <c r="F915" s="10"/>
      <c r="G915" s="12"/>
      <c r="H915" s="12"/>
    </row>
    <row r="916">
      <c r="F916" s="10"/>
      <c r="G916" s="12"/>
      <c r="H916" s="12"/>
    </row>
    <row r="917">
      <c r="F917" s="10"/>
      <c r="G917" s="12"/>
      <c r="H917" s="12"/>
    </row>
    <row r="918">
      <c r="F918" s="10"/>
      <c r="G918" s="12"/>
      <c r="H918" s="12"/>
    </row>
    <row r="919">
      <c r="F919" s="10"/>
      <c r="G919" s="12"/>
      <c r="H919" s="12"/>
    </row>
    <row r="920">
      <c r="F920" s="10"/>
      <c r="G920" s="12"/>
      <c r="H920" s="12"/>
    </row>
    <row r="921">
      <c r="F921" s="10"/>
      <c r="G921" s="12"/>
      <c r="H921" s="12"/>
    </row>
    <row r="922">
      <c r="F922" s="10"/>
      <c r="G922" s="12"/>
      <c r="H922" s="12"/>
    </row>
    <row r="923">
      <c r="F923" s="10"/>
      <c r="G923" s="12"/>
      <c r="H923" s="12"/>
    </row>
    <row r="924">
      <c r="F924" s="10"/>
      <c r="G924" s="12"/>
      <c r="H924" s="12"/>
    </row>
    <row r="925">
      <c r="F925" s="10"/>
      <c r="G925" s="12"/>
      <c r="H925" s="12"/>
    </row>
    <row r="926">
      <c r="F926" s="10"/>
      <c r="G926" s="12"/>
      <c r="H926" s="12"/>
    </row>
    <row r="927">
      <c r="F927" s="10"/>
      <c r="G927" s="12"/>
      <c r="H927" s="12"/>
    </row>
    <row r="928">
      <c r="F928" s="10"/>
      <c r="G928" s="12"/>
      <c r="H928" s="12"/>
    </row>
    <row r="929">
      <c r="F929" s="10"/>
      <c r="G929" s="12"/>
      <c r="H929" s="12"/>
    </row>
    <row r="930">
      <c r="F930" s="10"/>
      <c r="G930" s="12"/>
      <c r="H930" s="12"/>
    </row>
    <row r="931">
      <c r="F931" s="10"/>
      <c r="G931" s="12"/>
      <c r="H931" s="12"/>
    </row>
    <row r="932">
      <c r="F932" s="10"/>
      <c r="G932" s="12"/>
      <c r="H932" s="12"/>
    </row>
    <row r="933">
      <c r="F933" s="10"/>
      <c r="G933" s="12"/>
      <c r="H933" s="12"/>
    </row>
    <row r="934">
      <c r="F934" s="10"/>
      <c r="G934" s="12"/>
      <c r="H934" s="12"/>
    </row>
    <row r="935">
      <c r="F935" s="10"/>
      <c r="G935" s="12"/>
      <c r="H935" s="12"/>
    </row>
    <row r="936">
      <c r="F936" s="10"/>
      <c r="G936" s="12"/>
      <c r="H936" s="12"/>
    </row>
    <row r="937">
      <c r="F937" s="10"/>
      <c r="G937" s="12"/>
      <c r="H937" s="12"/>
    </row>
    <row r="938">
      <c r="F938" s="10"/>
      <c r="G938" s="12"/>
      <c r="H938" s="12"/>
    </row>
    <row r="939">
      <c r="F939" s="10"/>
      <c r="G939" s="12"/>
      <c r="H939" s="12"/>
    </row>
    <row r="940">
      <c r="F940" s="10"/>
      <c r="G940" s="12"/>
      <c r="H940" s="12"/>
    </row>
    <row r="941">
      <c r="F941" s="10"/>
      <c r="G941" s="12"/>
      <c r="H941" s="12"/>
    </row>
    <row r="942">
      <c r="F942" s="10"/>
      <c r="G942" s="12"/>
      <c r="H942" s="12"/>
    </row>
    <row r="943">
      <c r="F943" s="10"/>
      <c r="G943" s="12"/>
      <c r="H943" s="12"/>
    </row>
    <row r="944">
      <c r="F944" s="10"/>
      <c r="G944" s="12"/>
      <c r="H944" s="12"/>
    </row>
    <row r="945">
      <c r="F945" s="10"/>
      <c r="G945" s="12"/>
      <c r="H945" s="12"/>
    </row>
    <row r="946">
      <c r="F946" s="10"/>
      <c r="G946" s="12"/>
      <c r="H946" s="12"/>
    </row>
    <row r="947">
      <c r="F947" s="10"/>
      <c r="G947" s="12"/>
      <c r="H947" s="12"/>
    </row>
    <row r="948">
      <c r="F948" s="10"/>
      <c r="G948" s="12"/>
      <c r="H948" s="12"/>
    </row>
    <row r="949">
      <c r="F949" s="10"/>
      <c r="G949" s="12"/>
      <c r="H949" s="12"/>
    </row>
    <row r="950">
      <c r="F950" s="10"/>
      <c r="G950" s="12"/>
      <c r="H950" s="12"/>
    </row>
    <row r="951">
      <c r="F951" s="10"/>
      <c r="G951" s="12"/>
      <c r="H951" s="12"/>
    </row>
    <row r="952">
      <c r="F952" s="10"/>
      <c r="G952" s="12"/>
      <c r="H952" s="12"/>
    </row>
    <row r="953">
      <c r="F953" s="10"/>
      <c r="G953" s="12"/>
      <c r="H953" s="12"/>
    </row>
    <row r="954">
      <c r="F954" s="10"/>
      <c r="G954" s="12"/>
      <c r="H954" s="12"/>
    </row>
    <row r="955">
      <c r="F955" s="10"/>
      <c r="G955" s="12"/>
      <c r="H955" s="12"/>
    </row>
    <row r="956">
      <c r="F956" s="10"/>
      <c r="G956" s="12"/>
      <c r="H956" s="12"/>
    </row>
    <row r="957">
      <c r="F957" s="10"/>
      <c r="G957" s="12"/>
      <c r="H957" s="12"/>
    </row>
    <row r="958">
      <c r="F958" s="10"/>
      <c r="G958" s="12"/>
      <c r="H958" s="12"/>
    </row>
    <row r="959">
      <c r="F959" s="10"/>
      <c r="G959" s="12"/>
      <c r="H959" s="12"/>
    </row>
    <row r="960">
      <c r="F960" s="10"/>
      <c r="G960" s="12"/>
      <c r="H960" s="12"/>
    </row>
    <row r="961">
      <c r="F961" s="10"/>
      <c r="G961" s="12"/>
      <c r="H961" s="12"/>
    </row>
    <row r="962">
      <c r="F962" s="10"/>
      <c r="G962" s="12"/>
      <c r="H962" s="12"/>
    </row>
    <row r="963">
      <c r="F963" s="10"/>
      <c r="G963" s="12"/>
      <c r="H963" s="12"/>
    </row>
    <row r="964">
      <c r="F964" s="10"/>
      <c r="G964" s="12"/>
      <c r="H964" s="12"/>
    </row>
    <row r="965">
      <c r="F965" s="10"/>
      <c r="G965" s="12"/>
      <c r="H965" s="12"/>
    </row>
    <row r="966">
      <c r="F966" s="10"/>
      <c r="G966" s="12"/>
      <c r="H966" s="12"/>
    </row>
    <row r="967">
      <c r="F967" s="10"/>
      <c r="G967" s="12"/>
      <c r="H967" s="12"/>
    </row>
    <row r="968">
      <c r="F968" s="10"/>
      <c r="G968" s="12"/>
      <c r="H968" s="12"/>
    </row>
    <row r="969">
      <c r="F969" s="10"/>
      <c r="G969" s="12"/>
      <c r="H969" s="12"/>
    </row>
    <row r="970">
      <c r="F970" s="10"/>
      <c r="G970" s="12"/>
      <c r="H970" s="12"/>
    </row>
    <row r="971">
      <c r="F971" s="10"/>
      <c r="G971" s="12"/>
      <c r="H971" s="12"/>
    </row>
    <row r="972">
      <c r="F972" s="10"/>
      <c r="G972" s="12"/>
      <c r="H972" s="12"/>
    </row>
    <row r="973">
      <c r="F973" s="10"/>
      <c r="G973" s="12"/>
      <c r="H973" s="12"/>
    </row>
    <row r="974">
      <c r="F974" s="10"/>
      <c r="G974" s="12"/>
      <c r="H974" s="12"/>
    </row>
    <row r="975">
      <c r="F975" s="10"/>
      <c r="G975" s="12"/>
      <c r="H975" s="12"/>
    </row>
    <row r="976">
      <c r="F976" s="10"/>
      <c r="G976" s="12"/>
      <c r="H976" s="12"/>
    </row>
    <row r="977">
      <c r="F977" s="10"/>
      <c r="G977" s="12"/>
      <c r="H977" s="12"/>
    </row>
    <row r="978">
      <c r="F978" s="10"/>
      <c r="G978" s="12"/>
      <c r="H978" s="12"/>
    </row>
    <row r="979">
      <c r="F979" s="10"/>
      <c r="G979" s="12"/>
      <c r="H979" s="12"/>
    </row>
    <row r="980">
      <c r="F980" s="10"/>
      <c r="G980" s="12"/>
      <c r="H980" s="12"/>
    </row>
    <row r="981">
      <c r="F981" s="10"/>
      <c r="G981" s="12"/>
      <c r="H981" s="12"/>
    </row>
    <row r="982">
      <c r="F982" s="10"/>
      <c r="G982" s="12"/>
      <c r="H982" s="12"/>
    </row>
    <row r="983">
      <c r="F983" s="10"/>
      <c r="G983" s="12"/>
      <c r="H983" s="12"/>
    </row>
    <row r="984">
      <c r="F984" s="10"/>
      <c r="G984" s="12"/>
      <c r="H984" s="12"/>
    </row>
    <row r="985">
      <c r="F985" s="10"/>
      <c r="G985" s="12"/>
      <c r="H985" s="12"/>
    </row>
    <row r="986">
      <c r="F986" s="10"/>
      <c r="G986" s="12"/>
      <c r="H986" s="12"/>
    </row>
    <row r="987">
      <c r="F987" s="10"/>
      <c r="G987" s="12"/>
      <c r="H987" s="12"/>
    </row>
    <row r="988">
      <c r="F988" s="10"/>
      <c r="G988" s="12"/>
      <c r="H988" s="12"/>
    </row>
    <row r="989">
      <c r="F989" s="10"/>
      <c r="G989" s="12"/>
      <c r="H989" s="12"/>
    </row>
    <row r="990">
      <c r="F990" s="10"/>
      <c r="G990" s="12"/>
      <c r="H990" s="12"/>
    </row>
    <row r="991">
      <c r="F991" s="10"/>
      <c r="G991" s="12"/>
      <c r="H991" s="12"/>
    </row>
    <row r="992">
      <c r="F992" s="10"/>
      <c r="G992" s="12"/>
      <c r="H992" s="12"/>
    </row>
    <row r="993">
      <c r="F993" s="10"/>
      <c r="G993" s="12"/>
      <c r="H993" s="12"/>
    </row>
    <row r="994">
      <c r="F994" s="10"/>
      <c r="G994" s="12"/>
      <c r="H994" s="12"/>
    </row>
    <row r="995">
      <c r="F995" s="10"/>
      <c r="G995" s="12"/>
      <c r="H995" s="12"/>
    </row>
    <row r="996">
      <c r="F996" s="10"/>
      <c r="G996" s="12"/>
      <c r="H996" s="12"/>
    </row>
    <row r="997">
      <c r="F997" s="10"/>
      <c r="G997" s="12"/>
      <c r="H997" s="12"/>
    </row>
    <row r="998">
      <c r="F998" s="10"/>
      <c r="G998" s="12"/>
      <c r="H998" s="12"/>
    </row>
    <row r="999">
      <c r="F999" s="10"/>
      <c r="G999" s="12"/>
      <c r="H999" s="12"/>
    </row>
    <row r="1000">
      <c r="F1000" s="10"/>
      <c r="G1000" s="12"/>
      <c r="H1000" s="12"/>
    </row>
  </sheetData>
  <autoFilter ref="$A$1:$X$25">
    <sortState ref="A1:X25">
      <sortCondition ref="B1:B25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29</v>
      </c>
      <c r="B2" s="1" t="s">
        <v>17302</v>
      </c>
    </row>
    <row r="3">
      <c r="A3" s="1" t="s">
        <v>43</v>
      </c>
      <c r="B3" s="1" t="s">
        <v>17303</v>
      </c>
    </row>
    <row r="4">
      <c r="A4" s="1" t="s">
        <v>52</v>
      </c>
      <c r="B4" s="1" t="s">
        <v>17304</v>
      </c>
    </row>
  </sheetData>
  <drawing r:id="rId1"/>
</worksheet>
</file>